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5.xml" ContentType="application/vnd.openxmlformats-officedocument.spreadsheetml.comments+xml"/>
  <Override PartName="/xl/threadedComments/threadedComment3.xml" ContentType="application/vnd.ms-excel.threadedcomments+xml"/>
  <Override PartName="/xl/drawings/drawing7.xml" ContentType="application/vnd.openxmlformats-officedocument.drawing+xml"/>
  <Override PartName="/xl/comments6.xml" ContentType="application/vnd.openxmlformats-officedocument.spreadsheetml.comments+xml"/>
  <Override PartName="/xl/threadedComments/threadedComment4.xml" ContentType="application/vnd.ms-excel.threadedcomments+xml"/>
  <Override PartName="/xl/drawings/drawing8.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updateLinks="always"/>
  <xr:revisionPtr revIDLastSave="0" documentId="13_ncr:1_{7D029588-DE7C-4151-B128-14554539E4AD}" xr6:coauthVersionLast="47" xr6:coauthVersionMax="47" xr10:uidLastSave="{00000000-0000-0000-0000-000000000000}"/>
  <bookViews>
    <workbookView xWindow="-120" yWindow="-120" windowWidth="29040" windowHeight="15720" xr2:uid="{00890BCB-9D94-459B-8205-B5493B6C7490}"/>
  </bookViews>
  <sheets>
    <sheet name="ReadME" sheetId="14" r:id="rId1"/>
    <sheet name="Deemed Savings Tbl Revision Log" sheetId="1" r:id="rId2"/>
    <sheet name="BUS Deemed Savings Table" sheetId="2" r:id="rId3"/>
    <sheet name="Efficient Products Deemed Table" sheetId="16" r:id="rId4"/>
    <sheet name="Energy Effic. Kits Deemed Table" sheetId="5" r:id="rId5"/>
    <sheet name="PAYS Deemed Table" sheetId="22" r:id="rId6"/>
    <sheet name="HVAC Deemed Table" sheetId="6" r:id="rId7"/>
    <sheet name="Income Eligible Deemed Table" sheetId="7" r:id="rId8"/>
    <sheet name="Demand Response Deemed Table" sheetId="11" r:id="rId9"/>
    <sheet name=" Measure INDEX PY25" sheetId="15" r:id="rId10"/>
    <sheet name="Avoided Cost Benefits" sheetId="13" r:id="rId11"/>
    <sheet name="CP FACTORS" sheetId="12" r:id="rId12"/>
    <sheet name="End-Use Shapes Factors  2025+" sheetId="23" r:id="rId13"/>
  </sheets>
  <externalReferences>
    <externalReference r:id="rId14"/>
  </externalReferences>
  <definedNames>
    <definedName name="_xlnm._FilterDatabase" localSheetId="9" hidden="1">' Measure INDEX PY25'!$A$8:$BN$333</definedName>
    <definedName name="_xlnm._FilterDatabase" localSheetId="10" hidden="1">'Avoided Cost Benefits'!$A$3:$G$865</definedName>
    <definedName name="_xlnm._FilterDatabase" localSheetId="2" hidden="1">'BUS Deemed Savings Table'!$A$1:$A$4724</definedName>
    <definedName name="_xlnm._FilterDatabase" localSheetId="11" hidden="1">'CP FACTORS'!$A$1:$A$38</definedName>
    <definedName name="_xlnm._FilterDatabase" localSheetId="3" hidden="1">'Efficient Products Deemed Table'!$A$1:$A$5130</definedName>
    <definedName name="_xlnm._FilterDatabase" localSheetId="4" hidden="1">'Energy Effic. Kits Deemed Table'!$A$1:$A$4816</definedName>
    <definedName name="_xlnm._FilterDatabase" localSheetId="7" hidden="1">'Income Eligible Deemed Table'!$A$5:$A$4662</definedName>
    <definedName name="_ftn1" localSheetId="2">'BUS Deemed Savings Table'!$H$509</definedName>
    <definedName name="_ftn1" localSheetId="3">'Efficient Products Deemed Table'!#REF!</definedName>
    <definedName name="_ftn10" localSheetId="2">'BUS Deemed Savings Table'!$H$520</definedName>
    <definedName name="_ftn11" localSheetId="2">'BUS Deemed Savings Table'!$H$521</definedName>
    <definedName name="_ftn12" localSheetId="2">'BUS Deemed Savings Table'!$H$522</definedName>
    <definedName name="_ftn2" localSheetId="2">'BUS Deemed Savings Table'!$H$510</definedName>
    <definedName name="_ftn2" localSheetId="3">'Efficient Products Deemed Table'!#REF!</definedName>
    <definedName name="_ftn3" localSheetId="2">'BUS Deemed Savings Table'!$H$511</definedName>
    <definedName name="_ftn4" localSheetId="2">'BUS Deemed Savings Table'!$H$512</definedName>
    <definedName name="_ftn5" localSheetId="2">'BUS Deemed Savings Table'!$H$513</definedName>
    <definedName name="_ftn6" localSheetId="2">'BUS Deemed Savings Table'!$H$514</definedName>
    <definedName name="_ftn7" localSheetId="2">'BUS Deemed Savings Table'!$H$515</definedName>
    <definedName name="_ftn8" localSheetId="2">'BUS Deemed Savings Table'!$H$516</definedName>
    <definedName name="_ftn9" localSheetId="2">'BUS Deemed Savings Table'!$H$517</definedName>
    <definedName name="_ftnref1" localSheetId="2">'BUS Deemed Savings Table'!$H$305</definedName>
    <definedName name="_ftnref1" localSheetId="3">'Efficient Products Deemed Table'!#REF!</definedName>
    <definedName name="_ftnref10" localSheetId="2">'BUS Deemed Savings Table'!#REF!</definedName>
    <definedName name="_ftnref11" localSheetId="2">'BUS Deemed Savings Table'!#REF!</definedName>
    <definedName name="_ftnref12" localSheetId="2">'BUS Deemed Savings Table'!#REF!</definedName>
    <definedName name="_ftnref2" localSheetId="3">'Efficient Products Deemed Table'!#REF!</definedName>
    <definedName name="_ftnref3" localSheetId="2">'BUS Deemed Savings Table'!$J$311</definedName>
    <definedName name="_ftnref4" localSheetId="2">'BUS Deemed Savings Table'!$H$322</definedName>
    <definedName name="_ftnref5" localSheetId="2">'BUS Deemed Savings Table'!$H$339</definedName>
    <definedName name="_ftnref6" localSheetId="2">'BUS Deemed Savings Table'!#REF!</definedName>
    <definedName name="_ftnref7" localSheetId="2">'BUS Deemed Savings Table'!$I$413</definedName>
    <definedName name="_ftnref8" localSheetId="2">'BUS Deemed Savings Table'!#REF!</definedName>
    <definedName name="_ftnref9" localSheetId="2">'BUS Deemed Savings Table'!$H$446</definedName>
    <definedName name="_Key1" hidden="1">#REF!</definedName>
    <definedName name="_key2" hidden="1">#REF!</definedName>
    <definedName name="_Order1" hidden="1">255</definedName>
    <definedName name="_Sort" hidden="1">#REF!</definedName>
    <definedName name="_Toc477945843" localSheetId="2">'BUS Deemed Savings Table'!$H$286</definedName>
    <definedName name="abase" localSheetId="1">#REF!</definedName>
    <definedName name="abase" localSheetId="8">#REF!</definedName>
    <definedName name="abase">#REF!</definedName>
    <definedName name="APPK_profile" localSheetId="1">#REF!</definedName>
    <definedName name="APPK_profile" localSheetId="8">#REF!</definedName>
    <definedName name="APPK_profile">#REF!</definedName>
    <definedName name="APPK_profilekW" localSheetId="1">#REF!</definedName>
    <definedName name="APPK_profilekW" localSheetId="8">#REF!</definedName>
    <definedName name="APPK_profilekW">#REF!</definedName>
    <definedName name="AVGcool" localSheetId="1">#REF!</definedName>
    <definedName name="AVGcool" localSheetId="8">#REF!</definedName>
    <definedName name="AVGcool">#REF!</definedName>
    <definedName name="AVGheat" localSheetId="1">#REF!</definedName>
    <definedName name="AVGheat" localSheetId="8">#REF!</definedName>
    <definedName name="AVGheat">#REF!</definedName>
    <definedName name="AvoidedCost" localSheetId="1">#REF!</definedName>
    <definedName name="AvoidedCost" localSheetId="8">#REF!</definedName>
    <definedName name="AvoidedCost">#REF!</definedName>
    <definedName name="awrap" localSheetId="1">#REF!</definedName>
    <definedName name="awrap" localSheetId="8">#REF!</definedName>
    <definedName name="awrap">#REF!</definedName>
    <definedName name="CF" localSheetId="1">#REF!</definedName>
    <definedName name="CF" localSheetId="8">#REF!</definedName>
    <definedName name="CF">#REF!</definedName>
    <definedName name="CFlighting" localSheetId="1">#REF!</definedName>
    <definedName name="CFlighting" localSheetId="8">#REF!</definedName>
    <definedName name="CFlighting">#REF!</definedName>
    <definedName name="Changing_Cell" localSheetId="1">#REF!</definedName>
    <definedName name="Changing_Cell" localSheetId="8">#REF!</definedName>
    <definedName name="Changing_Cell">#REF!</definedName>
    <definedName name="chart_title" localSheetId="1">#REF!</definedName>
    <definedName name="chart_title" localSheetId="8">#REF!</definedName>
    <definedName name="chart_title">#REF!</definedName>
    <definedName name="ConF" localSheetId="1">#REF!</definedName>
    <definedName name="ConF" localSheetId="8">#REF!</definedName>
    <definedName name="ConF">#REF!</definedName>
    <definedName name="coupon_fr">#REF!</definedName>
    <definedName name="Coupon_ISR">#REF!</definedName>
    <definedName name="Coupon_LKG">#REF!</definedName>
    <definedName name="coupon_me">#REF!</definedName>
    <definedName name="coupon_ntg">#REF!</definedName>
    <definedName name="coupon_so">#REF!</definedName>
    <definedName name="Cp" localSheetId="1">#REF!</definedName>
    <definedName name="Cp" localSheetId="8">#REF!</definedName>
    <definedName name="Cp">#REF!</definedName>
    <definedName name="CurrentYear">'Avoided Cost Benefits'!$K$8</definedName>
    <definedName name="DAYS" localSheetId="1">#REF!</definedName>
    <definedName name="DAYS" localSheetId="8">#REF!</definedName>
    <definedName name="DAYS">#REF!</definedName>
    <definedName name="DeltaGPM" localSheetId="1">#REF!</definedName>
    <definedName name="DeltaGPM" localSheetId="8">#REF!</definedName>
    <definedName name="DeltaGPM">#REF!</definedName>
    <definedName name="deltaT" localSheetId="1">#REF!</definedName>
    <definedName name="deltaT" localSheetId="8">#REF!</definedName>
    <definedName name="deltaT">#REF!</definedName>
    <definedName name="den" localSheetId="1">#REF!</definedName>
    <definedName name="den" localSheetId="8">#REF!</definedName>
    <definedName name="den">#REF!</definedName>
    <definedName name="DesignDetails" localSheetId="1">#REF!</definedName>
    <definedName name="DesignDetails" localSheetId="8">#REF!</definedName>
    <definedName name="DesignDetails">#REF!</definedName>
    <definedName name="Diameter" localSheetId="1">#REF!</definedName>
    <definedName name="Diameter" localSheetId="8">#REF!</definedName>
    <definedName name="Diameter">#REF!</definedName>
    <definedName name="DISCOUNT" localSheetId="5">#REF!</definedName>
    <definedName name="DISCOUNT">'Avoided Cost Benefits'!$K$2</definedName>
    <definedName name="DiscountRate">'Avoided Cost Benefits'!$K$6</definedName>
    <definedName name="DiscountYear">'Avoided Cost Benefits'!$K$4</definedName>
    <definedName name="ductRESULTS" localSheetId="1">#REF!</definedName>
    <definedName name="ductRESULTS" localSheetId="8">#REF!</definedName>
    <definedName name="ductRESULTS">#REF!</definedName>
    <definedName name="EDR" localSheetId="1">#REF!</definedName>
    <definedName name="EDR" localSheetId="8">#REF!</definedName>
    <definedName name="EDR">#REF!</definedName>
    <definedName name="EERafter" localSheetId="1">#REF!</definedName>
    <definedName name="EERafter" localSheetId="8">#REF!</definedName>
    <definedName name="EERafter">#REF!</definedName>
    <definedName name="EERBefore" localSheetId="1">#REF!</definedName>
    <definedName name="EERBefore" localSheetId="8">#REF!</definedName>
    <definedName name="EERBefore">#REF!</definedName>
    <definedName name="EFbase" localSheetId="1">#REF!</definedName>
    <definedName name="EFbase" localSheetId="8">#REF!</definedName>
    <definedName name="EFbase">#REF!</definedName>
    <definedName name="EndRef" localSheetId="1">#REF!</definedName>
    <definedName name="EndRef" localSheetId="8">#REF!</definedName>
    <definedName name="EndRef">#REF!</definedName>
    <definedName name="Endrow" localSheetId="1">#REF!</definedName>
    <definedName name="Endrow" localSheetId="8">#REF!</definedName>
    <definedName name="Endrow">#REF!</definedName>
    <definedName name="ESFcool" localSheetId="1">#REF!</definedName>
    <definedName name="ESFcool" localSheetId="8">#REF!</definedName>
    <definedName name="ESFcool">#REF!</definedName>
    <definedName name="ESFheat" localSheetId="1">#REF!</definedName>
    <definedName name="ESFheat" localSheetId="8">#REF!</definedName>
    <definedName name="ESFheat">#REF!</definedName>
    <definedName name="EUEx" localSheetId="1">#REF!</definedName>
    <definedName name="EUEx" localSheetId="8">#REF!</definedName>
    <definedName name="EUEx">#REF!</definedName>
    <definedName name="EUNew" localSheetId="1">#REF!</definedName>
    <definedName name="EUNew" localSheetId="8">#REF!</definedName>
    <definedName name="EUNew">#REF!</definedName>
    <definedName name="FAdays" localSheetId="1">#REF!</definedName>
    <definedName name="FAdays" localSheetId="8">#REF!</definedName>
    <definedName name="FAdays">#REF!</definedName>
    <definedName name="FAdeltaGPM" localSheetId="1">#REF!</definedName>
    <definedName name="FAdeltaGPM" localSheetId="8">#REF!</definedName>
    <definedName name="FAdeltaGPM">#REF!</definedName>
    <definedName name="FauCp" localSheetId="1">#REF!</definedName>
    <definedName name="FauCp" localSheetId="8">#REF!</definedName>
    <definedName name="FauCp">#REF!</definedName>
    <definedName name="FaucTime" localSheetId="1">#REF!</definedName>
    <definedName name="FaucTime" localSheetId="8">#REF!</definedName>
    <definedName name="FaucTime">#REF!</definedName>
    <definedName name="FauDen" localSheetId="1">#REF!</definedName>
    <definedName name="FauDen" localSheetId="8">#REF!</definedName>
    <definedName name="FauDen">#REF!</definedName>
    <definedName name="FauRE" localSheetId="1">#REF!</definedName>
    <definedName name="FauRE" localSheetId="8">#REF!</definedName>
    <definedName name="FauRE">#REF!</definedName>
    <definedName name="FauTin" localSheetId="1">#REF!</definedName>
    <definedName name="FauTin" localSheetId="8">#REF!</definedName>
    <definedName name="FauTin">#REF!</definedName>
    <definedName name="HCIFd" localSheetId="1">#REF!</definedName>
    <definedName name="HCIFd" localSheetId="8">#REF!</definedName>
    <definedName name="HCIFd">#REF!</definedName>
    <definedName name="HCIFe" localSheetId="1">#REF!</definedName>
    <definedName name="HCIFe" localSheetId="8">#REF!</definedName>
    <definedName name="HCIFe">#REF!</definedName>
    <definedName name="HDD" localSheetId="1">#REF!</definedName>
    <definedName name="HDD" localSheetId="8">#REF!</definedName>
    <definedName name="HDD">#REF!</definedName>
    <definedName name="Height" localSheetId="1">#REF!</definedName>
    <definedName name="Height" localSheetId="8">#REF!</definedName>
    <definedName name="Height">#REF!</definedName>
    <definedName name="HOURRES" localSheetId="1">#REF!</definedName>
    <definedName name="HOURRES" localSheetId="8">#REF!</definedName>
    <definedName name="HOURRES">#REF!</definedName>
    <definedName name="HOURSNRES" localSheetId="1">#REF!</definedName>
    <definedName name="HOURSNRES" localSheetId="8">#REF!</definedName>
    <definedName name="HOURSNRES">#REF!</definedName>
    <definedName name="HP" localSheetId="1">#REF!</definedName>
    <definedName name="HP" localSheetId="8">#REF!</definedName>
    <definedName name="HP">#REF!</definedName>
    <definedName name="HPfive" localSheetId="1">#REF!</definedName>
    <definedName name="HPfive" localSheetId="8">#REF!</definedName>
    <definedName name="HPfive">#REF!</definedName>
    <definedName name="HPfour" localSheetId="1">#REF!</definedName>
    <definedName name="HPfour" localSheetId="8">#REF!</definedName>
    <definedName name="HPfour">#REF!</definedName>
    <definedName name="HPfpur" localSheetId="1">#REF!</definedName>
    <definedName name="HPfpur" localSheetId="8">#REF!</definedName>
    <definedName name="HPfpur">#REF!</definedName>
    <definedName name="HPsix" localSheetId="1">#REF!</definedName>
    <definedName name="HPsix" localSheetId="8">#REF!</definedName>
    <definedName name="HPsix">#REF!</definedName>
    <definedName name="HPthree" localSheetId="1">#REF!</definedName>
    <definedName name="HPthree" localSheetId="8">#REF!</definedName>
    <definedName name="HPthree">#REF!</definedName>
    <definedName name="HPtwo" localSheetId="1">#REF!</definedName>
    <definedName name="HPtwo" localSheetId="8">#REF!</definedName>
    <definedName name="HPtwo">#REF!</definedName>
    <definedName name="Inflation">'Avoided Cost Benefits'!$N$2</definedName>
    <definedName name="ISR" localSheetId="1">#REF!</definedName>
    <definedName name="ISR" localSheetId="8">#REF!</definedName>
    <definedName name="ISR">#REF!</definedName>
    <definedName name="L" localSheetId="1">#REF!</definedName>
    <definedName name="L" localSheetId="8">#REF!</definedName>
    <definedName name="L">#REF!</definedName>
    <definedName name="Ldays" localSheetId="1">#REF!</definedName>
    <definedName name="Ldays" localSheetId="8">#REF!</definedName>
    <definedName name="Ldays">#REF!</definedName>
    <definedName name="LHours" localSheetId="1">#REF!</definedName>
    <definedName name="LHours" localSheetId="8">#REF!</definedName>
    <definedName name="LHours">#REF!</definedName>
    <definedName name="LKG" localSheetId="1">#REF!</definedName>
    <definedName name="LKG" localSheetId="8">#REF!</definedName>
    <definedName name="LKG">#REF!</definedName>
    <definedName name="Load_Shapes">#REF!</definedName>
    <definedName name="LWHF" localSheetId="1">#REF!</definedName>
    <definedName name="LWHF" localSheetId="8">#REF!</definedName>
    <definedName name="LWHF">#REF!</definedName>
    <definedName name="markdown_fr">#REF!</definedName>
    <definedName name="Markdown_ISR">#REF!</definedName>
    <definedName name="Markdown_LKG">#REF!</definedName>
    <definedName name="markdown_me">#REF!</definedName>
    <definedName name="markdown_ntg">#REF!</definedName>
    <definedName name="markdown_so">#REF!</definedName>
    <definedName name="MM_BldgType" localSheetId="1">#REF!</definedName>
    <definedName name="MM_BldgType" localSheetId="8">#REF!</definedName>
    <definedName name="MM_BldgType">#REF!</definedName>
    <definedName name="MM_CompAirList" localSheetId="1">#REF!</definedName>
    <definedName name="MM_CompAirList" localSheetId="8">#REF!</definedName>
    <definedName name="MM_CompAirList">#REF!</definedName>
    <definedName name="MM_EMSList" localSheetId="1">#REF!</definedName>
    <definedName name="MM_EMSList" localSheetId="8">#REF!</definedName>
    <definedName name="MM_EMSList">#REF!</definedName>
    <definedName name="MM_EndUseList" localSheetId="1">#REF!</definedName>
    <definedName name="MM_EndUseList" localSheetId="8">#REF!</definedName>
    <definedName name="MM_EndUseList">#REF!</definedName>
    <definedName name="MM_EnvList" localSheetId="1">#REF!</definedName>
    <definedName name="MM_EnvList" localSheetId="8">#REF!</definedName>
    <definedName name="MM_EnvList">#REF!</definedName>
    <definedName name="MM_FoodServList" localSheetId="1">#REF!</definedName>
    <definedName name="MM_FoodServList" localSheetId="8">#REF!</definedName>
    <definedName name="MM_FoodServList">#REF!</definedName>
    <definedName name="MM_FuelList" localSheetId="1">#REF!</definedName>
    <definedName name="MM_FuelList" localSheetId="8">#REF!</definedName>
    <definedName name="MM_FuelList">#REF!</definedName>
    <definedName name="MM_HVACList" localSheetId="1">#REF!</definedName>
    <definedName name="MM_HVACList" localSheetId="8">#REF!</definedName>
    <definedName name="MM_HVACList">#REF!</definedName>
    <definedName name="MM_IncentChangeList" localSheetId="1">#REF!</definedName>
    <definedName name="MM_IncentChangeList" localSheetId="8">#REF!</definedName>
    <definedName name="MM_IncentChangeList">#REF!</definedName>
    <definedName name="MM_IncentiveDistribution" localSheetId="1">#REF!</definedName>
    <definedName name="MM_IncentiveDistribution" localSheetId="8">#REF!</definedName>
    <definedName name="MM_IncentiveDistribution">#REF!</definedName>
    <definedName name="MM_IncentList" localSheetId="1">#REF!</definedName>
    <definedName name="MM_IncentList" localSheetId="8">#REF!</definedName>
    <definedName name="MM_IncentList">#REF!</definedName>
    <definedName name="MM_LaudryList" localSheetId="1">#REF!</definedName>
    <definedName name="MM_LaudryList" localSheetId="8">#REF!</definedName>
    <definedName name="MM_LaudryList">#REF!</definedName>
    <definedName name="MM_LgtList" localSheetId="1">#REF!</definedName>
    <definedName name="MM_LgtList" localSheetId="8">#REF!</definedName>
    <definedName name="MM_LgtList">#REF!</definedName>
    <definedName name="MM_OtherList" localSheetId="1">#REF!</definedName>
    <definedName name="MM_OtherList" localSheetId="8">#REF!</definedName>
    <definedName name="MM_OtherList">#REF!</definedName>
    <definedName name="MM_ProcessList" localSheetId="1">#REF!</definedName>
    <definedName name="MM_ProcessList" localSheetId="8">#REF!</definedName>
    <definedName name="MM_ProcessList">#REF!</definedName>
    <definedName name="MM_ProgTypeList" localSheetId="1">#REF!</definedName>
    <definedName name="MM_ProgTypeList" localSheetId="8">#REF!</definedName>
    <definedName name="MM_ProgTypeList">#REF!</definedName>
    <definedName name="MM_RefList" localSheetId="1">#REF!</definedName>
    <definedName name="MM_RefList" localSheetId="8">#REF!</definedName>
    <definedName name="MM_RefList">#REF!</definedName>
    <definedName name="MM_ReplacementType" localSheetId="1">#REF!</definedName>
    <definedName name="MM_ReplacementType" localSheetId="8">#REF!</definedName>
    <definedName name="MM_ReplacementType">#REF!</definedName>
    <definedName name="MM_SysTypeList" localSheetId="1">#REF!</definedName>
    <definedName name="MM_SysTypeList" localSheetId="8">#REF!</definedName>
    <definedName name="MM_SysTypeList">#REF!</definedName>
    <definedName name="MM_TRMList" localSheetId="1">#REF!</definedName>
    <definedName name="MM_TRMList" localSheetId="8">#REF!</definedName>
    <definedName name="MM_TRMList">#REF!</definedName>
    <definedName name="MM_WHList" localSheetId="1">#REF!</definedName>
    <definedName name="MM_WHList" localSheetId="8">#REF!</definedName>
    <definedName name="MM_WHList">#REF!</definedName>
    <definedName name="MM_YesNoList" localSheetId="1">#REF!</definedName>
    <definedName name="MM_YesNoList" localSheetId="8">#REF!</definedName>
    <definedName name="MM_YesNoList">#REF!</definedName>
    <definedName name="Month" localSheetId="1">#REF!</definedName>
    <definedName name="Month" localSheetId="8">#REF!</definedName>
    <definedName name="Month">#REF!</definedName>
    <definedName name="NoFauc" localSheetId="1">#REF!</definedName>
    <definedName name="NoFauc" localSheetId="8">#REF!</definedName>
    <definedName name="NoFauc">#REF!</definedName>
    <definedName name="NonIncent_Elec" localSheetId="1">#REF!</definedName>
    <definedName name="NonIncent_Elec" localSheetId="8">#REF!</definedName>
    <definedName name="NonIncent_Elec">#REF!</definedName>
    <definedName name="NonIncent_Gas" localSheetId="1">#REF!</definedName>
    <definedName name="NonIncent_Gas" localSheetId="8">#REF!</definedName>
    <definedName name="NonIncent_Gas">#REF!</definedName>
    <definedName name="NoPpl">#REF!</definedName>
    <definedName name="P" localSheetId="1">#REF!</definedName>
    <definedName name="P" localSheetId="8">#REF!</definedName>
    <definedName name="P">#REF!</definedName>
    <definedName name="PerDays" localSheetId="1">#REF!</definedName>
    <definedName name="PerDays" localSheetId="8">#REF!</definedName>
    <definedName name="PerDays">#REF!</definedName>
    <definedName name="PonBase" localSheetId="1">#REF!</definedName>
    <definedName name="PonBase" localSheetId="8">#REF!</definedName>
    <definedName name="PonBase">#REF!</definedName>
    <definedName name="_xlnm.Print_Area" localSheetId="9">' Measure INDEX PY25'!$B$1:$BO$333</definedName>
    <definedName name="_xlnm.Print_Area" localSheetId="2">'BUS Deemed Savings Table'!$A$1:$R$518</definedName>
    <definedName name="_xlnm.Print_Area" localSheetId="1">'Deemed Savings Tbl Revision Log'!$B$1:$H$17</definedName>
    <definedName name="_xlnm.Print_Area" localSheetId="8">'Demand Response Deemed Table'!$A$1:$R$34</definedName>
    <definedName name="_xlnm.Print_Area" localSheetId="3">'Efficient Products Deemed Table'!$A$1:$R$128</definedName>
    <definedName name="_xlnm.Print_Area" localSheetId="4">'Energy Effic. Kits Deemed Table'!$A$1:$O$48</definedName>
    <definedName name="_xlnm.Print_Area" localSheetId="6">'HVAC Deemed Table'!$A$1:$R$2189</definedName>
    <definedName name="_xlnm.Print_Area" localSheetId="7">'Income Eligible Deemed Table'!$A$1:$S$988</definedName>
    <definedName name="_xlnm.Print_Titles" localSheetId="9">' Measure INDEX PY25'!$1:$8</definedName>
    <definedName name="_xlnm.Print_Titles" localSheetId="2">'BUS Deemed Savings Table'!$1:$5</definedName>
    <definedName name="_xlnm.Print_Titles" localSheetId="8">'Demand Response Deemed Table'!$1:$1</definedName>
    <definedName name="_xlnm.Print_Titles" localSheetId="3">'Efficient Products Deemed Table'!$1:$1</definedName>
    <definedName name="_xlnm.Print_Titles" localSheetId="4">'Energy Effic. Kits Deemed Table'!$1:$1</definedName>
    <definedName name="_xlnm.Print_Titles" localSheetId="6">'HVAC Deemed Table'!$1:$1</definedName>
    <definedName name="_xlnm.Print_Titles" localSheetId="7">'Income Eligible Deemed Table'!$1:$1</definedName>
    <definedName name="PusePer" localSheetId="1">#REF!</definedName>
    <definedName name="PusePer" localSheetId="8">#REF!</definedName>
    <definedName name="PusePer">#REF!</definedName>
    <definedName name="qout" localSheetId="1">#REF!</definedName>
    <definedName name="qout" localSheetId="8">#REF!</definedName>
    <definedName name="qout">#REF!</definedName>
    <definedName name="Rair" localSheetId="1">#REF!</definedName>
    <definedName name="Rair" localSheetId="8">#REF!</definedName>
    <definedName name="Rair">#REF!</definedName>
    <definedName name="Rduct" localSheetId="1">#REF!</definedName>
    <definedName name="Rduct" localSheetId="8">#REF!</definedName>
    <definedName name="Rduct">#REF!</definedName>
    <definedName name="RE" localSheetId="1">#REF!</definedName>
    <definedName name="RE" localSheetId="8">#REF!</definedName>
    <definedName name="RE">#REF!</definedName>
    <definedName name="REbase" localSheetId="1">#REF!</definedName>
    <definedName name="REbase" localSheetId="8">#REF!</definedName>
    <definedName name="REbase">#REF!</definedName>
    <definedName name="RESPCT" localSheetId="1">#REF!</definedName>
    <definedName name="RESPCT" localSheetId="8">#REF!</definedName>
    <definedName name="RESPCT">#REF!</definedName>
    <definedName name="Rexist" localSheetId="1">#REF!</definedName>
    <definedName name="Rexist" localSheetId="8">#REF!</definedName>
    <definedName name="Rexist">#REF!</definedName>
    <definedName name="Rnew" localSheetId="1">#REF!</definedName>
    <definedName name="Rnew" localSheetId="8">#REF!</definedName>
    <definedName name="Rnew">#REF!</definedName>
    <definedName name="Rwrap" localSheetId="1">#REF!</definedName>
    <definedName name="Rwrap" localSheetId="8">#REF!</definedName>
    <definedName name="Rwrap">#REF!</definedName>
    <definedName name="SEER" localSheetId="1">#REF!</definedName>
    <definedName name="SEER" localSheetId="8">#REF!</definedName>
    <definedName name="SEER">#REF!</definedName>
    <definedName name="Set_Cell" localSheetId="1">#REF!</definedName>
    <definedName name="Set_Cell" localSheetId="8">#REF!</definedName>
    <definedName name="Set_Cell">#REF!</definedName>
    <definedName name="SHCp" localSheetId="1">#REF!</definedName>
    <definedName name="SHCp" localSheetId="8">#REF!</definedName>
    <definedName name="SHCp">#REF!</definedName>
    <definedName name="SHdays" localSheetId="1">#REF!</definedName>
    <definedName name="SHdays" localSheetId="8">#REF!</definedName>
    <definedName name="SHdays">#REF!</definedName>
    <definedName name="SHDen" localSheetId="1">#REF!</definedName>
    <definedName name="SHDen" localSheetId="8">#REF!</definedName>
    <definedName name="SHDen">#REF!</definedName>
    <definedName name="Showerheads" localSheetId="1">#REF!</definedName>
    <definedName name="Showerheads" localSheetId="8">#REF!</definedName>
    <definedName name="Showerheads">#REF!</definedName>
    <definedName name="SHRE" localSheetId="1">#REF!</definedName>
    <definedName name="SHRE" localSheetId="8">#REF!</definedName>
    <definedName name="SHRE">#REF!</definedName>
    <definedName name="SHtime" localSheetId="1">#REF!</definedName>
    <definedName name="SHtime" localSheetId="8">#REF!</definedName>
    <definedName name="SHtime">#REF!</definedName>
    <definedName name="SHTin" localSheetId="1">#REF!</definedName>
    <definedName name="SHTin" localSheetId="8">#REF!</definedName>
    <definedName name="SHTin">#REF!</definedName>
    <definedName name="smd_fr">#REF!</definedName>
    <definedName name="SMD_ISR">#REF!</definedName>
    <definedName name="SMD_LKG">#REF!</definedName>
    <definedName name="smd_me">#REF!</definedName>
    <definedName name="smd_ntg">#REF!</definedName>
    <definedName name="smd_so">#REF!</definedName>
    <definedName name="solver_eng" localSheetId="2" hidden="1">1</definedName>
    <definedName name="solver_neg" localSheetId="2" hidden="1">1</definedName>
    <definedName name="solver_num" localSheetId="2" hidden="1">0</definedName>
    <definedName name="solver_opt" localSheetId="2" hidden="1">'BUS Deemed Savings Table'!$F$342</definedName>
    <definedName name="solver_typ" localSheetId="2" hidden="1">3</definedName>
    <definedName name="solver_val" localSheetId="2" hidden="1">411</definedName>
    <definedName name="solver_ver" localSheetId="2" hidden="1">3</definedName>
    <definedName name="Tamb" localSheetId="1">#REF!</definedName>
    <definedName name="Tamb" localSheetId="8">#REF!</definedName>
    <definedName name="Tamb">#REF!</definedName>
    <definedName name="TFauc" localSheetId="1">#REF!</definedName>
    <definedName name="TFauc" localSheetId="8">#REF!</definedName>
    <definedName name="TFauc">#REF!</definedName>
    <definedName name="Tin" localSheetId="1">#REF!</definedName>
    <definedName name="Tin" localSheetId="8">#REF!</definedName>
    <definedName name="Tin">#REF!</definedName>
    <definedName name="Tshower" localSheetId="1">#REF!</definedName>
    <definedName name="Tshower" localSheetId="8">#REF!</definedName>
    <definedName name="Tshower">#REF!</definedName>
    <definedName name="TTank" localSheetId="1">#REF!</definedName>
    <definedName name="TTank" localSheetId="8">#REF!</definedName>
    <definedName name="TTank">#REF!</definedName>
    <definedName name="TuneEFLHcool" localSheetId="1">#REF!</definedName>
    <definedName name="TuneEFLHcool" localSheetId="8">#REF!</definedName>
    <definedName name="TuneEFLHcool">#REF!</definedName>
    <definedName name="UABase" localSheetId="1">#REF!</definedName>
    <definedName name="UABase" localSheetId="8">#REF!</definedName>
    <definedName name="UABase">#REF!</definedName>
    <definedName name="ubase" localSheetId="1">#REF!</definedName>
    <definedName name="ubase" localSheetId="8">#REF!</definedName>
    <definedName name="ubase">#REF!</definedName>
    <definedName name="UnitTons" localSheetId="1">#REF!</definedName>
    <definedName name="UnitTons" localSheetId="8">#REF!</definedName>
    <definedName name="UnitTons">#REF!</definedName>
    <definedName name="usage" localSheetId="1">#REF!</definedName>
    <definedName name="usage" localSheetId="8">#REF!</definedName>
    <definedName name="usage">#REF!</definedName>
    <definedName name="Va" localSheetId="1">#REF!</definedName>
    <definedName name="Va" localSheetId="8">#REF!</definedName>
    <definedName name="Va">#REF!</definedName>
    <definedName name="Vs" localSheetId="1">#REF!</definedName>
    <definedName name="Vs" localSheetId="8">#REF!</definedName>
    <definedName name="Vs">#REF!</definedName>
    <definedName name="WB_10.5W" localSheetId="1">#REF!</definedName>
    <definedName name="WB_10.5W" localSheetId="8">#REF!</definedName>
    <definedName name="WB_10.5W">#REF!</definedName>
    <definedName name="WB_10W" localSheetId="1">#REF!</definedName>
    <definedName name="WB_10W" localSheetId="8">#REF!</definedName>
    <definedName name="WB_10W">#REF!</definedName>
    <definedName name="WB_12W" localSheetId="1">#REF!</definedName>
    <definedName name="WB_12W" localSheetId="8">#REF!</definedName>
    <definedName name="WB_12W">#REF!</definedName>
    <definedName name="WB_15W" localSheetId="1">#REF!</definedName>
    <definedName name="WB_15W" localSheetId="8">#REF!</definedName>
    <definedName name="WB_15W">#REF!</definedName>
    <definedName name="WB_15WFlood" localSheetId="1">#REF!</definedName>
    <definedName name="WB_15WFlood" localSheetId="8">#REF!</definedName>
    <definedName name="WB_15WFlood">#REF!</definedName>
    <definedName name="WB_18WFlood" localSheetId="1">#REF!</definedName>
    <definedName name="WB_18WFlood" localSheetId="8">#REF!</definedName>
    <definedName name="WB_18WFlood">#REF!</definedName>
    <definedName name="WB_20W" localSheetId="1">#REF!</definedName>
    <definedName name="WB_20W" localSheetId="8">#REF!</definedName>
    <definedName name="WB_20W">#REF!</definedName>
    <definedName name="WB_4W" localSheetId="1">#REF!</definedName>
    <definedName name="WB_4W" localSheetId="8">#REF!</definedName>
    <definedName name="WB_4W">#REF!</definedName>
    <definedName name="WB_8W" localSheetId="1">#REF!</definedName>
    <definedName name="WB_8W" localSheetId="8">#REF!</definedName>
    <definedName name="WB_8W">#REF!</definedName>
    <definedName name="Wcfl13" localSheetId="1">#REF!</definedName>
    <definedName name="Wcfl13" localSheetId="8">#REF!</definedName>
    <definedName name="Wcfl13">#REF!</definedName>
    <definedName name="Wcfl18" localSheetId="1">#REF!</definedName>
    <definedName name="Wcfl18" localSheetId="8">#REF!</definedName>
    <definedName name="Wcfl18">#REF!</definedName>
    <definedName name="Wcfl23" localSheetId="1">#REF!</definedName>
    <definedName name="Wcfl23" localSheetId="8">#REF!</definedName>
    <definedName name="Wcfl23">#REF!</definedName>
    <definedName name="WE_10.5W" localSheetId="1">#REF!</definedName>
    <definedName name="WE_10.5W" localSheetId="8">#REF!</definedName>
    <definedName name="WE_10.5W">#REF!</definedName>
    <definedName name="WE_10W" localSheetId="1">#REF!</definedName>
    <definedName name="WE_10W" localSheetId="8">#REF!</definedName>
    <definedName name="WE_10W">#REF!</definedName>
    <definedName name="WE_12W" localSheetId="1">#REF!</definedName>
    <definedName name="WE_12W" localSheetId="8">#REF!</definedName>
    <definedName name="WE_12W">#REF!</definedName>
    <definedName name="WE_15W" localSheetId="1">#REF!</definedName>
    <definedName name="WE_15W" localSheetId="8">#REF!</definedName>
    <definedName name="WE_15W">#REF!</definedName>
    <definedName name="WE_15WFlood" localSheetId="1">#REF!</definedName>
    <definedName name="WE_15WFlood" localSheetId="8">#REF!</definedName>
    <definedName name="WE_15WFlood">#REF!</definedName>
    <definedName name="WE_18WFlood" localSheetId="1">#REF!</definedName>
    <definedName name="WE_18WFlood" localSheetId="8">#REF!</definedName>
    <definedName name="WE_18WFlood">#REF!</definedName>
    <definedName name="WE_20W" localSheetId="1">#REF!</definedName>
    <definedName name="WE_20W" localSheetId="8">#REF!</definedName>
    <definedName name="WE_20W">#REF!</definedName>
    <definedName name="WE_4W" localSheetId="1">#REF!</definedName>
    <definedName name="WE_4W" localSheetId="8">#REF!</definedName>
    <definedName name="WE_4W">#REF!</definedName>
    <definedName name="WE_8W" localSheetId="1">#REF!</definedName>
    <definedName name="WE_8W" localSheetId="8">#REF!</definedName>
    <definedName name="WE_8W">#REF!</definedName>
    <definedName name="WHC" localSheetId="1">#REF!</definedName>
    <definedName name="WHC" localSheetId="8">#REF!</definedName>
    <definedName name="WHC">#REF!</definedName>
    <definedName name="WHFNRES" localSheetId="1">#REF!</definedName>
    <definedName name="WHFNRES" localSheetId="8">#REF!</definedName>
    <definedName name="WHFNRES">#REF!</definedName>
    <definedName name="WHFRES" localSheetId="1">#REF!</definedName>
    <definedName name="WHFRES" localSheetId="8">#REF!</definedName>
    <definedName name="WHFRES">#REF!</definedName>
    <definedName name="WHFRES_Coupon">#REF!</definedName>
    <definedName name="WHFRES_Markdown">#REF!</definedName>
    <definedName name="WHFRES_SMD">#REF!</definedName>
    <definedName name="Winc100" localSheetId="1">#REF!</definedName>
    <definedName name="Winc100" localSheetId="8">#REF!</definedName>
    <definedName name="Winc100">#REF!</definedName>
    <definedName name="Winc60" localSheetId="1">#REF!</definedName>
    <definedName name="Winc60" localSheetId="8">#REF!</definedName>
    <definedName name="Winc60">#REF!</definedName>
    <definedName name="Winc75" localSheetId="1">#REF!</definedName>
    <definedName name="Winc75" localSheetId="8">#REF!</definedName>
    <definedName name="Winc75">#REF!</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343" i="15" l="1"/>
  <c r="X343" i="15"/>
  <c r="O343" i="15"/>
  <c r="W343" i="15" s="1"/>
  <c r="V343" i="15" s="1"/>
  <c r="U343" i="15" s="1"/>
  <c r="I343" i="15"/>
  <c r="H343" i="15"/>
  <c r="G343" i="15"/>
  <c r="AX343" i="15" s="1"/>
  <c r="C343" i="15"/>
  <c r="B343" i="15"/>
  <c r="A343" i="15" s="1"/>
  <c r="AZ343" i="15" s="1"/>
  <c r="AI342" i="15"/>
  <c r="X342" i="15"/>
  <c r="O342" i="15"/>
  <c r="W342" i="15" s="1"/>
  <c r="V342" i="15" s="1"/>
  <c r="U342" i="15" s="1"/>
  <c r="I342" i="15"/>
  <c r="H342" i="15"/>
  <c r="G342" i="15"/>
  <c r="AX342" i="15" s="1"/>
  <c r="C342" i="15"/>
  <c r="B342" i="15"/>
  <c r="A342" i="15"/>
  <c r="AZ342" i="15" s="1"/>
  <c r="AX341" i="15"/>
  <c r="AI341" i="15"/>
  <c r="X341" i="15"/>
  <c r="O341" i="15"/>
  <c r="W341" i="15" s="1"/>
  <c r="V341" i="15" s="1"/>
  <c r="U341" i="15" s="1"/>
  <c r="I341" i="15"/>
  <c r="H341" i="15"/>
  <c r="G341" i="15"/>
  <c r="C341" i="15"/>
  <c r="B341" i="15"/>
  <c r="A341" i="15" s="1"/>
  <c r="AZ341" i="15" s="1"/>
  <c r="AX340" i="15"/>
  <c r="AI340" i="15"/>
  <c r="X340" i="15"/>
  <c r="O340" i="15"/>
  <c r="W340" i="15" s="1"/>
  <c r="V340" i="15" s="1"/>
  <c r="U340" i="15" s="1"/>
  <c r="I340" i="15"/>
  <c r="H340" i="15"/>
  <c r="G340" i="15"/>
  <c r="C340" i="15"/>
  <c r="B340" i="15"/>
  <c r="A340" i="15" s="1"/>
  <c r="AZ340" i="15" s="1"/>
  <c r="AI339" i="15"/>
  <c r="X339" i="15"/>
  <c r="O339" i="15"/>
  <c r="W339" i="15" s="1"/>
  <c r="V339" i="15" s="1"/>
  <c r="U339" i="15" s="1"/>
  <c r="I339" i="15"/>
  <c r="H339" i="15"/>
  <c r="G339" i="15"/>
  <c r="AX339" i="15" s="1"/>
  <c r="C339" i="15"/>
  <c r="B339" i="15"/>
  <c r="A339" i="15" s="1"/>
  <c r="AZ339" i="15" s="1"/>
  <c r="AX338" i="15"/>
  <c r="AI338" i="15"/>
  <c r="X338" i="15"/>
  <c r="O338" i="15"/>
  <c r="W338" i="15" s="1"/>
  <c r="V338" i="15" s="1"/>
  <c r="U338" i="15" s="1"/>
  <c r="I338" i="15"/>
  <c r="H338" i="15"/>
  <c r="G338" i="15"/>
  <c r="C338" i="15"/>
  <c r="B338" i="15"/>
  <c r="A338" i="15"/>
  <c r="AZ338" i="15" s="1"/>
  <c r="AI337" i="15"/>
  <c r="X337" i="15"/>
  <c r="O337" i="15"/>
  <c r="W337" i="15" s="1"/>
  <c r="V337" i="15" s="1"/>
  <c r="U337" i="15" s="1"/>
  <c r="I337" i="15"/>
  <c r="H337" i="15"/>
  <c r="G337" i="15"/>
  <c r="AX337" i="15" s="1"/>
  <c r="C337" i="15"/>
  <c r="B337" i="15"/>
  <c r="A337" i="15" s="1"/>
  <c r="AZ337" i="15" s="1"/>
  <c r="AI336" i="15"/>
  <c r="X336" i="15"/>
  <c r="O336" i="15"/>
  <c r="W336" i="15" s="1"/>
  <c r="V336" i="15" s="1"/>
  <c r="U336" i="15" s="1"/>
  <c r="I336" i="15"/>
  <c r="H336" i="15"/>
  <c r="G336" i="15"/>
  <c r="AX336" i="15" s="1"/>
  <c r="C336" i="15"/>
  <c r="B336" i="15"/>
  <c r="A336" i="15"/>
  <c r="AZ336" i="15" s="1"/>
  <c r="AX335" i="15"/>
  <c r="AI335" i="15"/>
  <c r="X335" i="15"/>
  <c r="O335" i="15"/>
  <c r="W335" i="15" s="1"/>
  <c r="V335" i="15" s="1"/>
  <c r="U335" i="15" s="1"/>
  <c r="I335" i="15"/>
  <c r="H335" i="15"/>
  <c r="G335" i="15"/>
  <c r="C335" i="15"/>
  <c r="B335" i="15"/>
  <c r="A335" i="15" s="1"/>
  <c r="AZ335" i="15" s="1"/>
  <c r="AX334" i="15"/>
  <c r="AI334" i="15"/>
  <c r="X334" i="15"/>
  <c r="O334" i="15"/>
  <c r="W334" i="15" s="1"/>
  <c r="V334" i="15" s="1"/>
  <c r="U334" i="15" s="1"/>
  <c r="I334" i="15"/>
  <c r="H334" i="15"/>
  <c r="G334" i="15"/>
  <c r="C334" i="15"/>
  <c r="B334" i="15"/>
  <c r="A334" i="15" s="1"/>
  <c r="AZ334" i="15" s="1"/>
  <c r="DH517" i="2"/>
  <c r="B517" i="2"/>
  <c r="DH516" i="2"/>
  <c r="B516" i="2"/>
  <c r="DH515" i="2"/>
  <c r="B515" i="2"/>
  <c r="DH514" i="2"/>
  <c r="B514" i="2"/>
  <c r="DH513" i="2"/>
  <c r="B513" i="2"/>
  <c r="DH512" i="2"/>
  <c r="B512" i="2"/>
  <c r="DH511" i="2"/>
  <c r="B511" i="2"/>
  <c r="DH510" i="2"/>
  <c r="B510" i="2"/>
  <c r="DH509" i="2"/>
  <c r="B509" i="2"/>
  <c r="DH508" i="2"/>
  <c r="B508" i="2"/>
  <c r="C230" i="15"/>
  <c r="AI230" i="15"/>
  <c r="H230" i="15"/>
  <c r="G230" i="15"/>
  <c r="AX230" i="15" s="1"/>
  <c r="B230" i="15"/>
  <c r="A230" i="15" s="1"/>
  <c r="AZ230" i="15" s="1"/>
  <c r="AD230" i="15"/>
  <c r="AI253" i="15"/>
  <c r="AD253" i="15"/>
  <c r="AB253" i="15"/>
  <c r="G253" i="15"/>
  <c r="AX253" i="15" s="1"/>
  <c r="C253" i="15"/>
  <c r="B253" i="15"/>
  <c r="A253" i="15" s="1"/>
  <c r="AZ253" i="15" s="1"/>
  <c r="AI252" i="15"/>
  <c r="AD252" i="15"/>
  <c r="AB252" i="15"/>
  <c r="G252" i="15"/>
  <c r="AX252" i="15" s="1"/>
  <c r="C252" i="15"/>
  <c r="B252" i="15"/>
  <c r="A252" i="15" s="1"/>
  <c r="AZ252" i="15" s="1"/>
  <c r="AI251" i="15"/>
  <c r="AD251" i="15"/>
  <c r="AB251" i="15"/>
  <c r="G251" i="15"/>
  <c r="AX251" i="15" s="1"/>
  <c r="C251" i="15"/>
  <c r="B251" i="15"/>
  <c r="A251" i="15" s="1"/>
  <c r="AZ251" i="15" s="1"/>
  <c r="AI250" i="15"/>
  <c r="AD250" i="15"/>
  <c r="AB250" i="15"/>
  <c r="G250" i="15"/>
  <c r="AX250" i="15" s="1"/>
  <c r="C250" i="15"/>
  <c r="B250" i="15"/>
  <c r="A250" i="15" s="1"/>
  <c r="AZ250" i="15" s="1"/>
  <c r="AI249" i="15"/>
  <c r="AD249" i="15"/>
  <c r="AB249" i="15"/>
  <c r="G249" i="15"/>
  <c r="AX249" i="15" s="1"/>
  <c r="C249" i="15"/>
  <c r="B249" i="15"/>
  <c r="A249" i="15" s="1"/>
  <c r="AZ249" i="15" s="1"/>
  <c r="AI248" i="15"/>
  <c r="AD248" i="15"/>
  <c r="AB248" i="15"/>
  <c r="G248" i="15"/>
  <c r="AX248" i="15" s="1"/>
  <c r="C248" i="15"/>
  <c r="B248" i="15"/>
  <c r="A248" i="15" s="1"/>
  <c r="AZ248" i="15" s="1"/>
  <c r="AI247" i="15"/>
  <c r="AD247" i="15"/>
  <c r="AB247" i="15"/>
  <c r="H247" i="15"/>
  <c r="G247" i="15"/>
  <c r="AX247" i="15" s="1"/>
  <c r="C247" i="15"/>
  <c r="B247" i="15"/>
  <c r="A247" i="15" s="1"/>
  <c r="AZ247" i="15" s="1"/>
  <c r="H20" i="2"/>
  <c r="J20" i="2"/>
  <c r="X249" i="15" s="1"/>
  <c r="Z249" i="15" s="1"/>
  <c r="W249" i="15" s="1"/>
  <c r="H21" i="2"/>
  <c r="J21" i="2"/>
  <c r="X250" i="15" s="1"/>
  <c r="Z250" i="15" s="1"/>
  <c r="H22" i="2"/>
  <c r="J22" i="2"/>
  <c r="DH22" i="2" s="1"/>
  <c r="H23" i="2"/>
  <c r="J23" i="2"/>
  <c r="X252" i="15" s="1"/>
  <c r="Z252" i="15" s="1"/>
  <c r="H24" i="2"/>
  <c r="J24" i="2"/>
  <c r="DH24" i="2" s="1"/>
  <c r="E48" i="2"/>
  <c r="E49" i="2"/>
  <c r="E50" i="2"/>
  <c r="E51" i="2"/>
  <c r="E52" i="2"/>
  <c r="E53" i="2"/>
  <c r="E54" i="2"/>
  <c r="D48" i="2"/>
  <c r="D49" i="2"/>
  <c r="D50" i="2"/>
  <c r="D51" i="2"/>
  <c r="D52" i="2"/>
  <c r="D53" i="2"/>
  <c r="D54" i="2"/>
  <c r="DJ24" i="2"/>
  <c r="B24" i="2"/>
  <c r="DJ22" i="2"/>
  <c r="B22" i="2"/>
  <c r="DJ20" i="2"/>
  <c r="B20" i="2"/>
  <c r="J18" i="2"/>
  <c r="DH18" i="2" s="1"/>
  <c r="H18" i="2"/>
  <c r="DJ18" i="2"/>
  <c r="B18" i="2"/>
  <c r="C296" i="15"/>
  <c r="D296" i="15"/>
  <c r="G296" i="15"/>
  <c r="H296" i="15"/>
  <c r="J296" i="15"/>
  <c r="P296" i="15"/>
  <c r="X296" i="15"/>
  <c r="Z296" i="15" s="1"/>
  <c r="AD296" i="15"/>
  <c r="AI296" i="15"/>
  <c r="B296" i="15"/>
  <c r="A296" i="15" s="1"/>
  <c r="H18" i="22"/>
  <c r="X18" i="22"/>
  <c r="Y18" i="22"/>
  <c r="Z18" i="22"/>
  <c r="AA18" i="22"/>
  <c r="AB18" i="22"/>
  <c r="AC18" i="22"/>
  <c r="AD18" i="22"/>
  <c r="AE18" i="22"/>
  <c r="AG18" i="22"/>
  <c r="F19" i="22"/>
  <c r="H19" i="22"/>
  <c r="AF19" i="22"/>
  <c r="F20" i="22"/>
  <c r="H20" i="22"/>
  <c r="AF20" i="22"/>
  <c r="AF21" i="22"/>
  <c r="AF22" i="22"/>
  <c r="G23" i="22"/>
  <c r="L7" i="22" s="1"/>
  <c r="AF23" i="22"/>
  <c r="AF24" i="22"/>
  <c r="AF25" i="22"/>
  <c r="AF26" i="22"/>
  <c r="AF27" i="22"/>
  <c r="AF28" i="22"/>
  <c r="AF29" i="22"/>
  <c r="AF30" i="22"/>
  <c r="AF31" i="22"/>
  <c r="AF32" i="22"/>
  <c r="AF6" i="22"/>
  <c r="AF18" i="22" s="1"/>
  <c r="B7" i="22"/>
  <c r="I7" i="22"/>
  <c r="K7" i="22"/>
  <c r="M7" i="22"/>
  <c r="P7" i="22"/>
  <c r="DH7" i="22" s="1"/>
  <c r="Q7" i="22"/>
  <c r="R7" i="22"/>
  <c r="DJ7" i="22" s="1"/>
  <c r="AB230" i="15" s="1"/>
  <c r="V4" i="22"/>
  <c r="DH313" i="2"/>
  <c r="DI313" i="2" s="1"/>
  <c r="AE296" i="15" s="1"/>
  <c r="AC296" i="15" s="1"/>
  <c r="DK313" i="2"/>
  <c r="BT313" i="2"/>
  <c r="BT314" i="2" s="1"/>
  <c r="BT315" i="2" s="1"/>
  <c r="BT316" i="2" s="1"/>
  <c r="AU313" i="2"/>
  <c r="AU314" i="2" s="1"/>
  <c r="AI313" i="2"/>
  <c r="V313" i="2"/>
  <c r="O331" i="2"/>
  <c r="L331" i="2"/>
  <c r="N331" i="2" s="1"/>
  <c r="D331" i="2"/>
  <c r="E331" i="2"/>
  <c r="B313" i="2"/>
  <c r="G313" i="2"/>
  <c r="L313" i="2" s="1"/>
  <c r="Q296" i="15" s="1"/>
  <c r="O296" i="15" s="1"/>
  <c r="N313" i="2"/>
  <c r="CD313" i="2" s="1"/>
  <c r="F38" i="22"/>
  <c r="J38" i="22"/>
  <c r="X247" i="15" l="1"/>
  <c r="Z247" i="15" s="1"/>
  <c r="W247" i="15" s="1"/>
  <c r="X253" i="15"/>
  <c r="Z253" i="15" s="1"/>
  <c r="W253" i="15" s="1"/>
  <c r="DH20" i="2"/>
  <c r="X251" i="15"/>
  <c r="Z251" i="15" s="1"/>
  <c r="W251" i="15" s="1"/>
  <c r="X230" i="15"/>
  <c r="Z230" i="15" s="1"/>
  <c r="W230" i="15" s="1"/>
  <c r="V230" i="15" s="1"/>
  <c r="AU315" i="2"/>
  <c r="AU316" i="2" s="1"/>
  <c r="AU317" i="2"/>
  <c r="AU318" i="2" s="1"/>
  <c r="AU319" i="2" s="1"/>
  <c r="AU320" i="2" s="1"/>
  <c r="AB296" i="15"/>
  <c r="DL313" i="2"/>
  <c r="W296" i="15"/>
  <c r="V296" i="15" s="1"/>
  <c r="U296" i="15" s="1"/>
  <c r="DJ313" i="2"/>
  <c r="AI314" i="2"/>
  <c r="K296" i="15"/>
  <c r="BT317" i="2"/>
  <c r="BT318" i="2" s="1"/>
  <c r="BT319" i="2" s="1"/>
  <c r="BT320" i="2" s="1"/>
  <c r="AS313" i="2"/>
  <c r="O7" i="22"/>
  <c r="N7" i="22"/>
  <c r="F7" i="22"/>
  <c r="H313" i="2"/>
  <c r="F313" i="2" s="1"/>
  <c r="G7" i="22" l="1"/>
  <c r="O230" i="15" s="1"/>
  <c r="U230" i="15" s="1"/>
  <c r="I230" i="15"/>
  <c r="DG313" i="2"/>
  <c r="AA296" i="15" s="1"/>
  <c r="AF313" i="2"/>
  <c r="V314" i="2"/>
  <c r="BE313" i="2"/>
  <c r="L296" i="15"/>
  <c r="I296" i="15" s="1"/>
  <c r="DI7" i="22"/>
  <c r="AF7" i="22"/>
  <c r="H250" i="15" l="1"/>
  <c r="DG7" i="22"/>
  <c r="AA230" i="15" s="1"/>
  <c r="AE230" i="15"/>
  <c r="AC230" i="15" s="1"/>
  <c r="D23" i="2" l="1"/>
  <c r="H251" i="15"/>
  <c r="H253" i="15" l="1"/>
  <c r="H252" i="15"/>
  <c r="D10" i="2" l="1"/>
  <c r="D11" i="2" s="1"/>
  <c r="D12" i="2" s="1"/>
  <c r="D13" i="2" s="1"/>
  <c r="D14" i="2" s="1"/>
  <c r="D15" i="2" s="1"/>
  <c r="D16" i="2" s="1"/>
  <c r="D17" i="2" s="1"/>
  <c r="D19" i="2" s="1"/>
  <c r="F862" i="6"/>
  <c r="AF1255" i="6"/>
  <c r="J1255" i="6"/>
  <c r="F1255" i="6"/>
  <c r="H248" i="15" l="1"/>
  <c r="D20" i="2"/>
  <c r="H249" i="15" s="1"/>
  <c r="S348" i="6"/>
  <c r="S121" i="6"/>
  <c r="T106" i="6" s="1"/>
  <c r="T105" i="6" l="1"/>
  <c r="T104" i="6"/>
  <c r="T113" i="6"/>
  <c r="T112" i="6"/>
  <c r="T111" i="6"/>
  <c r="T110" i="6"/>
  <c r="T109" i="6"/>
  <c r="T108" i="6"/>
  <c r="T107" i="6"/>
  <c r="K915" i="7" l="1"/>
  <c r="K914" i="7"/>
  <c r="F915" i="7"/>
  <c r="F914" i="7"/>
  <c r="DJ2150" i="6" l="1"/>
  <c r="DJ2148" i="6"/>
  <c r="DJ2146" i="6"/>
  <c r="DJ2145" i="6"/>
  <c r="DJ2144" i="6"/>
  <c r="DJ2142" i="6"/>
  <c r="DJ2141" i="6"/>
  <c r="DJ2140" i="6"/>
  <c r="DJ2138" i="6"/>
  <c r="DJ2136" i="6"/>
  <c r="DJ2134" i="6"/>
  <c r="DJ2133" i="6"/>
  <c r="DJ2132" i="6"/>
  <c r="DJ2130" i="6"/>
  <c r="DJ2129" i="6"/>
  <c r="DJ2128" i="6"/>
  <c r="DJ2126" i="6"/>
  <c r="DJ2124" i="6"/>
  <c r="DJ2122" i="6"/>
  <c r="DJ2121" i="6"/>
  <c r="DJ2120" i="6"/>
  <c r="DJ2118" i="6"/>
  <c r="DJ2117" i="6"/>
  <c r="DJ2116" i="6"/>
  <c r="DJ2114" i="6"/>
  <c r="DJ2112" i="6"/>
  <c r="DJ2110" i="6"/>
  <c r="DJ2109" i="6"/>
  <c r="DJ2108" i="6"/>
  <c r="DJ2106" i="6"/>
  <c r="DJ2105" i="6"/>
  <c r="DJ2104" i="6"/>
  <c r="DJ590" i="6"/>
  <c r="DJ589" i="6"/>
  <c r="DJ588" i="6"/>
  <c r="DJ586" i="6"/>
  <c r="DJ584" i="6"/>
  <c r="DJ583" i="6"/>
  <c r="DJ582" i="6"/>
  <c r="DJ580" i="6"/>
  <c r="DJ579" i="6"/>
  <c r="DJ578" i="6"/>
  <c r="DJ576" i="6"/>
  <c r="DJ515" i="6"/>
  <c r="DJ513" i="6"/>
  <c r="DJ511" i="6"/>
  <c r="DJ29" i="11"/>
  <c r="DJ28" i="11"/>
  <c r="DJ10" i="11"/>
  <c r="DJ9" i="11"/>
  <c r="DJ8" i="11"/>
  <c r="DJ7" i="11"/>
  <c r="DJ966" i="7"/>
  <c r="DJ934" i="7"/>
  <c r="DJ932" i="7"/>
  <c r="DJ930" i="7"/>
  <c r="DJ913" i="7"/>
  <c r="DJ836" i="7"/>
  <c r="DJ782" i="7"/>
  <c r="DJ780" i="7"/>
  <c r="DJ778" i="7"/>
  <c r="DJ776" i="7"/>
  <c r="DJ774" i="7"/>
  <c r="DJ772" i="7"/>
  <c r="DJ770" i="7"/>
  <c r="DJ742" i="7"/>
  <c r="DJ700" i="7"/>
  <c r="DJ665" i="7"/>
  <c r="DJ629" i="7"/>
  <c r="DJ606" i="7"/>
  <c r="DJ604" i="7"/>
  <c r="DJ554" i="7"/>
  <c r="DJ519" i="7"/>
  <c r="DJ484" i="7"/>
  <c r="DJ457" i="7"/>
  <c r="DJ419" i="7"/>
  <c r="DJ100" i="7"/>
  <c r="DJ32" i="7"/>
  <c r="DK315" i="2"/>
  <c r="DK316" i="2"/>
  <c r="DH315" i="2"/>
  <c r="DH316" i="2"/>
  <c r="DJ37" i="22"/>
  <c r="DJ30" i="5"/>
  <c r="DJ131" i="16"/>
  <c r="DJ61" i="16"/>
  <c r="DJ59" i="16"/>
  <c r="DJ57" i="16"/>
  <c r="DJ55" i="16"/>
  <c r="DJ53" i="16"/>
  <c r="DJ51" i="16"/>
  <c r="DJ49" i="16"/>
  <c r="DJ47" i="16"/>
  <c r="DJ506" i="2"/>
  <c r="DJ491" i="2"/>
  <c r="DJ490" i="2"/>
  <c r="DJ489" i="2"/>
  <c r="DJ488" i="2"/>
  <c r="DJ487" i="2"/>
  <c r="DJ486" i="2"/>
  <c r="DJ471" i="2"/>
  <c r="DJ470" i="2"/>
  <c r="DJ453" i="2"/>
  <c r="DJ452" i="2"/>
  <c r="DJ451" i="2"/>
  <c r="DJ450" i="2"/>
  <c r="DJ435" i="2"/>
  <c r="DJ434" i="2"/>
  <c r="DJ417" i="2"/>
  <c r="DJ416" i="2"/>
  <c r="DJ415" i="2"/>
  <c r="DJ414" i="2"/>
  <c r="DJ395" i="2"/>
  <c r="DJ394" i="2"/>
  <c r="DJ393" i="2"/>
  <c r="DJ392" i="2"/>
  <c r="DJ391" i="2"/>
  <c r="DJ390" i="2"/>
  <c r="DJ389" i="2"/>
  <c r="DJ388" i="2"/>
  <c r="DJ369" i="2"/>
  <c r="DJ368" i="2"/>
  <c r="DJ367" i="2"/>
  <c r="DJ366" i="2"/>
  <c r="DJ365" i="2"/>
  <c r="DJ364" i="2"/>
  <c r="DJ363" i="2"/>
  <c r="DJ362" i="2"/>
  <c r="DJ341" i="2"/>
  <c r="DJ312" i="2"/>
  <c r="DJ290" i="2"/>
  <c r="DJ260" i="2"/>
  <c r="DJ240" i="2"/>
  <c r="DJ225" i="2"/>
  <c r="DJ208" i="2"/>
  <c r="DJ207" i="2"/>
  <c r="DJ206" i="2"/>
  <c r="DJ205" i="2"/>
  <c r="DJ186" i="2"/>
  <c r="DJ185" i="2"/>
  <c r="DJ184" i="2"/>
  <c r="DJ183" i="2"/>
  <c r="DJ182" i="2"/>
  <c r="DJ166" i="2"/>
  <c r="DJ145" i="2"/>
  <c r="DJ144" i="2"/>
  <c r="DJ143" i="2"/>
  <c r="DJ142" i="2"/>
  <c r="DJ141" i="2"/>
  <c r="DJ140" i="2"/>
  <c r="DJ139" i="2"/>
  <c r="DJ138" i="2"/>
  <c r="DJ121" i="2"/>
  <c r="DJ120" i="2"/>
  <c r="DJ119" i="2"/>
  <c r="DJ92" i="2"/>
  <c r="DJ91" i="2"/>
  <c r="DJ90" i="2"/>
  <c r="DJ89" i="2"/>
  <c r="DJ88" i="2"/>
  <c r="DJ87" i="2"/>
  <c r="DJ86" i="2"/>
  <c r="DJ85" i="2"/>
  <c r="DJ84" i="2"/>
  <c r="DJ83" i="2"/>
  <c r="DJ82" i="2"/>
  <c r="DJ81" i="2"/>
  <c r="DJ61" i="2"/>
  <c r="DJ60" i="2"/>
  <c r="DJ59" i="2"/>
  <c r="DJ23" i="2"/>
  <c r="DJ21" i="2"/>
  <c r="DJ19" i="2"/>
  <c r="DJ17" i="2"/>
  <c r="DJ16" i="2"/>
  <c r="DJ15" i="2"/>
  <c r="DJ14" i="2"/>
  <c r="DJ13" i="2"/>
  <c r="DJ12" i="2"/>
  <c r="DJ11" i="2"/>
  <c r="DJ10" i="2"/>
  <c r="DJ9" i="2"/>
  <c r="M7" i="5"/>
  <c r="DJ7" i="5" s="1"/>
  <c r="D61" i="2" l="1"/>
  <c r="F781" i="7"/>
  <c r="F779" i="7"/>
  <c r="F777" i="7"/>
  <c r="F775" i="7"/>
  <c r="F774" i="7"/>
  <c r="F773" i="7"/>
  <c r="F772" i="7"/>
  <c r="F771" i="7"/>
  <c r="F60" i="16" l="1"/>
  <c r="F58" i="16"/>
  <c r="F56" i="16"/>
  <c r="F54" i="16"/>
  <c r="F52" i="16"/>
  <c r="F50" i="16"/>
  <c r="F48" i="16"/>
  <c r="G227" i="2"/>
  <c r="H226" i="2"/>
  <c r="G226" i="2"/>
  <c r="F7" i="11" l="1"/>
  <c r="F17" i="6"/>
  <c r="X17" i="6"/>
  <c r="F18" i="6"/>
  <c r="X18" i="6"/>
  <c r="Y52" i="15" l="1"/>
  <c r="E332" i="2"/>
  <c r="DH488" i="2" l="1"/>
  <c r="BE453" i="2"/>
  <c r="BE452" i="2"/>
  <c r="BE451" i="2"/>
  <c r="AI17" i="15"/>
  <c r="AI237" i="15" l="1"/>
  <c r="AE237" i="15"/>
  <c r="AC237" i="15" s="1"/>
  <c r="AD237" i="15"/>
  <c r="AB237" i="15"/>
  <c r="X237" i="15"/>
  <c r="Z237" i="15" s="1"/>
  <c r="W237" i="15" s="1"/>
  <c r="V237" i="15" s="1"/>
  <c r="O237" i="15"/>
  <c r="I237" i="15"/>
  <c r="H237" i="15"/>
  <c r="G237" i="15"/>
  <c r="AX237" i="15" s="1"/>
  <c r="C237" i="15"/>
  <c r="B237" i="15"/>
  <c r="A237" i="15" s="1"/>
  <c r="AZ237" i="15" s="1"/>
  <c r="AI236" i="15"/>
  <c r="AB236" i="15"/>
  <c r="X236" i="15"/>
  <c r="Z236" i="15" s="1"/>
  <c r="W236" i="15" s="1"/>
  <c r="V236" i="15" s="1"/>
  <c r="O236" i="15"/>
  <c r="I236" i="15"/>
  <c r="H236" i="15"/>
  <c r="G236" i="15"/>
  <c r="AX236" i="15" s="1"/>
  <c r="C236" i="15"/>
  <c r="B236" i="15"/>
  <c r="A236" i="15" s="1"/>
  <c r="AZ236" i="15" s="1"/>
  <c r="AE236" i="15"/>
  <c r="AC236" i="15" s="1"/>
  <c r="AD236" i="15"/>
  <c r="C235" i="15"/>
  <c r="C234" i="15"/>
  <c r="C233" i="15"/>
  <c r="C232" i="15"/>
  <c r="AI229" i="15"/>
  <c r="AD229" i="15"/>
  <c r="H229" i="15"/>
  <c r="G229" i="15"/>
  <c r="AX229" i="15" s="1"/>
  <c r="C229" i="15"/>
  <c r="B229" i="15"/>
  <c r="A229" i="15" s="1"/>
  <c r="AZ229" i="15" s="1"/>
  <c r="AI228" i="15"/>
  <c r="AD228" i="15"/>
  <c r="H228" i="15"/>
  <c r="G228" i="15"/>
  <c r="AX228" i="15" s="1"/>
  <c r="C228" i="15"/>
  <c r="B228" i="15"/>
  <c r="A228" i="15" s="1"/>
  <c r="AZ228" i="15" s="1"/>
  <c r="AI227" i="15"/>
  <c r="AD227" i="15"/>
  <c r="H227" i="15"/>
  <c r="G227" i="15"/>
  <c r="AX227" i="15" s="1"/>
  <c r="C227" i="15"/>
  <c r="B227" i="15"/>
  <c r="A227" i="15" s="1"/>
  <c r="AZ227" i="15" s="1"/>
  <c r="AI226" i="15"/>
  <c r="AD226" i="15"/>
  <c r="H226" i="15"/>
  <c r="G226" i="15"/>
  <c r="AX226" i="15" s="1"/>
  <c r="C226" i="15"/>
  <c r="B226" i="15"/>
  <c r="A226" i="15" s="1"/>
  <c r="AZ226" i="15" s="1"/>
  <c r="AI225" i="15"/>
  <c r="AD225" i="15"/>
  <c r="H225" i="15"/>
  <c r="G225" i="15"/>
  <c r="AX225" i="15" s="1"/>
  <c r="C225" i="15"/>
  <c r="B225" i="15"/>
  <c r="A225" i="15" s="1"/>
  <c r="AZ225" i="15" s="1"/>
  <c r="AI224" i="15"/>
  <c r="AD224" i="15"/>
  <c r="H224" i="15"/>
  <c r="G224" i="15"/>
  <c r="AX224" i="15" s="1"/>
  <c r="C224" i="15"/>
  <c r="B224" i="15"/>
  <c r="A224" i="15" s="1"/>
  <c r="AZ224" i="15" s="1"/>
  <c r="AI223" i="15"/>
  <c r="AD223" i="15"/>
  <c r="H223" i="15"/>
  <c r="G223" i="15"/>
  <c r="AX223" i="15" s="1"/>
  <c r="C223" i="15"/>
  <c r="B223" i="15"/>
  <c r="A223" i="15" s="1"/>
  <c r="AZ223" i="15" s="1"/>
  <c r="AI222" i="15"/>
  <c r="AD222" i="15"/>
  <c r="H222" i="15"/>
  <c r="G222" i="15"/>
  <c r="AX222" i="15" s="1"/>
  <c r="C222" i="15"/>
  <c r="B222" i="15"/>
  <c r="A222" i="15" s="1"/>
  <c r="AZ222" i="15" s="1"/>
  <c r="U237" i="15" l="1"/>
  <c r="U236" i="15"/>
  <c r="AD52" i="15"/>
  <c r="X52" i="15"/>
  <c r="Z52" i="15" s="1"/>
  <c r="P52" i="15"/>
  <c r="J52" i="15"/>
  <c r="H52" i="15"/>
  <c r="G52" i="15"/>
  <c r="AX52" i="15" s="1"/>
  <c r="D52" i="15"/>
  <c r="C52" i="15"/>
  <c r="B52" i="15"/>
  <c r="A52" i="15" s="1"/>
  <c r="AZ52" i="15" s="1"/>
  <c r="AI20" i="15"/>
  <c r="AI21" i="15" s="1"/>
  <c r="AI22" i="15" s="1"/>
  <c r="AI23" i="15" s="1"/>
  <c r="AI24" i="15" s="1"/>
  <c r="AI25" i="15" s="1"/>
  <c r="AI26" i="15" s="1"/>
  <c r="AI27" i="15" s="1"/>
  <c r="AI28" i="15" s="1"/>
  <c r="AI29" i="15" s="1"/>
  <c r="AI30" i="15" s="1"/>
  <c r="AI31" i="15" s="1"/>
  <c r="AI32" i="15" s="1"/>
  <c r="AI33" i="15" s="1"/>
  <c r="AI34" i="15" s="1"/>
  <c r="AI35" i="15" s="1"/>
  <c r="AI36" i="15" s="1"/>
  <c r="AI37" i="15" s="1"/>
  <c r="AI38" i="15" s="1"/>
  <c r="AI39" i="15" s="1"/>
  <c r="AI40" i="15" s="1"/>
  <c r="AI41" i="15" s="1"/>
  <c r="AI42" i="15" s="1"/>
  <c r="AI43" i="15" s="1"/>
  <c r="AI44" i="15" s="1"/>
  <c r="AI45" i="15" s="1"/>
  <c r="AI46" i="15" s="1"/>
  <c r="AI47" i="15" s="1"/>
  <c r="AI48" i="15" s="1"/>
  <c r="AI49" i="15" s="1"/>
  <c r="AI50" i="15" s="1"/>
  <c r="AI51" i="15" s="1"/>
  <c r="AI52" i="15" s="1"/>
  <c r="AI53" i="15" s="1"/>
  <c r="AI54" i="15" s="1"/>
  <c r="AI55" i="15" s="1"/>
  <c r="AI56" i="15" s="1"/>
  <c r="AI57" i="15" s="1"/>
  <c r="AI58" i="15" s="1"/>
  <c r="AI59" i="15" s="1"/>
  <c r="AI60" i="15" s="1"/>
  <c r="AI61" i="15" s="1"/>
  <c r="AI62" i="15" s="1"/>
  <c r="AI63" i="15" s="1"/>
  <c r="AI64" i="15" s="1"/>
  <c r="AI65" i="15" s="1"/>
  <c r="AI66" i="15" s="1"/>
  <c r="AI67" i="15" s="1"/>
  <c r="AI68" i="15" s="1"/>
  <c r="AI69" i="15" s="1"/>
  <c r="AI70" i="15" s="1"/>
  <c r="AI71" i="15" s="1"/>
  <c r="AI72" i="15" s="1"/>
  <c r="AI73" i="15" s="1"/>
  <c r="AI74" i="15" s="1"/>
  <c r="AI75" i="15" s="1"/>
  <c r="AI76" i="15" s="1"/>
  <c r="AI77" i="15" s="1"/>
  <c r="AI78" i="15" s="1"/>
  <c r="AI79" i="15" s="1"/>
  <c r="AI80" i="15" s="1"/>
  <c r="AI81" i="15" s="1"/>
  <c r="AI82" i="15" s="1"/>
  <c r="AI83" i="15" s="1"/>
  <c r="AI84" i="15" s="1"/>
  <c r="AI85" i="15" s="1"/>
  <c r="AI86" i="15" s="1"/>
  <c r="AI87" i="15" s="1"/>
  <c r="AI88" i="15" s="1"/>
  <c r="AI89" i="15" s="1"/>
  <c r="AI90" i="15" s="1"/>
  <c r="AI91" i="15" s="1"/>
  <c r="AI92" i="15" s="1"/>
  <c r="AI93" i="15" s="1"/>
  <c r="AI94" i="15" s="1"/>
  <c r="AI95" i="15" s="1"/>
  <c r="AI96" i="15" s="1"/>
  <c r="AI97" i="15" s="1"/>
  <c r="AI98" i="15" s="1"/>
  <c r="AI99" i="15" s="1"/>
  <c r="AI100" i="15" s="1"/>
  <c r="AI101" i="15" s="1"/>
  <c r="AI102" i="15" s="1"/>
  <c r="AI103" i="15" s="1"/>
  <c r="AI104" i="15" s="1"/>
  <c r="AI105" i="15" s="1"/>
  <c r="AI106" i="15" s="1"/>
  <c r="AI107" i="15" s="1"/>
  <c r="AI108" i="15" s="1"/>
  <c r="AI109" i="15" s="1"/>
  <c r="AI110" i="15" s="1"/>
  <c r="AI111" i="15" s="1"/>
  <c r="AI112" i="15" s="1"/>
  <c r="AI113" i="15" s="1"/>
  <c r="AI114" i="15" s="1"/>
  <c r="AI115" i="15" s="1"/>
  <c r="AI116" i="15" s="1"/>
  <c r="AI117" i="15" s="1"/>
  <c r="AI118" i="15" s="1"/>
  <c r="AI119" i="15" s="1"/>
  <c r="AI120" i="15" s="1"/>
  <c r="AI121" i="15" s="1"/>
  <c r="AI122" i="15" s="1"/>
  <c r="AI123" i="15" s="1"/>
  <c r="AI124" i="15" s="1"/>
  <c r="AI125" i="15" s="1"/>
  <c r="AI126" i="15" s="1"/>
  <c r="AI19" i="15"/>
  <c r="H19" i="15"/>
  <c r="G19" i="15"/>
  <c r="AX19" i="15" s="1"/>
  <c r="C19" i="15"/>
  <c r="B19" i="15"/>
  <c r="A19" i="15" s="1"/>
  <c r="AZ19" i="15" s="1"/>
  <c r="H17" i="15"/>
  <c r="G17" i="15"/>
  <c r="AX17" i="15" s="1"/>
  <c r="C17" i="15"/>
  <c r="B17" i="15"/>
  <c r="A17" i="15" s="1"/>
  <c r="AZ17" i="15" s="1"/>
  <c r="AI328" i="15"/>
  <c r="AD328" i="15"/>
  <c r="AB328" i="15"/>
  <c r="X328" i="15"/>
  <c r="Z328" i="15" s="1"/>
  <c r="W328" i="15" s="1"/>
  <c r="H328" i="15"/>
  <c r="G328" i="15"/>
  <c r="AX328" i="15" s="1"/>
  <c r="C328" i="15"/>
  <c r="B328" i="15"/>
  <c r="A328" i="15" s="1"/>
  <c r="AZ328" i="15" s="1"/>
  <c r="AI329" i="15"/>
  <c r="AD329" i="15"/>
  <c r="AB329" i="15"/>
  <c r="X329" i="15"/>
  <c r="Z329" i="15" s="1"/>
  <c r="W329" i="15" s="1"/>
  <c r="H329" i="15"/>
  <c r="G329" i="15"/>
  <c r="AX329" i="15" s="1"/>
  <c r="C329" i="15"/>
  <c r="B329" i="15"/>
  <c r="A329" i="15" s="1"/>
  <c r="AZ329" i="15" s="1"/>
  <c r="AI299" i="15"/>
  <c r="AD299" i="15"/>
  <c r="X299" i="15"/>
  <c r="Z299" i="15" s="1"/>
  <c r="P299" i="15"/>
  <c r="J299" i="15"/>
  <c r="H299" i="15"/>
  <c r="G299" i="15"/>
  <c r="AX299" i="15" s="1"/>
  <c r="D299" i="15"/>
  <c r="C299" i="15"/>
  <c r="B299" i="15"/>
  <c r="A299" i="15" s="1"/>
  <c r="AZ299" i="15" s="1"/>
  <c r="AI298" i="15"/>
  <c r="AD298" i="15"/>
  <c r="X298" i="15"/>
  <c r="Z298" i="15" s="1"/>
  <c r="P298" i="15"/>
  <c r="J298" i="15"/>
  <c r="H298" i="15"/>
  <c r="G298" i="15"/>
  <c r="AX298" i="15" s="1"/>
  <c r="D298" i="15"/>
  <c r="C298" i="15"/>
  <c r="B298" i="15"/>
  <c r="A298" i="15" s="1"/>
  <c r="AZ298" i="15" s="1"/>
  <c r="AI285" i="15"/>
  <c r="AD285" i="15"/>
  <c r="X285" i="15"/>
  <c r="Z285" i="15" s="1"/>
  <c r="W285" i="15" s="1"/>
  <c r="V285" i="15" s="1"/>
  <c r="P285" i="15"/>
  <c r="L285" i="15"/>
  <c r="J285" i="15"/>
  <c r="H285" i="15"/>
  <c r="G285" i="15"/>
  <c r="AX285" i="15" s="1"/>
  <c r="D285" i="15"/>
  <c r="C285" i="15"/>
  <c r="B285" i="15"/>
  <c r="A285" i="15" s="1"/>
  <c r="AZ285" i="15" s="1"/>
  <c r="AI275" i="15"/>
  <c r="AD275" i="15"/>
  <c r="AB275" i="15"/>
  <c r="X275" i="15"/>
  <c r="Z275" i="15" s="1"/>
  <c r="H275" i="15"/>
  <c r="G275" i="15"/>
  <c r="AX275" i="15" s="1"/>
  <c r="C275" i="15"/>
  <c r="B275" i="15"/>
  <c r="A275" i="15" s="1"/>
  <c r="AZ275" i="15" s="1"/>
  <c r="AI274" i="15"/>
  <c r="AD274" i="15"/>
  <c r="AB274" i="15"/>
  <c r="X274" i="15"/>
  <c r="Z274" i="15" s="1"/>
  <c r="H274" i="15"/>
  <c r="G274" i="15"/>
  <c r="AX274" i="15" s="1"/>
  <c r="C274" i="15"/>
  <c r="B274" i="15"/>
  <c r="A274" i="15" s="1"/>
  <c r="AZ274" i="15" s="1"/>
  <c r="AI266" i="15"/>
  <c r="AD266" i="15"/>
  <c r="AB266" i="15"/>
  <c r="X266" i="15"/>
  <c r="Z266" i="15" s="1"/>
  <c r="W266" i="15" s="1"/>
  <c r="H266" i="15"/>
  <c r="G266" i="15"/>
  <c r="AX266" i="15" s="1"/>
  <c r="C266" i="15"/>
  <c r="B266" i="15"/>
  <c r="A266" i="15" s="1"/>
  <c r="AZ266" i="15" s="1"/>
  <c r="AI264" i="15"/>
  <c r="AD264" i="15"/>
  <c r="AB264" i="15"/>
  <c r="X264" i="15"/>
  <c r="Z264" i="15" s="1"/>
  <c r="W264" i="15" s="1"/>
  <c r="H264" i="15"/>
  <c r="G264" i="15"/>
  <c r="AX264" i="15" s="1"/>
  <c r="C264" i="15"/>
  <c r="B264" i="15"/>
  <c r="A264" i="15" s="1"/>
  <c r="AZ264" i="15" s="1"/>
  <c r="F2082" i="6" l="1"/>
  <c r="F999" i="7"/>
  <c r="I229" i="15" s="1"/>
  <c r="F998" i="7"/>
  <c r="I228" i="15" s="1"/>
  <c r="F997" i="7"/>
  <c r="I227" i="15" s="1"/>
  <c r="F996" i="7"/>
  <c r="I226" i="15" s="1"/>
  <c r="F995" i="7"/>
  <c r="I225" i="15" s="1"/>
  <c r="F994" i="7"/>
  <c r="I224" i="15" s="1"/>
  <c r="F993" i="7"/>
  <c r="I223" i="15" s="1"/>
  <c r="F992" i="7"/>
  <c r="I222" i="15" s="1"/>
  <c r="F293" i="2"/>
  <c r="AF293" i="2" s="1"/>
  <c r="B996" i="7"/>
  <c r="B997" i="7"/>
  <c r="B998" i="7"/>
  <c r="B999" i="7"/>
  <c r="H405" i="2"/>
  <c r="BD404" i="2"/>
  <c r="BC404" i="2"/>
  <c r="BB404" i="2"/>
  <c r="AZ404" i="2"/>
  <c r="AY404" i="2"/>
  <c r="AX404" i="2"/>
  <c r="AW404" i="2"/>
  <c r="AR404" i="2"/>
  <c r="AQ404" i="2"/>
  <c r="AP404" i="2"/>
  <c r="AO404" i="2"/>
  <c r="AN404" i="2"/>
  <c r="AM404" i="2"/>
  <c r="AL404" i="2"/>
  <c r="AK404" i="2"/>
  <c r="AG404" i="2"/>
  <c r="AE404" i="2"/>
  <c r="AD404" i="2"/>
  <c r="AC404" i="2"/>
  <c r="AA404" i="2"/>
  <c r="Z404" i="2"/>
  <c r="Y404" i="2"/>
  <c r="X404" i="2"/>
  <c r="W404" i="2"/>
  <c r="DM330" i="2"/>
  <c r="DL330" i="2"/>
  <c r="DK330" i="2"/>
  <c r="DI330" i="2"/>
  <c r="DH330" i="2"/>
  <c r="DG330" i="2"/>
  <c r="DF330" i="2"/>
  <c r="DA330" i="2"/>
  <c r="CZ330" i="2"/>
  <c r="CY330" i="2"/>
  <c r="CW330" i="2"/>
  <c r="CV330" i="2"/>
  <c r="CU330" i="2"/>
  <c r="CT330" i="2"/>
  <c r="CO330" i="2"/>
  <c r="CN330" i="2"/>
  <c r="CM330" i="2"/>
  <c r="CK330" i="2"/>
  <c r="CJ330" i="2"/>
  <c r="CI330" i="2"/>
  <c r="CH330" i="2"/>
  <c r="D332" i="2"/>
  <c r="D333" i="2"/>
  <c r="CC330" i="2"/>
  <c r="CB330" i="2"/>
  <c r="CA330" i="2"/>
  <c r="BY330" i="2"/>
  <c r="BX330" i="2"/>
  <c r="BW330" i="2"/>
  <c r="BV330" i="2"/>
  <c r="BP330" i="2"/>
  <c r="BO330" i="2"/>
  <c r="BN330" i="2"/>
  <c r="BL330" i="2"/>
  <c r="BK330" i="2"/>
  <c r="BJ330" i="2"/>
  <c r="BI330" i="2"/>
  <c r="BD330" i="2"/>
  <c r="BC330" i="2"/>
  <c r="BB330" i="2"/>
  <c r="AZ330" i="2"/>
  <c r="AY330" i="2"/>
  <c r="AX330" i="2"/>
  <c r="AW330" i="2"/>
  <c r="AR330" i="2"/>
  <c r="AQ330" i="2"/>
  <c r="AP330" i="2"/>
  <c r="AN330" i="2"/>
  <c r="AM330" i="2"/>
  <c r="AL330" i="2"/>
  <c r="AK330" i="2"/>
  <c r="AG330" i="2"/>
  <c r="AE330" i="2"/>
  <c r="AD330" i="2"/>
  <c r="AC330" i="2"/>
  <c r="AA330" i="2"/>
  <c r="Z330" i="2"/>
  <c r="Y330" i="2"/>
  <c r="X330" i="2"/>
  <c r="W330" i="2"/>
  <c r="B315" i="2"/>
  <c r="B316" i="2"/>
  <c r="D334" i="2"/>
  <c r="D335" i="2"/>
  <c r="D336" i="2"/>
  <c r="D337" i="2"/>
  <c r="D338" i="2"/>
  <c r="AI255" i="2"/>
  <c r="AI256" i="2" s="1"/>
  <c r="AI257" i="2" s="1"/>
  <c r="AT253" i="2"/>
  <c r="AR253" i="2"/>
  <c r="AQ253" i="2"/>
  <c r="AP253" i="2"/>
  <c r="AN253" i="2"/>
  <c r="AM253" i="2"/>
  <c r="AL253" i="2"/>
  <c r="AK253" i="2"/>
  <c r="AJ253" i="2"/>
  <c r="V255" i="2"/>
  <c r="V256" i="2" s="1"/>
  <c r="V257" i="2" s="1"/>
  <c r="AG253" i="2"/>
  <c r="AE253" i="2"/>
  <c r="AD253" i="2"/>
  <c r="AC253" i="2"/>
  <c r="AA253" i="2"/>
  <c r="Z253" i="2"/>
  <c r="Y253" i="2"/>
  <c r="X253" i="2"/>
  <c r="W253" i="2"/>
  <c r="K261" i="2"/>
  <c r="DJ261" i="2" s="1"/>
  <c r="B227" i="2"/>
  <c r="BD217" i="2"/>
  <c r="BC217" i="2"/>
  <c r="BB217" i="2"/>
  <c r="AZ217" i="2"/>
  <c r="AY217" i="2"/>
  <c r="AX217" i="2"/>
  <c r="AW217" i="2"/>
  <c r="AR217" i="2"/>
  <c r="AQ217" i="2"/>
  <c r="AP217" i="2"/>
  <c r="AO217" i="2"/>
  <c r="AN217" i="2"/>
  <c r="AM217" i="2"/>
  <c r="AL217" i="2"/>
  <c r="AK217" i="2"/>
  <c r="AG217" i="2"/>
  <c r="AE217" i="2"/>
  <c r="AD217" i="2"/>
  <c r="AC217" i="2"/>
  <c r="AA217" i="2"/>
  <c r="Z217" i="2"/>
  <c r="Y217" i="2"/>
  <c r="X217" i="2"/>
  <c r="W217" i="2"/>
  <c r="S191" i="2"/>
  <c r="BP154" i="2"/>
  <c r="BO154" i="2"/>
  <c r="BN154" i="2"/>
  <c r="BL154" i="2"/>
  <c r="BK154" i="2"/>
  <c r="BJ154" i="2"/>
  <c r="BI154" i="2"/>
  <c r="BD154" i="2"/>
  <c r="BC154" i="2"/>
  <c r="BB154" i="2"/>
  <c r="AZ154" i="2"/>
  <c r="AY154" i="2"/>
  <c r="AX154" i="2"/>
  <c r="AW154" i="2"/>
  <c r="AR154" i="2"/>
  <c r="AQ154" i="2"/>
  <c r="AP154" i="2"/>
  <c r="AO154" i="2"/>
  <c r="AN154" i="2"/>
  <c r="AM154" i="2"/>
  <c r="AL154" i="2"/>
  <c r="AK154" i="2"/>
  <c r="AG154" i="2"/>
  <c r="AE154" i="2"/>
  <c r="AD154" i="2"/>
  <c r="AC154" i="2"/>
  <c r="AA154" i="2"/>
  <c r="Z154" i="2"/>
  <c r="Y154" i="2"/>
  <c r="X154" i="2"/>
  <c r="W154" i="2"/>
  <c r="J255" i="2"/>
  <c r="K242" i="2" s="1"/>
  <c r="DJ242" i="2" s="1"/>
  <c r="J256" i="2"/>
  <c r="K243" i="2" s="1"/>
  <c r="DJ243" i="2" s="1"/>
  <c r="J257" i="2"/>
  <c r="K244" i="2" s="1"/>
  <c r="DJ244" i="2" s="1"/>
  <c r="J254" i="2"/>
  <c r="K241" i="2" s="1"/>
  <c r="DJ241" i="2" s="1"/>
  <c r="CD237" i="2"/>
  <c r="BT237" i="2"/>
  <c r="CC236" i="2"/>
  <c r="CB236" i="2"/>
  <c r="CA236" i="2"/>
  <c r="BZ236" i="2"/>
  <c r="BY236" i="2"/>
  <c r="BX236" i="2"/>
  <c r="BW236" i="2"/>
  <c r="BV236" i="2"/>
  <c r="BP236" i="2"/>
  <c r="BO236" i="2"/>
  <c r="BN236" i="2"/>
  <c r="BL236" i="2"/>
  <c r="BK236" i="2"/>
  <c r="BJ236" i="2"/>
  <c r="BI236" i="2"/>
  <c r="BH236" i="2"/>
  <c r="BD236" i="2"/>
  <c r="BC236" i="2"/>
  <c r="BB236" i="2"/>
  <c r="AZ236" i="2"/>
  <c r="AY236" i="2"/>
  <c r="AX236" i="2"/>
  <c r="AW236" i="2"/>
  <c r="AV236" i="2"/>
  <c r="AR236" i="2"/>
  <c r="AQ236" i="2"/>
  <c r="AP236" i="2"/>
  <c r="AN236" i="2"/>
  <c r="AM236" i="2"/>
  <c r="AL236" i="2"/>
  <c r="AK236" i="2"/>
  <c r="AJ236" i="2"/>
  <c r="AG236" i="2"/>
  <c r="AE236" i="2"/>
  <c r="AD236" i="2"/>
  <c r="AC236" i="2"/>
  <c r="AA236" i="2"/>
  <c r="Z236" i="2"/>
  <c r="Y236" i="2"/>
  <c r="X236" i="2"/>
  <c r="W236" i="2"/>
  <c r="H218" i="2" l="1"/>
  <c r="I219" i="2"/>
  <c r="BD196" i="2"/>
  <c r="BC196" i="2"/>
  <c r="BB196" i="2"/>
  <c r="AZ196" i="2"/>
  <c r="AY196" i="2"/>
  <c r="AX196" i="2"/>
  <c r="AW196" i="2"/>
  <c r="AV196" i="2"/>
  <c r="AE196" i="2"/>
  <c r="AD196" i="2"/>
  <c r="AC196" i="2"/>
  <c r="AA196" i="2"/>
  <c r="Z196" i="2"/>
  <c r="Y196" i="2"/>
  <c r="X196" i="2"/>
  <c r="W196" i="2"/>
  <c r="B144" i="2"/>
  <c r="B145" i="2"/>
  <c r="B91" i="2"/>
  <c r="B92" i="2"/>
  <c r="E498" i="2"/>
  <c r="E499" i="2"/>
  <c r="E500" i="2"/>
  <c r="E501" i="2"/>
  <c r="H487" i="2"/>
  <c r="F487" i="2"/>
  <c r="I328" i="15" s="1"/>
  <c r="H488" i="2"/>
  <c r="F488" i="2"/>
  <c r="B488" i="2"/>
  <c r="E497" i="2"/>
  <c r="D497" i="2"/>
  <c r="D498" i="2"/>
  <c r="DH487" i="2"/>
  <c r="B487" i="2"/>
  <c r="H406" i="2"/>
  <c r="H407" i="2"/>
  <c r="H408" i="2"/>
  <c r="H409" i="2"/>
  <c r="H410" i="2"/>
  <c r="H411" i="2"/>
  <c r="F389" i="2"/>
  <c r="AF389" i="2" s="1"/>
  <c r="BE61" i="2"/>
  <c r="BE60" i="2"/>
  <c r="M184" i="2"/>
  <c r="N184" i="2"/>
  <c r="O184" i="2"/>
  <c r="P184" i="2"/>
  <c r="M185" i="2"/>
  <c r="N185" i="2"/>
  <c r="O185" i="2"/>
  <c r="P185" i="2"/>
  <c r="M186" i="2"/>
  <c r="N186" i="2"/>
  <c r="O186" i="2"/>
  <c r="P186" i="2"/>
  <c r="P183" i="2"/>
  <c r="O183" i="2"/>
  <c r="N183" i="2"/>
  <c r="M183" i="2"/>
  <c r="L428" i="2"/>
  <c r="K416" i="2" s="1"/>
  <c r="BE416" i="2" s="1"/>
  <c r="L429" i="2"/>
  <c r="K417" i="2" s="1"/>
  <c r="BE417" i="2" s="1"/>
  <c r="L427" i="2"/>
  <c r="K415" i="2" s="1"/>
  <c r="T183" i="2" l="1"/>
  <c r="R191" i="2"/>
  <c r="I329" i="15"/>
  <c r="DI488" i="2"/>
  <c r="S183" i="2"/>
  <c r="Q191" i="2"/>
  <c r="I488" i="2"/>
  <c r="O329" i="15" s="1"/>
  <c r="V329" i="15" s="1"/>
  <c r="U329" i="15" s="1"/>
  <c r="I487" i="2"/>
  <c r="O328" i="15" s="1"/>
  <c r="V328" i="15" s="1"/>
  <c r="U328" i="15" s="1"/>
  <c r="T186" i="2"/>
  <c r="S186" i="2"/>
  <c r="T185" i="2"/>
  <c r="S185" i="2"/>
  <c r="T184" i="2"/>
  <c r="S184" i="2"/>
  <c r="BE415" i="2"/>
  <c r="AU416" i="2"/>
  <c r="AU417" i="2"/>
  <c r="N314" i="2"/>
  <c r="DJ314" i="2" s="1"/>
  <c r="N315" i="2"/>
  <c r="DJ315" i="2" s="1"/>
  <c r="N316" i="2"/>
  <c r="DJ316" i="2" s="1"/>
  <c r="N319" i="2"/>
  <c r="DJ319" i="2" s="1"/>
  <c r="R335" i="2"/>
  <c r="N317" i="2" s="1"/>
  <c r="DJ317" i="2" s="1"/>
  <c r="R336" i="2"/>
  <c r="N318" i="2" s="1"/>
  <c r="DJ318" i="2" s="1"/>
  <c r="R338" i="2"/>
  <c r="N320" i="2" s="1"/>
  <c r="DJ320" i="2" s="1"/>
  <c r="M338" i="2"/>
  <c r="O338" i="2" s="1"/>
  <c r="G314" i="2"/>
  <c r="H314" i="2"/>
  <c r="BE314" i="2" s="1"/>
  <c r="G315" i="2"/>
  <c r="H315" i="2"/>
  <c r="DL315" i="2" s="1"/>
  <c r="G316" i="2"/>
  <c r="H316" i="2"/>
  <c r="DL316" i="2" s="1"/>
  <c r="L338" i="2"/>
  <c r="N338" i="2" s="1"/>
  <c r="F292" i="2"/>
  <c r="AF292" i="2" s="1"/>
  <c r="F294" i="2"/>
  <c r="AF294" i="2" s="1"/>
  <c r="F295" i="2"/>
  <c r="AF295" i="2" s="1"/>
  <c r="F291" i="2"/>
  <c r="AF291" i="2" s="1"/>
  <c r="J306" i="2"/>
  <c r="K292" i="2" s="1"/>
  <c r="DJ292" i="2" s="1"/>
  <c r="J307" i="2"/>
  <c r="K293" i="2" s="1"/>
  <c r="DJ293" i="2" s="1"/>
  <c r="J308" i="2"/>
  <c r="K294" i="2" s="1"/>
  <c r="DJ294" i="2" s="1"/>
  <c r="J309" i="2"/>
  <c r="K295" i="2" s="1"/>
  <c r="DJ295" i="2" s="1"/>
  <c r="J305" i="2"/>
  <c r="K291" i="2" s="1"/>
  <c r="DJ291" i="2" s="1"/>
  <c r="V226" i="2"/>
  <c r="V227" i="2" s="1"/>
  <c r="K285" i="15"/>
  <c r="I285" i="15" s="1"/>
  <c r="BE207" i="2"/>
  <c r="BE208" i="2"/>
  <c r="BE206" i="2"/>
  <c r="H219" i="2"/>
  <c r="H220" i="2"/>
  <c r="DI316" i="2" l="1"/>
  <c r="AE299" i="15" s="1"/>
  <c r="AC299" i="15" s="1"/>
  <c r="AI317" i="2"/>
  <c r="DI315" i="2"/>
  <c r="AE298" i="15" s="1"/>
  <c r="AC298" i="15" s="1"/>
  <c r="AI316" i="2"/>
  <c r="AS314" i="2"/>
  <c r="AI315" i="2"/>
  <c r="U183" i="2"/>
  <c r="U191" i="2"/>
  <c r="U192" i="2" s="1"/>
  <c r="DG488" i="2"/>
  <c r="AA329" i="15" s="1"/>
  <c r="AE329" i="15"/>
  <c r="AC329" i="15" s="1"/>
  <c r="U185" i="2"/>
  <c r="BE316" i="2"/>
  <c r="L299" i="15"/>
  <c r="BE315" i="2"/>
  <c r="L298" i="15"/>
  <c r="AS316" i="2"/>
  <c r="K299" i="15"/>
  <c r="AS315" i="2"/>
  <c r="K298" i="15"/>
  <c r="CD316" i="2"/>
  <c r="AB299" i="15"/>
  <c r="CD315" i="2"/>
  <c r="AB298" i="15"/>
  <c r="CD319" i="2"/>
  <c r="CD314" i="2"/>
  <c r="U186" i="2"/>
  <c r="CD320" i="2"/>
  <c r="CD318" i="2"/>
  <c r="CD317" i="2"/>
  <c r="T187" i="2"/>
  <c r="U184" i="2"/>
  <c r="S187" i="2"/>
  <c r="H320" i="2"/>
  <c r="BE320" i="2" s="1"/>
  <c r="F315" i="2"/>
  <c r="F316" i="2"/>
  <c r="L316" i="2"/>
  <c r="Q299" i="15" s="1"/>
  <c r="O299" i="15" s="1"/>
  <c r="W299" i="15" s="1"/>
  <c r="V299" i="15" s="1"/>
  <c r="U299" i="15" s="1"/>
  <c r="L315" i="2"/>
  <c r="Q298" i="15" s="1"/>
  <c r="O298" i="15" s="1"/>
  <c r="W298" i="15" s="1"/>
  <c r="V298" i="15" s="1"/>
  <c r="U298" i="15" s="1"/>
  <c r="DG316" i="2" l="1"/>
  <c r="AA299" i="15" s="1"/>
  <c r="DG315" i="2"/>
  <c r="AA298" i="15" s="1"/>
  <c r="AF316" i="2"/>
  <c r="V317" i="2"/>
  <c r="AF315" i="2"/>
  <c r="V316" i="2"/>
  <c r="I298" i="15"/>
  <c r="I299" i="15"/>
  <c r="U187" i="2"/>
  <c r="E333" i="2"/>
  <c r="E334" i="2"/>
  <c r="E335" i="2"/>
  <c r="E336" i="2"/>
  <c r="E337" i="2"/>
  <c r="E338" i="2"/>
  <c r="BE292" i="2"/>
  <c r="BE293" i="2"/>
  <c r="BE294" i="2"/>
  <c r="BE295" i="2"/>
  <c r="BE291" i="2"/>
  <c r="E309" i="2"/>
  <c r="BE242" i="2"/>
  <c r="BE243" i="2"/>
  <c r="BE244" i="2"/>
  <c r="BE241" i="2"/>
  <c r="BQ227" i="2"/>
  <c r="BQ226" i="2"/>
  <c r="BE227" i="2"/>
  <c r="N227" i="2"/>
  <c r="DJ227" i="2" s="1"/>
  <c r="N226" i="2"/>
  <c r="DJ226" i="2" s="1"/>
  <c r="BE226" i="2"/>
  <c r="F227" i="2"/>
  <c r="AF227" i="2" s="1"/>
  <c r="DH227" i="2"/>
  <c r="F199" i="2"/>
  <c r="AF199" i="2" s="1"/>
  <c r="BE199" i="2" s="1"/>
  <c r="F200" i="2"/>
  <c r="AF200" i="2" s="1"/>
  <c r="BE200" i="2" s="1"/>
  <c r="AB285" i="15" l="1"/>
  <c r="AS226" i="2"/>
  <c r="F226" i="2"/>
  <c r="AF226" i="2" s="1"/>
  <c r="AS227" i="2"/>
  <c r="CD227" i="2"/>
  <c r="CD226" i="2"/>
  <c r="L227" i="2"/>
  <c r="Q285" i="15" s="1"/>
  <c r="O285" i="15" s="1"/>
  <c r="U285" i="15" s="1"/>
  <c r="BE184" i="2" l="1"/>
  <c r="BE185" i="2"/>
  <c r="BE186" i="2"/>
  <c r="BE183" i="2"/>
  <c r="O156" i="2"/>
  <c r="O157" i="2"/>
  <c r="O158" i="2"/>
  <c r="O159" i="2"/>
  <c r="O160" i="2"/>
  <c r="O161" i="2"/>
  <c r="O155" i="2"/>
  <c r="H161" i="2"/>
  <c r="N161" i="2" s="1"/>
  <c r="E161" i="2"/>
  <c r="D161" i="2"/>
  <c r="H160" i="2"/>
  <c r="E160" i="2"/>
  <c r="D160" i="2"/>
  <c r="DH145" i="2"/>
  <c r="H145" i="2"/>
  <c r="DH144" i="2"/>
  <c r="H144" i="2"/>
  <c r="AF106" i="2"/>
  <c r="AF107" i="2"/>
  <c r="AF108" i="2"/>
  <c r="AF109" i="2"/>
  <c r="AF110" i="2"/>
  <c r="AF111" i="2"/>
  <c r="AF112" i="2"/>
  <c r="AF113" i="2"/>
  <c r="AF114" i="2"/>
  <c r="AF105" i="2"/>
  <c r="F92" i="2"/>
  <c r="F91" i="2"/>
  <c r="AF91" i="2" s="1"/>
  <c r="F90" i="2"/>
  <c r="DH90" i="2"/>
  <c r="BE90" i="2"/>
  <c r="H90" i="2"/>
  <c r="B90" i="2"/>
  <c r="DH92" i="2"/>
  <c r="BE92" i="2"/>
  <c r="H92" i="2"/>
  <c r="F82" i="2"/>
  <c r="AF82" i="2" s="1"/>
  <c r="AF90" i="2" l="1"/>
  <c r="I264" i="15"/>
  <c r="AF92" i="2"/>
  <c r="I266" i="15"/>
  <c r="M160" i="2"/>
  <c r="N160" i="2"/>
  <c r="M161" i="2"/>
  <c r="F145" i="2" s="1"/>
  <c r="I90" i="2"/>
  <c r="O264" i="15" s="1"/>
  <c r="V264" i="15" s="1"/>
  <c r="U264" i="15" s="1"/>
  <c r="I92" i="2"/>
  <c r="O266" i="15" s="1"/>
  <c r="V266" i="15" s="1"/>
  <c r="U266" i="15" s="1"/>
  <c r="AF145" i="2" l="1"/>
  <c r="I275" i="15"/>
  <c r="F144" i="2"/>
  <c r="I145" i="2"/>
  <c r="O275" i="15" s="1"/>
  <c r="W275" i="15" s="1"/>
  <c r="V275" i="15" s="1"/>
  <c r="U275" i="15" s="1"/>
  <c r="AF144" i="2" l="1"/>
  <c r="I274" i="15"/>
  <c r="I144" i="2"/>
  <c r="O274" i="15" s="1"/>
  <c r="W274" i="15" s="1"/>
  <c r="V274" i="15" s="1"/>
  <c r="U274" i="15" s="1"/>
  <c r="BE83" i="2"/>
  <c r="BE84" i="2"/>
  <c r="BE85" i="2"/>
  <c r="BE86" i="2"/>
  <c r="BE87" i="2"/>
  <c r="BE88" i="2"/>
  <c r="BE89" i="2"/>
  <c r="BE91" i="2"/>
  <c r="BE82" i="2"/>
  <c r="F510" i="6" l="1"/>
  <c r="F875" i="6"/>
  <c r="K537" i="6"/>
  <c r="AF1005" i="7"/>
  <c r="AF1006" i="7"/>
  <c r="AF1007" i="7"/>
  <c r="AF1008" i="7"/>
  <c r="AF1009" i="7"/>
  <c r="AF1010" i="7"/>
  <c r="AF1011" i="7"/>
  <c r="AF1012" i="7"/>
  <c r="AF1013" i="7"/>
  <c r="V1009" i="7"/>
  <c r="AF999" i="7"/>
  <c r="AF996" i="7"/>
  <c r="AF997" i="7"/>
  <c r="AF998" i="7"/>
  <c r="H996" i="7"/>
  <c r="I996" i="7" s="1"/>
  <c r="O226" i="15" s="1"/>
  <c r="J996" i="7"/>
  <c r="K996" i="7"/>
  <c r="DJ996" i="7" s="1"/>
  <c r="H997" i="7"/>
  <c r="I997" i="7" s="1"/>
  <c r="O227" i="15" s="1"/>
  <c r="J997" i="7"/>
  <c r="K997" i="7"/>
  <c r="DJ997" i="7" s="1"/>
  <c r="H998" i="7"/>
  <c r="I998" i="7" s="1"/>
  <c r="O228" i="15" s="1"/>
  <c r="J998" i="7"/>
  <c r="K998" i="7"/>
  <c r="DJ998" i="7" s="1"/>
  <c r="H999" i="7"/>
  <c r="I999" i="7" s="1"/>
  <c r="O229" i="15" s="1"/>
  <c r="J999" i="7"/>
  <c r="K999" i="7"/>
  <c r="DJ999" i="7" s="1"/>
  <c r="S921" i="6"/>
  <c r="S919" i="6"/>
  <c r="S623" i="6"/>
  <c r="S621" i="6"/>
  <c r="S548" i="6"/>
  <c r="S546" i="6"/>
  <c r="S340" i="6"/>
  <c r="S337" i="6"/>
  <c r="AB229" i="15" l="1"/>
  <c r="DH999" i="7"/>
  <c r="DI999" i="7" s="1"/>
  <c r="AE229" i="15" s="1"/>
  <c r="AC229" i="15" s="1"/>
  <c r="X229" i="15"/>
  <c r="Z229" i="15" s="1"/>
  <c r="W229" i="15" s="1"/>
  <c r="V229" i="15" s="1"/>
  <c r="U229" i="15" s="1"/>
  <c r="AB228" i="15"/>
  <c r="DH998" i="7"/>
  <c r="DI998" i="7" s="1"/>
  <c r="AE228" i="15" s="1"/>
  <c r="AC228" i="15" s="1"/>
  <c r="X228" i="15"/>
  <c r="Z228" i="15" s="1"/>
  <c r="W228" i="15" s="1"/>
  <c r="V228" i="15" s="1"/>
  <c r="U228" i="15" s="1"/>
  <c r="AB227" i="15"/>
  <c r="DH997" i="7"/>
  <c r="DI997" i="7" s="1"/>
  <c r="AE227" i="15" s="1"/>
  <c r="AC227" i="15" s="1"/>
  <c r="X227" i="15"/>
  <c r="Z227" i="15" s="1"/>
  <c r="W227" i="15" s="1"/>
  <c r="V227" i="15" s="1"/>
  <c r="U227" i="15" s="1"/>
  <c r="AB226" i="15"/>
  <c r="DH996" i="7"/>
  <c r="DI996" i="7" s="1"/>
  <c r="AE226" i="15" s="1"/>
  <c r="AC226" i="15" s="1"/>
  <c r="X226" i="15"/>
  <c r="Z226" i="15" s="1"/>
  <c r="W226" i="15" s="1"/>
  <c r="V226" i="15" s="1"/>
  <c r="U226" i="15" s="1"/>
  <c r="DG997" i="7" l="1"/>
  <c r="AA227" i="15" s="1"/>
  <c r="DG999" i="7"/>
  <c r="AA229" i="15" s="1"/>
  <c r="DG996" i="7"/>
  <c r="AA226" i="15" s="1"/>
  <c r="DG998" i="7"/>
  <c r="AA228" i="15" s="1"/>
  <c r="L503" i="6"/>
  <c r="AR196" i="2" l="1"/>
  <c r="AQ196" i="2"/>
  <c r="AP196" i="2"/>
  <c r="AN196" i="2"/>
  <c r="AM196" i="2"/>
  <c r="AL196" i="2"/>
  <c r="AK196" i="2"/>
  <c r="AJ196" i="2"/>
  <c r="AG102" i="2"/>
  <c r="AE102" i="2"/>
  <c r="AD102" i="2"/>
  <c r="AC102" i="2"/>
  <c r="AA102" i="2"/>
  <c r="Z102" i="2"/>
  <c r="Y102" i="2"/>
  <c r="X102" i="2"/>
  <c r="W102" i="2"/>
  <c r="V117" i="2"/>
  <c r="F83" i="2"/>
  <c r="AF83" i="2" s="1"/>
  <c r="F84" i="2"/>
  <c r="AF84" i="2" s="1"/>
  <c r="F85" i="2"/>
  <c r="AF85" i="2" s="1"/>
  <c r="F86" i="2"/>
  <c r="AF86" i="2" s="1"/>
  <c r="F87" i="2"/>
  <c r="AF87" i="2" s="1"/>
  <c r="F88" i="2"/>
  <c r="AF88" i="2" s="1"/>
  <c r="F89" i="2"/>
  <c r="AF89" i="2" s="1"/>
  <c r="J132" i="16" l="1"/>
  <c r="K132" i="16"/>
  <c r="F132" i="16"/>
  <c r="V140" i="16"/>
  <c r="V141" i="16"/>
  <c r="V142" i="16"/>
  <c r="V143" i="16"/>
  <c r="V144" i="16"/>
  <c r="V145" i="16"/>
  <c r="V146" i="16"/>
  <c r="V147" i="16"/>
  <c r="V139" i="16"/>
  <c r="AF147" i="16"/>
  <c r="AF146" i="16"/>
  <c r="AF145" i="16"/>
  <c r="AF144" i="16"/>
  <c r="AF143" i="16"/>
  <c r="AF142" i="16"/>
  <c r="AF141" i="16"/>
  <c r="AF140" i="16"/>
  <c r="AF139" i="16"/>
  <c r="AG138" i="16"/>
  <c r="AE138" i="16"/>
  <c r="AD138" i="16"/>
  <c r="AC138" i="16"/>
  <c r="AB138" i="16"/>
  <c r="AA138" i="16"/>
  <c r="Z138" i="16"/>
  <c r="Y138" i="16"/>
  <c r="X138" i="16"/>
  <c r="W138" i="16"/>
  <c r="H132" i="16"/>
  <c r="B132" i="16"/>
  <c r="DI131" i="16"/>
  <c r="DH131" i="16"/>
  <c r="DG131" i="16"/>
  <c r="AG131" i="16"/>
  <c r="AE131" i="16"/>
  <c r="AD131" i="16"/>
  <c r="AC131" i="16"/>
  <c r="AB131" i="16"/>
  <c r="AA131" i="16"/>
  <c r="Z131" i="16"/>
  <c r="Y131" i="16"/>
  <c r="X131" i="16"/>
  <c r="W131" i="16"/>
  <c r="V129" i="16"/>
  <c r="J31" i="5"/>
  <c r="K31" i="5"/>
  <c r="DJ31" i="5" s="1"/>
  <c r="AF38" i="5"/>
  <c r="AF39" i="5"/>
  <c r="AF41" i="5"/>
  <c r="AF42" i="5"/>
  <c r="AF43" i="5"/>
  <c r="AF44" i="5"/>
  <c r="AF45" i="5"/>
  <c r="AF46" i="5"/>
  <c r="AF47" i="5"/>
  <c r="F39" i="5"/>
  <c r="F38" i="5"/>
  <c r="H31" i="5"/>
  <c r="B31" i="5"/>
  <c r="AB17" i="15" l="1"/>
  <c r="DJ132" i="16"/>
  <c r="DH31" i="5"/>
  <c r="X19" i="15"/>
  <c r="Z19" i="15" s="1"/>
  <c r="W19" i="15" s="1"/>
  <c r="V19" i="15" s="1"/>
  <c r="AB19" i="15"/>
  <c r="AF132" i="16"/>
  <c r="I17" i="15"/>
  <c r="X17" i="15"/>
  <c r="Z17" i="15" s="1"/>
  <c r="W17" i="15" s="1"/>
  <c r="V17" i="15" s="1"/>
  <c r="DH132" i="16"/>
  <c r="O17" i="15"/>
  <c r="I132" i="16"/>
  <c r="V47" i="5"/>
  <c r="U17" i="15" l="1"/>
  <c r="B9" i="15" l="1"/>
  <c r="A9" i="15" s="1"/>
  <c r="C9" i="15"/>
  <c r="G9" i="15"/>
  <c r="H9" i="15"/>
  <c r="AI9" i="15"/>
  <c r="B10" i="15"/>
  <c r="A10" i="15" s="1"/>
  <c r="C10" i="15"/>
  <c r="D10" i="15"/>
  <c r="G10" i="15"/>
  <c r="H10" i="15"/>
  <c r="J10" i="15"/>
  <c r="P10" i="15"/>
  <c r="AI10" i="15"/>
  <c r="B11" i="15"/>
  <c r="A11" i="15" s="1"/>
  <c r="C11" i="15"/>
  <c r="D11" i="15"/>
  <c r="G11" i="15"/>
  <c r="H11" i="15"/>
  <c r="J11" i="15"/>
  <c r="P11" i="15"/>
  <c r="AI11" i="15"/>
  <c r="B12" i="15"/>
  <c r="A12" i="15" s="1"/>
  <c r="C12" i="15"/>
  <c r="D12" i="15"/>
  <c r="G12" i="15"/>
  <c r="H12" i="15"/>
  <c r="J12" i="15"/>
  <c r="P12" i="15"/>
  <c r="AI12" i="15"/>
  <c r="B13" i="15"/>
  <c r="A13" i="15" s="1"/>
  <c r="C13" i="15"/>
  <c r="D13" i="15"/>
  <c r="G13" i="15"/>
  <c r="H13" i="15"/>
  <c r="J13" i="15"/>
  <c r="P13" i="15"/>
  <c r="AI13" i="15"/>
  <c r="B14" i="15"/>
  <c r="A14" i="15" s="1"/>
  <c r="C14" i="15"/>
  <c r="D14" i="15"/>
  <c r="G14" i="15"/>
  <c r="H14" i="15"/>
  <c r="J14" i="15"/>
  <c r="P14" i="15"/>
  <c r="AI14" i="15"/>
  <c r="B15" i="15"/>
  <c r="A15" i="15" s="1"/>
  <c r="C15" i="15"/>
  <c r="D15" i="15"/>
  <c r="G15" i="15"/>
  <c r="H15" i="15"/>
  <c r="J15" i="15"/>
  <c r="P15" i="15"/>
  <c r="AI15" i="15"/>
  <c r="B16" i="15"/>
  <c r="A16" i="15" s="1"/>
  <c r="C16" i="15"/>
  <c r="D16" i="15"/>
  <c r="G16" i="15"/>
  <c r="H16" i="15"/>
  <c r="J16" i="15"/>
  <c r="P16" i="15"/>
  <c r="AI16" i="15"/>
  <c r="B18" i="15"/>
  <c r="A18" i="15" s="1"/>
  <c r="C18" i="15"/>
  <c r="G18" i="15"/>
  <c r="H18" i="15"/>
  <c r="AI18" i="15"/>
  <c r="B20" i="15"/>
  <c r="A20" i="15" s="1"/>
  <c r="C20" i="15"/>
  <c r="D20" i="15"/>
  <c r="G20" i="15"/>
  <c r="H20" i="15"/>
  <c r="B21" i="15"/>
  <c r="A21" i="15" s="1"/>
  <c r="C21" i="15"/>
  <c r="G21" i="15"/>
  <c r="H21" i="15"/>
  <c r="J21" i="15"/>
  <c r="P21" i="15"/>
  <c r="AD21" i="15"/>
  <c r="B22" i="15"/>
  <c r="A22" i="15" s="1"/>
  <c r="C22" i="15"/>
  <c r="D22" i="15"/>
  <c r="G22" i="15"/>
  <c r="H22" i="15"/>
  <c r="B23" i="15"/>
  <c r="A23" i="15" s="1"/>
  <c r="C23" i="15"/>
  <c r="G23" i="15"/>
  <c r="H23" i="15"/>
  <c r="J23" i="15"/>
  <c r="P23" i="15"/>
  <c r="AD23" i="15"/>
  <c r="B24" i="15"/>
  <c r="A24" i="15" s="1"/>
  <c r="C24" i="15"/>
  <c r="D24" i="15"/>
  <c r="G24" i="15"/>
  <c r="H24" i="15"/>
  <c r="B25" i="15"/>
  <c r="A25" i="15" s="1"/>
  <c r="C25" i="15"/>
  <c r="D25" i="15"/>
  <c r="G25" i="15"/>
  <c r="H25" i="15"/>
  <c r="B26" i="15"/>
  <c r="A26" i="15" s="1"/>
  <c r="C26" i="15"/>
  <c r="G26" i="15"/>
  <c r="H26" i="15"/>
  <c r="J26" i="15"/>
  <c r="P26" i="15"/>
  <c r="AD26" i="15"/>
  <c r="B27" i="15"/>
  <c r="A27" i="15" s="1"/>
  <c r="C27" i="15"/>
  <c r="D27" i="15"/>
  <c r="G27" i="15"/>
  <c r="H27" i="15"/>
  <c r="B28" i="15"/>
  <c r="A28" i="15" s="1"/>
  <c r="C28" i="15"/>
  <c r="G28" i="15"/>
  <c r="H28" i="15"/>
  <c r="J28" i="15"/>
  <c r="P28" i="15"/>
  <c r="AD28" i="15"/>
  <c r="B29" i="15"/>
  <c r="A29" i="15" s="1"/>
  <c r="C29" i="15"/>
  <c r="D29" i="15"/>
  <c r="G29" i="15"/>
  <c r="H29" i="15"/>
  <c r="B30" i="15"/>
  <c r="A30" i="15" s="1"/>
  <c r="C30" i="15"/>
  <c r="G30" i="15"/>
  <c r="H30" i="15"/>
  <c r="J30" i="15"/>
  <c r="P30" i="15"/>
  <c r="AD30" i="15"/>
  <c r="B31" i="15"/>
  <c r="A31" i="15" s="1"/>
  <c r="C31" i="15"/>
  <c r="D31" i="15"/>
  <c r="G31" i="15"/>
  <c r="H31" i="15"/>
  <c r="B32" i="15"/>
  <c r="A32" i="15" s="1"/>
  <c r="C32" i="15"/>
  <c r="G32" i="15"/>
  <c r="H32" i="15"/>
  <c r="J32" i="15"/>
  <c r="P32" i="15"/>
  <c r="AD32" i="15"/>
  <c r="B33" i="15"/>
  <c r="A33" i="15" s="1"/>
  <c r="C33" i="15"/>
  <c r="D33" i="15"/>
  <c r="G33" i="15"/>
  <c r="H33" i="15"/>
  <c r="B34" i="15"/>
  <c r="A34" i="15" s="1"/>
  <c r="C34" i="15"/>
  <c r="G34" i="15"/>
  <c r="H34" i="15"/>
  <c r="J34" i="15"/>
  <c r="P34" i="15"/>
  <c r="AD34" i="15"/>
  <c r="B35" i="15"/>
  <c r="A35" i="15" s="1"/>
  <c r="C35" i="15"/>
  <c r="D35" i="15"/>
  <c r="G35" i="15"/>
  <c r="H35" i="15"/>
  <c r="B36" i="15"/>
  <c r="A36" i="15" s="1"/>
  <c r="C36" i="15"/>
  <c r="G36" i="15"/>
  <c r="H36" i="15"/>
  <c r="J36" i="15"/>
  <c r="P36" i="15"/>
  <c r="AD36" i="15"/>
  <c r="B37" i="15"/>
  <c r="A37" i="15" s="1"/>
  <c r="C37" i="15"/>
  <c r="D37" i="15"/>
  <c r="G37" i="15"/>
  <c r="H37" i="15"/>
  <c r="J37" i="15"/>
  <c r="P37" i="15"/>
  <c r="AD37" i="15"/>
  <c r="B38" i="15"/>
  <c r="A38" i="15" s="1"/>
  <c r="C38" i="15"/>
  <c r="D38" i="15"/>
  <c r="G38" i="15"/>
  <c r="H38" i="15"/>
  <c r="J38" i="15"/>
  <c r="P38" i="15"/>
  <c r="AD38" i="15"/>
  <c r="B39" i="15"/>
  <c r="A39" i="15" s="1"/>
  <c r="C39" i="15"/>
  <c r="D39" i="15"/>
  <c r="E39" i="15"/>
  <c r="F39" i="15"/>
  <c r="G39" i="15"/>
  <c r="H39" i="15"/>
  <c r="B40" i="15"/>
  <c r="A40" i="15" s="1"/>
  <c r="C40" i="15"/>
  <c r="D40" i="15"/>
  <c r="E40" i="15"/>
  <c r="F40" i="15"/>
  <c r="G40" i="15"/>
  <c r="H40" i="15"/>
  <c r="B41" i="15"/>
  <c r="A41" i="15" s="1"/>
  <c r="C41" i="15"/>
  <c r="D41" i="15"/>
  <c r="G41" i="15"/>
  <c r="H41" i="15"/>
  <c r="J41" i="15"/>
  <c r="P41" i="15"/>
  <c r="AD41" i="15"/>
  <c r="B42" i="15"/>
  <c r="A42" i="15" s="1"/>
  <c r="C42" i="15"/>
  <c r="D42" i="15"/>
  <c r="G42" i="15"/>
  <c r="H42" i="15"/>
  <c r="J42" i="15"/>
  <c r="P42" i="15"/>
  <c r="AD42" i="15"/>
  <c r="B43" i="15"/>
  <c r="A43" i="15" s="1"/>
  <c r="C43" i="15"/>
  <c r="D43" i="15"/>
  <c r="E43" i="15"/>
  <c r="F43" i="15"/>
  <c r="G43" i="15"/>
  <c r="H43" i="15"/>
  <c r="B44" i="15"/>
  <c r="A44" i="15" s="1"/>
  <c r="C44" i="15"/>
  <c r="D44" i="15"/>
  <c r="G44" i="15"/>
  <c r="H44" i="15"/>
  <c r="B45" i="15"/>
  <c r="A45" i="15" s="1"/>
  <c r="C45" i="15"/>
  <c r="D45" i="15"/>
  <c r="G45" i="15"/>
  <c r="H45" i="15"/>
  <c r="J45" i="15"/>
  <c r="P45" i="15"/>
  <c r="AD45" i="15"/>
  <c r="B46" i="15"/>
  <c r="A46" i="15" s="1"/>
  <c r="C46" i="15"/>
  <c r="D46" i="15"/>
  <c r="G46" i="15"/>
  <c r="H46" i="15"/>
  <c r="J46" i="15"/>
  <c r="P46" i="15"/>
  <c r="AD46" i="15"/>
  <c r="B47" i="15"/>
  <c r="A47" i="15" s="1"/>
  <c r="C47" i="15"/>
  <c r="D47" i="15"/>
  <c r="G47" i="15"/>
  <c r="H47" i="15"/>
  <c r="J47" i="15"/>
  <c r="P47" i="15"/>
  <c r="AD47" i="15"/>
  <c r="B48" i="15"/>
  <c r="A48" i="15" s="1"/>
  <c r="C48" i="15"/>
  <c r="D48" i="15"/>
  <c r="G48" i="15"/>
  <c r="H48" i="15"/>
  <c r="J48" i="15"/>
  <c r="P48" i="15"/>
  <c r="X48" i="15"/>
  <c r="Z48" i="15" s="1"/>
  <c r="AD48" i="15"/>
  <c r="B49" i="15"/>
  <c r="A49" i="15" s="1"/>
  <c r="C49" i="15"/>
  <c r="D49" i="15"/>
  <c r="E49" i="15"/>
  <c r="F49" i="15"/>
  <c r="G49" i="15"/>
  <c r="H49" i="15"/>
  <c r="X49" i="15"/>
  <c r="Y49" i="15"/>
  <c r="B50" i="15"/>
  <c r="A50" i="15" s="1"/>
  <c r="C50" i="15"/>
  <c r="D50" i="15"/>
  <c r="E50" i="15"/>
  <c r="F50" i="15"/>
  <c r="G50" i="15"/>
  <c r="H50" i="15"/>
  <c r="X50" i="15"/>
  <c r="Y50" i="15"/>
  <c r="B51" i="15"/>
  <c r="A51" i="15" s="1"/>
  <c r="C51" i="15"/>
  <c r="D51" i="15"/>
  <c r="G51" i="15"/>
  <c r="H51" i="15"/>
  <c r="J51" i="15"/>
  <c r="P51" i="15"/>
  <c r="X51" i="15"/>
  <c r="Z51" i="15" s="1"/>
  <c r="AD51" i="15"/>
  <c r="B53" i="15"/>
  <c r="A53" i="15" s="1"/>
  <c r="C53" i="15"/>
  <c r="D53" i="15"/>
  <c r="E53" i="15"/>
  <c r="F53" i="15"/>
  <c r="G53" i="15"/>
  <c r="H53" i="15"/>
  <c r="B54" i="15"/>
  <c r="A54" i="15" s="1"/>
  <c r="C54" i="15"/>
  <c r="D54" i="15"/>
  <c r="E54" i="15"/>
  <c r="F54" i="15"/>
  <c r="G54" i="15"/>
  <c r="H54" i="15"/>
  <c r="B55" i="15"/>
  <c r="A55" i="15" s="1"/>
  <c r="C55" i="15"/>
  <c r="D55" i="15"/>
  <c r="E55" i="15"/>
  <c r="F55" i="15"/>
  <c r="G55" i="15"/>
  <c r="H55" i="15"/>
  <c r="B56" i="15"/>
  <c r="A56" i="15" s="1"/>
  <c r="C56" i="15"/>
  <c r="D56" i="15"/>
  <c r="G56" i="15"/>
  <c r="H56" i="15"/>
  <c r="J56" i="15"/>
  <c r="P56" i="15"/>
  <c r="AD56" i="15"/>
  <c r="B57" i="15"/>
  <c r="A57" i="15" s="1"/>
  <c r="C57" i="15"/>
  <c r="D57" i="15"/>
  <c r="G57" i="15"/>
  <c r="H57" i="15"/>
  <c r="J57" i="15"/>
  <c r="P57" i="15"/>
  <c r="AD57" i="15"/>
  <c r="B58" i="15"/>
  <c r="A58" i="15" s="1"/>
  <c r="C58" i="15"/>
  <c r="D58" i="15"/>
  <c r="E58" i="15"/>
  <c r="F58" i="15"/>
  <c r="G58" i="15"/>
  <c r="H58" i="15"/>
  <c r="B59" i="15"/>
  <c r="A59" i="15" s="1"/>
  <c r="C59" i="15"/>
  <c r="D59" i="15"/>
  <c r="E59" i="15"/>
  <c r="F59" i="15"/>
  <c r="G59" i="15"/>
  <c r="H59" i="15"/>
  <c r="L59" i="15"/>
  <c r="B60" i="15"/>
  <c r="A60" i="15" s="1"/>
  <c r="C60" i="15"/>
  <c r="D60" i="15"/>
  <c r="E60" i="15"/>
  <c r="F60" i="15"/>
  <c r="G60" i="15"/>
  <c r="H60" i="15"/>
  <c r="B61" i="15"/>
  <c r="A61" i="15" s="1"/>
  <c r="C61" i="15"/>
  <c r="D61" i="15"/>
  <c r="G61" i="15"/>
  <c r="H61" i="15"/>
  <c r="J61" i="15"/>
  <c r="P61" i="15"/>
  <c r="AD61" i="15"/>
  <c r="B62" i="15"/>
  <c r="A62" i="15" s="1"/>
  <c r="C62" i="15"/>
  <c r="D62" i="15"/>
  <c r="G62" i="15"/>
  <c r="H62" i="15"/>
  <c r="J62" i="15"/>
  <c r="P62" i="15"/>
  <c r="AD62" i="15"/>
  <c r="B63" i="15"/>
  <c r="A63" i="15" s="1"/>
  <c r="C63" i="15"/>
  <c r="D63" i="15"/>
  <c r="G63" i="15"/>
  <c r="H63" i="15"/>
  <c r="J63" i="15"/>
  <c r="P63" i="15"/>
  <c r="AD63" i="15"/>
  <c r="B64" i="15"/>
  <c r="A64" i="15" s="1"/>
  <c r="C64" i="15"/>
  <c r="D64" i="15"/>
  <c r="E64" i="15"/>
  <c r="F64" i="15"/>
  <c r="G64" i="15"/>
  <c r="H64" i="15"/>
  <c r="B65" i="15"/>
  <c r="A65" i="15" s="1"/>
  <c r="C65" i="15"/>
  <c r="D65" i="15"/>
  <c r="G65" i="15"/>
  <c r="H65" i="15"/>
  <c r="J65" i="15"/>
  <c r="P65" i="15"/>
  <c r="AD65" i="15"/>
  <c r="B66" i="15"/>
  <c r="A66" i="15" s="1"/>
  <c r="C66" i="15"/>
  <c r="D66" i="15"/>
  <c r="G66" i="15"/>
  <c r="H66" i="15"/>
  <c r="J66" i="15"/>
  <c r="P66" i="15"/>
  <c r="AD66" i="15"/>
  <c r="B67" i="15"/>
  <c r="A67" i="15" s="1"/>
  <c r="C67" i="15"/>
  <c r="D67" i="15"/>
  <c r="G67" i="15"/>
  <c r="H67" i="15"/>
  <c r="J67" i="15"/>
  <c r="P67" i="15"/>
  <c r="AD67" i="15"/>
  <c r="B68" i="15"/>
  <c r="A68" i="15" s="1"/>
  <c r="C68" i="15"/>
  <c r="D68" i="15"/>
  <c r="G68" i="15"/>
  <c r="H68" i="15"/>
  <c r="J68" i="15"/>
  <c r="P68" i="15"/>
  <c r="AD68" i="15"/>
  <c r="B69" i="15"/>
  <c r="A69" i="15" s="1"/>
  <c r="C69" i="15"/>
  <c r="D69" i="15"/>
  <c r="G69" i="15"/>
  <c r="H69" i="15"/>
  <c r="J69" i="15"/>
  <c r="P69" i="15"/>
  <c r="AD69" i="15"/>
  <c r="B70" i="15"/>
  <c r="A70" i="15" s="1"/>
  <c r="C70" i="15"/>
  <c r="D70" i="15"/>
  <c r="G70" i="15"/>
  <c r="H70" i="15"/>
  <c r="J70" i="15"/>
  <c r="P70" i="15"/>
  <c r="AD70" i="15"/>
  <c r="B71" i="15"/>
  <c r="A71" i="15" s="1"/>
  <c r="C71" i="15"/>
  <c r="D71" i="15"/>
  <c r="E71" i="15"/>
  <c r="F71" i="15"/>
  <c r="G71" i="15"/>
  <c r="H71" i="15"/>
  <c r="B72" i="15"/>
  <c r="A72" i="15" s="1"/>
  <c r="C72" i="15"/>
  <c r="D72" i="15"/>
  <c r="E72" i="15"/>
  <c r="F72" i="15"/>
  <c r="G72" i="15"/>
  <c r="H72" i="15"/>
  <c r="L72" i="15"/>
  <c r="B73" i="15"/>
  <c r="A73" i="15" s="1"/>
  <c r="C73" i="15"/>
  <c r="D73" i="15"/>
  <c r="G73" i="15"/>
  <c r="H73" i="15"/>
  <c r="J73" i="15"/>
  <c r="P73" i="15"/>
  <c r="AD73" i="15"/>
  <c r="B74" i="15"/>
  <c r="A74" i="15" s="1"/>
  <c r="C74" i="15"/>
  <c r="D74" i="15"/>
  <c r="G74" i="15"/>
  <c r="H74" i="15"/>
  <c r="J74" i="15"/>
  <c r="P74" i="15"/>
  <c r="AD74" i="15"/>
  <c r="B75" i="15"/>
  <c r="A75" i="15" s="1"/>
  <c r="C75" i="15"/>
  <c r="D75" i="15"/>
  <c r="E75" i="15"/>
  <c r="F75" i="15"/>
  <c r="G75" i="15"/>
  <c r="H75" i="15"/>
  <c r="B76" i="15"/>
  <c r="A76" i="15" s="1"/>
  <c r="C76" i="15"/>
  <c r="D76" i="15"/>
  <c r="E76" i="15"/>
  <c r="F76" i="15"/>
  <c r="G76" i="15"/>
  <c r="H76" i="15"/>
  <c r="L76" i="15"/>
  <c r="B77" i="15"/>
  <c r="A77" i="15" s="1"/>
  <c r="C77" i="15"/>
  <c r="D77" i="15"/>
  <c r="E77" i="15"/>
  <c r="F77" i="15"/>
  <c r="G77" i="15"/>
  <c r="H77" i="15"/>
  <c r="B78" i="15"/>
  <c r="A78" i="15" s="1"/>
  <c r="C78" i="15"/>
  <c r="D78" i="15"/>
  <c r="G78" i="15"/>
  <c r="H78" i="15"/>
  <c r="J78" i="15"/>
  <c r="P78" i="15"/>
  <c r="AD78" i="15"/>
  <c r="B79" i="15"/>
  <c r="A79" i="15" s="1"/>
  <c r="C79" i="15"/>
  <c r="D79" i="15"/>
  <c r="G79" i="15"/>
  <c r="H79" i="15"/>
  <c r="J79" i="15"/>
  <c r="P79" i="15"/>
  <c r="AD79" i="15"/>
  <c r="B80" i="15"/>
  <c r="A80" i="15" s="1"/>
  <c r="C80" i="15"/>
  <c r="D80" i="15"/>
  <c r="E80" i="15"/>
  <c r="F80" i="15"/>
  <c r="G80" i="15"/>
  <c r="H80" i="15"/>
  <c r="B81" i="15"/>
  <c r="A81" i="15" s="1"/>
  <c r="C81" i="15"/>
  <c r="D81" i="15"/>
  <c r="G81" i="15"/>
  <c r="H81" i="15"/>
  <c r="J81" i="15"/>
  <c r="P81" i="15"/>
  <c r="AD81" i="15"/>
  <c r="B82" i="15"/>
  <c r="A82" i="15" s="1"/>
  <c r="C82" i="15"/>
  <c r="D82" i="15"/>
  <c r="E82" i="15"/>
  <c r="F82" i="15"/>
  <c r="G82" i="15"/>
  <c r="H82" i="15"/>
  <c r="B83" i="15"/>
  <c r="A83" i="15" s="1"/>
  <c r="C83" i="15"/>
  <c r="D83" i="15"/>
  <c r="G83" i="15"/>
  <c r="H83" i="15"/>
  <c r="J83" i="15"/>
  <c r="P83" i="15"/>
  <c r="AD83" i="15"/>
  <c r="B84" i="15"/>
  <c r="A84" i="15" s="1"/>
  <c r="C84" i="15"/>
  <c r="D84" i="15"/>
  <c r="E84" i="15"/>
  <c r="F84" i="15"/>
  <c r="G84" i="15"/>
  <c r="H84" i="15"/>
  <c r="B85" i="15"/>
  <c r="A85" i="15" s="1"/>
  <c r="C85" i="15"/>
  <c r="D85" i="15"/>
  <c r="G85" i="15"/>
  <c r="H85" i="15"/>
  <c r="J85" i="15"/>
  <c r="P85" i="15"/>
  <c r="AD85" i="15"/>
  <c r="B86" i="15"/>
  <c r="A86" i="15" s="1"/>
  <c r="C86" i="15"/>
  <c r="D86" i="15"/>
  <c r="E86" i="15"/>
  <c r="F86" i="15"/>
  <c r="G86" i="15"/>
  <c r="H86" i="15"/>
  <c r="B87" i="15"/>
  <c r="A87" i="15" s="1"/>
  <c r="C87" i="15"/>
  <c r="D87" i="15"/>
  <c r="E87" i="15"/>
  <c r="F87" i="15"/>
  <c r="G87" i="15"/>
  <c r="H87" i="15"/>
  <c r="L87" i="15"/>
  <c r="B88" i="15"/>
  <c r="A88" i="15" s="1"/>
  <c r="C88" i="15"/>
  <c r="D88" i="15"/>
  <c r="E88" i="15"/>
  <c r="F88" i="15"/>
  <c r="G88" i="15"/>
  <c r="H88" i="15"/>
  <c r="B89" i="15"/>
  <c r="A89" i="15" s="1"/>
  <c r="C89" i="15"/>
  <c r="D89" i="15"/>
  <c r="E89" i="15"/>
  <c r="F89" i="15"/>
  <c r="G89" i="15"/>
  <c r="H89" i="15"/>
  <c r="B90" i="15"/>
  <c r="A90" i="15" s="1"/>
  <c r="C90" i="15"/>
  <c r="D90" i="15"/>
  <c r="E90" i="15"/>
  <c r="F90" i="15"/>
  <c r="G90" i="15"/>
  <c r="H90" i="15"/>
  <c r="B91" i="15"/>
  <c r="A91" i="15" s="1"/>
  <c r="C91" i="15"/>
  <c r="D91" i="15"/>
  <c r="E91" i="15"/>
  <c r="F91" i="15"/>
  <c r="G91" i="15"/>
  <c r="H91" i="15"/>
  <c r="L91" i="15"/>
  <c r="B92" i="15"/>
  <c r="A92" i="15" s="1"/>
  <c r="C92" i="15"/>
  <c r="D92" i="15"/>
  <c r="E92" i="15"/>
  <c r="F92" i="15"/>
  <c r="G92" i="15"/>
  <c r="H92" i="15"/>
  <c r="B93" i="15"/>
  <c r="A93" i="15" s="1"/>
  <c r="C93" i="15"/>
  <c r="D93" i="15"/>
  <c r="E93" i="15"/>
  <c r="F93" i="15"/>
  <c r="G93" i="15"/>
  <c r="H93" i="15"/>
  <c r="B94" i="15"/>
  <c r="A94" i="15" s="1"/>
  <c r="C94" i="15"/>
  <c r="D94" i="15"/>
  <c r="E94" i="15"/>
  <c r="F94" i="15"/>
  <c r="G94" i="15"/>
  <c r="H94" i="15"/>
  <c r="B95" i="15"/>
  <c r="A95" i="15" s="1"/>
  <c r="C95" i="15"/>
  <c r="D95" i="15"/>
  <c r="E95" i="15"/>
  <c r="F95" i="15"/>
  <c r="G95" i="15"/>
  <c r="H95" i="15"/>
  <c r="L95" i="15"/>
  <c r="B96" i="15"/>
  <c r="A96" i="15" s="1"/>
  <c r="C96" i="15"/>
  <c r="D96" i="15"/>
  <c r="E96" i="15"/>
  <c r="F96" i="15"/>
  <c r="G96" i="15"/>
  <c r="H96" i="15"/>
  <c r="B97" i="15"/>
  <c r="A97" i="15" s="1"/>
  <c r="C97" i="15"/>
  <c r="D97" i="15"/>
  <c r="E97" i="15"/>
  <c r="F97" i="15"/>
  <c r="G97" i="15"/>
  <c r="H97" i="15"/>
  <c r="B98" i="15"/>
  <c r="A98" i="15" s="1"/>
  <c r="C98" i="15"/>
  <c r="D98" i="15"/>
  <c r="E98" i="15"/>
  <c r="F98" i="15"/>
  <c r="G98" i="15"/>
  <c r="H98" i="15"/>
  <c r="B99" i="15"/>
  <c r="A99" i="15" s="1"/>
  <c r="C99" i="15"/>
  <c r="D99" i="15"/>
  <c r="G99" i="15"/>
  <c r="H99" i="15"/>
  <c r="J99" i="15"/>
  <c r="P99" i="15"/>
  <c r="AD99" i="15"/>
  <c r="B100" i="15"/>
  <c r="A100" i="15" s="1"/>
  <c r="C100" i="15"/>
  <c r="D100" i="15"/>
  <c r="E100" i="15"/>
  <c r="F100" i="15"/>
  <c r="G100" i="15"/>
  <c r="H100" i="15"/>
  <c r="B101" i="15"/>
  <c r="A101" i="15" s="1"/>
  <c r="C101" i="15"/>
  <c r="D101" i="15"/>
  <c r="E101" i="15"/>
  <c r="F101" i="15"/>
  <c r="G101" i="15"/>
  <c r="H101" i="15"/>
  <c r="B102" i="15"/>
  <c r="A102" i="15" s="1"/>
  <c r="C102" i="15"/>
  <c r="D102" i="15"/>
  <c r="E102" i="15"/>
  <c r="F102" i="15"/>
  <c r="G102" i="15"/>
  <c r="H102" i="15"/>
  <c r="B103" i="15"/>
  <c r="A103" i="15" s="1"/>
  <c r="C103" i="15"/>
  <c r="D103" i="15"/>
  <c r="G103" i="15"/>
  <c r="H103" i="15"/>
  <c r="J103" i="15"/>
  <c r="P103" i="15"/>
  <c r="AD103" i="15"/>
  <c r="B104" i="15"/>
  <c r="A104" i="15" s="1"/>
  <c r="C104" i="15"/>
  <c r="D104" i="15"/>
  <c r="G104" i="15"/>
  <c r="H104" i="15"/>
  <c r="J104" i="15"/>
  <c r="P104" i="15"/>
  <c r="AD104" i="15"/>
  <c r="B105" i="15"/>
  <c r="A105" i="15" s="1"/>
  <c r="C105" i="15"/>
  <c r="D105" i="15"/>
  <c r="E105" i="15"/>
  <c r="F105" i="15"/>
  <c r="G105" i="15"/>
  <c r="H105" i="15"/>
  <c r="B106" i="15"/>
  <c r="A106" i="15" s="1"/>
  <c r="C106" i="15"/>
  <c r="D106" i="15"/>
  <c r="G106" i="15"/>
  <c r="H106" i="15"/>
  <c r="J106" i="15"/>
  <c r="P106" i="15"/>
  <c r="AD106" i="15"/>
  <c r="B107" i="15"/>
  <c r="A107" i="15" s="1"/>
  <c r="C107" i="15"/>
  <c r="D107" i="15"/>
  <c r="G107" i="15"/>
  <c r="H107" i="15"/>
  <c r="J107" i="15"/>
  <c r="P107" i="15"/>
  <c r="AD107" i="15"/>
  <c r="B108" i="15"/>
  <c r="A108" i="15" s="1"/>
  <c r="C108" i="15"/>
  <c r="D108" i="15"/>
  <c r="G108" i="15"/>
  <c r="H108" i="15"/>
  <c r="J108" i="15"/>
  <c r="P108" i="15"/>
  <c r="AD108" i="15"/>
  <c r="B109" i="15"/>
  <c r="A109" i="15" s="1"/>
  <c r="C109" i="15"/>
  <c r="D109" i="15"/>
  <c r="G109" i="15"/>
  <c r="H109" i="15"/>
  <c r="J109" i="15"/>
  <c r="P109" i="15"/>
  <c r="AD109" i="15"/>
  <c r="B110" i="15"/>
  <c r="A110" i="15" s="1"/>
  <c r="C110" i="15"/>
  <c r="D110" i="15"/>
  <c r="G110" i="15"/>
  <c r="H110" i="15"/>
  <c r="J110" i="15"/>
  <c r="P110" i="15"/>
  <c r="AD110" i="15"/>
  <c r="B111" i="15"/>
  <c r="A111" i="15" s="1"/>
  <c r="C111" i="15"/>
  <c r="D111" i="15"/>
  <c r="E111" i="15"/>
  <c r="F111" i="15"/>
  <c r="G111" i="15"/>
  <c r="H111" i="15"/>
  <c r="B112" i="15"/>
  <c r="A112" i="15" s="1"/>
  <c r="C112" i="15"/>
  <c r="D112" i="15"/>
  <c r="E112" i="15"/>
  <c r="F112" i="15"/>
  <c r="G112" i="15"/>
  <c r="H112" i="15"/>
  <c r="B113" i="15"/>
  <c r="A113" i="15" s="1"/>
  <c r="C113" i="15"/>
  <c r="D113" i="15"/>
  <c r="G113" i="15"/>
  <c r="H113" i="15"/>
  <c r="J113" i="15"/>
  <c r="B114" i="15"/>
  <c r="A114" i="15" s="1"/>
  <c r="C114" i="15"/>
  <c r="D114" i="15"/>
  <c r="G114" i="15"/>
  <c r="H114" i="15"/>
  <c r="J114" i="15"/>
  <c r="P114" i="15"/>
  <c r="AD114" i="15"/>
  <c r="B115" i="15"/>
  <c r="A115" i="15" s="1"/>
  <c r="C115" i="15"/>
  <c r="D115" i="15"/>
  <c r="E115" i="15"/>
  <c r="F115" i="15"/>
  <c r="G115" i="15"/>
  <c r="H115" i="15"/>
  <c r="B116" i="15"/>
  <c r="A116" i="15" s="1"/>
  <c r="C116" i="15"/>
  <c r="D116" i="15"/>
  <c r="E116" i="15"/>
  <c r="F116" i="15"/>
  <c r="G116" i="15"/>
  <c r="H116" i="15"/>
  <c r="B117" i="15"/>
  <c r="A117" i="15" s="1"/>
  <c r="C117" i="15"/>
  <c r="D117" i="15"/>
  <c r="G117" i="15"/>
  <c r="H117" i="15"/>
  <c r="J117" i="15"/>
  <c r="B118" i="15"/>
  <c r="A118" i="15" s="1"/>
  <c r="C118" i="15"/>
  <c r="D118" i="15"/>
  <c r="G118" i="15"/>
  <c r="H118" i="15"/>
  <c r="J118" i="15"/>
  <c r="P118" i="15"/>
  <c r="AD118" i="15"/>
  <c r="B119" i="15"/>
  <c r="A119" i="15" s="1"/>
  <c r="C119" i="15"/>
  <c r="D119" i="15"/>
  <c r="E119" i="15"/>
  <c r="F119" i="15"/>
  <c r="G119" i="15"/>
  <c r="H119" i="15"/>
  <c r="B120" i="15"/>
  <c r="A120" i="15" s="1"/>
  <c r="C120" i="15"/>
  <c r="D120" i="15"/>
  <c r="E120" i="15"/>
  <c r="F120" i="15"/>
  <c r="G120" i="15"/>
  <c r="H120" i="15"/>
  <c r="B121" i="15"/>
  <c r="A121" i="15" s="1"/>
  <c r="C121" i="15"/>
  <c r="D121" i="15"/>
  <c r="G121" i="15"/>
  <c r="H121" i="15"/>
  <c r="J121" i="15"/>
  <c r="B122" i="15"/>
  <c r="A122" i="15" s="1"/>
  <c r="C122" i="15"/>
  <c r="D122" i="15"/>
  <c r="G122" i="15"/>
  <c r="H122" i="15"/>
  <c r="J122" i="15"/>
  <c r="P122" i="15"/>
  <c r="AD122" i="15"/>
  <c r="B123" i="15"/>
  <c r="A123" i="15" s="1"/>
  <c r="C123" i="15"/>
  <c r="D123" i="15"/>
  <c r="E123" i="15"/>
  <c r="F123" i="15"/>
  <c r="G123" i="15"/>
  <c r="H123" i="15"/>
  <c r="B124" i="15"/>
  <c r="A124" i="15" s="1"/>
  <c r="C124" i="15"/>
  <c r="D124" i="15"/>
  <c r="E124" i="15"/>
  <c r="F124" i="15"/>
  <c r="G124" i="15"/>
  <c r="H124" i="15"/>
  <c r="B125" i="15"/>
  <c r="A125" i="15" s="1"/>
  <c r="C125" i="15"/>
  <c r="D125" i="15"/>
  <c r="G125" i="15"/>
  <c r="H125" i="15"/>
  <c r="J125" i="15"/>
  <c r="B126" i="15"/>
  <c r="A126" i="15" s="1"/>
  <c r="C126" i="15"/>
  <c r="D126" i="15"/>
  <c r="G126" i="15"/>
  <c r="H126" i="15"/>
  <c r="J126" i="15"/>
  <c r="P126" i="15"/>
  <c r="AD126" i="15"/>
  <c r="B127" i="15"/>
  <c r="A127" i="15" s="1"/>
  <c r="C127" i="15"/>
  <c r="G127" i="15"/>
  <c r="H127" i="15"/>
  <c r="J127" i="15"/>
  <c r="P127" i="15"/>
  <c r="AD127" i="15"/>
  <c r="AI127" i="15"/>
  <c r="B128" i="15"/>
  <c r="A128" i="15" s="1"/>
  <c r="C128" i="15"/>
  <c r="G128" i="15"/>
  <c r="H128" i="15"/>
  <c r="J128" i="15"/>
  <c r="P128" i="15"/>
  <c r="AD128" i="15"/>
  <c r="AI128" i="15"/>
  <c r="B129" i="15"/>
  <c r="A129" i="15" s="1"/>
  <c r="C129" i="15"/>
  <c r="G129" i="15"/>
  <c r="H129" i="15"/>
  <c r="J129" i="15"/>
  <c r="P129" i="15"/>
  <c r="AD129" i="15"/>
  <c r="AI129" i="15"/>
  <c r="B130" i="15"/>
  <c r="A130" i="15" s="1"/>
  <c r="C130" i="15"/>
  <c r="G130" i="15"/>
  <c r="H130" i="15"/>
  <c r="J130" i="15"/>
  <c r="P130" i="15"/>
  <c r="AD130" i="15"/>
  <c r="AI130" i="15"/>
  <c r="AI131" i="15" s="1"/>
  <c r="AI132" i="15" s="1"/>
  <c r="B131" i="15"/>
  <c r="A131" i="15" s="1"/>
  <c r="C131" i="15"/>
  <c r="G131" i="15"/>
  <c r="J131" i="15"/>
  <c r="P131" i="15"/>
  <c r="AD131" i="15"/>
  <c r="B132" i="15"/>
  <c r="A132" i="15" s="1"/>
  <c r="C132" i="15"/>
  <c r="G132" i="15"/>
  <c r="J132" i="15"/>
  <c r="P132" i="15"/>
  <c r="AD132" i="15"/>
  <c r="B133" i="15"/>
  <c r="A133" i="15" s="1"/>
  <c r="C133" i="15"/>
  <c r="G133" i="15"/>
  <c r="J133" i="15"/>
  <c r="P133" i="15"/>
  <c r="AD133" i="15"/>
  <c r="B134" i="15"/>
  <c r="A134" i="15" s="1"/>
  <c r="C134" i="15"/>
  <c r="G134" i="15"/>
  <c r="J134" i="15"/>
  <c r="P134" i="15"/>
  <c r="AD134" i="15"/>
  <c r="B135" i="15"/>
  <c r="A135" i="15" s="1"/>
  <c r="C135" i="15"/>
  <c r="G135" i="15"/>
  <c r="J135" i="15"/>
  <c r="P135" i="15"/>
  <c r="AD135" i="15"/>
  <c r="B136" i="15"/>
  <c r="A136" i="15" s="1"/>
  <c r="C136" i="15"/>
  <c r="G136" i="15"/>
  <c r="J136" i="15"/>
  <c r="P136" i="15"/>
  <c r="AD136" i="15"/>
  <c r="B137" i="15"/>
  <c r="A137" i="15" s="1"/>
  <c r="C137" i="15"/>
  <c r="G137" i="15"/>
  <c r="J137" i="15"/>
  <c r="P137" i="15"/>
  <c r="AD137" i="15"/>
  <c r="B138" i="15"/>
  <c r="A138" i="15" s="1"/>
  <c r="C138" i="15"/>
  <c r="G138" i="15"/>
  <c r="J138" i="15"/>
  <c r="P138" i="15"/>
  <c r="AD138" i="15"/>
  <c r="B139" i="15"/>
  <c r="A139" i="15" s="1"/>
  <c r="C139" i="15"/>
  <c r="G139" i="15"/>
  <c r="H139" i="15"/>
  <c r="J139" i="15"/>
  <c r="P139" i="15"/>
  <c r="AD139" i="15"/>
  <c r="AI139" i="15"/>
  <c r="AI140" i="15" s="1"/>
  <c r="AI141" i="15" s="1"/>
  <c r="AI142" i="15" s="1"/>
  <c r="AI143" i="15" s="1"/>
  <c r="AI144" i="15" s="1"/>
  <c r="AI145" i="15" s="1"/>
  <c r="AI146" i="15" s="1"/>
  <c r="AI147" i="15" s="1"/>
  <c r="AI148" i="15" s="1"/>
  <c r="AI149" i="15" s="1"/>
  <c r="AI150" i="15" s="1"/>
  <c r="AI151" i="15" s="1"/>
  <c r="AI152" i="15" s="1"/>
  <c r="AI153" i="15" s="1"/>
  <c r="AI154" i="15" s="1"/>
  <c r="AI155" i="15" s="1"/>
  <c r="AI156" i="15" s="1"/>
  <c r="AI157" i="15" s="1"/>
  <c r="AI158" i="15" s="1"/>
  <c r="AI159" i="15" s="1"/>
  <c r="AI160" i="15" s="1"/>
  <c r="AI161" i="15" s="1"/>
  <c r="AI162" i="15" s="1"/>
  <c r="AI163" i="15" s="1"/>
  <c r="AI164" i="15" s="1"/>
  <c r="AI165" i="15" s="1"/>
  <c r="AI166" i="15" s="1"/>
  <c r="AI167" i="15" s="1"/>
  <c r="AI168" i="15" s="1"/>
  <c r="B140" i="15"/>
  <c r="A140" i="15" s="1"/>
  <c r="C140" i="15"/>
  <c r="G140" i="15"/>
  <c r="H140" i="15"/>
  <c r="J140" i="15"/>
  <c r="P140" i="15"/>
  <c r="AD140" i="15"/>
  <c r="B141" i="15"/>
  <c r="A141" i="15" s="1"/>
  <c r="C141" i="15"/>
  <c r="G141" i="15"/>
  <c r="H141" i="15"/>
  <c r="J141" i="15"/>
  <c r="P141" i="15"/>
  <c r="AD141" i="15"/>
  <c r="B142" i="15"/>
  <c r="A142" i="15" s="1"/>
  <c r="C142" i="15"/>
  <c r="G142" i="15"/>
  <c r="H142" i="15"/>
  <c r="J142" i="15"/>
  <c r="P142" i="15"/>
  <c r="AD142" i="15"/>
  <c r="B143" i="15"/>
  <c r="A143" i="15" s="1"/>
  <c r="C143" i="15"/>
  <c r="G143" i="15"/>
  <c r="H143" i="15"/>
  <c r="J143" i="15"/>
  <c r="P143" i="15"/>
  <c r="AD143" i="15"/>
  <c r="B144" i="15"/>
  <c r="A144" i="15" s="1"/>
  <c r="C144" i="15"/>
  <c r="G144" i="15"/>
  <c r="H144" i="15"/>
  <c r="J144" i="15"/>
  <c r="P144" i="15"/>
  <c r="AD144" i="15"/>
  <c r="B145" i="15"/>
  <c r="A145" i="15" s="1"/>
  <c r="C145" i="15"/>
  <c r="G145" i="15"/>
  <c r="H145" i="15"/>
  <c r="J145" i="15"/>
  <c r="P145" i="15"/>
  <c r="AD145" i="15"/>
  <c r="B146" i="15"/>
  <c r="A146" i="15" s="1"/>
  <c r="C146" i="15"/>
  <c r="G146" i="15"/>
  <c r="H146" i="15"/>
  <c r="J146" i="15"/>
  <c r="P146" i="15"/>
  <c r="AD146" i="15"/>
  <c r="B147" i="15"/>
  <c r="A147" i="15" s="1"/>
  <c r="C147" i="15"/>
  <c r="G147" i="15"/>
  <c r="H147" i="15"/>
  <c r="J147" i="15"/>
  <c r="P147" i="15"/>
  <c r="AD147" i="15"/>
  <c r="B148" i="15"/>
  <c r="A148" i="15" s="1"/>
  <c r="C148" i="15"/>
  <c r="G148" i="15"/>
  <c r="H148" i="15"/>
  <c r="J148" i="15"/>
  <c r="P148" i="15"/>
  <c r="AD148" i="15"/>
  <c r="B149" i="15"/>
  <c r="A149" i="15" s="1"/>
  <c r="C149" i="15"/>
  <c r="G149" i="15"/>
  <c r="H149" i="15"/>
  <c r="J149" i="15"/>
  <c r="P149" i="15"/>
  <c r="AD149" i="15"/>
  <c r="B150" i="15"/>
  <c r="A150" i="15" s="1"/>
  <c r="C150" i="15"/>
  <c r="G150" i="15"/>
  <c r="H150" i="15"/>
  <c r="J150" i="15"/>
  <c r="P150" i="15"/>
  <c r="AD150" i="15"/>
  <c r="B151" i="15"/>
  <c r="A151" i="15" s="1"/>
  <c r="C151" i="15"/>
  <c r="G151" i="15"/>
  <c r="H151" i="15"/>
  <c r="J151" i="15"/>
  <c r="P151" i="15"/>
  <c r="AD151" i="15"/>
  <c r="B152" i="15"/>
  <c r="A152" i="15" s="1"/>
  <c r="C152" i="15"/>
  <c r="G152" i="15"/>
  <c r="H152" i="15"/>
  <c r="J152" i="15"/>
  <c r="P152" i="15"/>
  <c r="AD152" i="15"/>
  <c r="B153" i="15"/>
  <c r="A153" i="15" s="1"/>
  <c r="C153" i="15"/>
  <c r="G153" i="15"/>
  <c r="H153" i="15"/>
  <c r="J153" i="15"/>
  <c r="P153" i="15"/>
  <c r="AD153" i="15"/>
  <c r="B154" i="15"/>
  <c r="A154" i="15" s="1"/>
  <c r="C154" i="15"/>
  <c r="G154" i="15"/>
  <c r="H154" i="15"/>
  <c r="J154" i="15"/>
  <c r="P154" i="15"/>
  <c r="AD154" i="15"/>
  <c r="B155" i="15"/>
  <c r="A155" i="15" s="1"/>
  <c r="C155" i="15"/>
  <c r="G155" i="15"/>
  <c r="H155" i="15"/>
  <c r="J155" i="15"/>
  <c r="P155" i="15"/>
  <c r="AD155" i="15"/>
  <c r="B156" i="15"/>
  <c r="A156" i="15" s="1"/>
  <c r="C156" i="15"/>
  <c r="G156" i="15"/>
  <c r="H156" i="15"/>
  <c r="J156" i="15"/>
  <c r="P156" i="15"/>
  <c r="AD156" i="15"/>
  <c r="B157" i="15"/>
  <c r="A157" i="15" s="1"/>
  <c r="C157" i="15"/>
  <c r="G157" i="15"/>
  <c r="H157" i="15"/>
  <c r="J157" i="15"/>
  <c r="P157" i="15"/>
  <c r="AD157" i="15"/>
  <c r="B158" i="15"/>
  <c r="A158" i="15" s="1"/>
  <c r="C158" i="15"/>
  <c r="G158" i="15"/>
  <c r="H158" i="15"/>
  <c r="J158" i="15"/>
  <c r="P158" i="15"/>
  <c r="AD158" i="15"/>
  <c r="B159" i="15"/>
  <c r="A159" i="15" s="1"/>
  <c r="C159" i="15"/>
  <c r="G159" i="15"/>
  <c r="H159" i="15"/>
  <c r="J159" i="15"/>
  <c r="P159" i="15"/>
  <c r="AD159" i="15"/>
  <c r="B160" i="15"/>
  <c r="A160" i="15" s="1"/>
  <c r="C160" i="15"/>
  <c r="G160" i="15"/>
  <c r="H160" i="15"/>
  <c r="J160" i="15"/>
  <c r="P160" i="15"/>
  <c r="AD160" i="15"/>
  <c r="B161" i="15"/>
  <c r="A161" i="15" s="1"/>
  <c r="C161" i="15"/>
  <c r="G161" i="15"/>
  <c r="H161" i="15"/>
  <c r="J161" i="15"/>
  <c r="P161" i="15"/>
  <c r="AD161" i="15"/>
  <c r="B162" i="15"/>
  <c r="A162" i="15" s="1"/>
  <c r="C162" i="15"/>
  <c r="G162" i="15"/>
  <c r="H162" i="15"/>
  <c r="J162" i="15"/>
  <c r="P162" i="15"/>
  <c r="AD162" i="15"/>
  <c r="B163" i="15"/>
  <c r="A163" i="15" s="1"/>
  <c r="C163" i="15"/>
  <c r="G163" i="15"/>
  <c r="H163" i="15"/>
  <c r="J163" i="15"/>
  <c r="P163" i="15"/>
  <c r="AD163" i="15"/>
  <c r="B164" i="15"/>
  <c r="A164" i="15" s="1"/>
  <c r="C164" i="15"/>
  <c r="G164" i="15"/>
  <c r="H164" i="15"/>
  <c r="J164" i="15"/>
  <c r="P164" i="15"/>
  <c r="AD164" i="15"/>
  <c r="B165" i="15"/>
  <c r="A165" i="15" s="1"/>
  <c r="C165" i="15"/>
  <c r="G165" i="15"/>
  <c r="H165" i="15"/>
  <c r="J165" i="15"/>
  <c r="P165" i="15"/>
  <c r="AD165" i="15"/>
  <c r="B166" i="15"/>
  <c r="A166" i="15" s="1"/>
  <c r="C166" i="15"/>
  <c r="G166" i="15"/>
  <c r="H166" i="15"/>
  <c r="J166" i="15"/>
  <c r="P166" i="15"/>
  <c r="AD166" i="15"/>
  <c r="B167" i="15"/>
  <c r="A167" i="15" s="1"/>
  <c r="C167" i="15"/>
  <c r="G167" i="15"/>
  <c r="H167" i="15"/>
  <c r="J167" i="15"/>
  <c r="P167" i="15"/>
  <c r="AD167" i="15"/>
  <c r="B168" i="15"/>
  <c r="A168" i="15" s="1"/>
  <c r="C168" i="15"/>
  <c r="G168" i="15"/>
  <c r="H168" i="15"/>
  <c r="J168" i="15"/>
  <c r="P168" i="15"/>
  <c r="AD168" i="15"/>
  <c r="B169" i="15"/>
  <c r="A169" i="15" s="1"/>
  <c r="C169" i="15"/>
  <c r="G169" i="15"/>
  <c r="H169" i="15"/>
  <c r="J169" i="15"/>
  <c r="AD169" i="15"/>
  <c r="AI169" i="15"/>
  <c r="AI170" i="15" s="1"/>
  <c r="AI171" i="15" s="1"/>
  <c r="AI172" i="15" s="1"/>
  <c r="AI173" i="15" s="1"/>
  <c r="AI174" i="15" s="1"/>
  <c r="B170" i="15"/>
  <c r="A170" i="15" s="1"/>
  <c r="C170" i="15"/>
  <c r="G170" i="15"/>
  <c r="H170" i="15"/>
  <c r="J170" i="15"/>
  <c r="AD170" i="15"/>
  <c r="B171" i="15"/>
  <c r="A171" i="15" s="1"/>
  <c r="C171" i="15"/>
  <c r="G171" i="15"/>
  <c r="H171" i="15"/>
  <c r="J171" i="15"/>
  <c r="AD171" i="15"/>
  <c r="B172" i="15"/>
  <c r="A172" i="15" s="1"/>
  <c r="C172" i="15"/>
  <c r="G172" i="15"/>
  <c r="H172" i="15"/>
  <c r="J172" i="15"/>
  <c r="AD172" i="15"/>
  <c r="B173" i="15"/>
  <c r="A173" i="15" s="1"/>
  <c r="C173" i="15"/>
  <c r="G173" i="15"/>
  <c r="H173" i="15"/>
  <c r="J173" i="15"/>
  <c r="AD173" i="15"/>
  <c r="B174" i="15"/>
  <c r="A174" i="15" s="1"/>
  <c r="C174" i="15"/>
  <c r="G174" i="15"/>
  <c r="H174" i="15"/>
  <c r="J174" i="15"/>
  <c r="AD174" i="15"/>
  <c r="B175" i="15"/>
  <c r="A175" i="15" s="1"/>
  <c r="C175" i="15"/>
  <c r="G175" i="15"/>
  <c r="H175" i="15"/>
  <c r="J175" i="15"/>
  <c r="AD175" i="15"/>
  <c r="AI175" i="15"/>
  <c r="B176" i="15"/>
  <c r="A176" i="15" s="1"/>
  <c r="C176" i="15"/>
  <c r="G176" i="15"/>
  <c r="H176" i="15"/>
  <c r="J176" i="15"/>
  <c r="AD176" i="15"/>
  <c r="AI176" i="15"/>
  <c r="AI177" i="15" s="1"/>
  <c r="AI178" i="15" s="1"/>
  <c r="B177" i="15"/>
  <c r="A177" i="15" s="1"/>
  <c r="C177" i="15"/>
  <c r="G177" i="15"/>
  <c r="H177" i="15"/>
  <c r="J177" i="15"/>
  <c r="AD177" i="15"/>
  <c r="B178" i="15"/>
  <c r="A178" i="15" s="1"/>
  <c r="C178" i="15"/>
  <c r="G178" i="15"/>
  <c r="H178" i="15"/>
  <c r="J178" i="15"/>
  <c r="AD178" i="15"/>
  <c r="B179" i="15"/>
  <c r="A179" i="15" s="1"/>
  <c r="C179" i="15"/>
  <c r="G179" i="15"/>
  <c r="H179" i="15"/>
  <c r="J179" i="15"/>
  <c r="AD179" i="15"/>
  <c r="AI179" i="15"/>
  <c r="AI180" i="15" s="1"/>
  <c r="AI181" i="15" s="1"/>
  <c r="AI182" i="15" s="1"/>
  <c r="B180" i="15"/>
  <c r="A180" i="15" s="1"/>
  <c r="C180" i="15"/>
  <c r="G180" i="15"/>
  <c r="H180" i="15"/>
  <c r="J180" i="15"/>
  <c r="AD180" i="15"/>
  <c r="B181" i="15"/>
  <c r="A181" i="15" s="1"/>
  <c r="C181" i="15"/>
  <c r="G181" i="15"/>
  <c r="H181" i="15"/>
  <c r="J181" i="15"/>
  <c r="AD181" i="15"/>
  <c r="B182" i="15"/>
  <c r="A182" i="15" s="1"/>
  <c r="C182" i="15"/>
  <c r="G182" i="15"/>
  <c r="H182" i="15"/>
  <c r="J182" i="15"/>
  <c r="AD182" i="15"/>
  <c r="B183" i="15"/>
  <c r="A183" i="15" s="1"/>
  <c r="C183" i="15"/>
  <c r="G183" i="15"/>
  <c r="H183" i="15"/>
  <c r="J183" i="15"/>
  <c r="AD183" i="15"/>
  <c r="B184" i="15"/>
  <c r="A184" i="15" s="1"/>
  <c r="C184" i="15"/>
  <c r="G184" i="15"/>
  <c r="H184" i="15"/>
  <c r="J184" i="15"/>
  <c r="AD184" i="15"/>
  <c r="B185" i="15"/>
  <c r="A185" i="15" s="1"/>
  <c r="C185" i="15"/>
  <c r="G185" i="15"/>
  <c r="H185" i="15"/>
  <c r="AG185" i="15"/>
  <c r="AD185" i="15" s="1"/>
  <c r="AI185" i="15"/>
  <c r="B186" i="15"/>
  <c r="A186" i="15" s="1"/>
  <c r="C186" i="15"/>
  <c r="G186" i="15"/>
  <c r="H186" i="15"/>
  <c r="AG186" i="15"/>
  <c r="AD186" i="15" s="1"/>
  <c r="AI186" i="15"/>
  <c r="B187" i="15"/>
  <c r="A187" i="15" s="1"/>
  <c r="C187" i="15"/>
  <c r="D187" i="15"/>
  <c r="G187" i="15"/>
  <c r="H187" i="15"/>
  <c r="J187" i="15"/>
  <c r="P187" i="15"/>
  <c r="AD187" i="15"/>
  <c r="AI187" i="15"/>
  <c r="B188" i="15"/>
  <c r="A188" i="15" s="1"/>
  <c r="C188" i="15"/>
  <c r="G188" i="15"/>
  <c r="H188" i="15"/>
  <c r="AD188" i="15"/>
  <c r="AI188" i="15"/>
  <c r="B189" i="15"/>
  <c r="A189" i="15" s="1"/>
  <c r="C189" i="15"/>
  <c r="G189" i="15"/>
  <c r="H189" i="15"/>
  <c r="AD189" i="15"/>
  <c r="AI189" i="15"/>
  <c r="B190" i="15"/>
  <c r="A190" i="15" s="1"/>
  <c r="C190" i="15"/>
  <c r="G190" i="15"/>
  <c r="H190" i="15"/>
  <c r="AD190" i="15"/>
  <c r="AI190" i="15"/>
  <c r="B191" i="15"/>
  <c r="A191" i="15" s="1"/>
  <c r="C191" i="15"/>
  <c r="G191" i="15"/>
  <c r="H191" i="15"/>
  <c r="AD191" i="15"/>
  <c r="AI191" i="15"/>
  <c r="B192" i="15"/>
  <c r="A192" i="15" s="1"/>
  <c r="C192" i="15"/>
  <c r="G192" i="15"/>
  <c r="H192" i="15"/>
  <c r="AD192" i="15"/>
  <c r="AI192" i="15"/>
  <c r="B193" i="15"/>
  <c r="A193" i="15" s="1"/>
  <c r="C193" i="15"/>
  <c r="G193" i="15"/>
  <c r="H193" i="15"/>
  <c r="AD193" i="15"/>
  <c r="AI193" i="15"/>
  <c r="B194" i="15"/>
  <c r="A194" i="15" s="1"/>
  <c r="C194" i="15"/>
  <c r="G194" i="15"/>
  <c r="H194" i="15"/>
  <c r="AD194" i="15"/>
  <c r="AI194" i="15"/>
  <c r="B195" i="15"/>
  <c r="A195" i="15" s="1"/>
  <c r="C195" i="15"/>
  <c r="G195" i="15"/>
  <c r="H195" i="15"/>
  <c r="AD195" i="15"/>
  <c r="AI195" i="15"/>
  <c r="B196" i="15"/>
  <c r="A196" i="15" s="1"/>
  <c r="C196" i="15"/>
  <c r="G196" i="15"/>
  <c r="H196" i="15"/>
  <c r="AD196" i="15"/>
  <c r="AI196" i="15"/>
  <c r="B197" i="15"/>
  <c r="A197" i="15" s="1"/>
  <c r="C197" i="15"/>
  <c r="G197" i="15"/>
  <c r="H197" i="15"/>
  <c r="AD197" i="15"/>
  <c r="AI197" i="15"/>
  <c r="B198" i="15"/>
  <c r="A198" i="15" s="1"/>
  <c r="C198" i="15"/>
  <c r="D198" i="15"/>
  <c r="G198" i="15"/>
  <c r="H198" i="15"/>
  <c r="J198" i="15"/>
  <c r="P198" i="15"/>
  <c r="AD198" i="15"/>
  <c r="AI198" i="15"/>
  <c r="B199" i="15"/>
  <c r="A199" i="15" s="1"/>
  <c r="C199" i="15"/>
  <c r="D199" i="15"/>
  <c r="G199" i="15"/>
  <c r="H199" i="15"/>
  <c r="J199" i="15"/>
  <c r="P199" i="15"/>
  <c r="AD199" i="15"/>
  <c r="AI199" i="15"/>
  <c r="B200" i="15"/>
  <c r="A200" i="15" s="1"/>
  <c r="C200" i="15"/>
  <c r="D200" i="15"/>
  <c r="G200" i="15"/>
  <c r="H200" i="15"/>
  <c r="J200" i="15"/>
  <c r="P200" i="15"/>
  <c r="AD200" i="15"/>
  <c r="AI200" i="15"/>
  <c r="B201" i="15"/>
  <c r="A201" i="15" s="1"/>
  <c r="C201" i="15"/>
  <c r="D201" i="15"/>
  <c r="G201" i="15"/>
  <c r="H201" i="15"/>
  <c r="J201" i="15"/>
  <c r="P201" i="15"/>
  <c r="AD201" i="15"/>
  <c r="AI201" i="15"/>
  <c r="B202" i="15"/>
  <c r="A202" i="15" s="1"/>
  <c r="C202" i="15"/>
  <c r="D202" i="15"/>
  <c r="G202" i="15"/>
  <c r="H202" i="15"/>
  <c r="J202" i="15"/>
  <c r="L202" i="15"/>
  <c r="P202" i="15"/>
  <c r="AD202" i="15"/>
  <c r="AI202" i="15"/>
  <c r="B203" i="15"/>
  <c r="A203" i="15" s="1"/>
  <c r="C203" i="15"/>
  <c r="D203" i="15"/>
  <c r="G203" i="15"/>
  <c r="H203" i="15"/>
  <c r="J203" i="15"/>
  <c r="L203" i="15"/>
  <c r="P203" i="15"/>
  <c r="AD203" i="15"/>
  <c r="AI203" i="15"/>
  <c r="B204" i="15"/>
  <c r="A204" i="15" s="1"/>
  <c r="C204" i="15"/>
  <c r="G204" i="15"/>
  <c r="H204" i="15"/>
  <c r="AD204" i="15"/>
  <c r="AI204" i="15"/>
  <c r="B205" i="15"/>
  <c r="A205" i="15" s="1"/>
  <c r="C205" i="15"/>
  <c r="G205" i="15"/>
  <c r="H205" i="15"/>
  <c r="AD205" i="15"/>
  <c r="AI205" i="15"/>
  <c r="B206" i="15"/>
  <c r="A206" i="15" s="1"/>
  <c r="C206" i="15"/>
  <c r="G206" i="15"/>
  <c r="H206" i="15"/>
  <c r="AD206" i="15"/>
  <c r="AI206" i="15"/>
  <c r="B207" i="15"/>
  <c r="A207" i="15" s="1"/>
  <c r="C207" i="15"/>
  <c r="G207" i="15"/>
  <c r="H207" i="15"/>
  <c r="AD207" i="15"/>
  <c r="AI207" i="15"/>
  <c r="B208" i="15"/>
  <c r="A208" i="15" s="1"/>
  <c r="C208" i="15"/>
  <c r="G208" i="15"/>
  <c r="H208" i="15"/>
  <c r="AD208" i="15"/>
  <c r="AI208" i="15"/>
  <c r="B209" i="15"/>
  <c r="A209" i="15" s="1"/>
  <c r="C209" i="15"/>
  <c r="G209" i="15"/>
  <c r="H209" i="15"/>
  <c r="AD209" i="15"/>
  <c r="AI209" i="15"/>
  <c r="B210" i="15"/>
  <c r="A210" i="15" s="1"/>
  <c r="C210" i="15"/>
  <c r="G210" i="15"/>
  <c r="H210" i="15"/>
  <c r="AD210" i="15"/>
  <c r="AI210" i="15"/>
  <c r="B211" i="15"/>
  <c r="A211" i="15" s="1"/>
  <c r="C211" i="15"/>
  <c r="G211" i="15"/>
  <c r="H211" i="15"/>
  <c r="AD211" i="15"/>
  <c r="AI211" i="15"/>
  <c r="B212" i="15"/>
  <c r="A212" i="15" s="1"/>
  <c r="C212" i="15"/>
  <c r="G212" i="15"/>
  <c r="H212" i="15"/>
  <c r="AD212" i="15"/>
  <c r="AI212" i="15"/>
  <c r="B213" i="15"/>
  <c r="A213" i="15" s="1"/>
  <c r="C213" i="15"/>
  <c r="G213" i="15"/>
  <c r="H213" i="15"/>
  <c r="AD213" i="15"/>
  <c r="AI213" i="15"/>
  <c r="B214" i="15"/>
  <c r="A214" i="15" s="1"/>
  <c r="C214" i="15"/>
  <c r="G214" i="15"/>
  <c r="H214" i="15"/>
  <c r="AD214" i="15"/>
  <c r="AI214" i="15"/>
  <c r="B215" i="15"/>
  <c r="A215" i="15" s="1"/>
  <c r="C215" i="15"/>
  <c r="G215" i="15"/>
  <c r="H215" i="15"/>
  <c r="AD215" i="15"/>
  <c r="AI215" i="15"/>
  <c r="B216" i="15"/>
  <c r="A216" i="15" s="1"/>
  <c r="C216" i="15"/>
  <c r="H216" i="15"/>
  <c r="X216" i="15"/>
  <c r="Z216" i="15" s="1"/>
  <c r="W216" i="15" s="1"/>
  <c r="AD216" i="15"/>
  <c r="AI216" i="15"/>
  <c r="B217" i="15"/>
  <c r="A217" i="15" s="1"/>
  <c r="C217" i="15"/>
  <c r="H217" i="15"/>
  <c r="X217" i="15"/>
  <c r="Z217" i="15" s="1"/>
  <c r="W217" i="15" s="1"/>
  <c r="AD217" i="15"/>
  <c r="AI217" i="15"/>
  <c r="B218" i="15"/>
  <c r="A218" i="15" s="1"/>
  <c r="C218" i="15"/>
  <c r="D218" i="15"/>
  <c r="G218" i="15"/>
  <c r="H218" i="15"/>
  <c r="AI218" i="15"/>
  <c r="B219" i="15"/>
  <c r="A219" i="15" s="1"/>
  <c r="C219" i="15"/>
  <c r="D219" i="15"/>
  <c r="G219" i="15"/>
  <c r="H219" i="15"/>
  <c r="AI219" i="15"/>
  <c r="B220" i="15"/>
  <c r="A220" i="15" s="1"/>
  <c r="C220" i="15"/>
  <c r="G220" i="15"/>
  <c r="H220" i="15"/>
  <c r="J220" i="15"/>
  <c r="P220" i="15"/>
  <c r="AD220" i="15"/>
  <c r="AI220" i="15"/>
  <c r="B221" i="15"/>
  <c r="A221" i="15" s="1"/>
  <c r="C221" i="15"/>
  <c r="G221" i="15"/>
  <c r="H221" i="15"/>
  <c r="J221" i="15"/>
  <c r="P221" i="15"/>
  <c r="AD221" i="15"/>
  <c r="AI221" i="15"/>
  <c r="B231" i="15"/>
  <c r="A231" i="15" s="1"/>
  <c r="C231" i="15"/>
  <c r="G231" i="15"/>
  <c r="H231" i="15"/>
  <c r="X231" i="15"/>
  <c r="Z231" i="15" s="1"/>
  <c r="W231" i="15" s="1"/>
  <c r="AD231" i="15"/>
  <c r="AI231" i="15"/>
  <c r="B232" i="15"/>
  <c r="A232" i="15" s="1"/>
  <c r="G232" i="15"/>
  <c r="H232" i="15"/>
  <c r="I232" i="15"/>
  <c r="O232" i="15"/>
  <c r="X232" i="15"/>
  <c r="Z232" i="15" s="1"/>
  <c r="W232" i="15" s="1"/>
  <c r="V232" i="15" s="1"/>
  <c r="AB232" i="15"/>
  <c r="AD232" i="15"/>
  <c r="AE232" i="15"/>
  <c r="AC232" i="15" s="1"/>
  <c r="AI232" i="15"/>
  <c r="B233" i="15"/>
  <c r="A233" i="15" s="1"/>
  <c r="G233" i="15"/>
  <c r="H233" i="15"/>
  <c r="I233" i="15"/>
  <c r="O233" i="15"/>
  <c r="X233" i="15"/>
  <c r="Z233" i="15" s="1"/>
  <c r="W233" i="15" s="1"/>
  <c r="V233" i="15" s="1"/>
  <c r="AB233" i="15"/>
  <c r="AD233" i="15"/>
  <c r="AE233" i="15"/>
  <c r="AC233" i="15" s="1"/>
  <c r="AI233" i="15"/>
  <c r="B234" i="15"/>
  <c r="A234" i="15" s="1"/>
  <c r="G234" i="15"/>
  <c r="H234" i="15"/>
  <c r="I234" i="15"/>
  <c r="O234" i="15"/>
  <c r="X234" i="15"/>
  <c r="Z234" i="15" s="1"/>
  <c r="W234" i="15" s="1"/>
  <c r="V234" i="15" s="1"/>
  <c r="AB234" i="15"/>
  <c r="AD234" i="15"/>
  <c r="AE234" i="15"/>
  <c r="AC234" i="15" s="1"/>
  <c r="AI234" i="15"/>
  <c r="B235" i="15"/>
  <c r="A235" i="15" s="1"/>
  <c r="G235" i="15"/>
  <c r="H235" i="15"/>
  <c r="I235" i="15"/>
  <c r="O235" i="15"/>
  <c r="X235" i="15"/>
  <c r="Z235" i="15" s="1"/>
  <c r="W235" i="15" s="1"/>
  <c r="V235" i="15" s="1"/>
  <c r="AB235" i="15"/>
  <c r="AD235" i="15"/>
  <c r="AE235" i="15"/>
  <c r="AC235" i="15" s="1"/>
  <c r="AI235" i="15"/>
  <c r="B238" i="15"/>
  <c r="A238" i="15" s="1"/>
  <c r="C238" i="15"/>
  <c r="G238" i="15"/>
  <c r="H238" i="15"/>
  <c r="AB238" i="15"/>
  <c r="AD238" i="15"/>
  <c r="AI238" i="15"/>
  <c r="B239" i="15"/>
  <c r="A239" i="15" s="1"/>
  <c r="C239" i="15"/>
  <c r="G239" i="15"/>
  <c r="H239" i="15"/>
  <c r="AB239" i="15"/>
  <c r="AD239" i="15"/>
  <c r="AI239" i="15"/>
  <c r="B240" i="15"/>
  <c r="A240" i="15" s="1"/>
  <c r="C240" i="15"/>
  <c r="G240" i="15"/>
  <c r="H240" i="15"/>
  <c r="AB240" i="15"/>
  <c r="AD240" i="15"/>
  <c r="AI240" i="15"/>
  <c r="B241" i="15"/>
  <c r="A241" i="15" s="1"/>
  <c r="C241" i="15"/>
  <c r="G241" i="15"/>
  <c r="H241" i="15"/>
  <c r="AB241" i="15"/>
  <c r="AD241" i="15"/>
  <c r="AI241" i="15"/>
  <c r="B242" i="15"/>
  <c r="A242" i="15" s="1"/>
  <c r="C242" i="15"/>
  <c r="G242" i="15"/>
  <c r="H242" i="15"/>
  <c r="AB242" i="15"/>
  <c r="AD242" i="15"/>
  <c r="AI242" i="15"/>
  <c r="B243" i="15"/>
  <c r="A243" i="15" s="1"/>
  <c r="C243" i="15"/>
  <c r="G243" i="15"/>
  <c r="H243" i="15"/>
  <c r="AB243" i="15"/>
  <c r="AD243" i="15"/>
  <c r="AI243" i="15"/>
  <c r="B244" i="15"/>
  <c r="A244" i="15" s="1"/>
  <c r="C244" i="15"/>
  <c r="G244" i="15"/>
  <c r="H244" i="15"/>
  <c r="AB244" i="15"/>
  <c r="AD244" i="15"/>
  <c r="AI244" i="15"/>
  <c r="B245" i="15"/>
  <c r="A245" i="15" s="1"/>
  <c r="C245" i="15"/>
  <c r="G245" i="15"/>
  <c r="H245" i="15"/>
  <c r="AB245" i="15"/>
  <c r="AD245" i="15"/>
  <c r="AI245" i="15"/>
  <c r="B246" i="15"/>
  <c r="A246" i="15" s="1"/>
  <c r="C246" i="15"/>
  <c r="G246" i="15"/>
  <c r="H246" i="15"/>
  <c r="AB246" i="15"/>
  <c r="AD246" i="15"/>
  <c r="AI246" i="15"/>
  <c r="B254" i="15"/>
  <c r="A254" i="15" s="1"/>
  <c r="C254" i="15"/>
  <c r="G254" i="15"/>
  <c r="H254" i="15"/>
  <c r="X254" i="15"/>
  <c r="Z254" i="15" s="1"/>
  <c r="W254" i="15" s="1"/>
  <c r="AB254" i="15"/>
  <c r="AD254" i="15"/>
  <c r="AI254" i="15"/>
  <c r="B255" i="15"/>
  <c r="A255" i="15" s="1"/>
  <c r="C255" i="15"/>
  <c r="G255" i="15"/>
  <c r="H255" i="15"/>
  <c r="X255" i="15"/>
  <c r="Z255" i="15" s="1"/>
  <c r="W255" i="15" s="1"/>
  <c r="AB255" i="15"/>
  <c r="AD255" i="15"/>
  <c r="AI255" i="15"/>
  <c r="B256" i="15"/>
  <c r="A256" i="15" s="1"/>
  <c r="C256" i="15"/>
  <c r="G256" i="15"/>
  <c r="H256" i="15"/>
  <c r="X256" i="15"/>
  <c r="Z256" i="15" s="1"/>
  <c r="W256" i="15" s="1"/>
  <c r="AB256" i="15"/>
  <c r="AD256" i="15"/>
  <c r="AI256" i="15"/>
  <c r="B257" i="15"/>
  <c r="A257" i="15" s="1"/>
  <c r="C257" i="15"/>
  <c r="G257" i="15"/>
  <c r="H257" i="15"/>
  <c r="X257" i="15"/>
  <c r="Z257" i="15" s="1"/>
  <c r="W257" i="15" s="1"/>
  <c r="AB257" i="15"/>
  <c r="AD257" i="15"/>
  <c r="AI257" i="15"/>
  <c r="B258" i="15"/>
  <c r="A258" i="15" s="1"/>
  <c r="C258" i="15"/>
  <c r="G258" i="15"/>
  <c r="H258" i="15"/>
  <c r="X258" i="15"/>
  <c r="Z258" i="15" s="1"/>
  <c r="W258" i="15" s="1"/>
  <c r="AB258" i="15"/>
  <c r="AD258" i="15"/>
  <c r="AI258" i="15"/>
  <c r="B259" i="15"/>
  <c r="A259" i="15" s="1"/>
  <c r="C259" i="15"/>
  <c r="G259" i="15"/>
  <c r="H259" i="15"/>
  <c r="X259" i="15"/>
  <c r="Z259" i="15" s="1"/>
  <c r="W259" i="15" s="1"/>
  <c r="AB259" i="15"/>
  <c r="AD259" i="15"/>
  <c r="AI259" i="15"/>
  <c r="B260" i="15"/>
  <c r="A260" i="15" s="1"/>
  <c r="C260" i="15"/>
  <c r="G260" i="15"/>
  <c r="H260" i="15"/>
  <c r="X260" i="15"/>
  <c r="Z260" i="15" s="1"/>
  <c r="W260" i="15" s="1"/>
  <c r="AB260" i="15"/>
  <c r="AD260" i="15"/>
  <c r="AI260" i="15"/>
  <c r="B261" i="15"/>
  <c r="A261" i="15" s="1"/>
  <c r="C261" i="15"/>
  <c r="G261" i="15"/>
  <c r="H261" i="15"/>
  <c r="X261" i="15"/>
  <c r="Z261" i="15" s="1"/>
  <c r="W261" i="15" s="1"/>
  <c r="AB261" i="15"/>
  <c r="AD261" i="15"/>
  <c r="AI261" i="15"/>
  <c r="B262" i="15"/>
  <c r="A262" i="15" s="1"/>
  <c r="C262" i="15"/>
  <c r="G262" i="15"/>
  <c r="H262" i="15"/>
  <c r="X262" i="15"/>
  <c r="Z262" i="15" s="1"/>
  <c r="W262" i="15" s="1"/>
  <c r="AB262" i="15"/>
  <c r="AD262" i="15"/>
  <c r="AI262" i="15"/>
  <c r="B263" i="15"/>
  <c r="A263" i="15" s="1"/>
  <c r="C263" i="15"/>
  <c r="G263" i="15"/>
  <c r="H263" i="15"/>
  <c r="X263" i="15"/>
  <c r="Z263" i="15" s="1"/>
  <c r="W263" i="15" s="1"/>
  <c r="AB263" i="15"/>
  <c r="AD263" i="15"/>
  <c r="AI263" i="15"/>
  <c r="B265" i="15"/>
  <c r="A265" i="15" s="1"/>
  <c r="C265" i="15"/>
  <c r="G265" i="15"/>
  <c r="H265" i="15"/>
  <c r="X265" i="15"/>
  <c r="Z265" i="15" s="1"/>
  <c r="W265" i="15" s="1"/>
  <c r="AB265" i="15"/>
  <c r="AD265" i="15"/>
  <c r="AI265" i="15"/>
  <c r="B267" i="15"/>
  <c r="A267" i="15" s="1"/>
  <c r="C267" i="15"/>
  <c r="G267" i="15"/>
  <c r="H267" i="15"/>
  <c r="X267" i="15"/>
  <c r="Z267" i="15" s="1"/>
  <c r="W267" i="15" s="1"/>
  <c r="AB267" i="15"/>
  <c r="AD267" i="15"/>
  <c r="AI267" i="15"/>
  <c r="B268" i="15"/>
  <c r="A268" i="15" s="1"/>
  <c r="C268" i="15"/>
  <c r="G268" i="15"/>
  <c r="H268" i="15"/>
  <c r="X268" i="15"/>
  <c r="Z268" i="15" s="1"/>
  <c r="W268" i="15" s="1"/>
  <c r="AB268" i="15"/>
  <c r="AD268" i="15"/>
  <c r="AI268" i="15"/>
  <c r="B269" i="15"/>
  <c r="A269" i="15" s="1"/>
  <c r="C269" i="15"/>
  <c r="G269" i="15"/>
  <c r="H269" i="15"/>
  <c r="X269" i="15"/>
  <c r="Z269" i="15" s="1"/>
  <c r="AB269" i="15"/>
  <c r="AD269" i="15"/>
  <c r="AI269" i="15"/>
  <c r="B270" i="15"/>
  <c r="A270" i="15" s="1"/>
  <c r="C270" i="15"/>
  <c r="G270" i="15"/>
  <c r="H270" i="15"/>
  <c r="X270" i="15"/>
  <c r="Z270" i="15" s="1"/>
  <c r="AB270" i="15"/>
  <c r="AD270" i="15"/>
  <c r="AI270" i="15"/>
  <c r="B271" i="15"/>
  <c r="A271" i="15" s="1"/>
  <c r="C271" i="15"/>
  <c r="G271" i="15"/>
  <c r="H271" i="15"/>
  <c r="X271" i="15"/>
  <c r="Z271" i="15" s="1"/>
  <c r="AB271" i="15"/>
  <c r="AD271" i="15"/>
  <c r="AI271" i="15"/>
  <c r="B272" i="15"/>
  <c r="A272" i="15" s="1"/>
  <c r="C272" i="15"/>
  <c r="G272" i="15"/>
  <c r="H272" i="15"/>
  <c r="X272" i="15"/>
  <c r="Z272" i="15" s="1"/>
  <c r="AB272" i="15"/>
  <c r="AD272" i="15"/>
  <c r="AI272" i="15"/>
  <c r="B273" i="15"/>
  <c r="A273" i="15" s="1"/>
  <c r="C273" i="15"/>
  <c r="G273" i="15"/>
  <c r="H273" i="15"/>
  <c r="X273" i="15"/>
  <c r="Z273" i="15" s="1"/>
  <c r="AB273" i="15"/>
  <c r="AD273" i="15"/>
  <c r="AI273" i="15"/>
  <c r="B276" i="15"/>
  <c r="A276" i="15" s="1"/>
  <c r="C276" i="15"/>
  <c r="G276" i="15"/>
  <c r="H276" i="15"/>
  <c r="X276" i="15"/>
  <c r="Z276" i="15" s="1"/>
  <c r="W276" i="15" s="1"/>
  <c r="AD276" i="15"/>
  <c r="AI276" i="15"/>
  <c r="B277" i="15"/>
  <c r="A277" i="15" s="1"/>
  <c r="C277" i="15"/>
  <c r="G277" i="15"/>
  <c r="H277" i="15"/>
  <c r="X277" i="15"/>
  <c r="Z277" i="15" s="1"/>
  <c r="W277" i="15" s="1"/>
  <c r="AB277" i="15"/>
  <c r="AD277" i="15"/>
  <c r="AI277" i="15"/>
  <c r="B278" i="15"/>
  <c r="A278" i="15" s="1"/>
  <c r="C278" i="15"/>
  <c r="G278" i="15"/>
  <c r="H278" i="15"/>
  <c r="X278" i="15"/>
  <c r="Z278" i="15" s="1"/>
  <c r="W278" i="15" s="1"/>
  <c r="AB278" i="15"/>
  <c r="AD278" i="15"/>
  <c r="AI278" i="15"/>
  <c r="B279" i="15"/>
  <c r="A279" i="15" s="1"/>
  <c r="C279" i="15"/>
  <c r="G279" i="15"/>
  <c r="H279" i="15"/>
  <c r="X279" i="15"/>
  <c r="Z279" i="15" s="1"/>
  <c r="W279" i="15" s="1"/>
  <c r="AB279" i="15"/>
  <c r="AD279" i="15"/>
  <c r="AI279" i="15"/>
  <c r="B280" i="15"/>
  <c r="A280" i="15" s="1"/>
  <c r="C280" i="15"/>
  <c r="G280" i="15"/>
  <c r="H280" i="15"/>
  <c r="X280" i="15"/>
  <c r="Z280" i="15" s="1"/>
  <c r="W280" i="15" s="1"/>
  <c r="AB280" i="15"/>
  <c r="AD280" i="15"/>
  <c r="AI280" i="15"/>
  <c r="B281" i="15"/>
  <c r="A281" i="15" s="1"/>
  <c r="C281" i="15"/>
  <c r="G281" i="15"/>
  <c r="H281" i="15"/>
  <c r="X281" i="15"/>
  <c r="Z281" i="15" s="1"/>
  <c r="W281" i="15" s="1"/>
  <c r="AB281" i="15"/>
  <c r="AD281" i="15"/>
  <c r="AI281" i="15"/>
  <c r="B282" i="15"/>
  <c r="A282" i="15" s="1"/>
  <c r="C282" i="15"/>
  <c r="G282" i="15"/>
  <c r="H282" i="15"/>
  <c r="X282" i="15"/>
  <c r="Z282" i="15" s="1"/>
  <c r="W282" i="15" s="1"/>
  <c r="AB282" i="15"/>
  <c r="AD282" i="15"/>
  <c r="AI282" i="15"/>
  <c r="B283" i="15"/>
  <c r="A283" i="15" s="1"/>
  <c r="C283" i="15"/>
  <c r="G283" i="15"/>
  <c r="H283" i="15"/>
  <c r="X283" i="15"/>
  <c r="Z283" i="15" s="1"/>
  <c r="W283" i="15" s="1"/>
  <c r="AB283" i="15"/>
  <c r="AD283" i="15"/>
  <c r="AI283" i="15"/>
  <c r="B284" i="15"/>
  <c r="A284" i="15" s="1"/>
  <c r="C284" i="15"/>
  <c r="D284" i="15"/>
  <c r="G284" i="15"/>
  <c r="H284" i="15"/>
  <c r="J284" i="15"/>
  <c r="P284" i="15"/>
  <c r="X284" i="15"/>
  <c r="Z284" i="15" s="1"/>
  <c r="W284" i="15" s="1"/>
  <c r="V284" i="15" s="1"/>
  <c r="AB284" i="15"/>
  <c r="AD284" i="15"/>
  <c r="AI284" i="15"/>
  <c r="B286" i="15"/>
  <c r="A286" i="15" s="1"/>
  <c r="C286" i="15"/>
  <c r="G286" i="15"/>
  <c r="H286" i="15"/>
  <c r="X286" i="15"/>
  <c r="Z286" i="15" s="1"/>
  <c r="AB286" i="15"/>
  <c r="AD286" i="15"/>
  <c r="AI286" i="15"/>
  <c r="B287" i="15"/>
  <c r="A287" i="15" s="1"/>
  <c r="C287" i="15"/>
  <c r="G287" i="15"/>
  <c r="H287" i="15"/>
  <c r="X287" i="15"/>
  <c r="Z287" i="15" s="1"/>
  <c r="AD287" i="15"/>
  <c r="AI287" i="15"/>
  <c r="B288" i="15"/>
  <c r="A288" i="15" s="1"/>
  <c r="C288" i="15"/>
  <c r="G288" i="15"/>
  <c r="H288" i="15"/>
  <c r="X288" i="15"/>
  <c r="Z288" i="15" s="1"/>
  <c r="AB288" i="15"/>
  <c r="AD288" i="15"/>
  <c r="AI288" i="15"/>
  <c r="B289" i="15"/>
  <c r="A289" i="15" s="1"/>
  <c r="C289" i="15"/>
  <c r="G289" i="15"/>
  <c r="H289" i="15"/>
  <c r="X289" i="15"/>
  <c r="Z289" i="15" s="1"/>
  <c r="AB289" i="15"/>
  <c r="AD289" i="15"/>
  <c r="AI289" i="15"/>
  <c r="B290" i="15"/>
  <c r="A290" i="15" s="1"/>
  <c r="C290" i="15"/>
  <c r="G290" i="15"/>
  <c r="H290" i="15"/>
  <c r="X290" i="15"/>
  <c r="Z290" i="15" s="1"/>
  <c r="AB290" i="15"/>
  <c r="AD290" i="15"/>
  <c r="AI290" i="15"/>
  <c r="B291" i="15"/>
  <c r="A291" i="15" s="1"/>
  <c r="C291" i="15"/>
  <c r="G291" i="15"/>
  <c r="H291" i="15"/>
  <c r="J291" i="15"/>
  <c r="P291" i="15"/>
  <c r="X291" i="15"/>
  <c r="Z291" i="15" s="1"/>
  <c r="AB291" i="15"/>
  <c r="AD291" i="15"/>
  <c r="AI291" i="15"/>
  <c r="B292" i="15"/>
  <c r="A292" i="15" s="1"/>
  <c r="C292" i="15"/>
  <c r="G292" i="15"/>
  <c r="H292" i="15"/>
  <c r="J292" i="15"/>
  <c r="P292" i="15"/>
  <c r="X292" i="15"/>
  <c r="Z292" i="15" s="1"/>
  <c r="AB292" i="15"/>
  <c r="AD292" i="15"/>
  <c r="AI292" i="15"/>
  <c r="B293" i="15"/>
  <c r="A293" i="15" s="1"/>
  <c r="C293" i="15"/>
  <c r="G293" i="15"/>
  <c r="H293" i="15"/>
  <c r="J293" i="15"/>
  <c r="P293" i="15"/>
  <c r="X293" i="15"/>
  <c r="Z293" i="15" s="1"/>
  <c r="AB293" i="15"/>
  <c r="AD293" i="15"/>
  <c r="AI293" i="15"/>
  <c r="B294" i="15"/>
  <c r="A294" i="15" s="1"/>
  <c r="C294" i="15"/>
  <c r="G294" i="15"/>
  <c r="H294" i="15"/>
  <c r="J294" i="15"/>
  <c r="P294" i="15"/>
  <c r="X294" i="15"/>
  <c r="Z294" i="15" s="1"/>
  <c r="AB294" i="15"/>
  <c r="AD294" i="15"/>
  <c r="AI294" i="15"/>
  <c r="B295" i="15"/>
  <c r="A295" i="15" s="1"/>
  <c r="C295" i="15"/>
  <c r="G295" i="15"/>
  <c r="H295" i="15"/>
  <c r="J295" i="15"/>
  <c r="P295" i="15"/>
  <c r="X295" i="15"/>
  <c r="Z295" i="15" s="1"/>
  <c r="AB295" i="15"/>
  <c r="AD295" i="15"/>
  <c r="AI295" i="15"/>
  <c r="B297" i="15"/>
  <c r="A297" i="15" s="1"/>
  <c r="C297" i="15"/>
  <c r="D297" i="15"/>
  <c r="G297" i="15"/>
  <c r="H297" i="15"/>
  <c r="J297" i="15"/>
  <c r="P297" i="15"/>
  <c r="X297" i="15"/>
  <c r="Z297" i="15" s="1"/>
  <c r="AB297" i="15"/>
  <c r="AD297" i="15"/>
  <c r="AI297" i="15"/>
  <c r="B300" i="15"/>
  <c r="A300" i="15" s="1"/>
  <c r="C300" i="15"/>
  <c r="D300" i="15"/>
  <c r="G300" i="15"/>
  <c r="H300" i="15"/>
  <c r="J300" i="15"/>
  <c r="P300" i="15"/>
  <c r="X300" i="15"/>
  <c r="Z300" i="15" s="1"/>
  <c r="AB300" i="15"/>
  <c r="AD300" i="15"/>
  <c r="AI300" i="15"/>
  <c r="B301" i="15"/>
  <c r="A301" i="15" s="1"/>
  <c r="C301" i="15"/>
  <c r="D301" i="15"/>
  <c r="G301" i="15"/>
  <c r="H301" i="15"/>
  <c r="J301" i="15"/>
  <c r="P301" i="15"/>
  <c r="X301" i="15"/>
  <c r="Z301" i="15" s="1"/>
  <c r="AB301" i="15"/>
  <c r="AD301" i="15"/>
  <c r="AI301" i="15"/>
  <c r="B302" i="15"/>
  <c r="A302" i="15" s="1"/>
  <c r="C302" i="15"/>
  <c r="D302" i="15"/>
  <c r="G302" i="15"/>
  <c r="H302" i="15"/>
  <c r="J302" i="15"/>
  <c r="P302" i="15"/>
  <c r="X302" i="15"/>
  <c r="Z302" i="15" s="1"/>
  <c r="AB302" i="15"/>
  <c r="AD302" i="15"/>
  <c r="AI302" i="15"/>
  <c r="B303" i="15"/>
  <c r="A303" i="15" s="1"/>
  <c r="C303" i="15"/>
  <c r="D303" i="15"/>
  <c r="G303" i="15"/>
  <c r="H303" i="15"/>
  <c r="J303" i="15"/>
  <c r="P303" i="15"/>
  <c r="X303" i="15"/>
  <c r="Z303" i="15" s="1"/>
  <c r="AB303" i="15"/>
  <c r="AD303" i="15"/>
  <c r="AI303" i="15"/>
  <c r="B304" i="15"/>
  <c r="A304" i="15" s="1"/>
  <c r="C304" i="15"/>
  <c r="G304" i="15"/>
  <c r="H304" i="15"/>
  <c r="J304" i="15"/>
  <c r="P304" i="15"/>
  <c r="X304" i="15"/>
  <c r="Z304" i="15" s="1"/>
  <c r="AD304" i="15"/>
  <c r="AI304" i="15"/>
  <c r="B305" i="15"/>
  <c r="A305" i="15" s="1"/>
  <c r="C305" i="15"/>
  <c r="G305" i="15"/>
  <c r="H305" i="15"/>
  <c r="J305" i="15"/>
  <c r="P305" i="15"/>
  <c r="X305" i="15"/>
  <c r="Z305" i="15" s="1"/>
  <c r="AD305" i="15"/>
  <c r="AI305" i="15"/>
  <c r="B306" i="15"/>
  <c r="A306" i="15" s="1"/>
  <c r="C306" i="15"/>
  <c r="G306" i="15"/>
  <c r="H306" i="15"/>
  <c r="X306" i="15"/>
  <c r="Z306" i="15" s="1"/>
  <c r="W306" i="15" s="1"/>
  <c r="AB306" i="15"/>
  <c r="AD306" i="15"/>
  <c r="AI306" i="15"/>
  <c r="B307" i="15"/>
  <c r="A307" i="15" s="1"/>
  <c r="C307" i="15"/>
  <c r="G307" i="15"/>
  <c r="H307" i="15"/>
  <c r="X307" i="15"/>
  <c r="Z307" i="15" s="1"/>
  <c r="W307" i="15" s="1"/>
  <c r="AB307" i="15"/>
  <c r="AD307" i="15"/>
  <c r="AI307" i="15"/>
  <c r="B308" i="15"/>
  <c r="A308" i="15" s="1"/>
  <c r="C308" i="15"/>
  <c r="G308" i="15"/>
  <c r="H308" i="15"/>
  <c r="X308" i="15"/>
  <c r="Z308" i="15" s="1"/>
  <c r="W308" i="15" s="1"/>
  <c r="AB308" i="15"/>
  <c r="AD308" i="15"/>
  <c r="AI308" i="15"/>
  <c r="B309" i="15"/>
  <c r="A309" i="15" s="1"/>
  <c r="C309" i="15"/>
  <c r="G309" i="15"/>
  <c r="H309" i="15"/>
  <c r="X309" i="15"/>
  <c r="Z309" i="15" s="1"/>
  <c r="W309" i="15" s="1"/>
  <c r="AB309" i="15"/>
  <c r="AD309" i="15"/>
  <c r="AI309" i="15"/>
  <c r="B310" i="15"/>
  <c r="A310" i="15" s="1"/>
  <c r="C310" i="15"/>
  <c r="G310" i="15"/>
  <c r="H310" i="15"/>
  <c r="X310" i="15"/>
  <c r="Z310" i="15" s="1"/>
  <c r="W310" i="15" s="1"/>
  <c r="AB310" i="15"/>
  <c r="AD310" i="15"/>
  <c r="AI310" i="15"/>
  <c r="B311" i="15"/>
  <c r="A311" i="15" s="1"/>
  <c r="C311" i="15"/>
  <c r="G311" i="15"/>
  <c r="H311" i="15"/>
  <c r="X311" i="15"/>
  <c r="Z311" i="15" s="1"/>
  <c r="W311" i="15" s="1"/>
  <c r="AB311" i="15"/>
  <c r="AD311" i="15"/>
  <c r="AI311" i="15"/>
  <c r="B312" i="15"/>
  <c r="A312" i="15" s="1"/>
  <c r="C312" i="15"/>
  <c r="G312" i="15"/>
  <c r="H312" i="15"/>
  <c r="X312" i="15"/>
  <c r="Z312" i="15" s="1"/>
  <c r="W312" i="15" s="1"/>
  <c r="AB312" i="15"/>
  <c r="AD312" i="15"/>
  <c r="AI312" i="15"/>
  <c r="B313" i="15"/>
  <c r="A313" i="15" s="1"/>
  <c r="C313" i="15"/>
  <c r="G313" i="15"/>
  <c r="H313" i="15"/>
  <c r="X313" i="15"/>
  <c r="Z313" i="15" s="1"/>
  <c r="AB313" i="15"/>
  <c r="AD313" i="15"/>
  <c r="AI313" i="15"/>
  <c r="B314" i="15"/>
  <c r="A314" i="15" s="1"/>
  <c r="C314" i="15"/>
  <c r="G314" i="15"/>
  <c r="H314" i="15"/>
  <c r="X314" i="15"/>
  <c r="Z314" i="15" s="1"/>
  <c r="AB314" i="15"/>
  <c r="AD314" i="15"/>
  <c r="AI314" i="15"/>
  <c r="B315" i="15"/>
  <c r="A315" i="15" s="1"/>
  <c r="C315" i="15"/>
  <c r="G315" i="15"/>
  <c r="H315" i="15"/>
  <c r="X315" i="15"/>
  <c r="Z315" i="15" s="1"/>
  <c r="AB315" i="15"/>
  <c r="AD315" i="15"/>
  <c r="AI315" i="15"/>
  <c r="B316" i="15"/>
  <c r="A316" i="15" s="1"/>
  <c r="C316" i="15"/>
  <c r="G316" i="15"/>
  <c r="H316" i="15"/>
  <c r="X316" i="15"/>
  <c r="Z316" i="15" s="1"/>
  <c r="AB316" i="15"/>
  <c r="AD316" i="15"/>
  <c r="AI316" i="15"/>
  <c r="B317" i="15"/>
  <c r="A317" i="15" s="1"/>
  <c r="C317" i="15"/>
  <c r="G317" i="15"/>
  <c r="H317" i="15"/>
  <c r="X317" i="15"/>
  <c r="Z317" i="15" s="1"/>
  <c r="AB317" i="15"/>
  <c r="AD317" i="15"/>
  <c r="AI317" i="15"/>
  <c r="B318" i="15"/>
  <c r="A318" i="15" s="1"/>
  <c r="C318" i="15"/>
  <c r="G318" i="15"/>
  <c r="H318" i="15"/>
  <c r="X318" i="15"/>
  <c r="Z318" i="15" s="1"/>
  <c r="AB318" i="15"/>
  <c r="AD318" i="15"/>
  <c r="AI318" i="15"/>
  <c r="B319" i="15"/>
  <c r="A319" i="15" s="1"/>
  <c r="C319" i="15"/>
  <c r="G319" i="15"/>
  <c r="H319" i="15"/>
  <c r="X319" i="15"/>
  <c r="Z319" i="15" s="1"/>
  <c r="AB319" i="15"/>
  <c r="AD319" i="15"/>
  <c r="AI319" i="15"/>
  <c r="B320" i="15"/>
  <c r="A320" i="15" s="1"/>
  <c r="C320" i="15"/>
  <c r="G320" i="15"/>
  <c r="H320" i="15"/>
  <c r="X320" i="15"/>
  <c r="Z320" i="15" s="1"/>
  <c r="W320" i="15" s="1"/>
  <c r="AB320" i="15"/>
  <c r="AD320" i="15"/>
  <c r="AI320" i="15"/>
  <c r="B321" i="15"/>
  <c r="A321" i="15" s="1"/>
  <c r="C321" i="15"/>
  <c r="G321" i="15"/>
  <c r="H321" i="15"/>
  <c r="X321" i="15"/>
  <c r="Z321" i="15" s="1"/>
  <c r="W321" i="15" s="1"/>
  <c r="AB321" i="15"/>
  <c r="AD321" i="15"/>
  <c r="AI321" i="15"/>
  <c r="B322" i="15"/>
  <c r="A322" i="15" s="1"/>
  <c r="C322" i="15"/>
  <c r="G322" i="15"/>
  <c r="H322" i="15"/>
  <c r="X322" i="15"/>
  <c r="Z322" i="15" s="1"/>
  <c r="W322" i="15" s="1"/>
  <c r="AB322" i="15"/>
  <c r="AD322" i="15"/>
  <c r="AI322" i="15"/>
  <c r="B323" i="15"/>
  <c r="A323" i="15" s="1"/>
  <c r="C323" i="15"/>
  <c r="G323" i="15"/>
  <c r="H323" i="15"/>
  <c r="X323" i="15"/>
  <c r="Z323" i="15" s="1"/>
  <c r="AB323" i="15"/>
  <c r="AD323" i="15"/>
  <c r="AI323" i="15"/>
  <c r="B324" i="15"/>
  <c r="A324" i="15" s="1"/>
  <c r="C324" i="15"/>
  <c r="G324" i="15"/>
  <c r="H324" i="15"/>
  <c r="X324" i="15"/>
  <c r="Z324" i="15" s="1"/>
  <c r="W324" i="15" s="1"/>
  <c r="AB324" i="15"/>
  <c r="AD324" i="15"/>
  <c r="AI324" i="15"/>
  <c r="B325" i="15"/>
  <c r="A325" i="15" s="1"/>
  <c r="C325" i="15"/>
  <c r="G325" i="15"/>
  <c r="H325" i="15"/>
  <c r="X325" i="15"/>
  <c r="Z325" i="15" s="1"/>
  <c r="W325" i="15" s="1"/>
  <c r="AB325" i="15"/>
  <c r="AD325" i="15"/>
  <c r="AI325" i="15"/>
  <c r="B326" i="15"/>
  <c r="A326" i="15" s="1"/>
  <c r="C326" i="15"/>
  <c r="G326" i="15"/>
  <c r="H326" i="15"/>
  <c r="X326" i="15"/>
  <c r="Z326" i="15" s="1"/>
  <c r="W326" i="15" s="1"/>
  <c r="AB326" i="15"/>
  <c r="AD326" i="15"/>
  <c r="AI326" i="15"/>
  <c r="B327" i="15"/>
  <c r="A327" i="15" s="1"/>
  <c r="C327" i="15"/>
  <c r="G327" i="15"/>
  <c r="H327" i="15"/>
  <c r="X327" i="15"/>
  <c r="Z327" i="15" s="1"/>
  <c r="AB327" i="15"/>
  <c r="AD327" i="15"/>
  <c r="AI327" i="15"/>
  <c r="B330" i="15"/>
  <c r="A330" i="15" s="1"/>
  <c r="C330" i="15"/>
  <c r="G330" i="15"/>
  <c r="H330" i="15"/>
  <c r="X330" i="15"/>
  <c r="Z330" i="15" s="1"/>
  <c r="W330" i="15" s="1"/>
  <c r="AB330" i="15"/>
  <c r="AD330" i="15"/>
  <c r="AI330" i="15"/>
  <c r="B331" i="15"/>
  <c r="A331" i="15" s="1"/>
  <c r="C331" i="15"/>
  <c r="G331" i="15"/>
  <c r="H331" i="15"/>
  <c r="X331" i="15"/>
  <c r="Z331" i="15" s="1"/>
  <c r="W331" i="15" s="1"/>
  <c r="AB331" i="15"/>
  <c r="AD331" i="15"/>
  <c r="AI331" i="15"/>
  <c r="B332" i="15"/>
  <c r="A332" i="15" s="1"/>
  <c r="C332" i="15"/>
  <c r="G332" i="15"/>
  <c r="H332" i="15"/>
  <c r="X332" i="15"/>
  <c r="Z332" i="15" s="1"/>
  <c r="W332" i="15" s="1"/>
  <c r="AB332" i="15"/>
  <c r="AD332" i="15"/>
  <c r="AI332" i="15"/>
  <c r="B333" i="15"/>
  <c r="A333" i="15" s="1"/>
  <c r="C333" i="15"/>
  <c r="G333" i="15"/>
  <c r="H333" i="15"/>
  <c r="I333" i="15"/>
  <c r="O333" i="15"/>
  <c r="W333" i="15" s="1"/>
  <c r="V333" i="15" s="1"/>
  <c r="U333" i="15" s="1"/>
  <c r="X333" i="15"/>
  <c r="AI333" i="15"/>
  <c r="DG29" i="11"/>
  <c r="AA237" i="15" s="1"/>
  <c r="DG28" i="11"/>
  <c r="AA236" i="15" s="1"/>
  <c r="U234" i="15" l="1"/>
  <c r="U233" i="15"/>
  <c r="U232" i="15"/>
  <c r="U235" i="15"/>
  <c r="Z50" i="15"/>
  <c r="AI183" i="15"/>
  <c r="AI184" i="15" s="1"/>
  <c r="AI133" i="15"/>
  <c r="AI134" i="15" s="1"/>
  <c r="AI135" i="15" s="1"/>
  <c r="AI136" i="15" s="1"/>
  <c r="AI137" i="15" s="1"/>
  <c r="AI138" i="15" s="1"/>
  <c r="Z49" i="15"/>
  <c r="AF29" i="11"/>
  <c r="V29" i="11"/>
  <c r="B29" i="11"/>
  <c r="AF28" i="11"/>
  <c r="V28" i="11"/>
  <c r="B28" i="11"/>
  <c r="F60" i="2" l="1"/>
  <c r="AF60" i="2" s="1"/>
  <c r="Q324" i="6"/>
  <c r="Q610" i="6"/>
  <c r="Q906" i="6"/>
  <c r="Q533" i="6"/>
  <c r="I254" i="15" l="1"/>
  <c r="AF8" i="11"/>
  <c r="AF9" i="11"/>
  <c r="AF10" i="11"/>
  <c r="AF7" i="11"/>
  <c r="AF47" i="22"/>
  <c r="AF48" i="22"/>
  <c r="AF49" i="22"/>
  <c r="AF50" i="22"/>
  <c r="AF46" i="22"/>
  <c r="H985" i="7"/>
  <c r="AR985" i="7" s="1"/>
  <c r="H984" i="7"/>
  <c r="AR984" i="7" s="1"/>
  <c r="AR976" i="7"/>
  <c r="AR977" i="7"/>
  <c r="AR978" i="7"/>
  <c r="AR979" i="7"/>
  <c r="AR980" i="7"/>
  <c r="AR981" i="7"/>
  <c r="AR982" i="7"/>
  <c r="AR983" i="7"/>
  <c r="AR975" i="7"/>
  <c r="AF976" i="7"/>
  <c r="AF977" i="7"/>
  <c r="AF978" i="7"/>
  <c r="AF979" i="7"/>
  <c r="AF980" i="7"/>
  <c r="AF981" i="7"/>
  <c r="AF982" i="7"/>
  <c r="AF983" i="7"/>
  <c r="AF984" i="7"/>
  <c r="AF985" i="7"/>
  <c r="AF975" i="7"/>
  <c r="AF946" i="7"/>
  <c r="AF957" i="7"/>
  <c r="AF958" i="7"/>
  <c r="AF959" i="7"/>
  <c r="AF960" i="7"/>
  <c r="AF961" i="7"/>
  <c r="AF923" i="7"/>
  <c r="AF924" i="7"/>
  <c r="AF922" i="7"/>
  <c r="AF898" i="7"/>
  <c r="AF899" i="7"/>
  <c r="AF900" i="7"/>
  <c r="AF901" i="7"/>
  <c r="AF902" i="7"/>
  <c r="AF903" i="7"/>
  <c r="AF904" i="7"/>
  <c r="AF905" i="7"/>
  <c r="AF906" i="7"/>
  <c r="AF908" i="7"/>
  <c r="AF897" i="7"/>
  <c r="AF855" i="7"/>
  <c r="AF856" i="7"/>
  <c r="AF857" i="7"/>
  <c r="AF858" i="7"/>
  <c r="AF859" i="7"/>
  <c r="AF860" i="7"/>
  <c r="AF861" i="7"/>
  <c r="AF862" i="7"/>
  <c r="AF863" i="7"/>
  <c r="AF864" i="7"/>
  <c r="AF865" i="7"/>
  <c r="AF866" i="7"/>
  <c r="AF867" i="7"/>
  <c r="AF868" i="7"/>
  <c r="AF869" i="7"/>
  <c r="AF870" i="7"/>
  <c r="AF871" i="7"/>
  <c r="AF872" i="7"/>
  <c r="AF873" i="7"/>
  <c r="AF874" i="7"/>
  <c r="AF875" i="7"/>
  <c r="AF876" i="7"/>
  <c r="AF877" i="7"/>
  <c r="AF878" i="7"/>
  <c r="AF879" i="7"/>
  <c r="AF880" i="7"/>
  <c r="AF881" i="7"/>
  <c r="AF882" i="7"/>
  <c r="AF883" i="7"/>
  <c r="AF884" i="7"/>
  <c r="AF885" i="7"/>
  <c r="AF886" i="7"/>
  <c r="AF887" i="7"/>
  <c r="AF888" i="7"/>
  <c r="AF889" i="7"/>
  <c r="AF890" i="7"/>
  <c r="AF891" i="7"/>
  <c r="AF892" i="7"/>
  <c r="AF893" i="7"/>
  <c r="AF894" i="7"/>
  <c r="AF854" i="7"/>
  <c r="AF794" i="7"/>
  <c r="AF795" i="7"/>
  <c r="AF796" i="7"/>
  <c r="AF797" i="7"/>
  <c r="AF798" i="7"/>
  <c r="AF799" i="7"/>
  <c r="AF800" i="7"/>
  <c r="AF801" i="7"/>
  <c r="AF802" i="7"/>
  <c r="AF803" i="7"/>
  <c r="AF804" i="7"/>
  <c r="AF805" i="7"/>
  <c r="AF806" i="7"/>
  <c r="AF807" i="7"/>
  <c r="AF808" i="7"/>
  <c r="AF809" i="7"/>
  <c r="AF810" i="7"/>
  <c r="AF811" i="7"/>
  <c r="AF812" i="7"/>
  <c r="AF813" i="7"/>
  <c r="AF814" i="7"/>
  <c r="AF815" i="7"/>
  <c r="AF816" i="7"/>
  <c r="AF817" i="7"/>
  <c r="AF818" i="7"/>
  <c r="AF821" i="7"/>
  <c r="AF822" i="7"/>
  <c r="AF823" i="7"/>
  <c r="AF824" i="7"/>
  <c r="AF825" i="7"/>
  <c r="AF826" i="7"/>
  <c r="AF827" i="7"/>
  <c r="AF828" i="7"/>
  <c r="AF793" i="7"/>
  <c r="AF751" i="7"/>
  <c r="AF753" i="7"/>
  <c r="AF754" i="7"/>
  <c r="AF755" i="7"/>
  <c r="AF756" i="7"/>
  <c r="AF757" i="7"/>
  <c r="AF758" i="7"/>
  <c r="AF759" i="7"/>
  <c r="AF760" i="7"/>
  <c r="AF761" i="7"/>
  <c r="AF762" i="7"/>
  <c r="AF763" i="7"/>
  <c r="AF764" i="7"/>
  <c r="AF765" i="7"/>
  <c r="AF715" i="7"/>
  <c r="AF716" i="7"/>
  <c r="AF717" i="7"/>
  <c r="AF718" i="7"/>
  <c r="AF719" i="7"/>
  <c r="AF720" i="7"/>
  <c r="AF721" i="7"/>
  <c r="AF722" i="7"/>
  <c r="AF723" i="7"/>
  <c r="AF724" i="7"/>
  <c r="AF725" i="7"/>
  <c r="AF726" i="7"/>
  <c r="AF727" i="7"/>
  <c r="AF728" i="7"/>
  <c r="AF729" i="7"/>
  <c r="AF730" i="7"/>
  <c r="AF731" i="7"/>
  <c r="AF732" i="7"/>
  <c r="AF733" i="7"/>
  <c r="AF734" i="7"/>
  <c r="AF735" i="7"/>
  <c r="AF736" i="7"/>
  <c r="AF737" i="7"/>
  <c r="AF714" i="7"/>
  <c r="AF678" i="7"/>
  <c r="AF679" i="7"/>
  <c r="AF680" i="7"/>
  <c r="AF681" i="7"/>
  <c r="AF682" i="7"/>
  <c r="AF683" i="7"/>
  <c r="AF684" i="7"/>
  <c r="AF685" i="7"/>
  <c r="AF686" i="7"/>
  <c r="AF687" i="7"/>
  <c r="AF688" i="7"/>
  <c r="AF689" i="7"/>
  <c r="AF690" i="7"/>
  <c r="AF691" i="7"/>
  <c r="AF692" i="7"/>
  <c r="AF693" i="7"/>
  <c r="AF694" i="7"/>
  <c r="AF695" i="7"/>
  <c r="AF677" i="7"/>
  <c r="AF643" i="7"/>
  <c r="AF644" i="7"/>
  <c r="AF645" i="7"/>
  <c r="AF646" i="7"/>
  <c r="AF647" i="7"/>
  <c r="AF648" i="7"/>
  <c r="AF649" i="7"/>
  <c r="AF650" i="7"/>
  <c r="AF651" i="7"/>
  <c r="AF652" i="7"/>
  <c r="AF653" i="7"/>
  <c r="AF654" i="7"/>
  <c r="AF655" i="7"/>
  <c r="AF656" i="7"/>
  <c r="AF657" i="7"/>
  <c r="AF658" i="7"/>
  <c r="AF659" i="7"/>
  <c r="AF660" i="7"/>
  <c r="AF642" i="7"/>
  <c r="AF614" i="7"/>
  <c r="AF616" i="7"/>
  <c r="AF617" i="7"/>
  <c r="AF618" i="7"/>
  <c r="AF619" i="7"/>
  <c r="AF620" i="7"/>
  <c r="AF622" i="7"/>
  <c r="AF623" i="7"/>
  <c r="AF624" i="7"/>
  <c r="AF613" i="7"/>
  <c r="AF569" i="7"/>
  <c r="AF570" i="7"/>
  <c r="AF571" i="7"/>
  <c r="AF572" i="7"/>
  <c r="AF573" i="7"/>
  <c r="AF574" i="7"/>
  <c r="AF575" i="7"/>
  <c r="AF580" i="7"/>
  <c r="AF581" i="7"/>
  <c r="AF582" i="7"/>
  <c r="AF583" i="7"/>
  <c r="AF584" i="7"/>
  <c r="AF585" i="7"/>
  <c r="AF586" i="7"/>
  <c r="AF587" i="7"/>
  <c r="AF588" i="7"/>
  <c r="AF589" i="7"/>
  <c r="AF590" i="7"/>
  <c r="AF591" i="7"/>
  <c r="AF592" i="7"/>
  <c r="AF593" i="7"/>
  <c r="AF594" i="7"/>
  <c r="AF595" i="7"/>
  <c r="AF597" i="7"/>
  <c r="AF599" i="7"/>
  <c r="AF534" i="7"/>
  <c r="AF535" i="7"/>
  <c r="AF536" i="7"/>
  <c r="AF537" i="7"/>
  <c r="AF538" i="7"/>
  <c r="AF539" i="7"/>
  <c r="AF540" i="7"/>
  <c r="AF541" i="7"/>
  <c r="AF542" i="7"/>
  <c r="AF543" i="7"/>
  <c r="AF544" i="7"/>
  <c r="AF545" i="7"/>
  <c r="AF546" i="7"/>
  <c r="AF547" i="7"/>
  <c r="AF548" i="7"/>
  <c r="AF533" i="7"/>
  <c r="AF495" i="7"/>
  <c r="AF498" i="7"/>
  <c r="AF499" i="7"/>
  <c r="AF500" i="7"/>
  <c r="AF501" i="7"/>
  <c r="AF502" i="7"/>
  <c r="AF503" i="7"/>
  <c r="AF504" i="7"/>
  <c r="AF505" i="7"/>
  <c r="AF506" i="7"/>
  <c r="AF507" i="7"/>
  <c r="AF508" i="7"/>
  <c r="AF509" i="7"/>
  <c r="AF510" i="7"/>
  <c r="AF511" i="7"/>
  <c r="AF512" i="7"/>
  <c r="AF513" i="7"/>
  <c r="AF494" i="7"/>
  <c r="AF470" i="7"/>
  <c r="AF471" i="7"/>
  <c r="AF472" i="7"/>
  <c r="AF473" i="7"/>
  <c r="AF474" i="7"/>
  <c r="AF475" i="7"/>
  <c r="AF476" i="7"/>
  <c r="AF477" i="7"/>
  <c r="AF478" i="7"/>
  <c r="AF479" i="7"/>
  <c r="AF469" i="7"/>
  <c r="AF435" i="7"/>
  <c r="AF436" i="7"/>
  <c r="AF437" i="7"/>
  <c r="AF438" i="7"/>
  <c r="AF440" i="7"/>
  <c r="AF441" i="7"/>
  <c r="AF442" i="7"/>
  <c r="AF443" i="7"/>
  <c r="AF444" i="7"/>
  <c r="AF445" i="7"/>
  <c r="AF446" i="7"/>
  <c r="AF447" i="7"/>
  <c r="AF448" i="7"/>
  <c r="AF449" i="7"/>
  <c r="AF450" i="7"/>
  <c r="AF451" i="7"/>
  <c r="AF433" i="7"/>
  <c r="AF138" i="7"/>
  <c r="AF139" i="7"/>
  <c r="AF140" i="7"/>
  <c r="AF141" i="7"/>
  <c r="AF142" i="7"/>
  <c r="AF143" i="7"/>
  <c r="AF144" i="7"/>
  <c r="AF145" i="7"/>
  <c r="AF146" i="7"/>
  <c r="AF147" i="7"/>
  <c r="AF148" i="7"/>
  <c r="AF149" i="7"/>
  <c r="AF150" i="7"/>
  <c r="AF151" i="7"/>
  <c r="AF152" i="7"/>
  <c r="AF153" i="7"/>
  <c r="AF154" i="7"/>
  <c r="AF155" i="7"/>
  <c r="AF156" i="7"/>
  <c r="AF157" i="7"/>
  <c r="AF158" i="7"/>
  <c r="AF159" i="7"/>
  <c r="AF160" i="7"/>
  <c r="AF161" i="7"/>
  <c r="AF162" i="7"/>
  <c r="AF163" i="7"/>
  <c r="AF164" i="7"/>
  <c r="AF165" i="7"/>
  <c r="AF166" i="7"/>
  <c r="AF167" i="7"/>
  <c r="AF168" i="7"/>
  <c r="AF169" i="7"/>
  <c r="AF170" i="7"/>
  <c r="AF171" i="7"/>
  <c r="AF172" i="7"/>
  <c r="AF173" i="7"/>
  <c r="AF174" i="7"/>
  <c r="AF175" i="7"/>
  <c r="AF176" i="7"/>
  <c r="AF177" i="7"/>
  <c r="AF178" i="7"/>
  <c r="AF179" i="7"/>
  <c r="AF180" i="7"/>
  <c r="AF181" i="7"/>
  <c r="AF182" i="7"/>
  <c r="AF183" i="7"/>
  <c r="AF184" i="7"/>
  <c r="AF185" i="7"/>
  <c r="AF186" i="7"/>
  <c r="AF187" i="7"/>
  <c r="AF188" i="7"/>
  <c r="AF189" i="7"/>
  <c r="AF190" i="7"/>
  <c r="AF191" i="7"/>
  <c r="AF192" i="7"/>
  <c r="AF193" i="7"/>
  <c r="AF194" i="7"/>
  <c r="AF195" i="7"/>
  <c r="AF196" i="7"/>
  <c r="AF197" i="7"/>
  <c r="AF198" i="7"/>
  <c r="AF199" i="7"/>
  <c r="AF200" i="7"/>
  <c r="AF201" i="7"/>
  <c r="AF202" i="7"/>
  <c r="AF203" i="7"/>
  <c r="AF204" i="7"/>
  <c r="AF205" i="7"/>
  <c r="AF206" i="7"/>
  <c r="AF207" i="7"/>
  <c r="AF208" i="7"/>
  <c r="AF209" i="7"/>
  <c r="AF210" i="7"/>
  <c r="AF211" i="7"/>
  <c r="AF212" i="7"/>
  <c r="AF213" i="7"/>
  <c r="AF214" i="7"/>
  <c r="AF215" i="7"/>
  <c r="AF216" i="7"/>
  <c r="AF217" i="7"/>
  <c r="AF218" i="7"/>
  <c r="AF219" i="7"/>
  <c r="AF220" i="7"/>
  <c r="AF221" i="7"/>
  <c r="AF222" i="7"/>
  <c r="AF223" i="7"/>
  <c r="AF224" i="7"/>
  <c r="AF225" i="7"/>
  <c r="AF226" i="7"/>
  <c r="AF227" i="7"/>
  <c r="AF228" i="7"/>
  <c r="AF229" i="7"/>
  <c r="AF230" i="7"/>
  <c r="AF231" i="7"/>
  <c r="AF232" i="7"/>
  <c r="AF233" i="7"/>
  <c r="AF234" i="7"/>
  <c r="AF235" i="7"/>
  <c r="AF236" i="7"/>
  <c r="AF237" i="7"/>
  <c r="AF238" i="7"/>
  <c r="AF239" i="7"/>
  <c r="AF240" i="7"/>
  <c r="AF241" i="7"/>
  <c r="AF242" i="7"/>
  <c r="AF243" i="7"/>
  <c r="AF244" i="7"/>
  <c r="AF245" i="7"/>
  <c r="AF246" i="7"/>
  <c r="AF247" i="7"/>
  <c r="AF248" i="7"/>
  <c r="AF249" i="7"/>
  <c r="AF250" i="7"/>
  <c r="AF251" i="7"/>
  <c r="AF252" i="7"/>
  <c r="AF253" i="7"/>
  <c r="AF254" i="7"/>
  <c r="AF255" i="7"/>
  <c r="AF256" i="7"/>
  <c r="AF257" i="7"/>
  <c r="AF258" i="7"/>
  <c r="AF259" i="7"/>
  <c r="AF260" i="7"/>
  <c r="AF261" i="7"/>
  <c r="AF262" i="7"/>
  <c r="AF263" i="7"/>
  <c r="AF264" i="7"/>
  <c r="AF265" i="7"/>
  <c r="AF266" i="7"/>
  <c r="AF267" i="7"/>
  <c r="AF268" i="7"/>
  <c r="AF269" i="7"/>
  <c r="AF270" i="7"/>
  <c r="AF271" i="7"/>
  <c r="AF272" i="7"/>
  <c r="AF273" i="7"/>
  <c r="AF274" i="7"/>
  <c r="AF275" i="7"/>
  <c r="AF276" i="7"/>
  <c r="AF277" i="7"/>
  <c r="AF278" i="7"/>
  <c r="AF279" i="7"/>
  <c r="AF280" i="7"/>
  <c r="AF281" i="7"/>
  <c r="AF282" i="7"/>
  <c r="AF283" i="7"/>
  <c r="AF284" i="7"/>
  <c r="AF285" i="7"/>
  <c r="AF286" i="7"/>
  <c r="AF287" i="7"/>
  <c r="AF288" i="7"/>
  <c r="AF289" i="7"/>
  <c r="AF290" i="7"/>
  <c r="AF321" i="7"/>
  <c r="AF322" i="7"/>
  <c r="AF323" i="7"/>
  <c r="AF324" i="7"/>
  <c r="AF325" i="7"/>
  <c r="AF326" i="7"/>
  <c r="AF327" i="7"/>
  <c r="AF328" i="7"/>
  <c r="AF329" i="7"/>
  <c r="AF330" i="7"/>
  <c r="AF331" i="7"/>
  <c r="AF332" i="7"/>
  <c r="AF333" i="7"/>
  <c r="AF334" i="7"/>
  <c r="AF335" i="7"/>
  <c r="AF336" i="7"/>
  <c r="AF337" i="7"/>
  <c r="AF338" i="7"/>
  <c r="AF339" i="7"/>
  <c r="AF340" i="7"/>
  <c r="AF341" i="7"/>
  <c r="AF342" i="7"/>
  <c r="AF343" i="7"/>
  <c r="AF344" i="7"/>
  <c r="AF345" i="7"/>
  <c r="AF346" i="7"/>
  <c r="AF347" i="7"/>
  <c r="AF348" i="7"/>
  <c r="AF349" i="7"/>
  <c r="AF350" i="7"/>
  <c r="AF351" i="7"/>
  <c r="AF352" i="7"/>
  <c r="AF353" i="7"/>
  <c r="AF354" i="7"/>
  <c r="AF355" i="7"/>
  <c r="AF356" i="7"/>
  <c r="AF357" i="7"/>
  <c r="AF358" i="7"/>
  <c r="AF359" i="7"/>
  <c r="AF360" i="7"/>
  <c r="AF361" i="7"/>
  <c r="AF362" i="7"/>
  <c r="AF363" i="7"/>
  <c r="AF364" i="7"/>
  <c r="AF365" i="7"/>
  <c r="AF366" i="7"/>
  <c r="AF367" i="7"/>
  <c r="AF368" i="7"/>
  <c r="AF369" i="7"/>
  <c r="AF370" i="7"/>
  <c r="AF371" i="7"/>
  <c r="AF372" i="7"/>
  <c r="AF373" i="7"/>
  <c r="AF374" i="7"/>
  <c r="AF375" i="7"/>
  <c r="AF376" i="7"/>
  <c r="AF377" i="7"/>
  <c r="AF378" i="7"/>
  <c r="AF379" i="7"/>
  <c r="AF380" i="7"/>
  <c r="AF381" i="7"/>
  <c r="AF382" i="7"/>
  <c r="AF383" i="7"/>
  <c r="AF384" i="7"/>
  <c r="AF137" i="7"/>
  <c r="AF49" i="7"/>
  <c r="AF50" i="7"/>
  <c r="AF51" i="7"/>
  <c r="AF52" i="7"/>
  <c r="AF53" i="7"/>
  <c r="AF54" i="7"/>
  <c r="AF55" i="7"/>
  <c r="AF56" i="7"/>
  <c r="AF57" i="7"/>
  <c r="AF58" i="7"/>
  <c r="AF59" i="7"/>
  <c r="AF60" i="7"/>
  <c r="AF61" i="7"/>
  <c r="AF62" i="7"/>
  <c r="AF63" i="7"/>
  <c r="AF64" i="7"/>
  <c r="AF65" i="7"/>
  <c r="AF66" i="7"/>
  <c r="AF67" i="7"/>
  <c r="AF68" i="7"/>
  <c r="AF69" i="7"/>
  <c r="AF71" i="7"/>
  <c r="AF72" i="7"/>
  <c r="AF75" i="7"/>
  <c r="AF76" i="7"/>
  <c r="AF77" i="7"/>
  <c r="AF78" i="7"/>
  <c r="AF79" i="7"/>
  <c r="AF80" i="7"/>
  <c r="AF81" i="7"/>
  <c r="AF82" i="7"/>
  <c r="AF83" i="7"/>
  <c r="AF84" i="7"/>
  <c r="AF85" i="7"/>
  <c r="AF86" i="7"/>
  <c r="AF48" i="7"/>
  <c r="AF17" i="7"/>
  <c r="AF19" i="7"/>
  <c r="AF22" i="7"/>
  <c r="AF23" i="7"/>
  <c r="AF24" i="7"/>
  <c r="AF25" i="7"/>
  <c r="AF26" i="7"/>
  <c r="AF27" i="7"/>
  <c r="AF16" i="7"/>
  <c r="AF992" i="7"/>
  <c r="AF993" i="7"/>
  <c r="AF994" i="7"/>
  <c r="AF995" i="7"/>
  <c r="AF780" i="7"/>
  <c r="AF782" i="7"/>
  <c r="AF2165" i="6"/>
  <c r="AF2166" i="6"/>
  <c r="AF2167" i="6"/>
  <c r="AF2168" i="6"/>
  <c r="AF2169" i="6"/>
  <c r="AF2170" i="6"/>
  <c r="AF2171" i="6"/>
  <c r="AF2172" i="6"/>
  <c r="AF2173" i="6"/>
  <c r="AF2175" i="6"/>
  <c r="AF2176" i="6"/>
  <c r="AF2177" i="6"/>
  <c r="AF2178" i="6"/>
  <c r="AF2179" i="6"/>
  <c r="AF2180" i="6"/>
  <c r="AF2181" i="6"/>
  <c r="AF2182" i="6"/>
  <c r="AF2183" i="6"/>
  <c r="AF2184" i="6"/>
  <c r="AF2185" i="6"/>
  <c r="AF2186" i="6"/>
  <c r="AF910" i="6"/>
  <c r="AF911" i="6"/>
  <c r="AF912" i="6"/>
  <c r="AF913" i="6"/>
  <c r="AF914" i="6"/>
  <c r="AF915" i="6"/>
  <c r="AF916" i="6"/>
  <c r="AF917" i="6"/>
  <c r="AF918" i="6"/>
  <c r="AF919" i="6"/>
  <c r="AF920" i="6"/>
  <c r="AF921" i="6"/>
  <c r="AF922" i="6"/>
  <c r="AF923" i="6"/>
  <c r="AF924" i="6"/>
  <c r="AF925" i="6"/>
  <c r="AF926" i="6"/>
  <c r="AF927" i="6"/>
  <c r="AF928" i="6"/>
  <c r="AF929" i="6"/>
  <c r="AF930" i="6"/>
  <c r="AF931" i="6"/>
  <c r="AF932" i="6"/>
  <c r="AF933" i="6"/>
  <c r="AF934" i="6"/>
  <c r="AF935" i="6"/>
  <c r="AF936" i="6"/>
  <c r="AF937" i="6"/>
  <c r="AF938" i="6"/>
  <c r="AF939" i="6"/>
  <c r="AF940" i="6"/>
  <c r="AF941" i="6"/>
  <c r="AF942" i="6"/>
  <c r="AF943" i="6"/>
  <c r="AF944" i="6"/>
  <c r="AF945" i="6"/>
  <c r="AF946" i="6"/>
  <c r="AF947" i="6"/>
  <c r="AF948" i="6"/>
  <c r="AF949" i="6"/>
  <c r="AF950" i="6"/>
  <c r="AF951" i="6"/>
  <c r="AF952" i="6"/>
  <c r="AF953" i="6"/>
  <c r="AF954" i="6"/>
  <c r="AF955" i="6"/>
  <c r="AF956" i="6"/>
  <c r="AF957" i="6"/>
  <c r="AF958" i="6"/>
  <c r="AF959" i="6"/>
  <c r="AF960" i="6"/>
  <c r="AF961" i="6"/>
  <c r="AF962" i="6"/>
  <c r="AF963" i="6"/>
  <c r="AF964" i="6"/>
  <c r="AF965" i="6"/>
  <c r="AF966" i="6"/>
  <c r="AF967" i="6"/>
  <c r="AF968" i="6"/>
  <c r="AF969" i="6"/>
  <c r="AF970" i="6"/>
  <c r="AF971" i="6"/>
  <c r="AF972" i="6"/>
  <c r="AF973" i="6"/>
  <c r="AF974" i="6"/>
  <c r="AF975" i="6"/>
  <c r="AF976" i="6"/>
  <c r="AF977" i="6"/>
  <c r="AF978" i="6"/>
  <c r="AF979" i="6"/>
  <c r="AF980" i="6"/>
  <c r="AF981" i="6"/>
  <c r="AF982" i="6"/>
  <c r="AF983" i="6"/>
  <c r="AF984" i="6"/>
  <c r="AF985" i="6"/>
  <c r="AF986" i="6"/>
  <c r="AF987" i="6"/>
  <c r="AF988" i="6"/>
  <c r="AF989" i="6"/>
  <c r="AF990" i="6"/>
  <c r="AF991" i="6"/>
  <c r="AF992" i="6"/>
  <c r="AF993" i="6"/>
  <c r="AF994" i="6"/>
  <c r="AF995" i="6"/>
  <c r="AF996" i="6"/>
  <c r="AF997" i="6"/>
  <c r="AF998" i="6"/>
  <c r="AF999" i="6"/>
  <c r="AF1000" i="6"/>
  <c r="AF1001" i="6"/>
  <c r="AF1002" i="6"/>
  <c r="AF1003" i="6"/>
  <c r="AF1004" i="6"/>
  <c r="AF1005" i="6"/>
  <c r="AF1006" i="6"/>
  <c r="AF1007" i="6"/>
  <c r="AF1008" i="6"/>
  <c r="AF1009" i="6"/>
  <c r="AF1010" i="6"/>
  <c r="AF1011" i="6"/>
  <c r="AF1012" i="6"/>
  <c r="AF1013" i="6"/>
  <c r="AF1014" i="6"/>
  <c r="AF1015" i="6"/>
  <c r="AF1016" i="6"/>
  <c r="AF1017" i="6"/>
  <c r="AF1018" i="6"/>
  <c r="AF1019" i="6"/>
  <c r="AF1020" i="6"/>
  <c r="AF1021" i="6"/>
  <c r="AF1022" i="6"/>
  <c r="AF1023" i="6"/>
  <c r="AF1024" i="6"/>
  <c r="AF1025" i="6"/>
  <c r="AF1026" i="6"/>
  <c r="AF1027" i="6"/>
  <c r="AF1028" i="6"/>
  <c r="AF1029" i="6"/>
  <c r="AF1030" i="6"/>
  <c r="AF1031" i="6"/>
  <c r="AF1032" i="6"/>
  <c r="AF1033" i="6"/>
  <c r="AF1034" i="6"/>
  <c r="AF1035" i="6"/>
  <c r="AF1036" i="6"/>
  <c r="AF1037" i="6"/>
  <c r="AF1038" i="6"/>
  <c r="AF1039" i="6"/>
  <c r="AF1040" i="6"/>
  <c r="AF1041" i="6"/>
  <c r="AF1042" i="6"/>
  <c r="AF1043" i="6"/>
  <c r="AF1044" i="6"/>
  <c r="AF1045" i="6"/>
  <c r="AF1046" i="6"/>
  <c r="AF1047" i="6"/>
  <c r="AF1048" i="6"/>
  <c r="AF1049" i="6"/>
  <c r="AF1050" i="6"/>
  <c r="AF1051" i="6"/>
  <c r="AF1052" i="6"/>
  <c r="AF1053" i="6"/>
  <c r="AF1054" i="6"/>
  <c r="AF1055" i="6"/>
  <c r="AF1056" i="6"/>
  <c r="AF1057" i="6"/>
  <c r="AF1058" i="6"/>
  <c r="AF1059" i="6"/>
  <c r="AF1060" i="6"/>
  <c r="AF1061" i="6"/>
  <c r="AF1062" i="6"/>
  <c r="AF1063" i="6"/>
  <c r="AF1064" i="6"/>
  <c r="AF1065" i="6"/>
  <c r="AF1066" i="6"/>
  <c r="AF1067" i="6"/>
  <c r="AF1068" i="6"/>
  <c r="AF1069" i="6"/>
  <c r="AF1070" i="6"/>
  <c r="AF1071" i="6"/>
  <c r="AF1072" i="6"/>
  <c r="AF1073" i="6"/>
  <c r="AF1074" i="6"/>
  <c r="AF1075" i="6"/>
  <c r="AF1076" i="6"/>
  <c r="AF1077" i="6"/>
  <c r="AF1078" i="6"/>
  <c r="AF1079" i="6"/>
  <c r="AF1080" i="6"/>
  <c r="AF1081" i="6"/>
  <c r="AF1082" i="6"/>
  <c r="AF1083" i="6"/>
  <c r="AF1084" i="6"/>
  <c r="AF1085" i="6"/>
  <c r="AF1086" i="6"/>
  <c r="AF1087" i="6"/>
  <c r="AF1088" i="6"/>
  <c r="AF1089" i="6"/>
  <c r="AF1090" i="6"/>
  <c r="AF1091" i="6"/>
  <c r="AF1092" i="6"/>
  <c r="AF1093" i="6"/>
  <c r="AF1094" i="6"/>
  <c r="AF1095" i="6"/>
  <c r="AF1096" i="6"/>
  <c r="AF1097" i="6"/>
  <c r="AF1098" i="6"/>
  <c r="AF1099" i="6"/>
  <c r="AF1100" i="6"/>
  <c r="AF1101" i="6"/>
  <c r="AF1102" i="6"/>
  <c r="AF1103" i="6"/>
  <c r="AF1104" i="6"/>
  <c r="AF1105" i="6"/>
  <c r="AF1106" i="6"/>
  <c r="AF1107" i="6"/>
  <c r="AF1108" i="6"/>
  <c r="AF1109" i="6"/>
  <c r="AF1110" i="6"/>
  <c r="AF1111" i="6"/>
  <c r="AF1112" i="6"/>
  <c r="AF1113" i="6"/>
  <c r="AF1114" i="6"/>
  <c r="AF1115" i="6"/>
  <c r="AF1116" i="6"/>
  <c r="AF1117" i="6"/>
  <c r="AF1118" i="6"/>
  <c r="AF1119" i="6"/>
  <c r="AF1120" i="6"/>
  <c r="AF1121" i="6"/>
  <c r="AF1122" i="6"/>
  <c r="AF1123" i="6"/>
  <c r="AF1124" i="6"/>
  <c r="AF1125" i="6"/>
  <c r="AF1126" i="6"/>
  <c r="AF1127" i="6"/>
  <c r="AF1128" i="6"/>
  <c r="AF1129" i="6"/>
  <c r="AF1130" i="6"/>
  <c r="AF1131" i="6"/>
  <c r="AF1132" i="6"/>
  <c r="AF1133" i="6"/>
  <c r="AF1134" i="6"/>
  <c r="AF1135" i="6"/>
  <c r="AF1136" i="6"/>
  <c r="AF1137" i="6"/>
  <c r="AF1138" i="6"/>
  <c r="AF1139" i="6"/>
  <c r="AF1140" i="6"/>
  <c r="AF1141" i="6"/>
  <c r="AF1142" i="6"/>
  <c r="AF1143" i="6"/>
  <c r="AF1144" i="6"/>
  <c r="AF1145" i="6"/>
  <c r="AF1146" i="6"/>
  <c r="AF1147" i="6"/>
  <c r="AF1148" i="6"/>
  <c r="AF1149" i="6"/>
  <c r="AF1150" i="6"/>
  <c r="AF1151" i="6"/>
  <c r="AF1152" i="6"/>
  <c r="AF1153" i="6"/>
  <c r="AF1154" i="6"/>
  <c r="AF1155" i="6"/>
  <c r="AF1156" i="6"/>
  <c r="AF1157" i="6"/>
  <c r="AF1158" i="6"/>
  <c r="AF1159" i="6"/>
  <c r="AF1160" i="6"/>
  <c r="AF1161" i="6"/>
  <c r="AF1162" i="6"/>
  <c r="AF1163" i="6"/>
  <c r="AF1164" i="6"/>
  <c r="AF1165" i="6"/>
  <c r="AF1166" i="6"/>
  <c r="AF1167" i="6"/>
  <c r="AF1168" i="6"/>
  <c r="AF1169" i="6"/>
  <c r="AF1170" i="6"/>
  <c r="AF1171" i="6"/>
  <c r="AF1172" i="6"/>
  <c r="AF1173" i="6"/>
  <c r="AF1174" i="6"/>
  <c r="AF1175" i="6"/>
  <c r="AF1176" i="6"/>
  <c r="AF1177" i="6"/>
  <c r="AF1178" i="6"/>
  <c r="AF1179" i="6"/>
  <c r="AF1180" i="6"/>
  <c r="AF1181" i="6"/>
  <c r="AF1182" i="6"/>
  <c r="AF1183" i="6"/>
  <c r="AF1184" i="6"/>
  <c r="AF1185" i="6"/>
  <c r="AF1186" i="6"/>
  <c r="AF1187" i="6"/>
  <c r="AF1188" i="6"/>
  <c r="AF1189" i="6"/>
  <c r="AF1190" i="6"/>
  <c r="AF1191" i="6"/>
  <c r="AF1192" i="6"/>
  <c r="AF1193" i="6"/>
  <c r="AF1194" i="6"/>
  <c r="AF1195" i="6"/>
  <c r="AF1196" i="6"/>
  <c r="AF1197" i="6"/>
  <c r="AF1198" i="6"/>
  <c r="AF1199" i="6"/>
  <c r="AF1200" i="6"/>
  <c r="AF1201" i="6"/>
  <c r="AF1202" i="6"/>
  <c r="AF1203" i="6"/>
  <c r="AF1204" i="6"/>
  <c r="AF1205" i="6"/>
  <c r="AF1206" i="6"/>
  <c r="AF1207" i="6"/>
  <c r="AF1208" i="6"/>
  <c r="AF1209" i="6"/>
  <c r="AF1210" i="6"/>
  <c r="AF1211" i="6"/>
  <c r="AF1212" i="6"/>
  <c r="AF1213" i="6"/>
  <c r="AF1214" i="6"/>
  <c r="AF1215" i="6"/>
  <c r="AF1216" i="6"/>
  <c r="AF1217" i="6"/>
  <c r="AF1218" i="6"/>
  <c r="AF1219" i="6"/>
  <c r="AF1220" i="6"/>
  <c r="AF1221" i="6"/>
  <c r="AF1222" i="6"/>
  <c r="AF1223" i="6"/>
  <c r="AF1224" i="6"/>
  <c r="AF1225" i="6"/>
  <c r="AF1226" i="6"/>
  <c r="AF1227" i="6"/>
  <c r="AF1228" i="6"/>
  <c r="AF1229" i="6"/>
  <c r="AF1230" i="6"/>
  <c r="AF1231" i="6"/>
  <c r="AF1232" i="6"/>
  <c r="AF1233" i="6"/>
  <c r="AF1234" i="6"/>
  <c r="AF1235" i="6"/>
  <c r="AF1236" i="6"/>
  <c r="AF1237" i="6"/>
  <c r="AF1238" i="6"/>
  <c r="AF1239" i="6"/>
  <c r="AF1240" i="6"/>
  <c r="AF1241" i="6"/>
  <c r="AF1242" i="6"/>
  <c r="AF1243" i="6"/>
  <c r="AF1244" i="6"/>
  <c r="AF1245" i="6"/>
  <c r="AF1246" i="6"/>
  <c r="AF1247" i="6"/>
  <c r="AF1248" i="6"/>
  <c r="AF1249" i="6"/>
  <c r="AF1250" i="6"/>
  <c r="AF1251" i="6"/>
  <c r="AF1252" i="6"/>
  <c r="AF1253" i="6"/>
  <c r="AF1254" i="6"/>
  <c r="AF1256" i="6"/>
  <c r="AF1257" i="6"/>
  <c r="AF1258" i="6"/>
  <c r="AF1259" i="6"/>
  <c r="AF1260" i="6"/>
  <c r="AF1261" i="6"/>
  <c r="AF1262" i="6"/>
  <c r="AF1263" i="6"/>
  <c r="AF1264" i="6"/>
  <c r="AF1265" i="6"/>
  <c r="AF1266" i="6"/>
  <c r="AF1267" i="6"/>
  <c r="AF1268" i="6"/>
  <c r="AF1269" i="6"/>
  <c r="AF1270" i="6"/>
  <c r="AF1271" i="6"/>
  <c r="AF1272" i="6"/>
  <c r="AF1273" i="6"/>
  <c r="AF1274" i="6"/>
  <c r="AF1275" i="6"/>
  <c r="AF1276" i="6"/>
  <c r="AF1277" i="6"/>
  <c r="AF1283" i="6"/>
  <c r="AF1284" i="6"/>
  <c r="AF1285" i="6"/>
  <c r="AF1286" i="6"/>
  <c r="AF1287" i="6"/>
  <c r="AF1288" i="6"/>
  <c r="AF1290" i="6"/>
  <c r="AF1291" i="6"/>
  <c r="AF1292" i="6"/>
  <c r="AF1293" i="6"/>
  <c r="AF1294" i="6"/>
  <c r="AF1298" i="6"/>
  <c r="AF1299" i="6"/>
  <c r="AF1300" i="6"/>
  <c r="AF1304" i="6"/>
  <c r="AF1305" i="6"/>
  <c r="AF1306" i="6"/>
  <c r="AF1307" i="6"/>
  <c r="AF1308" i="6"/>
  <c r="AF1309" i="6"/>
  <c r="AF1310" i="6"/>
  <c r="AF1311" i="6"/>
  <c r="AF1312" i="6"/>
  <c r="AF1313" i="6"/>
  <c r="AF1314" i="6"/>
  <c r="AF1315" i="6"/>
  <c r="AF1316" i="6"/>
  <c r="AF1317" i="6"/>
  <c r="AF1321" i="6"/>
  <c r="AF1322" i="6"/>
  <c r="AF1323" i="6"/>
  <c r="AF1324" i="6"/>
  <c r="AF1325" i="6"/>
  <c r="AF1329" i="6"/>
  <c r="AF1330" i="6"/>
  <c r="AF1331" i="6"/>
  <c r="AF1332" i="6"/>
  <c r="AF1333" i="6"/>
  <c r="AF1337" i="6"/>
  <c r="AF1338" i="6"/>
  <c r="AF1339" i="6"/>
  <c r="AF1340" i="6"/>
  <c r="AF1341" i="6"/>
  <c r="AF1342" i="6"/>
  <c r="AF1343" i="6"/>
  <c r="AF1344" i="6"/>
  <c r="AF1345" i="6"/>
  <c r="AF1346" i="6"/>
  <c r="AF1347" i="6"/>
  <c r="AF1348" i="6"/>
  <c r="AF1349" i="6"/>
  <c r="AF1350" i="6"/>
  <c r="AF1351" i="6"/>
  <c r="AF1352" i="6"/>
  <c r="AF1353" i="6"/>
  <c r="AF1354" i="6"/>
  <c r="AF1355" i="6"/>
  <c r="AF1356" i="6"/>
  <c r="AF1357" i="6"/>
  <c r="AF1358" i="6"/>
  <c r="AF1359" i="6"/>
  <c r="AF1360" i="6"/>
  <c r="AF1361" i="6"/>
  <c r="AF1362" i="6"/>
  <c r="AF1363" i="6"/>
  <c r="AF1364" i="6"/>
  <c r="AF1365" i="6"/>
  <c r="AF1366" i="6"/>
  <c r="AF1367" i="6"/>
  <c r="AF1368" i="6"/>
  <c r="AF1369" i="6"/>
  <c r="AF1370" i="6"/>
  <c r="AF1371" i="6"/>
  <c r="AF1372" i="6"/>
  <c r="AF1373" i="6"/>
  <c r="AF1374" i="6"/>
  <c r="AF1375" i="6"/>
  <c r="AF1376" i="6"/>
  <c r="AF1377" i="6"/>
  <c r="AF1378" i="6"/>
  <c r="AF1379" i="6"/>
  <c r="AF1380" i="6"/>
  <c r="AF1381" i="6"/>
  <c r="AF1382" i="6"/>
  <c r="AF1383" i="6"/>
  <c r="AF1384" i="6"/>
  <c r="AF1385" i="6"/>
  <c r="AF1386" i="6"/>
  <c r="AF1387" i="6"/>
  <c r="AF1388" i="6"/>
  <c r="AF1389" i="6"/>
  <c r="AF1390" i="6"/>
  <c r="AF1391" i="6"/>
  <c r="AF1392" i="6"/>
  <c r="AF1393" i="6"/>
  <c r="AF1394" i="6"/>
  <c r="AF1395" i="6"/>
  <c r="AF1396" i="6"/>
  <c r="AF1397" i="6"/>
  <c r="AF1398" i="6"/>
  <c r="AF1399" i="6"/>
  <c r="AF1400" i="6"/>
  <c r="AF1401" i="6"/>
  <c r="AF1402" i="6"/>
  <c r="AF1403" i="6"/>
  <c r="AF1404" i="6"/>
  <c r="AF1405" i="6"/>
  <c r="AF1406" i="6"/>
  <c r="AF1407" i="6"/>
  <c r="AF1408" i="6"/>
  <c r="AF1409" i="6"/>
  <c r="AF1410" i="6"/>
  <c r="AF1411" i="6"/>
  <c r="AF1412" i="6"/>
  <c r="AF1413" i="6"/>
  <c r="AF1414" i="6"/>
  <c r="AF1415" i="6"/>
  <c r="AF1416" i="6"/>
  <c r="AF1417" i="6"/>
  <c r="AF1418" i="6"/>
  <c r="AF1419" i="6"/>
  <c r="AF1420" i="6"/>
  <c r="AF1421" i="6"/>
  <c r="AF1422" i="6"/>
  <c r="AF1423" i="6"/>
  <c r="AF1424" i="6"/>
  <c r="AF1425" i="6"/>
  <c r="AF1426" i="6"/>
  <c r="AF1427" i="6"/>
  <c r="AF1428" i="6"/>
  <c r="AF1429" i="6"/>
  <c r="AF1430" i="6"/>
  <c r="AF1431" i="6"/>
  <c r="AF1432" i="6"/>
  <c r="AF1433" i="6"/>
  <c r="AF1434" i="6"/>
  <c r="AF1435" i="6"/>
  <c r="AF1436" i="6"/>
  <c r="AF1437" i="6"/>
  <c r="AF1438" i="6"/>
  <c r="AF1439" i="6"/>
  <c r="AF1440" i="6"/>
  <c r="AF1441" i="6"/>
  <c r="AF1442" i="6"/>
  <c r="AF1443" i="6"/>
  <c r="AF1444" i="6"/>
  <c r="AF1445" i="6"/>
  <c r="AF1446" i="6"/>
  <c r="AF1447" i="6"/>
  <c r="AF1448" i="6"/>
  <c r="AF1449" i="6"/>
  <c r="AF1450" i="6"/>
  <c r="AF1451" i="6"/>
  <c r="AF1452" i="6"/>
  <c r="AF1453" i="6"/>
  <c r="AF1454" i="6"/>
  <c r="AF1455" i="6"/>
  <c r="AF1456" i="6"/>
  <c r="AF1457" i="6"/>
  <c r="AF1458" i="6"/>
  <c r="AF1459" i="6"/>
  <c r="AF1460" i="6"/>
  <c r="AF1461" i="6"/>
  <c r="AF1462" i="6"/>
  <c r="AF1463" i="6"/>
  <c r="AF1464" i="6"/>
  <c r="AF1465" i="6"/>
  <c r="AF1466" i="6"/>
  <c r="AF1467" i="6"/>
  <c r="AF1468" i="6"/>
  <c r="AF1469" i="6"/>
  <c r="AF1470" i="6"/>
  <c r="AF1471" i="6"/>
  <c r="AF1472" i="6"/>
  <c r="AF1473" i="6"/>
  <c r="AF1474" i="6"/>
  <c r="AF1475" i="6"/>
  <c r="AF1476" i="6"/>
  <c r="AF1477" i="6"/>
  <c r="AF1478" i="6"/>
  <c r="AF1479" i="6"/>
  <c r="AF1480" i="6"/>
  <c r="AF1481" i="6"/>
  <c r="AF1482" i="6"/>
  <c r="AF1483" i="6"/>
  <c r="AF1484" i="6"/>
  <c r="AF1485" i="6"/>
  <c r="AF1486" i="6"/>
  <c r="AF1487" i="6"/>
  <c r="AF1488" i="6"/>
  <c r="AF1489" i="6"/>
  <c r="AF1490" i="6"/>
  <c r="AF1491" i="6"/>
  <c r="AF1492" i="6"/>
  <c r="AF1493" i="6"/>
  <c r="AF1494" i="6"/>
  <c r="AF1495" i="6"/>
  <c r="AF1496" i="6"/>
  <c r="AF1497" i="6"/>
  <c r="AF1498" i="6"/>
  <c r="AF1499" i="6"/>
  <c r="AF1500" i="6"/>
  <c r="AF1501" i="6"/>
  <c r="AF1502" i="6"/>
  <c r="AF1503" i="6"/>
  <c r="AF1504" i="6"/>
  <c r="AF1505" i="6"/>
  <c r="AF1506" i="6"/>
  <c r="AF1507" i="6"/>
  <c r="AF1508" i="6"/>
  <c r="AF1509" i="6"/>
  <c r="AF1510" i="6"/>
  <c r="AF1511" i="6"/>
  <c r="AF1512" i="6"/>
  <c r="AF1513" i="6"/>
  <c r="AF1514" i="6"/>
  <c r="AF1515" i="6"/>
  <c r="AF1516" i="6"/>
  <c r="AF1517" i="6"/>
  <c r="AF1518" i="6"/>
  <c r="AF1519" i="6"/>
  <c r="AF1520" i="6"/>
  <c r="AF1521" i="6"/>
  <c r="AF1522" i="6"/>
  <c r="AF1523" i="6"/>
  <c r="AF1524" i="6"/>
  <c r="AF1525" i="6"/>
  <c r="AF1526" i="6"/>
  <c r="AF1527" i="6"/>
  <c r="AF1528" i="6"/>
  <c r="AF1529" i="6"/>
  <c r="AF1530" i="6"/>
  <c r="AF1531" i="6"/>
  <c r="AF1532" i="6"/>
  <c r="AF1533" i="6"/>
  <c r="AF1534" i="6"/>
  <c r="AF1535" i="6"/>
  <c r="AF1536" i="6"/>
  <c r="AF1537" i="6"/>
  <c r="AF1538" i="6"/>
  <c r="AF1539" i="6"/>
  <c r="AF1540" i="6"/>
  <c r="AF1541" i="6"/>
  <c r="AF1542" i="6"/>
  <c r="AF1543" i="6"/>
  <c r="AF1544" i="6"/>
  <c r="AF1545" i="6"/>
  <c r="AF1546" i="6"/>
  <c r="AF1547" i="6"/>
  <c r="AF1548" i="6"/>
  <c r="AF1549" i="6"/>
  <c r="AF1550" i="6"/>
  <c r="AF1551" i="6"/>
  <c r="AF1552" i="6"/>
  <c r="AF1553" i="6"/>
  <c r="AF1554" i="6"/>
  <c r="AF1555" i="6"/>
  <c r="AF1556" i="6"/>
  <c r="AF1557" i="6"/>
  <c r="AF1558" i="6"/>
  <c r="AF1559" i="6"/>
  <c r="AF1560" i="6"/>
  <c r="AF1561" i="6"/>
  <c r="AF1562" i="6"/>
  <c r="AF1563" i="6"/>
  <c r="AF1564" i="6"/>
  <c r="AF1565" i="6"/>
  <c r="AF1566" i="6"/>
  <c r="AF1567" i="6"/>
  <c r="AF1568" i="6"/>
  <c r="AF1569" i="6"/>
  <c r="AF1570" i="6"/>
  <c r="AF1571" i="6"/>
  <c r="AF1572" i="6"/>
  <c r="AF1573" i="6"/>
  <c r="AF1574" i="6"/>
  <c r="AF1575" i="6"/>
  <c r="AF1576" i="6"/>
  <c r="AF1577" i="6"/>
  <c r="AF1578" i="6"/>
  <c r="AF1579" i="6"/>
  <c r="AF1580" i="6"/>
  <c r="AF1581" i="6"/>
  <c r="AF1582" i="6"/>
  <c r="AF1583" i="6"/>
  <c r="AF1584" i="6"/>
  <c r="AF1585" i="6"/>
  <c r="AF1586" i="6"/>
  <c r="AF1587" i="6"/>
  <c r="AF1588" i="6"/>
  <c r="AF1589" i="6"/>
  <c r="AF1590" i="6"/>
  <c r="AF1591" i="6"/>
  <c r="AF1592" i="6"/>
  <c r="AF1593" i="6"/>
  <c r="AF1594" i="6"/>
  <c r="AF1595" i="6"/>
  <c r="AF1596" i="6"/>
  <c r="AF1597" i="6"/>
  <c r="AF1598" i="6"/>
  <c r="AF1599" i="6"/>
  <c r="AF1600" i="6"/>
  <c r="AF1601" i="6"/>
  <c r="AF1602" i="6"/>
  <c r="AF1603" i="6"/>
  <c r="AF1604" i="6"/>
  <c r="AF1605" i="6"/>
  <c r="AF1606" i="6"/>
  <c r="AF1607" i="6"/>
  <c r="AF1608" i="6"/>
  <c r="AF1609" i="6"/>
  <c r="AF1610" i="6"/>
  <c r="AF1611" i="6"/>
  <c r="AF1612" i="6"/>
  <c r="AF1613" i="6"/>
  <c r="AF1614" i="6"/>
  <c r="AF1615" i="6"/>
  <c r="AF1616" i="6"/>
  <c r="AF1617" i="6"/>
  <c r="AF1618" i="6"/>
  <c r="AF1619" i="6"/>
  <c r="AF1620" i="6"/>
  <c r="AF1621" i="6"/>
  <c r="AF1622" i="6"/>
  <c r="AF1623" i="6"/>
  <c r="AF1624" i="6"/>
  <c r="AF1625" i="6"/>
  <c r="AF1626" i="6"/>
  <c r="AF1627" i="6"/>
  <c r="AF1628" i="6"/>
  <c r="AF1629" i="6"/>
  <c r="AF1630" i="6"/>
  <c r="AF1631" i="6"/>
  <c r="AF1632" i="6"/>
  <c r="AF1633" i="6"/>
  <c r="AF1634" i="6"/>
  <c r="AF1635" i="6"/>
  <c r="AF1636" i="6"/>
  <c r="AF1637" i="6"/>
  <c r="AF1638" i="6"/>
  <c r="AF1639" i="6"/>
  <c r="AF1640" i="6"/>
  <c r="AF1641" i="6"/>
  <c r="AF1642" i="6"/>
  <c r="AF1643" i="6"/>
  <c r="AF1644" i="6"/>
  <c r="AF1645" i="6"/>
  <c r="AF1646" i="6"/>
  <c r="AF1647" i="6"/>
  <c r="AF1648" i="6"/>
  <c r="AF1649" i="6"/>
  <c r="AF1650" i="6"/>
  <c r="AF1651" i="6"/>
  <c r="AF1652" i="6"/>
  <c r="AF1653" i="6"/>
  <c r="AF1654" i="6"/>
  <c r="AF1655" i="6"/>
  <c r="AF1656" i="6"/>
  <c r="AF1657" i="6"/>
  <c r="AF1658" i="6"/>
  <c r="AF1659" i="6"/>
  <c r="AF1660" i="6"/>
  <c r="AF1661" i="6"/>
  <c r="AF1662" i="6"/>
  <c r="AF1663" i="6"/>
  <c r="AF1664" i="6"/>
  <c r="AF1665" i="6"/>
  <c r="AF1666" i="6"/>
  <c r="AF1667" i="6"/>
  <c r="AF1668" i="6"/>
  <c r="AF1669" i="6"/>
  <c r="AF1670" i="6"/>
  <c r="AF1671" i="6"/>
  <c r="AF1672" i="6"/>
  <c r="AF1673" i="6"/>
  <c r="AF1674" i="6"/>
  <c r="AF1675" i="6"/>
  <c r="AF1676" i="6"/>
  <c r="AF1677" i="6"/>
  <c r="AF1678" i="6"/>
  <c r="AF1679" i="6"/>
  <c r="AF1680" i="6"/>
  <c r="AF1681" i="6"/>
  <c r="AF1682" i="6"/>
  <c r="AF1683" i="6"/>
  <c r="AF1684" i="6"/>
  <c r="AF1685" i="6"/>
  <c r="AF1686" i="6"/>
  <c r="AF1687" i="6"/>
  <c r="AF1688" i="6"/>
  <c r="AF1689" i="6"/>
  <c r="AF1690" i="6"/>
  <c r="AF1691" i="6"/>
  <c r="AF1692" i="6"/>
  <c r="AF1693" i="6"/>
  <c r="AF1694" i="6"/>
  <c r="AF1695" i="6"/>
  <c r="AF1696" i="6"/>
  <c r="AF1697" i="6"/>
  <c r="AF1698" i="6"/>
  <c r="AF1699" i="6"/>
  <c r="AF1700" i="6"/>
  <c r="AF1701" i="6"/>
  <c r="AF1702" i="6"/>
  <c r="AF1703" i="6"/>
  <c r="AF1704" i="6"/>
  <c r="AF1705" i="6"/>
  <c r="AF1706" i="6"/>
  <c r="AF1707" i="6"/>
  <c r="AF1708" i="6"/>
  <c r="AF1709" i="6"/>
  <c r="AF1710" i="6"/>
  <c r="AF1711" i="6"/>
  <c r="AF1712" i="6"/>
  <c r="AF1713" i="6"/>
  <c r="AF1714" i="6"/>
  <c r="AF1715" i="6"/>
  <c r="AF1716" i="6"/>
  <c r="AF1717" i="6"/>
  <c r="AF1718" i="6"/>
  <c r="AF1719" i="6"/>
  <c r="AF1720" i="6"/>
  <c r="AF1721" i="6"/>
  <c r="AF1722" i="6"/>
  <c r="AF1723" i="6"/>
  <c r="AF1724" i="6"/>
  <c r="AF1725" i="6"/>
  <c r="AF1726" i="6"/>
  <c r="AF1727" i="6"/>
  <c r="AF1728" i="6"/>
  <c r="AF1729" i="6"/>
  <c r="AF1730" i="6"/>
  <c r="AF1731" i="6"/>
  <c r="AF1732" i="6"/>
  <c r="AF1733" i="6"/>
  <c r="AF1734" i="6"/>
  <c r="AF1735" i="6"/>
  <c r="AF1736" i="6"/>
  <c r="AF1737" i="6"/>
  <c r="AF1738" i="6"/>
  <c r="AF1739" i="6"/>
  <c r="AF1740" i="6"/>
  <c r="AF1741" i="6"/>
  <c r="AF1742" i="6"/>
  <c r="AF1743" i="6"/>
  <c r="AF1744" i="6"/>
  <c r="AF1745" i="6"/>
  <c r="AF1746" i="6"/>
  <c r="AF1747" i="6"/>
  <c r="AF1748" i="6"/>
  <c r="AF1749" i="6"/>
  <c r="AF1750" i="6"/>
  <c r="AF1751" i="6"/>
  <c r="AF1752" i="6"/>
  <c r="AF1753" i="6"/>
  <c r="AF1754" i="6"/>
  <c r="AF1755" i="6"/>
  <c r="AF1756" i="6"/>
  <c r="AF1757" i="6"/>
  <c r="AF1758" i="6"/>
  <c r="AF1759" i="6"/>
  <c r="AF1760" i="6"/>
  <c r="AF1761" i="6"/>
  <c r="AF1762" i="6"/>
  <c r="AF1763" i="6"/>
  <c r="AF1764" i="6"/>
  <c r="AF1765" i="6"/>
  <c r="AF1766" i="6"/>
  <c r="AF1767" i="6"/>
  <c r="AF1768" i="6"/>
  <c r="AF1769" i="6"/>
  <c r="AF1770" i="6"/>
  <c r="AF1771" i="6"/>
  <c r="AF1772" i="6"/>
  <c r="AF1773" i="6"/>
  <c r="AF1774" i="6"/>
  <c r="AF1775" i="6"/>
  <c r="AF1776" i="6"/>
  <c r="AF1777" i="6"/>
  <c r="AF1778" i="6"/>
  <c r="AF1779" i="6"/>
  <c r="AF1780" i="6"/>
  <c r="AF1781" i="6"/>
  <c r="AF1782" i="6"/>
  <c r="AF1783" i="6"/>
  <c r="AF1784" i="6"/>
  <c r="AF1785" i="6"/>
  <c r="AF1786" i="6"/>
  <c r="AF1787" i="6"/>
  <c r="AF1788" i="6"/>
  <c r="AF1789" i="6"/>
  <c r="AF1790" i="6"/>
  <c r="AF1791" i="6"/>
  <c r="AF1792" i="6"/>
  <c r="AF1793" i="6"/>
  <c r="AF1794" i="6"/>
  <c r="AF1795" i="6"/>
  <c r="AF1796" i="6"/>
  <c r="AF1797" i="6"/>
  <c r="AF1798" i="6"/>
  <c r="AF1799" i="6"/>
  <c r="AF1800" i="6"/>
  <c r="AF1801" i="6"/>
  <c r="AF1802" i="6"/>
  <c r="AF1803" i="6"/>
  <c r="AF1804" i="6"/>
  <c r="AF1805" i="6"/>
  <c r="AF1806" i="6"/>
  <c r="AF1807" i="6"/>
  <c r="AF1808" i="6"/>
  <c r="AF1809" i="6"/>
  <c r="AF1810" i="6"/>
  <c r="AF1811" i="6"/>
  <c r="AF1812" i="6"/>
  <c r="AF1813" i="6"/>
  <c r="AF1814" i="6"/>
  <c r="AF1815" i="6"/>
  <c r="AF1816" i="6"/>
  <c r="AF1817" i="6"/>
  <c r="AF1818" i="6"/>
  <c r="AF1819" i="6"/>
  <c r="AF1820" i="6"/>
  <c r="AF1821" i="6"/>
  <c r="AF1822" i="6"/>
  <c r="AF1823" i="6"/>
  <c r="AF1824" i="6"/>
  <c r="AF1825" i="6"/>
  <c r="AF1826" i="6"/>
  <c r="AF1827" i="6"/>
  <c r="AF1828" i="6"/>
  <c r="AF1829" i="6"/>
  <c r="AF1830" i="6"/>
  <c r="AF1831" i="6"/>
  <c r="AF1832" i="6"/>
  <c r="AF1833" i="6"/>
  <c r="AF1834" i="6"/>
  <c r="AF1835" i="6"/>
  <c r="AF1836" i="6"/>
  <c r="AF1837" i="6"/>
  <c r="AF1838" i="6"/>
  <c r="AF1839" i="6"/>
  <c r="AF1840" i="6"/>
  <c r="AF1841" i="6"/>
  <c r="AF1842" i="6"/>
  <c r="AF1843" i="6"/>
  <c r="AF1844" i="6"/>
  <c r="AF1845" i="6"/>
  <c r="AF1846" i="6"/>
  <c r="AF1847" i="6"/>
  <c r="AF1848" i="6"/>
  <c r="AF1849" i="6"/>
  <c r="AF1850" i="6"/>
  <c r="AF1851" i="6"/>
  <c r="AF1852" i="6"/>
  <c r="AF1853" i="6"/>
  <c r="AF1854" i="6"/>
  <c r="AF1855" i="6"/>
  <c r="AF1856" i="6"/>
  <c r="AF1857" i="6"/>
  <c r="AF1858" i="6"/>
  <c r="AF1859" i="6"/>
  <c r="AF1860" i="6"/>
  <c r="AF1861" i="6"/>
  <c r="AF1862" i="6"/>
  <c r="AF1863" i="6"/>
  <c r="AF1864" i="6"/>
  <c r="AF1865" i="6"/>
  <c r="AF1866" i="6"/>
  <c r="AF1867" i="6"/>
  <c r="AF1868" i="6"/>
  <c r="AF1869" i="6"/>
  <c r="AF1870" i="6"/>
  <c r="AF1871" i="6"/>
  <c r="AF1872" i="6"/>
  <c r="AF1873" i="6"/>
  <c r="AF1874" i="6"/>
  <c r="AF1875" i="6"/>
  <c r="AF1876" i="6"/>
  <c r="AF1877" i="6"/>
  <c r="AF1878" i="6"/>
  <c r="AF1879" i="6"/>
  <c r="AF1880" i="6"/>
  <c r="AF1881" i="6"/>
  <c r="AF1882" i="6"/>
  <c r="AF1883" i="6"/>
  <c r="AF1884" i="6"/>
  <c r="AF1885" i="6"/>
  <c r="AF1886" i="6"/>
  <c r="AF1887" i="6"/>
  <c r="AF1888" i="6"/>
  <c r="AF1889" i="6"/>
  <c r="AF1890" i="6"/>
  <c r="AF1891" i="6"/>
  <c r="AF1892" i="6"/>
  <c r="AF1893" i="6"/>
  <c r="AF1894" i="6"/>
  <c r="AF1895" i="6"/>
  <c r="AF1896" i="6"/>
  <c r="AF1897" i="6"/>
  <c r="AF1898" i="6"/>
  <c r="AF1899" i="6"/>
  <c r="AF1901" i="6"/>
  <c r="AF1902" i="6"/>
  <c r="AF1903" i="6"/>
  <c r="AF1905" i="6"/>
  <c r="AF1906" i="6"/>
  <c r="AF1907" i="6"/>
  <c r="AF1909" i="6"/>
  <c r="AF1910" i="6"/>
  <c r="AF1911" i="6"/>
  <c r="AF1913" i="6"/>
  <c r="AF1915" i="6"/>
  <c r="AF1917" i="6"/>
  <c r="AF1918" i="6"/>
  <c r="AF1919" i="6"/>
  <c r="AF1921" i="6"/>
  <c r="AF1922" i="6"/>
  <c r="AF1923" i="6"/>
  <c r="AF1925" i="6"/>
  <c r="AF1926" i="6"/>
  <c r="AF1927" i="6"/>
  <c r="AF1929" i="6"/>
  <c r="AF1931" i="6"/>
  <c r="AF1933" i="6"/>
  <c r="AF1935" i="6"/>
  <c r="AF1936" i="6"/>
  <c r="AF1937" i="6"/>
  <c r="AF1939" i="6"/>
  <c r="AF1941" i="6"/>
  <c r="AF1943" i="6"/>
  <c r="AF1945" i="6"/>
  <c r="AF1947" i="6"/>
  <c r="AF1949" i="6"/>
  <c r="AF1951" i="6"/>
  <c r="AF1952" i="6"/>
  <c r="AF1953" i="6"/>
  <c r="AF1955" i="6"/>
  <c r="AF1956" i="6"/>
  <c r="AF1957" i="6"/>
  <c r="AF1959" i="6"/>
  <c r="AF1961" i="6"/>
  <c r="AF1963" i="6"/>
  <c r="AF1964" i="6"/>
  <c r="AF1965" i="6"/>
  <c r="AF1967" i="6"/>
  <c r="AF1968" i="6"/>
  <c r="AF1969" i="6"/>
  <c r="AF1971" i="6"/>
  <c r="AF1972" i="6"/>
  <c r="AF1973" i="6"/>
  <c r="AF1975" i="6"/>
  <c r="AF1977" i="6"/>
  <c r="AF1979" i="6"/>
  <c r="AF1980" i="6"/>
  <c r="AF1981" i="6"/>
  <c r="AF1983" i="6"/>
  <c r="AF1985" i="6"/>
  <c r="AF1986" i="6"/>
  <c r="AF1987" i="6"/>
  <c r="AF1989" i="6"/>
  <c r="AF1991" i="6"/>
  <c r="AF1992" i="6"/>
  <c r="AF1993" i="6"/>
  <c r="AF1995" i="6"/>
  <c r="AF1997" i="6"/>
  <c r="AF1998" i="6"/>
  <c r="AF1999" i="6"/>
  <c r="AF2001" i="6"/>
  <c r="AF2002" i="6"/>
  <c r="AF2003" i="6"/>
  <c r="AF2005" i="6"/>
  <c r="AF2006" i="6"/>
  <c r="AF2007" i="6"/>
  <c r="AF2009" i="6"/>
  <c r="AF2010" i="6"/>
  <c r="AF2011" i="6"/>
  <c r="AF2013" i="6"/>
  <c r="AF2014" i="6"/>
  <c r="AF2015" i="6"/>
  <c r="AF2017" i="6"/>
  <c r="AF2018" i="6"/>
  <c r="AF2019" i="6"/>
  <c r="AF2021" i="6"/>
  <c r="AF2022" i="6"/>
  <c r="AF2023" i="6"/>
  <c r="AF2025" i="6"/>
  <c r="AF2026" i="6"/>
  <c r="AF2027" i="6"/>
  <c r="AF2029" i="6"/>
  <c r="AF2030" i="6"/>
  <c r="AF2031" i="6"/>
  <c r="AF2033" i="6"/>
  <c r="AF2034" i="6"/>
  <c r="AF2035" i="6"/>
  <c r="AF2037" i="6"/>
  <c r="AF2038" i="6"/>
  <c r="AF2039" i="6"/>
  <c r="AF2041" i="6"/>
  <c r="AF2042" i="6"/>
  <c r="AF2043" i="6"/>
  <c r="AF2045" i="6"/>
  <c r="AF2046" i="6"/>
  <c r="AF2047" i="6"/>
  <c r="AF2049" i="6"/>
  <c r="AF2051" i="6"/>
  <c r="AF2052" i="6"/>
  <c r="AF2053" i="6"/>
  <c r="AF2055" i="6"/>
  <c r="AF2056" i="6"/>
  <c r="AF2057" i="6"/>
  <c r="AF2059" i="6"/>
  <c r="AF2060" i="6"/>
  <c r="AF2061" i="6"/>
  <c r="AF2063" i="6"/>
  <c r="AF2065" i="6"/>
  <c r="AF2067" i="6"/>
  <c r="AF2069" i="6"/>
  <c r="AF2070" i="6"/>
  <c r="AF2071" i="6"/>
  <c r="AF2073" i="6"/>
  <c r="AF2075" i="6"/>
  <c r="AF2077" i="6"/>
  <c r="AF2079" i="6"/>
  <c r="AF2081" i="6"/>
  <c r="AF909" i="6"/>
  <c r="AF612" i="6"/>
  <c r="AF619" i="6"/>
  <c r="AF620" i="6"/>
  <c r="AF621" i="6"/>
  <c r="AF622" i="6"/>
  <c r="AF623" i="6"/>
  <c r="AF624" i="6"/>
  <c r="AF625" i="6"/>
  <c r="AF626" i="6"/>
  <c r="AF627" i="6"/>
  <c r="AF628" i="6"/>
  <c r="AF629" i="6"/>
  <c r="AF630" i="6"/>
  <c r="AF631" i="6"/>
  <c r="AF632" i="6"/>
  <c r="AF633" i="6"/>
  <c r="AF634" i="6"/>
  <c r="AF635" i="6"/>
  <c r="AF636" i="6"/>
  <c r="AF637" i="6"/>
  <c r="AF638" i="6"/>
  <c r="AF639" i="6"/>
  <c r="AF640" i="6"/>
  <c r="AF641" i="6"/>
  <c r="AF642" i="6"/>
  <c r="AF643" i="6"/>
  <c r="AF644" i="6"/>
  <c r="AF648" i="6"/>
  <c r="AF651" i="6"/>
  <c r="AF652" i="6"/>
  <c r="AF653" i="6"/>
  <c r="AF654" i="6"/>
  <c r="AF655" i="6"/>
  <c r="AF656" i="6"/>
  <c r="AF657" i="6"/>
  <c r="AF658" i="6"/>
  <c r="AF659" i="6"/>
  <c r="AF660" i="6"/>
  <c r="AF661" i="6"/>
  <c r="AF662" i="6"/>
  <c r="AF663" i="6"/>
  <c r="AF664" i="6"/>
  <c r="AF665" i="6"/>
  <c r="AF666" i="6"/>
  <c r="AF667" i="6"/>
  <c r="AF668" i="6"/>
  <c r="AF669" i="6"/>
  <c r="AF670" i="6"/>
  <c r="AF671" i="6"/>
  <c r="AF672" i="6"/>
  <c r="AF673" i="6"/>
  <c r="AF674" i="6"/>
  <c r="AF675" i="6"/>
  <c r="AF676" i="6"/>
  <c r="AF677" i="6"/>
  <c r="AF678" i="6"/>
  <c r="AF679" i="6"/>
  <c r="AF682" i="6"/>
  <c r="AF683" i="6"/>
  <c r="AF686" i="6"/>
  <c r="AF687" i="6"/>
  <c r="AF688" i="6"/>
  <c r="AF691" i="6"/>
  <c r="AF693" i="6"/>
  <c r="AF694" i="6"/>
  <c r="AF695" i="6"/>
  <c r="AF697" i="6"/>
  <c r="AF698" i="6"/>
  <c r="AF699" i="6"/>
  <c r="AF701" i="6"/>
  <c r="AF703" i="6"/>
  <c r="AF611" i="6"/>
  <c r="AF538" i="6"/>
  <c r="AF539" i="6"/>
  <c r="AF540" i="6"/>
  <c r="AF541" i="6"/>
  <c r="AF542" i="6"/>
  <c r="AF543" i="6"/>
  <c r="AF544" i="6"/>
  <c r="AF545" i="6"/>
  <c r="AF549" i="6"/>
  <c r="AF550" i="6"/>
  <c r="AF551" i="6"/>
  <c r="AF552" i="6"/>
  <c r="AF553" i="6"/>
  <c r="AF554" i="6"/>
  <c r="AF555" i="6"/>
  <c r="AF556" i="6"/>
  <c r="AF557" i="6"/>
  <c r="AF558" i="6"/>
  <c r="AF559" i="6"/>
  <c r="AF560" i="6"/>
  <c r="AF561" i="6"/>
  <c r="AF562" i="6"/>
  <c r="AF563" i="6"/>
  <c r="AF564" i="6"/>
  <c r="AF565" i="6"/>
  <c r="AF566" i="6"/>
  <c r="AF537" i="6"/>
  <c r="AF331" i="6"/>
  <c r="AF332" i="6"/>
  <c r="AF333" i="6"/>
  <c r="AF334" i="6"/>
  <c r="AF335" i="6"/>
  <c r="AF337" i="6"/>
  <c r="AF338" i="6"/>
  <c r="AF339" i="6"/>
  <c r="AF340" i="6"/>
  <c r="AF341" i="6"/>
  <c r="AF342" i="6"/>
  <c r="AF343" i="6"/>
  <c r="AF344" i="6"/>
  <c r="AF345" i="6"/>
  <c r="AF346" i="6"/>
  <c r="AF347" i="6"/>
  <c r="AF348" i="6"/>
  <c r="AF349" i="6"/>
  <c r="AF350" i="6"/>
  <c r="AF351" i="6"/>
  <c r="AF352" i="6"/>
  <c r="AF353" i="6"/>
  <c r="AF354" i="6"/>
  <c r="AF355" i="6"/>
  <c r="AF357" i="6"/>
  <c r="AF358" i="6"/>
  <c r="AF359" i="6"/>
  <c r="AF360" i="6"/>
  <c r="AF361" i="6"/>
  <c r="AF362" i="6"/>
  <c r="AF363" i="6"/>
  <c r="AF364" i="6"/>
  <c r="AF365" i="6"/>
  <c r="AF367" i="6"/>
  <c r="AF368" i="6"/>
  <c r="AF369" i="6"/>
  <c r="AF370" i="6"/>
  <c r="AF371" i="6"/>
  <c r="AF372" i="6"/>
  <c r="AF373" i="6"/>
  <c r="AF374" i="6"/>
  <c r="AF375" i="6"/>
  <c r="AF377" i="6"/>
  <c r="AF378" i="6"/>
  <c r="AF379" i="6"/>
  <c r="AF380" i="6"/>
  <c r="AF381" i="6"/>
  <c r="AF382" i="6"/>
  <c r="AF383" i="6"/>
  <c r="AF384" i="6"/>
  <c r="AF385" i="6"/>
  <c r="AF386" i="6"/>
  <c r="AF387" i="6"/>
  <c r="AF388" i="6"/>
  <c r="AF389" i="6"/>
  <c r="AF390" i="6"/>
  <c r="AF391" i="6"/>
  <c r="AF392" i="6"/>
  <c r="AF393" i="6"/>
  <c r="AF394" i="6"/>
  <c r="AF395" i="6"/>
  <c r="AF396" i="6"/>
  <c r="AF397" i="6"/>
  <c r="AF398" i="6"/>
  <c r="AF399" i="6"/>
  <c r="AF400" i="6"/>
  <c r="AF401" i="6"/>
  <c r="AF402" i="6"/>
  <c r="AF403" i="6"/>
  <c r="AF404" i="6"/>
  <c r="AF405" i="6"/>
  <c r="AF407" i="6"/>
  <c r="AF408" i="6"/>
  <c r="AF409" i="6"/>
  <c r="AF410" i="6"/>
  <c r="AF411" i="6"/>
  <c r="AF412" i="6"/>
  <c r="AF417" i="6"/>
  <c r="AF418" i="6"/>
  <c r="AF419" i="6"/>
  <c r="AF420" i="6"/>
  <c r="AF421" i="6"/>
  <c r="AF422" i="6"/>
  <c r="AF423" i="6"/>
  <c r="AF424" i="6"/>
  <c r="AF425" i="6"/>
  <c r="AF426" i="6"/>
  <c r="AF427" i="6"/>
  <c r="AF428" i="6"/>
  <c r="AF429" i="6"/>
  <c r="AF430" i="6"/>
  <c r="AF431" i="6"/>
  <c r="AF432" i="6"/>
  <c r="AF433" i="6"/>
  <c r="AF434" i="6"/>
  <c r="AF435" i="6"/>
  <c r="AF436" i="6"/>
  <c r="AF437" i="6"/>
  <c r="AF438" i="6"/>
  <c r="AF439" i="6"/>
  <c r="AF440" i="6"/>
  <c r="AF441" i="6"/>
  <c r="AF442" i="6"/>
  <c r="AF443" i="6"/>
  <c r="AF444" i="6"/>
  <c r="AF445" i="6"/>
  <c r="AF446" i="6"/>
  <c r="AF447" i="6"/>
  <c r="AF448" i="6"/>
  <c r="AF449" i="6"/>
  <c r="AF450" i="6"/>
  <c r="AF452" i="6"/>
  <c r="AF453" i="6"/>
  <c r="AF454" i="6"/>
  <c r="AF455" i="6"/>
  <c r="AF456" i="6"/>
  <c r="AF457" i="6"/>
  <c r="AF458" i="6"/>
  <c r="AF459" i="6"/>
  <c r="AF460" i="6"/>
  <c r="AF461" i="6"/>
  <c r="AF462" i="6"/>
  <c r="AF463" i="6"/>
  <c r="AF464" i="6"/>
  <c r="AF465" i="6"/>
  <c r="AF466" i="6"/>
  <c r="AF467" i="6"/>
  <c r="AF468" i="6"/>
  <c r="AF469" i="6"/>
  <c r="AF470" i="6"/>
  <c r="AF471" i="6"/>
  <c r="AF472" i="6"/>
  <c r="AF473" i="6"/>
  <c r="AF474" i="6"/>
  <c r="AF475" i="6"/>
  <c r="AF476" i="6"/>
  <c r="AF477" i="6"/>
  <c r="AF479" i="6"/>
  <c r="AF482" i="6"/>
  <c r="AF484" i="6"/>
  <c r="AF486" i="6"/>
  <c r="AF487" i="6"/>
  <c r="AF488" i="6"/>
  <c r="AF490" i="6"/>
  <c r="AF491" i="6"/>
  <c r="AF492" i="6"/>
  <c r="AF494" i="6"/>
  <c r="AF496" i="6"/>
  <c r="AF498" i="6"/>
  <c r="AF499" i="6"/>
  <c r="AF500" i="6"/>
  <c r="AF502" i="6"/>
  <c r="AF328" i="6"/>
  <c r="AF329" i="6"/>
  <c r="AF330" i="6"/>
  <c r="AF327" i="6"/>
  <c r="AF103" i="6"/>
  <c r="AF104" i="6"/>
  <c r="AF105" i="6"/>
  <c r="AF106" i="6"/>
  <c r="AF107" i="6"/>
  <c r="AF108" i="6"/>
  <c r="AF109" i="6"/>
  <c r="AF110" i="6"/>
  <c r="AF111" i="6"/>
  <c r="AF112" i="6"/>
  <c r="AF113" i="6"/>
  <c r="AF114" i="6"/>
  <c r="AF115" i="6"/>
  <c r="AF116" i="6"/>
  <c r="AF117" i="6"/>
  <c r="AF118" i="6"/>
  <c r="AF119" i="6"/>
  <c r="AF120" i="6"/>
  <c r="AF121" i="6"/>
  <c r="AF122" i="6"/>
  <c r="AF123" i="6"/>
  <c r="AF124" i="6"/>
  <c r="AF125" i="6"/>
  <c r="AF126" i="6"/>
  <c r="AF128" i="6"/>
  <c r="AF129" i="6"/>
  <c r="AF131" i="6"/>
  <c r="AF132" i="6"/>
  <c r="AF134" i="6"/>
  <c r="AF136" i="6"/>
  <c r="AF137" i="6"/>
  <c r="AF139" i="6"/>
  <c r="AF140" i="6"/>
  <c r="AF142" i="6"/>
  <c r="AF143" i="6"/>
  <c r="AF145" i="6"/>
  <c r="AF146" i="6"/>
  <c r="AF148" i="6"/>
  <c r="AF149" i="6"/>
  <c r="AF150" i="6"/>
  <c r="AF151" i="6"/>
  <c r="AF152" i="6"/>
  <c r="AF153" i="6"/>
  <c r="AF154" i="6"/>
  <c r="AF155" i="6"/>
  <c r="AF156" i="6"/>
  <c r="AF157" i="6"/>
  <c r="AF158" i="6"/>
  <c r="AF159" i="6"/>
  <c r="AF160" i="6"/>
  <c r="AF161" i="6"/>
  <c r="AF162" i="6"/>
  <c r="AF163" i="6"/>
  <c r="AF164" i="6"/>
  <c r="AF165" i="6"/>
  <c r="AF166" i="6"/>
  <c r="AF167" i="6"/>
  <c r="AF168" i="6"/>
  <c r="AF169" i="6"/>
  <c r="AF170" i="6"/>
  <c r="AF171" i="6"/>
  <c r="AF172" i="6"/>
  <c r="AF174" i="6"/>
  <c r="AF175" i="6"/>
  <c r="AF177" i="6"/>
  <c r="AF178" i="6"/>
  <c r="AF180" i="6"/>
  <c r="AF182" i="6"/>
  <c r="AF183" i="6"/>
  <c r="AF185" i="6"/>
  <c r="AF186" i="6"/>
  <c r="AF188" i="6"/>
  <c r="AF189" i="6"/>
  <c r="AF191" i="6"/>
  <c r="AF192" i="6"/>
  <c r="AF194" i="6"/>
  <c r="AF195" i="6"/>
  <c r="AF196" i="6"/>
  <c r="AF197" i="6"/>
  <c r="AF198" i="6"/>
  <c r="AF199" i="6"/>
  <c r="AF200" i="6"/>
  <c r="AF201" i="6"/>
  <c r="AF202" i="6"/>
  <c r="AF203" i="6"/>
  <c r="AF204" i="6"/>
  <c r="AF205" i="6"/>
  <c r="AF206" i="6"/>
  <c r="AF207" i="6"/>
  <c r="AF208" i="6"/>
  <c r="AF209" i="6"/>
  <c r="AF210" i="6"/>
  <c r="AF211" i="6"/>
  <c r="AF212" i="6"/>
  <c r="AF213" i="6"/>
  <c r="AF214" i="6"/>
  <c r="AF215" i="6"/>
  <c r="AF216" i="6"/>
  <c r="AF217" i="6"/>
  <c r="AF218" i="6"/>
  <c r="AF219" i="6"/>
  <c r="AF220" i="6"/>
  <c r="AF221" i="6"/>
  <c r="AF222" i="6"/>
  <c r="AF223" i="6"/>
  <c r="AF224" i="6"/>
  <c r="AF225" i="6"/>
  <c r="AF226" i="6"/>
  <c r="AF227" i="6"/>
  <c r="AF228" i="6"/>
  <c r="AF229" i="6"/>
  <c r="AF230" i="6"/>
  <c r="AF231" i="6"/>
  <c r="AF232" i="6"/>
  <c r="AF233" i="6"/>
  <c r="AF234" i="6"/>
  <c r="AF235" i="6"/>
  <c r="AF236" i="6"/>
  <c r="AF237" i="6"/>
  <c r="AF238" i="6"/>
  <c r="AF239" i="6"/>
  <c r="AF240" i="6"/>
  <c r="AF241" i="6"/>
  <c r="AF242" i="6"/>
  <c r="AF243" i="6"/>
  <c r="AF244" i="6"/>
  <c r="AF245" i="6"/>
  <c r="AF246" i="6"/>
  <c r="AF247" i="6"/>
  <c r="AF248" i="6"/>
  <c r="AF249" i="6"/>
  <c r="AF250" i="6"/>
  <c r="AF251" i="6"/>
  <c r="AF252" i="6"/>
  <c r="AF253" i="6"/>
  <c r="AF254" i="6"/>
  <c r="AF255" i="6"/>
  <c r="AF256" i="6"/>
  <c r="AF257" i="6"/>
  <c r="AF258" i="6"/>
  <c r="AF259" i="6"/>
  <c r="AF260" i="6"/>
  <c r="AF261" i="6"/>
  <c r="AF262" i="6"/>
  <c r="AF263" i="6"/>
  <c r="AF264" i="6"/>
  <c r="AF266" i="6"/>
  <c r="AF269" i="6"/>
  <c r="AF272" i="6"/>
  <c r="AF274" i="6"/>
  <c r="AF277" i="6"/>
  <c r="AF280" i="6"/>
  <c r="AF283" i="6"/>
  <c r="AF286" i="6"/>
  <c r="AF21" i="6"/>
  <c r="AF22" i="6"/>
  <c r="AF23" i="6"/>
  <c r="AF32" i="6"/>
  <c r="AF33" i="6"/>
  <c r="AF34" i="6"/>
  <c r="AF35" i="6"/>
  <c r="AF36" i="6"/>
  <c r="AF37" i="6"/>
  <c r="AF38" i="6"/>
  <c r="AF39" i="6"/>
  <c r="AF40" i="6"/>
  <c r="AF41" i="6"/>
  <c r="AF42" i="6"/>
  <c r="AF43" i="6"/>
  <c r="AF44" i="6"/>
  <c r="AF45" i="6"/>
  <c r="AF46" i="6"/>
  <c r="AF47" i="6"/>
  <c r="AF48" i="6"/>
  <c r="AF49" i="6"/>
  <c r="AF50" i="6"/>
  <c r="AF51" i="6"/>
  <c r="AF52" i="6"/>
  <c r="AF53" i="6"/>
  <c r="AF54" i="6"/>
  <c r="AF55" i="6"/>
  <c r="AF56" i="6"/>
  <c r="AF58" i="6"/>
  <c r="AF60" i="6"/>
  <c r="AF62" i="6"/>
  <c r="AF64" i="6"/>
  <c r="AF730" i="6"/>
  <c r="AF764" i="6"/>
  <c r="AF776" i="6"/>
  <c r="AF810" i="6"/>
  <c r="AF826" i="6"/>
  <c r="AF842" i="6"/>
  <c r="AF16" i="5" l="1"/>
  <c r="AF17" i="5"/>
  <c r="AF18" i="5"/>
  <c r="AF19" i="5"/>
  <c r="AF20" i="5"/>
  <c r="AF21" i="5"/>
  <c r="AF22" i="5"/>
  <c r="AF23" i="5"/>
  <c r="AF24" i="5"/>
  <c r="AF25" i="5"/>
  <c r="AF26" i="5"/>
  <c r="AF72" i="16"/>
  <c r="AF73" i="16"/>
  <c r="AF74" i="16"/>
  <c r="AF75" i="16"/>
  <c r="AF76" i="16"/>
  <c r="AF77" i="16"/>
  <c r="AF78" i="16"/>
  <c r="AF79" i="16"/>
  <c r="AF80" i="16"/>
  <c r="AF81" i="16"/>
  <c r="AF82" i="16"/>
  <c r="AF83" i="16"/>
  <c r="AF84" i="16"/>
  <c r="AF85" i="16"/>
  <c r="AF86" i="16"/>
  <c r="AF87" i="16"/>
  <c r="AF88" i="16"/>
  <c r="AF89" i="16"/>
  <c r="AF90" i="16"/>
  <c r="AF91" i="16"/>
  <c r="AF93" i="16"/>
  <c r="AF94" i="16"/>
  <c r="AF95" i="16"/>
  <c r="AF96" i="16"/>
  <c r="AF104" i="16"/>
  <c r="AF105" i="16"/>
  <c r="AF106" i="16"/>
  <c r="AF107" i="16"/>
  <c r="AF108" i="16"/>
  <c r="AF109" i="16"/>
  <c r="AF110" i="16"/>
  <c r="AF111" i="16"/>
  <c r="AF112" i="16"/>
  <c r="AF113" i="16"/>
  <c r="AF114" i="16"/>
  <c r="AF115" i="16"/>
  <c r="AF116" i="16"/>
  <c r="AF117" i="16"/>
  <c r="AF118" i="16"/>
  <c r="AF119" i="16"/>
  <c r="AF120" i="16"/>
  <c r="AF121" i="16"/>
  <c r="AF122" i="16"/>
  <c r="AF123" i="16"/>
  <c r="AF124" i="16"/>
  <c r="AF125" i="16"/>
  <c r="AF126" i="16"/>
  <c r="AF71" i="16"/>
  <c r="AF17" i="16"/>
  <c r="AF18" i="16"/>
  <c r="AF19" i="16"/>
  <c r="AF20" i="16"/>
  <c r="AF21" i="16"/>
  <c r="AF22" i="16"/>
  <c r="AF23" i="16"/>
  <c r="AF24" i="16"/>
  <c r="AF25" i="16"/>
  <c r="AF26" i="16"/>
  <c r="AF27" i="16"/>
  <c r="AF28" i="16"/>
  <c r="AF29" i="16"/>
  <c r="AF30" i="16"/>
  <c r="AF31" i="16"/>
  <c r="AF32" i="16"/>
  <c r="AF33" i="16"/>
  <c r="AF34" i="16"/>
  <c r="AF35" i="16"/>
  <c r="AF36" i="16"/>
  <c r="AF37" i="16"/>
  <c r="AF38" i="16"/>
  <c r="AF39" i="16"/>
  <c r="AF40" i="16"/>
  <c r="AF41" i="16"/>
  <c r="AF42" i="16"/>
  <c r="AF16" i="16"/>
  <c r="AR898" i="7" l="1"/>
  <c r="AR899" i="7"/>
  <c r="AR900" i="7"/>
  <c r="AR901" i="7"/>
  <c r="AR902" i="7"/>
  <c r="AR903" i="7"/>
  <c r="AR904" i="7"/>
  <c r="AR905" i="7"/>
  <c r="AR906" i="7"/>
  <c r="AR908" i="7"/>
  <c r="AR897" i="7"/>
  <c r="P838" i="7" l="1"/>
  <c r="DJ838" i="7" s="1"/>
  <c r="P839" i="7"/>
  <c r="DJ839" i="7" s="1"/>
  <c r="P840" i="7"/>
  <c r="DJ840" i="7" s="1"/>
  <c r="P841" i="7"/>
  <c r="DJ841" i="7" s="1"/>
  <c r="P842" i="7"/>
  <c r="DJ842" i="7" s="1"/>
  <c r="P843" i="7"/>
  <c r="DJ843" i="7" s="1"/>
  <c r="P844" i="7"/>
  <c r="DJ844" i="7" s="1"/>
  <c r="P845" i="7"/>
  <c r="DJ845" i="7" s="1"/>
  <c r="P846" i="7"/>
  <c r="DJ846" i="7" s="1"/>
  <c r="Q846" i="7"/>
  <c r="P848" i="7"/>
  <c r="DJ848" i="7" s="1"/>
  <c r="K838" i="7"/>
  <c r="K844" i="7"/>
  <c r="N838" i="7"/>
  <c r="X205" i="15" s="1"/>
  <c r="Z205" i="15" s="1"/>
  <c r="W205" i="15" s="1"/>
  <c r="V205" i="15" s="1"/>
  <c r="N839" i="7"/>
  <c r="X206" i="15" s="1"/>
  <c r="Z206" i="15" s="1"/>
  <c r="W206" i="15" s="1"/>
  <c r="V206" i="15" s="1"/>
  <c r="N840" i="7"/>
  <c r="X207" i="15" s="1"/>
  <c r="Z207" i="15" s="1"/>
  <c r="W207" i="15" s="1"/>
  <c r="V207" i="15" s="1"/>
  <c r="N841" i="7"/>
  <c r="X208" i="15" s="1"/>
  <c r="Z208" i="15" s="1"/>
  <c r="W208" i="15" s="1"/>
  <c r="V208" i="15" s="1"/>
  <c r="N842" i="7"/>
  <c r="X209" i="15" s="1"/>
  <c r="Z209" i="15" s="1"/>
  <c r="W209" i="15" s="1"/>
  <c r="V209" i="15" s="1"/>
  <c r="N843" i="7"/>
  <c r="X210" i="15" s="1"/>
  <c r="Z210" i="15" s="1"/>
  <c r="W210" i="15" s="1"/>
  <c r="V210" i="15" s="1"/>
  <c r="N844" i="7"/>
  <c r="X211" i="15" s="1"/>
  <c r="Z211" i="15" s="1"/>
  <c r="W211" i="15" s="1"/>
  <c r="V211" i="15" s="1"/>
  <c r="N845" i="7"/>
  <c r="X212" i="15" s="1"/>
  <c r="Z212" i="15" s="1"/>
  <c r="W212" i="15" s="1"/>
  <c r="V212" i="15" s="1"/>
  <c r="N846" i="7"/>
  <c r="X213" i="15" s="1"/>
  <c r="Z213" i="15" s="1"/>
  <c r="W213" i="15" s="1"/>
  <c r="V213" i="15" s="1"/>
  <c r="N847" i="7"/>
  <c r="X214" i="15" s="1"/>
  <c r="Z214" i="15" s="1"/>
  <c r="W214" i="15" s="1"/>
  <c r="V214" i="15" s="1"/>
  <c r="N848" i="7"/>
  <c r="X215" i="15" s="1"/>
  <c r="Z215" i="15" s="1"/>
  <c r="W215" i="15" s="1"/>
  <c r="V215" i="15" s="1"/>
  <c r="N837" i="7"/>
  <c r="X204" i="15" s="1"/>
  <c r="Z204" i="15" s="1"/>
  <c r="W204" i="15" s="1"/>
  <c r="V204" i="15" s="1"/>
  <c r="K837" i="7"/>
  <c r="G898" i="7"/>
  <c r="Q838" i="7" s="1"/>
  <c r="G899" i="7"/>
  <c r="Q839" i="7" s="1"/>
  <c r="G900" i="7"/>
  <c r="Q840" i="7" s="1"/>
  <c r="G901" i="7"/>
  <c r="Q841" i="7" s="1"/>
  <c r="G902" i="7"/>
  <c r="Q842" i="7" s="1"/>
  <c r="G903" i="7"/>
  <c r="Q843" i="7" s="1"/>
  <c r="G904" i="7"/>
  <c r="Q844" i="7" s="1"/>
  <c r="G905" i="7"/>
  <c r="Q845" i="7" s="1"/>
  <c r="G897" i="7"/>
  <c r="G908" i="7"/>
  <c r="Q848" i="7" s="1"/>
  <c r="J689" i="6"/>
  <c r="AF689" i="6" s="1"/>
  <c r="J685" i="6"/>
  <c r="AF685" i="6" s="1"/>
  <c r="J684" i="6"/>
  <c r="AF684" i="6" s="1"/>
  <c r="J681" i="6"/>
  <c r="AF681" i="6" s="1"/>
  <c r="J680" i="6"/>
  <c r="AF680" i="6" s="1"/>
  <c r="S628" i="6"/>
  <c r="S553" i="6"/>
  <c r="L504" i="6"/>
  <c r="K378" i="6"/>
  <c r="Q329" i="6"/>
  <c r="Q330" i="6"/>
  <c r="Q331" i="6"/>
  <c r="F712" i="6"/>
  <c r="F877" i="6"/>
  <c r="F710" i="6"/>
  <c r="J7" i="16"/>
  <c r="K7" i="16"/>
  <c r="L7" i="16"/>
  <c r="J523" i="7"/>
  <c r="J521" i="7"/>
  <c r="I520" i="7"/>
  <c r="F944" i="7"/>
  <c r="AF944" i="7" s="1"/>
  <c r="F947" i="7"/>
  <c r="AF947" i="7" s="1"/>
  <c r="I35" i="7"/>
  <c r="F298" i="7"/>
  <c r="AF298" i="7" s="1"/>
  <c r="F398" i="7"/>
  <c r="AF398" i="7" s="1"/>
  <c r="F291" i="7"/>
  <c r="AF291" i="7" s="1"/>
  <c r="G596" i="7"/>
  <c r="AF596" i="7" s="1"/>
  <c r="AB207" i="15" l="1"/>
  <c r="AB208" i="15"/>
  <c r="AB213" i="15"/>
  <c r="AB210" i="15"/>
  <c r="AB206" i="15"/>
  <c r="AB205" i="15"/>
  <c r="AB212" i="15"/>
  <c r="AB209" i="15"/>
  <c r="AB215" i="15"/>
  <c r="AB211" i="15"/>
  <c r="L53" i="15"/>
  <c r="AF710" i="6"/>
  <c r="M105" i="15"/>
  <c r="AF877" i="6"/>
  <c r="K105" i="15"/>
  <c r="AF875" i="6"/>
  <c r="N53" i="15"/>
  <c r="AF712" i="6"/>
  <c r="F945" i="7"/>
  <c r="F934" i="7" l="1"/>
  <c r="AF945" i="7"/>
  <c r="F932" i="7"/>
  <c r="J218" i="15" l="1"/>
  <c r="AF932" i="7"/>
  <c r="J219" i="15"/>
  <c r="AF934" i="7"/>
  <c r="I216" i="15" l="1"/>
  <c r="AF914" i="7"/>
  <c r="K744" i="6" l="1"/>
  <c r="DJ744" i="6" s="1"/>
  <c r="K745" i="6"/>
  <c r="DJ745" i="6" s="1"/>
  <c r="K746" i="6"/>
  <c r="DJ746" i="6" s="1"/>
  <c r="K748" i="6"/>
  <c r="DJ748" i="6" s="1"/>
  <c r="K750" i="6"/>
  <c r="DJ750" i="6" s="1"/>
  <c r="K752" i="6"/>
  <c r="DJ752" i="6" s="1"/>
  <c r="K754" i="6"/>
  <c r="DJ754" i="6" s="1"/>
  <c r="K756" i="6"/>
  <c r="DJ756" i="6" s="1"/>
  <c r="K758" i="6"/>
  <c r="DJ758" i="6" s="1"/>
  <c r="K760" i="6"/>
  <c r="DJ760" i="6" s="1"/>
  <c r="K761" i="6"/>
  <c r="DJ761" i="6" s="1"/>
  <c r="K762" i="6"/>
  <c r="DJ762" i="6" s="1"/>
  <c r="K764" i="6"/>
  <c r="DJ764" i="6" s="1"/>
  <c r="K765" i="6"/>
  <c r="DJ765" i="6" s="1"/>
  <c r="K766" i="6"/>
  <c r="DJ766" i="6" s="1"/>
  <c r="K768" i="6"/>
  <c r="DJ768" i="6" s="1"/>
  <c r="K770" i="6"/>
  <c r="DJ770" i="6" s="1"/>
  <c r="K772" i="6"/>
  <c r="DJ772" i="6" s="1"/>
  <c r="K773" i="6"/>
  <c r="DJ773" i="6" s="1"/>
  <c r="K774" i="6"/>
  <c r="DJ774" i="6" s="1"/>
  <c r="K776" i="6"/>
  <c r="DJ776" i="6" s="1"/>
  <c r="K777" i="6"/>
  <c r="DJ777" i="6" s="1"/>
  <c r="K778" i="6"/>
  <c r="DJ778" i="6" s="1"/>
  <c r="K780" i="6"/>
  <c r="DJ780" i="6" s="1"/>
  <c r="K781" i="6"/>
  <c r="DJ781" i="6" s="1"/>
  <c r="K782" i="6"/>
  <c r="DJ782" i="6" s="1"/>
  <c r="K784" i="6"/>
  <c r="DJ784" i="6" s="1"/>
  <c r="K786" i="6"/>
  <c r="DJ786" i="6" s="1"/>
  <c r="K788" i="6"/>
  <c r="DJ788" i="6" s="1"/>
  <c r="K789" i="6"/>
  <c r="DJ789" i="6" s="1"/>
  <c r="K790" i="6"/>
  <c r="DJ790" i="6" s="1"/>
  <c r="K792" i="6"/>
  <c r="DJ792" i="6" s="1"/>
  <c r="K794" i="6"/>
  <c r="DJ794" i="6" s="1"/>
  <c r="K795" i="6"/>
  <c r="DJ795" i="6" s="1"/>
  <c r="K796" i="6"/>
  <c r="DJ796" i="6" s="1"/>
  <c r="K798" i="6"/>
  <c r="DJ798" i="6" s="1"/>
  <c r="K800" i="6"/>
  <c r="DJ800" i="6" s="1"/>
  <c r="K801" i="6"/>
  <c r="DJ801" i="6" s="1"/>
  <c r="K802" i="6"/>
  <c r="DJ802" i="6" s="1"/>
  <c r="K804" i="6"/>
  <c r="DJ804" i="6" s="1"/>
  <c r="K806" i="6"/>
  <c r="DJ806" i="6" s="1"/>
  <c r="K807" i="6"/>
  <c r="DJ807" i="6" s="1"/>
  <c r="K808" i="6"/>
  <c r="DJ808" i="6" s="1"/>
  <c r="K810" i="6"/>
  <c r="DJ810" i="6" s="1"/>
  <c r="K811" i="6"/>
  <c r="DJ811" i="6" s="1"/>
  <c r="K812" i="6"/>
  <c r="DJ812" i="6" s="1"/>
  <c r="K814" i="6"/>
  <c r="DJ814" i="6" s="1"/>
  <c r="K815" i="6"/>
  <c r="DJ815" i="6" s="1"/>
  <c r="K816" i="6"/>
  <c r="DJ816" i="6" s="1"/>
  <c r="K818" i="6"/>
  <c r="DJ818" i="6" s="1"/>
  <c r="K819" i="6"/>
  <c r="DJ819" i="6" s="1"/>
  <c r="K820" i="6"/>
  <c r="DJ820" i="6" s="1"/>
  <c r="K822" i="6"/>
  <c r="DJ822" i="6" s="1"/>
  <c r="K823" i="6"/>
  <c r="DJ823" i="6" s="1"/>
  <c r="K824" i="6"/>
  <c r="DJ824" i="6" s="1"/>
  <c r="K826" i="6"/>
  <c r="DJ826" i="6" s="1"/>
  <c r="K827" i="6"/>
  <c r="DJ827" i="6" s="1"/>
  <c r="K828" i="6"/>
  <c r="DJ828" i="6" s="1"/>
  <c r="K830" i="6"/>
  <c r="DJ830" i="6" s="1"/>
  <c r="K831" i="6"/>
  <c r="DJ831" i="6" s="1"/>
  <c r="K832" i="6"/>
  <c r="DJ832" i="6" s="1"/>
  <c r="K834" i="6"/>
  <c r="DJ834" i="6" s="1"/>
  <c r="K835" i="6"/>
  <c r="DJ835" i="6" s="1"/>
  <c r="K836" i="6"/>
  <c r="DJ836" i="6" s="1"/>
  <c r="K838" i="6"/>
  <c r="DJ838" i="6" s="1"/>
  <c r="K839" i="6"/>
  <c r="DJ839" i="6" s="1"/>
  <c r="K840" i="6"/>
  <c r="DJ840" i="6" s="1"/>
  <c r="K842" i="6"/>
  <c r="DJ842" i="6" s="1"/>
  <c r="K843" i="6"/>
  <c r="DJ843" i="6" s="1"/>
  <c r="K844" i="6"/>
  <c r="DJ844" i="6" s="1"/>
  <c r="K846" i="6"/>
  <c r="DJ846" i="6" s="1"/>
  <c r="K847" i="6"/>
  <c r="DJ847" i="6" s="1"/>
  <c r="K848" i="6"/>
  <c r="DJ848" i="6" s="1"/>
  <c r="K850" i="6"/>
  <c r="DJ850" i="6" s="1"/>
  <c r="K851" i="6"/>
  <c r="DJ851" i="6" s="1"/>
  <c r="K852" i="6"/>
  <c r="DJ852" i="6" s="1"/>
  <c r="K854" i="6"/>
  <c r="DJ854" i="6" s="1"/>
  <c r="K855" i="6"/>
  <c r="DJ855" i="6" s="1"/>
  <c r="K856" i="6"/>
  <c r="DJ856" i="6" s="1"/>
  <c r="K858" i="6"/>
  <c r="DJ858" i="6" s="1"/>
  <c r="K860" i="6"/>
  <c r="DJ860" i="6" s="1"/>
  <c r="K861" i="6"/>
  <c r="DJ861" i="6" s="1"/>
  <c r="K862" i="6"/>
  <c r="DJ862" i="6" s="1"/>
  <c r="K864" i="6"/>
  <c r="DJ864" i="6" s="1"/>
  <c r="K865" i="6"/>
  <c r="DJ865" i="6" s="1"/>
  <c r="K866" i="6"/>
  <c r="DJ866" i="6" s="1"/>
  <c r="K868" i="6"/>
  <c r="DJ868" i="6" s="1"/>
  <c r="K869" i="6"/>
  <c r="DJ869" i="6" s="1"/>
  <c r="K870" i="6"/>
  <c r="DJ870" i="6" s="1"/>
  <c r="K872" i="6"/>
  <c r="DJ872" i="6" s="1"/>
  <c r="K874" i="6"/>
  <c r="DJ874" i="6" s="1"/>
  <c r="K876" i="6"/>
  <c r="DJ876" i="6" s="1"/>
  <c r="K877" i="6"/>
  <c r="DJ877" i="6" s="1"/>
  <c r="K878" i="6"/>
  <c r="DJ878" i="6" s="1"/>
  <c r="K880" i="6"/>
  <c r="DJ880" i="6" s="1"/>
  <c r="K882" i="6"/>
  <c r="DJ882" i="6" s="1"/>
  <c r="K884" i="6"/>
  <c r="DJ884" i="6" s="1"/>
  <c r="K886" i="6"/>
  <c r="DJ886" i="6" s="1"/>
  <c r="K888" i="6"/>
  <c r="DJ888" i="6" s="1"/>
  <c r="K722" i="6"/>
  <c r="DJ722" i="6" s="1"/>
  <c r="K724" i="6"/>
  <c r="DJ724" i="6" s="1"/>
  <c r="K726" i="6"/>
  <c r="DJ726" i="6" s="1"/>
  <c r="K727" i="6"/>
  <c r="DJ727" i="6" s="1"/>
  <c r="K728" i="6"/>
  <c r="DJ728" i="6" s="1"/>
  <c r="K730" i="6"/>
  <c r="DJ730" i="6" s="1"/>
  <c r="K731" i="6"/>
  <c r="DJ731" i="6" s="1"/>
  <c r="K732" i="6"/>
  <c r="DJ732" i="6" s="1"/>
  <c r="K734" i="6"/>
  <c r="DJ734" i="6" s="1"/>
  <c r="K735" i="6"/>
  <c r="DJ735" i="6" s="1"/>
  <c r="K736" i="6"/>
  <c r="DJ736" i="6" s="1"/>
  <c r="K738" i="6"/>
  <c r="DJ738" i="6" s="1"/>
  <c r="K740" i="6"/>
  <c r="DJ740" i="6" s="1"/>
  <c r="K742" i="6"/>
  <c r="DJ742" i="6" s="1"/>
  <c r="K714" i="6"/>
  <c r="DJ714" i="6" s="1"/>
  <c r="K715" i="6"/>
  <c r="DJ715" i="6" s="1"/>
  <c r="K716" i="6"/>
  <c r="DJ716" i="6" s="1"/>
  <c r="K718" i="6"/>
  <c r="DJ718" i="6" s="1"/>
  <c r="K719" i="6"/>
  <c r="DJ719" i="6" s="1"/>
  <c r="K720" i="6"/>
  <c r="DJ720" i="6" s="1"/>
  <c r="K710" i="6"/>
  <c r="DJ710" i="6" s="1"/>
  <c r="K711" i="6"/>
  <c r="DJ711" i="6" s="1"/>
  <c r="K712" i="6"/>
  <c r="DJ712" i="6" s="1"/>
  <c r="S926" i="6" l="1"/>
  <c r="F750" i="7"/>
  <c r="AF750" i="7" s="1"/>
  <c r="DF888" i="6" l="1"/>
  <c r="DF887" i="6"/>
  <c r="DF886" i="6"/>
  <c r="DF885" i="6"/>
  <c r="DF884" i="6"/>
  <c r="DF883" i="6"/>
  <c r="DF882" i="6"/>
  <c r="DF881" i="6"/>
  <c r="DF880" i="6"/>
  <c r="DF879" i="6"/>
  <c r="DF878" i="6"/>
  <c r="DF877" i="6"/>
  <c r="DF876" i="6"/>
  <c r="DF875" i="6"/>
  <c r="DF874" i="6"/>
  <c r="DF873" i="6"/>
  <c r="DF872" i="6"/>
  <c r="DF871" i="6"/>
  <c r="DF870" i="6"/>
  <c r="DF869" i="6"/>
  <c r="DF868" i="6"/>
  <c r="DF867" i="6"/>
  <c r="DF866" i="6"/>
  <c r="DF865" i="6"/>
  <c r="DF864" i="6"/>
  <c r="DF863" i="6"/>
  <c r="DF862" i="6"/>
  <c r="DF861" i="6"/>
  <c r="DF860" i="6"/>
  <c r="DF859" i="6"/>
  <c r="DF858" i="6"/>
  <c r="DF857" i="6"/>
  <c r="DF856" i="6"/>
  <c r="DF855" i="6"/>
  <c r="DF854" i="6"/>
  <c r="DF853" i="6"/>
  <c r="DF852" i="6"/>
  <c r="DF851" i="6"/>
  <c r="DF850" i="6"/>
  <c r="DF849" i="6"/>
  <c r="DF848" i="6"/>
  <c r="DF847" i="6"/>
  <c r="DF846" i="6"/>
  <c r="DF845" i="6"/>
  <c r="DF844" i="6"/>
  <c r="DF843" i="6"/>
  <c r="DF842" i="6"/>
  <c r="DF841" i="6"/>
  <c r="DF840" i="6"/>
  <c r="DF839" i="6"/>
  <c r="DF838" i="6"/>
  <c r="DF837" i="6"/>
  <c r="DF836" i="6"/>
  <c r="DF835" i="6"/>
  <c r="DF834" i="6"/>
  <c r="DF833" i="6"/>
  <c r="DF832" i="6"/>
  <c r="DF831" i="6"/>
  <c r="DF830" i="6"/>
  <c r="DF829" i="6"/>
  <c r="DF828" i="6"/>
  <c r="DF827" i="6"/>
  <c r="DF826" i="6"/>
  <c r="DF825" i="6"/>
  <c r="DF824" i="6"/>
  <c r="DF823" i="6"/>
  <c r="DF822" i="6"/>
  <c r="DF821" i="6"/>
  <c r="DF820" i="6"/>
  <c r="DF819" i="6"/>
  <c r="DF818" i="6"/>
  <c r="DF817" i="6"/>
  <c r="DF816" i="6"/>
  <c r="DF815" i="6"/>
  <c r="DF814" i="6"/>
  <c r="DF813" i="6"/>
  <c r="DF812" i="6"/>
  <c r="DF811" i="6"/>
  <c r="DF810" i="6"/>
  <c r="DF809" i="6"/>
  <c r="DF808" i="6"/>
  <c r="DF807" i="6"/>
  <c r="DF806" i="6"/>
  <c r="DF805" i="6"/>
  <c r="DF804" i="6"/>
  <c r="DF803" i="6"/>
  <c r="DF802" i="6"/>
  <c r="DF801" i="6"/>
  <c r="DF800" i="6"/>
  <c r="DF799" i="6"/>
  <c r="DF798" i="6"/>
  <c r="DF797" i="6"/>
  <c r="DF796" i="6"/>
  <c r="DF795" i="6"/>
  <c r="DF794" i="6"/>
  <c r="DF793" i="6"/>
  <c r="DF792" i="6"/>
  <c r="DF791" i="6"/>
  <c r="DF790" i="6"/>
  <c r="DF789" i="6"/>
  <c r="DF788" i="6"/>
  <c r="DF787" i="6"/>
  <c r="DF786" i="6"/>
  <c r="DF785" i="6"/>
  <c r="DF784" i="6"/>
  <c r="DF783" i="6"/>
  <c r="DF782" i="6"/>
  <c r="DF781" i="6"/>
  <c r="DF780" i="6"/>
  <c r="DF779" i="6"/>
  <c r="DF778" i="6"/>
  <c r="DF777" i="6"/>
  <c r="DF776" i="6"/>
  <c r="DF775" i="6"/>
  <c r="DF774" i="6"/>
  <c r="DF773" i="6"/>
  <c r="DF772" i="6"/>
  <c r="DF771" i="6"/>
  <c r="DF770" i="6"/>
  <c r="DF769" i="6"/>
  <c r="DF768" i="6"/>
  <c r="DF767" i="6"/>
  <c r="DF766" i="6"/>
  <c r="DF765" i="6"/>
  <c r="DF764" i="6"/>
  <c r="DF763" i="6"/>
  <c r="DF762" i="6"/>
  <c r="DF761" i="6"/>
  <c r="DF760" i="6"/>
  <c r="DF759" i="6"/>
  <c r="DF758" i="6"/>
  <c r="DF757" i="6"/>
  <c r="DF756" i="6"/>
  <c r="DF755" i="6"/>
  <c r="DF754" i="6"/>
  <c r="DF753" i="6"/>
  <c r="DF752" i="6"/>
  <c r="DF751" i="6"/>
  <c r="DF750" i="6"/>
  <c r="DF749" i="6"/>
  <c r="DF748" i="6"/>
  <c r="DF747" i="6"/>
  <c r="DF746" i="6"/>
  <c r="DF745" i="6"/>
  <c r="DF744" i="6"/>
  <c r="DF743" i="6"/>
  <c r="DF742" i="6"/>
  <c r="DF741" i="6"/>
  <c r="DF740" i="6"/>
  <c r="DF739" i="6"/>
  <c r="DF738" i="6"/>
  <c r="DF737" i="6"/>
  <c r="DF736" i="6"/>
  <c r="DF735" i="6"/>
  <c r="DF734" i="6"/>
  <c r="DF733" i="6"/>
  <c r="DF732" i="6"/>
  <c r="DF731" i="6"/>
  <c r="DF730" i="6"/>
  <c r="DF729" i="6"/>
  <c r="DF728" i="6"/>
  <c r="DF727" i="6"/>
  <c r="DF726" i="6"/>
  <c r="DF725" i="6"/>
  <c r="DF724" i="6"/>
  <c r="DF723" i="6"/>
  <c r="DF722" i="6"/>
  <c r="DF721" i="6"/>
  <c r="DF720" i="6"/>
  <c r="DF719" i="6"/>
  <c r="DF718" i="6"/>
  <c r="DF717" i="6"/>
  <c r="DF716" i="6"/>
  <c r="DF715" i="6"/>
  <c r="DF714" i="6"/>
  <c r="DF713" i="6"/>
  <c r="DF712" i="6"/>
  <c r="DF711" i="6"/>
  <c r="DF710" i="6"/>
  <c r="DF709" i="6"/>
  <c r="DH588" i="6" l="1"/>
  <c r="DH589" i="6"/>
  <c r="DH590" i="6"/>
  <c r="DH587" i="6"/>
  <c r="K611" i="6"/>
  <c r="K612" i="6"/>
  <c r="F703" i="6"/>
  <c r="F702" i="6"/>
  <c r="F689" i="6"/>
  <c r="F688" i="6"/>
  <c r="F674" i="6"/>
  <c r="F673" i="6"/>
  <c r="F666" i="6"/>
  <c r="F665" i="6"/>
  <c r="F658" i="6"/>
  <c r="F657" i="6"/>
  <c r="F650" i="6"/>
  <c r="F649" i="6"/>
  <c r="F642" i="6"/>
  <c r="F641" i="6"/>
  <c r="F634" i="6"/>
  <c r="F633" i="6"/>
  <c r="F626" i="6"/>
  <c r="F625" i="6"/>
  <c r="F618" i="6"/>
  <c r="F617" i="6"/>
  <c r="B587" i="6"/>
  <c r="B588" i="6"/>
  <c r="B589" i="6"/>
  <c r="B590" i="6"/>
  <c r="H590" i="6"/>
  <c r="H589" i="6"/>
  <c r="H588" i="6"/>
  <c r="H587" i="6"/>
  <c r="F585" i="6"/>
  <c r="K51" i="15" l="1"/>
  <c r="AF585" i="6"/>
  <c r="F578" i="6"/>
  <c r="F576" i="6"/>
  <c r="L48" i="15" l="1"/>
  <c r="AF576" i="6"/>
  <c r="L49" i="15"/>
  <c r="AF578" i="6"/>
  <c r="F577" i="6"/>
  <c r="K49" i="15" l="1"/>
  <c r="I49" i="15" s="1"/>
  <c r="AF577" i="6"/>
  <c r="J548" i="6"/>
  <c r="AF548" i="6" s="1"/>
  <c r="J547" i="6"/>
  <c r="AF547" i="6" s="1"/>
  <c r="J546" i="6"/>
  <c r="AF546" i="6" s="1"/>
  <c r="AU415" i="2" l="1"/>
  <c r="BD414" i="2"/>
  <c r="BC414" i="2"/>
  <c r="BB414" i="2"/>
  <c r="AZ414" i="2"/>
  <c r="AY414" i="2"/>
  <c r="AX414" i="2"/>
  <c r="AW414" i="2"/>
  <c r="AR414" i="2"/>
  <c r="AQ414" i="2"/>
  <c r="AP414" i="2"/>
  <c r="AO414" i="2"/>
  <c r="AN414" i="2"/>
  <c r="AM414" i="2"/>
  <c r="AL414" i="2"/>
  <c r="AK414" i="2"/>
  <c r="AG414" i="2"/>
  <c r="AE414" i="2"/>
  <c r="AD414" i="2"/>
  <c r="AC414" i="2"/>
  <c r="AA414" i="2"/>
  <c r="Z414" i="2"/>
  <c r="Y414" i="2"/>
  <c r="X414" i="2"/>
  <c r="W414" i="2"/>
  <c r="BD388" i="2"/>
  <c r="BC388" i="2"/>
  <c r="BB388" i="2"/>
  <c r="AZ388" i="2"/>
  <c r="AY388" i="2"/>
  <c r="AX388" i="2"/>
  <c r="AW388" i="2"/>
  <c r="AR388" i="2"/>
  <c r="AQ388" i="2"/>
  <c r="AP388" i="2"/>
  <c r="AO388" i="2"/>
  <c r="AN388" i="2"/>
  <c r="AM388" i="2"/>
  <c r="AL388" i="2"/>
  <c r="AK388" i="2"/>
  <c r="AG388" i="2"/>
  <c r="AE388" i="2"/>
  <c r="AD388" i="2"/>
  <c r="AC388" i="2"/>
  <c r="AA388" i="2"/>
  <c r="Z388" i="2"/>
  <c r="Y388" i="2"/>
  <c r="X388" i="2"/>
  <c r="W388" i="2"/>
  <c r="BD362" i="2"/>
  <c r="BC362" i="2"/>
  <c r="BB362" i="2"/>
  <c r="AZ362" i="2"/>
  <c r="AY362" i="2"/>
  <c r="AX362" i="2"/>
  <c r="AW362" i="2"/>
  <c r="AR362" i="2"/>
  <c r="AQ362" i="2"/>
  <c r="AP362" i="2"/>
  <c r="AO362" i="2"/>
  <c r="AN362" i="2"/>
  <c r="AM362" i="2"/>
  <c r="AL362" i="2"/>
  <c r="AK362" i="2"/>
  <c r="AG362" i="2"/>
  <c r="AE362" i="2"/>
  <c r="AD362" i="2"/>
  <c r="AC362" i="2"/>
  <c r="AA362" i="2"/>
  <c r="Z362" i="2"/>
  <c r="Y362" i="2"/>
  <c r="X362" i="2"/>
  <c r="W362" i="2"/>
  <c r="V360" i="2"/>
  <c r="AU342" i="2"/>
  <c r="AU343" i="2" s="1"/>
  <c r="V342" i="2"/>
  <c r="V343" i="2" s="1"/>
  <c r="BD341" i="2"/>
  <c r="BC341" i="2"/>
  <c r="BB341" i="2"/>
  <c r="AZ341" i="2"/>
  <c r="AY341" i="2"/>
  <c r="AX341" i="2"/>
  <c r="AW341" i="2"/>
  <c r="AR341" i="2"/>
  <c r="AQ341" i="2"/>
  <c r="AP341" i="2"/>
  <c r="AO341" i="2"/>
  <c r="AN341" i="2"/>
  <c r="AM341" i="2"/>
  <c r="AL341" i="2"/>
  <c r="AK341" i="2"/>
  <c r="AG341" i="2"/>
  <c r="AE341" i="2"/>
  <c r="AD341" i="2"/>
  <c r="AC341" i="2"/>
  <c r="AA341" i="2"/>
  <c r="Z341" i="2"/>
  <c r="Y341" i="2"/>
  <c r="X341" i="2"/>
  <c r="W341" i="2"/>
  <c r="CC312" i="2"/>
  <c r="CB312" i="2"/>
  <c r="CA312" i="2"/>
  <c r="BY312" i="2"/>
  <c r="BX312" i="2"/>
  <c r="BW312" i="2"/>
  <c r="BV312" i="2"/>
  <c r="BP312" i="2"/>
  <c r="BO312" i="2"/>
  <c r="BN312" i="2"/>
  <c r="BL312" i="2"/>
  <c r="BK312" i="2"/>
  <c r="BJ312" i="2"/>
  <c r="BI312" i="2"/>
  <c r="BD312" i="2"/>
  <c r="BC312" i="2"/>
  <c r="BB312" i="2"/>
  <c r="AZ312" i="2"/>
  <c r="AY312" i="2"/>
  <c r="AX312" i="2"/>
  <c r="AW312" i="2"/>
  <c r="AR312" i="2"/>
  <c r="AQ312" i="2"/>
  <c r="AP312" i="2"/>
  <c r="AN312" i="2"/>
  <c r="AM312" i="2"/>
  <c r="AL312" i="2"/>
  <c r="AK312" i="2"/>
  <c r="AG312" i="2"/>
  <c r="AE312" i="2"/>
  <c r="AD312" i="2"/>
  <c r="AC312" i="2"/>
  <c r="AA312" i="2"/>
  <c r="Z312" i="2"/>
  <c r="Y312" i="2"/>
  <c r="X312" i="2"/>
  <c r="W312" i="2"/>
  <c r="V291" i="2"/>
  <c r="V292" i="2" s="1"/>
  <c r="V293" i="2" s="1"/>
  <c r="V294" i="2" s="1"/>
  <c r="V295" i="2" s="1"/>
  <c r="BD290" i="2"/>
  <c r="BC290" i="2"/>
  <c r="BB290" i="2"/>
  <c r="AZ290" i="2"/>
  <c r="AY290" i="2"/>
  <c r="AX290" i="2"/>
  <c r="AW290" i="2"/>
  <c r="AR290" i="2"/>
  <c r="AQ290" i="2"/>
  <c r="AP290" i="2"/>
  <c r="AN290" i="2"/>
  <c r="AM290" i="2"/>
  <c r="AL290" i="2"/>
  <c r="AK290" i="2"/>
  <c r="AG290" i="2"/>
  <c r="AE290" i="2"/>
  <c r="AD290" i="2"/>
  <c r="AC290" i="2"/>
  <c r="AA290" i="2"/>
  <c r="Z290" i="2"/>
  <c r="Y290" i="2"/>
  <c r="X290" i="2"/>
  <c r="W290" i="2"/>
  <c r="AU261" i="2"/>
  <c r="V261" i="2"/>
  <c r="BD260" i="2"/>
  <c r="BC260" i="2"/>
  <c r="BB260" i="2"/>
  <c r="AZ260" i="2"/>
  <c r="AY260" i="2"/>
  <c r="AX260" i="2"/>
  <c r="AW260" i="2"/>
  <c r="AR260" i="2"/>
  <c r="AQ260" i="2"/>
  <c r="AP260" i="2"/>
  <c r="AO260" i="2"/>
  <c r="AN260" i="2"/>
  <c r="AM260" i="2"/>
  <c r="AL260" i="2"/>
  <c r="AK260" i="2"/>
  <c r="AG260" i="2"/>
  <c r="AE260" i="2"/>
  <c r="AD260" i="2"/>
  <c r="AC260" i="2"/>
  <c r="AA260" i="2"/>
  <c r="Z260" i="2"/>
  <c r="Y260" i="2"/>
  <c r="X260" i="2"/>
  <c r="W260" i="2"/>
  <c r="AW242" i="2"/>
  <c r="AV242" i="2"/>
  <c r="AU241" i="2"/>
  <c r="AU242" i="2" s="1"/>
  <c r="AU243" i="2" s="1"/>
  <c r="AU244" i="2" s="1"/>
  <c r="V241" i="2"/>
  <c r="V242" i="2" s="1"/>
  <c r="V243" i="2" s="1"/>
  <c r="V244" i="2" s="1"/>
  <c r="BD240" i="2"/>
  <c r="BC240" i="2"/>
  <c r="BB240" i="2"/>
  <c r="AZ240" i="2"/>
  <c r="AY240" i="2"/>
  <c r="AX240" i="2"/>
  <c r="AW240" i="2"/>
  <c r="AR240" i="2"/>
  <c r="AQ240" i="2"/>
  <c r="AP240" i="2"/>
  <c r="AO240" i="2"/>
  <c r="AN240" i="2"/>
  <c r="AM240" i="2"/>
  <c r="AL240" i="2"/>
  <c r="AK240" i="2"/>
  <c r="AG240" i="2"/>
  <c r="AE240" i="2"/>
  <c r="AD240" i="2"/>
  <c r="AC240" i="2"/>
  <c r="AA240" i="2"/>
  <c r="Z240" i="2"/>
  <c r="Y240" i="2"/>
  <c r="X240" i="2"/>
  <c r="W240" i="2"/>
  <c r="BT226" i="2"/>
  <c r="BT227" i="2" s="1"/>
  <c r="AU226" i="2"/>
  <c r="AU227" i="2" s="1"/>
  <c r="AI226" i="2"/>
  <c r="AI227" i="2" s="1"/>
  <c r="CC225" i="2"/>
  <c r="CB225" i="2"/>
  <c r="CA225" i="2"/>
  <c r="BZ225" i="2"/>
  <c r="BY225" i="2"/>
  <c r="BX225" i="2"/>
  <c r="BW225" i="2"/>
  <c r="BV225" i="2"/>
  <c r="BP225" i="2"/>
  <c r="BO225" i="2"/>
  <c r="BN225" i="2"/>
  <c r="BL225" i="2"/>
  <c r="BK225" i="2"/>
  <c r="BJ225" i="2"/>
  <c r="BI225" i="2"/>
  <c r="BD225" i="2"/>
  <c r="BC225" i="2"/>
  <c r="BB225" i="2"/>
  <c r="AZ225" i="2"/>
  <c r="AY225" i="2"/>
  <c r="AX225" i="2"/>
  <c r="AW225" i="2"/>
  <c r="AR225" i="2"/>
  <c r="AQ225" i="2"/>
  <c r="AP225" i="2"/>
  <c r="AO225" i="2"/>
  <c r="AN225" i="2"/>
  <c r="AM225" i="2"/>
  <c r="AL225" i="2"/>
  <c r="AK225" i="2"/>
  <c r="AG225" i="2"/>
  <c r="AE225" i="2"/>
  <c r="AD225" i="2"/>
  <c r="AC225" i="2"/>
  <c r="AA225" i="2"/>
  <c r="Z225" i="2"/>
  <c r="Y225" i="2"/>
  <c r="X225" i="2"/>
  <c r="W225" i="2"/>
  <c r="V223" i="2"/>
  <c r="BD205" i="2"/>
  <c r="BC205" i="2"/>
  <c r="BB205" i="2"/>
  <c r="AZ205" i="2"/>
  <c r="AY205" i="2"/>
  <c r="AX205" i="2"/>
  <c r="AW205" i="2"/>
  <c r="AR205" i="2"/>
  <c r="AQ205" i="2"/>
  <c r="AP205" i="2"/>
  <c r="AO205" i="2"/>
  <c r="AN205" i="2"/>
  <c r="AM205" i="2"/>
  <c r="AL205" i="2"/>
  <c r="AK205" i="2"/>
  <c r="AG205" i="2"/>
  <c r="AE205" i="2"/>
  <c r="AD205" i="2"/>
  <c r="AC205" i="2"/>
  <c r="AA205" i="2"/>
  <c r="Z205" i="2"/>
  <c r="Y205" i="2"/>
  <c r="X205" i="2"/>
  <c r="W205" i="2"/>
  <c r="V203" i="2"/>
  <c r="BD182" i="2"/>
  <c r="BC182" i="2"/>
  <c r="BB182" i="2"/>
  <c r="AZ182" i="2"/>
  <c r="AY182" i="2"/>
  <c r="AX182" i="2"/>
  <c r="AW182" i="2"/>
  <c r="AR182" i="2"/>
  <c r="AQ182" i="2"/>
  <c r="AP182" i="2"/>
  <c r="AO182" i="2"/>
  <c r="AN182" i="2"/>
  <c r="AM182" i="2"/>
  <c r="AL182" i="2"/>
  <c r="AK182" i="2"/>
  <c r="AG182" i="2"/>
  <c r="AE182" i="2"/>
  <c r="AD182" i="2"/>
  <c r="AC182" i="2"/>
  <c r="AA182" i="2"/>
  <c r="Z182" i="2"/>
  <c r="Y182" i="2"/>
  <c r="X182" i="2"/>
  <c r="W182" i="2"/>
  <c r="V180" i="2"/>
  <c r="H453" i="2"/>
  <c r="H452" i="2"/>
  <c r="H451" i="2"/>
  <c r="DH453" i="2"/>
  <c r="F453" i="2"/>
  <c r="I326" i="15" s="1"/>
  <c r="DH452" i="2"/>
  <c r="F452" i="2"/>
  <c r="I325" i="15" s="1"/>
  <c r="DH451" i="2"/>
  <c r="V451" i="2"/>
  <c r="V452" i="2" s="1"/>
  <c r="V453" i="2" s="1"/>
  <c r="F451" i="2"/>
  <c r="I324" i="15" s="1"/>
  <c r="H471" i="2"/>
  <c r="DH471" i="2"/>
  <c r="V471" i="2"/>
  <c r="V472" i="2" s="1"/>
  <c r="F471" i="2"/>
  <c r="H491" i="2"/>
  <c r="H490" i="2"/>
  <c r="H489" i="2"/>
  <c r="DH491" i="2"/>
  <c r="F491" i="2"/>
  <c r="I332" i="15" s="1"/>
  <c r="DH490" i="2"/>
  <c r="F490" i="2"/>
  <c r="I331" i="15" s="1"/>
  <c r="DH489" i="2"/>
  <c r="F489" i="2"/>
  <c r="I330" i="15" s="1"/>
  <c r="DI486" i="2"/>
  <c r="DH486" i="2"/>
  <c r="DG486" i="2"/>
  <c r="BD486" i="2"/>
  <c r="BC486" i="2"/>
  <c r="BB486" i="2"/>
  <c r="AZ486" i="2"/>
  <c r="AY486" i="2"/>
  <c r="AX486" i="2"/>
  <c r="AW486" i="2"/>
  <c r="AR486" i="2"/>
  <c r="AQ486" i="2"/>
  <c r="AP486" i="2"/>
  <c r="AO486" i="2"/>
  <c r="AN486" i="2"/>
  <c r="AM486" i="2"/>
  <c r="AL486" i="2"/>
  <c r="AK486" i="2"/>
  <c r="AG486" i="2"/>
  <c r="AE486" i="2"/>
  <c r="AD486" i="2"/>
  <c r="AC486" i="2"/>
  <c r="AA486" i="2"/>
  <c r="Z486" i="2"/>
  <c r="Y486" i="2"/>
  <c r="X486" i="2"/>
  <c r="W486" i="2"/>
  <c r="I471" i="2" l="1"/>
  <c r="O327" i="15" s="1"/>
  <c r="W327" i="15" s="1"/>
  <c r="V327" i="15" s="1"/>
  <c r="U327" i="15" s="1"/>
  <c r="I327" i="15"/>
  <c r="I491" i="2"/>
  <c r="O332" i="15" s="1"/>
  <c r="V332" i="15" s="1"/>
  <c r="U332" i="15" s="1"/>
  <c r="I451" i="2"/>
  <c r="O324" i="15" s="1"/>
  <c r="V324" i="15" s="1"/>
  <c r="U324" i="15" s="1"/>
  <c r="I489" i="2"/>
  <c r="O330" i="15" s="1"/>
  <c r="V330" i="15" s="1"/>
  <c r="U330" i="15" s="1"/>
  <c r="I490" i="2"/>
  <c r="O331" i="15" s="1"/>
  <c r="V331" i="15" s="1"/>
  <c r="U331" i="15" s="1"/>
  <c r="I453" i="2"/>
  <c r="O326" i="15" s="1"/>
  <c r="V326" i="15" s="1"/>
  <c r="U326" i="15" s="1"/>
  <c r="I452" i="2"/>
  <c r="O325" i="15" s="1"/>
  <c r="V325" i="15" s="1"/>
  <c r="U325" i="15" s="1"/>
  <c r="R39" i="2"/>
  <c r="S42" i="2" s="1"/>
  <c r="M2081" i="6"/>
  <c r="L2081" i="6"/>
  <c r="J2081" i="6"/>
  <c r="J2080" i="6"/>
  <c r="M2079" i="6"/>
  <c r="L2079" i="6"/>
  <c r="J2079" i="6"/>
  <c r="J2078" i="6"/>
  <c r="M2077" i="6"/>
  <c r="L2077" i="6"/>
  <c r="J2077" i="6"/>
  <c r="J2076" i="6"/>
  <c r="M2075" i="6"/>
  <c r="L2075" i="6"/>
  <c r="J2075" i="6"/>
  <c r="J2074" i="6"/>
  <c r="M2073" i="6"/>
  <c r="L2073" i="6"/>
  <c r="J2073" i="6"/>
  <c r="J2072" i="6"/>
  <c r="M2071" i="6"/>
  <c r="L2071" i="6"/>
  <c r="J2071" i="6"/>
  <c r="M2070" i="6"/>
  <c r="L2070" i="6"/>
  <c r="J2070" i="6"/>
  <c r="M2069" i="6"/>
  <c r="L2069" i="6"/>
  <c r="J2069" i="6"/>
  <c r="J2068" i="6"/>
  <c r="J2067" i="6"/>
  <c r="J2066" i="6"/>
  <c r="M2065" i="6"/>
  <c r="L2065" i="6"/>
  <c r="J2065" i="6"/>
  <c r="J2064" i="6"/>
  <c r="M2063" i="6"/>
  <c r="L2063" i="6"/>
  <c r="J2063" i="6"/>
  <c r="J2062" i="6"/>
  <c r="M2061" i="6"/>
  <c r="L2061" i="6"/>
  <c r="J2061" i="6"/>
  <c r="M2060" i="6"/>
  <c r="L2060" i="6"/>
  <c r="J2060" i="6"/>
  <c r="M2059" i="6"/>
  <c r="L2059" i="6"/>
  <c r="J2059" i="6"/>
  <c r="J2058" i="6"/>
  <c r="M2057" i="6"/>
  <c r="L2057" i="6"/>
  <c r="J2057" i="6"/>
  <c r="M2056" i="6"/>
  <c r="L2056" i="6"/>
  <c r="J2056" i="6"/>
  <c r="M2055" i="6"/>
  <c r="L2055" i="6"/>
  <c r="J2055" i="6"/>
  <c r="J2054" i="6"/>
  <c r="M2053" i="6"/>
  <c r="L2053" i="6"/>
  <c r="J2053" i="6"/>
  <c r="M2052" i="6"/>
  <c r="L2052" i="6"/>
  <c r="J2052" i="6"/>
  <c r="M2051" i="6"/>
  <c r="L2051" i="6"/>
  <c r="J2051" i="6"/>
  <c r="J2050" i="6"/>
  <c r="M2049" i="6"/>
  <c r="L2049" i="6"/>
  <c r="J2049" i="6"/>
  <c r="J2048" i="6"/>
  <c r="M2047" i="6"/>
  <c r="L2047" i="6"/>
  <c r="J2047" i="6"/>
  <c r="M2046" i="6"/>
  <c r="L2046" i="6"/>
  <c r="J2046" i="6"/>
  <c r="M2045" i="6"/>
  <c r="L2045" i="6"/>
  <c r="J2045" i="6"/>
  <c r="J2044" i="6"/>
  <c r="M2043" i="6"/>
  <c r="L2043" i="6"/>
  <c r="J2043" i="6"/>
  <c r="M2042" i="6"/>
  <c r="L2042" i="6"/>
  <c r="J2042" i="6"/>
  <c r="M2041" i="6"/>
  <c r="L2041" i="6"/>
  <c r="J2041" i="6"/>
  <c r="J2040" i="6"/>
  <c r="M2039" i="6"/>
  <c r="L2039" i="6"/>
  <c r="J2039" i="6"/>
  <c r="M2038" i="6"/>
  <c r="L2038" i="6"/>
  <c r="J2038" i="6"/>
  <c r="M2037" i="6"/>
  <c r="L2037" i="6"/>
  <c r="J2037" i="6"/>
  <c r="J2036" i="6"/>
  <c r="J2035" i="6"/>
  <c r="J2034" i="6"/>
  <c r="J2033" i="6"/>
  <c r="J2032" i="6"/>
  <c r="M2031" i="6"/>
  <c r="L2031" i="6"/>
  <c r="J2031" i="6"/>
  <c r="M2030" i="6"/>
  <c r="L2030" i="6"/>
  <c r="J2030" i="6"/>
  <c r="M2029" i="6"/>
  <c r="L2029" i="6"/>
  <c r="J2029" i="6"/>
  <c r="J2028" i="6"/>
  <c r="M2027" i="6"/>
  <c r="L2027" i="6"/>
  <c r="J2027" i="6"/>
  <c r="M2026" i="6"/>
  <c r="L2026" i="6"/>
  <c r="J2026" i="6"/>
  <c r="M2025" i="6"/>
  <c r="L2025" i="6"/>
  <c r="J2025" i="6"/>
  <c r="J2024" i="6"/>
  <c r="M2023" i="6"/>
  <c r="L2023" i="6"/>
  <c r="J2023" i="6"/>
  <c r="M2022" i="6"/>
  <c r="L2022" i="6"/>
  <c r="J2022" i="6"/>
  <c r="M2021" i="6"/>
  <c r="L2021" i="6"/>
  <c r="J2021" i="6"/>
  <c r="J2020" i="6"/>
  <c r="J2019" i="6"/>
  <c r="J2018" i="6"/>
  <c r="J2017" i="6"/>
  <c r="J2016" i="6"/>
  <c r="M2015" i="6"/>
  <c r="L2015" i="6"/>
  <c r="J2015" i="6"/>
  <c r="M2014" i="6"/>
  <c r="L2014" i="6"/>
  <c r="J2014" i="6"/>
  <c r="M2013" i="6"/>
  <c r="L2013" i="6"/>
  <c r="J2013" i="6"/>
  <c r="J2012" i="6"/>
  <c r="M2011" i="6"/>
  <c r="L2011" i="6"/>
  <c r="J2011" i="6"/>
  <c r="M2010" i="6"/>
  <c r="L2010" i="6"/>
  <c r="J2010" i="6"/>
  <c r="M2009" i="6"/>
  <c r="L2009" i="6"/>
  <c r="J2009" i="6"/>
  <c r="J2008" i="6"/>
  <c r="M2007" i="6"/>
  <c r="L2007" i="6"/>
  <c r="J2007" i="6"/>
  <c r="M2006" i="6"/>
  <c r="L2006" i="6"/>
  <c r="J2006" i="6"/>
  <c r="M2005" i="6"/>
  <c r="L2005" i="6"/>
  <c r="J2005" i="6"/>
  <c r="J2004" i="6"/>
  <c r="J2003" i="6"/>
  <c r="J2002" i="6"/>
  <c r="J2001" i="6"/>
  <c r="J2000" i="6"/>
  <c r="M1999" i="6"/>
  <c r="L1999" i="6"/>
  <c r="J1999" i="6"/>
  <c r="M1998" i="6"/>
  <c r="L1998" i="6"/>
  <c r="J1998" i="6"/>
  <c r="M1997" i="6"/>
  <c r="L1997" i="6"/>
  <c r="J1997" i="6"/>
  <c r="J1996" i="6"/>
  <c r="M1995" i="6"/>
  <c r="L1995" i="6"/>
  <c r="J1995" i="6"/>
  <c r="J1994" i="6"/>
  <c r="M1993" i="6"/>
  <c r="L1993" i="6"/>
  <c r="J1993" i="6"/>
  <c r="M1992" i="6"/>
  <c r="L1992" i="6"/>
  <c r="J1992" i="6"/>
  <c r="M1991" i="6"/>
  <c r="L1991" i="6"/>
  <c r="J1991" i="6"/>
  <c r="J1990" i="6"/>
  <c r="M1989" i="6"/>
  <c r="L1989" i="6"/>
  <c r="J1989" i="6"/>
  <c r="J1988" i="6"/>
  <c r="M1987" i="6"/>
  <c r="L1987" i="6"/>
  <c r="J1987" i="6"/>
  <c r="M1986" i="6"/>
  <c r="L1986" i="6"/>
  <c r="J1986" i="6"/>
  <c r="M1985" i="6"/>
  <c r="L1985" i="6"/>
  <c r="J1985" i="6"/>
  <c r="J1984" i="6"/>
  <c r="M1983" i="6"/>
  <c r="L1983" i="6"/>
  <c r="J1983" i="6"/>
  <c r="J1982" i="6"/>
  <c r="M1981" i="6"/>
  <c r="L1981" i="6"/>
  <c r="J1981" i="6"/>
  <c r="M1980" i="6"/>
  <c r="L1980" i="6"/>
  <c r="J1980" i="6"/>
  <c r="M1979" i="6"/>
  <c r="L1979" i="6"/>
  <c r="J1979" i="6"/>
  <c r="J1978" i="6"/>
  <c r="M1977" i="6"/>
  <c r="L1977" i="6"/>
  <c r="J1977" i="6"/>
  <c r="J1976" i="6"/>
  <c r="M1975" i="6"/>
  <c r="L1975" i="6"/>
  <c r="J1975" i="6"/>
  <c r="J1974" i="6"/>
  <c r="M1973" i="6"/>
  <c r="L1973" i="6"/>
  <c r="J1973" i="6"/>
  <c r="M1972" i="6"/>
  <c r="L1972" i="6"/>
  <c r="J1972" i="6"/>
  <c r="M1971" i="6"/>
  <c r="L1971" i="6"/>
  <c r="J1971" i="6"/>
  <c r="J1970" i="6"/>
  <c r="J1969" i="6"/>
  <c r="J1968" i="6"/>
  <c r="J1967" i="6"/>
  <c r="J1966" i="6"/>
  <c r="M1965" i="6"/>
  <c r="L1965" i="6"/>
  <c r="J1965" i="6"/>
  <c r="M1964" i="6"/>
  <c r="L1964" i="6"/>
  <c r="J1964" i="6"/>
  <c r="M1963" i="6"/>
  <c r="L1963" i="6"/>
  <c r="J1963" i="6"/>
  <c r="J1962" i="6"/>
  <c r="M1961" i="6"/>
  <c r="L1961" i="6"/>
  <c r="J1961" i="6"/>
  <c r="J1960" i="6"/>
  <c r="M1959" i="6"/>
  <c r="L1959" i="6"/>
  <c r="J1959" i="6"/>
  <c r="J1958" i="6"/>
  <c r="J1957" i="6"/>
  <c r="J1956" i="6"/>
  <c r="J1955" i="6"/>
  <c r="J1954" i="6"/>
  <c r="M1953" i="6"/>
  <c r="L1953" i="6"/>
  <c r="J1953" i="6"/>
  <c r="M1952" i="6"/>
  <c r="L1952" i="6"/>
  <c r="J1952" i="6"/>
  <c r="M1951" i="6"/>
  <c r="L1951" i="6"/>
  <c r="J1951" i="6"/>
  <c r="J1950" i="6"/>
  <c r="M1949" i="6"/>
  <c r="L1949" i="6"/>
  <c r="J1949" i="6"/>
  <c r="J1948" i="6"/>
  <c r="M1947" i="6"/>
  <c r="L1947" i="6"/>
  <c r="J1947" i="6"/>
  <c r="J1946" i="6"/>
  <c r="M1945" i="6"/>
  <c r="L1945" i="6"/>
  <c r="J1945" i="6"/>
  <c r="J1944" i="6"/>
  <c r="M1943" i="6"/>
  <c r="L1943" i="6"/>
  <c r="J1943" i="6"/>
  <c r="J1942" i="6"/>
  <c r="M1941" i="6"/>
  <c r="L1941" i="6"/>
  <c r="J1941" i="6"/>
  <c r="J1940" i="6"/>
  <c r="M1939" i="6"/>
  <c r="L1939" i="6"/>
  <c r="J1939" i="6"/>
  <c r="J1938" i="6"/>
  <c r="M1937" i="6"/>
  <c r="L1937" i="6"/>
  <c r="J1937" i="6"/>
  <c r="M1936" i="6"/>
  <c r="L1936" i="6"/>
  <c r="J1936" i="6"/>
  <c r="M1935" i="6"/>
  <c r="L1935" i="6"/>
  <c r="J1935" i="6"/>
  <c r="J1934" i="6"/>
  <c r="M1933" i="6"/>
  <c r="L1933" i="6"/>
  <c r="J1933" i="6"/>
  <c r="J1932" i="6"/>
  <c r="M1931" i="6"/>
  <c r="L1931" i="6"/>
  <c r="J1931" i="6"/>
  <c r="J1930" i="6"/>
  <c r="M1929" i="6"/>
  <c r="L1929" i="6"/>
  <c r="J1929" i="6"/>
  <c r="J1928" i="6"/>
  <c r="M1927" i="6"/>
  <c r="L1927" i="6"/>
  <c r="J1927" i="6"/>
  <c r="M1926" i="6"/>
  <c r="L1926" i="6"/>
  <c r="J1926" i="6"/>
  <c r="M1925" i="6"/>
  <c r="L1925" i="6"/>
  <c r="J1925" i="6"/>
  <c r="J1924" i="6"/>
  <c r="J1923" i="6"/>
  <c r="J1922" i="6"/>
  <c r="J1921" i="6"/>
  <c r="J1920" i="6"/>
  <c r="M1919" i="6"/>
  <c r="L1919" i="6"/>
  <c r="J1919" i="6"/>
  <c r="M1918" i="6"/>
  <c r="L1918" i="6"/>
  <c r="J1918" i="6"/>
  <c r="M1917" i="6"/>
  <c r="L1917" i="6"/>
  <c r="J1917" i="6"/>
  <c r="J1916" i="6"/>
  <c r="J1915" i="6"/>
  <c r="J1914" i="6"/>
  <c r="M1913" i="6"/>
  <c r="L1913" i="6"/>
  <c r="J1913" i="6"/>
  <c r="J1912" i="6"/>
  <c r="M1911" i="6"/>
  <c r="L1911" i="6"/>
  <c r="J1911" i="6"/>
  <c r="M1910" i="6"/>
  <c r="L1910" i="6"/>
  <c r="J1910" i="6"/>
  <c r="M1909" i="6"/>
  <c r="L1909" i="6"/>
  <c r="J1909" i="6"/>
  <c r="J1908" i="6"/>
  <c r="J1907" i="6"/>
  <c r="J1906" i="6"/>
  <c r="J1905" i="6"/>
  <c r="J1904" i="6"/>
  <c r="M1903" i="6"/>
  <c r="J1903" i="6"/>
  <c r="M1902" i="6"/>
  <c r="J1902" i="6"/>
  <c r="M1901" i="6"/>
  <c r="J1901" i="6"/>
  <c r="J1900" i="6"/>
  <c r="J1899" i="6"/>
  <c r="J1898" i="6"/>
  <c r="J1897" i="6"/>
  <c r="J1896" i="6"/>
  <c r="J1895" i="6"/>
  <c r="J1894" i="6"/>
  <c r="J1893" i="6"/>
  <c r="J1892" i="6"/>
  <c r="J1891" i="6"/>
  <c r="J1890" i="6"/>
  <c r="J1889" i="6"/>
  <c r="J1888" i="6"/>
  <c r="J1887" i="6"/>
  <c r="J1886" i="6"/>
  <c r="J1885" i="6"/>
  <c r="J1884" i="6"/>
  <c r="J1883" i="6"/>
  <c r="J1882" i="6"/>
  <c r="J1881" i="6"/>
  <c r="J1880" i="6"/>
  <c r="J1879" i="6"/>
  <c r="J1878" i="6"/>
  <c r="J1877" i="6"/>
  <c r="J1876" i="6"/>
  <c r="J1875" i="6"/>
  <c r="J1874" i="6"/>
  <c r="J1873" i="6"/>
  <c r="J1872" i="6"/>
  <c r="J1871" i="6"/>
  <c r="J1870" i="6"/>
  <c r="J1869" i="6"/>
  <c r="J1868" i="6"/>
  <c r="J1867" i="6"/>
  <c r="J1866" i="6"/>
  <c r="J1865" i="6"/>
  <c r="J1864" i="6"/>
  <c r="J1863" i="6"/>
  <c r="J1862" i="6"/>
  <c r="J1861" i="6"/>
  <c r="J1860" i="6"/>
  <c r="J1859" i="6"/>
  <c r="J1858" i="6"/>
  <c r="J1857" i="6"/>
  <c r="J1856" i="6"/>
  <c r="J1855" i="6"/>
  <c r="J1854" i="6"/>
  <c r="J1853" i="6"/>
  <c r="J1852" i="6"/>
  <c r="J1851" i="6"/>
  <c r="J1850" i="6"/>
  <c r="J1849" i="6"/>
  <c r="J1848" i="6"/>
  <c r="J1847" i="6"/>
  <c r="J1846" i="6"/>
  <c r="J1845" i="6"/>
  <c r="J1844" i="6"/>
  <c r="J1843" i="6"/>
  <c r="J1842" i="6"/>
  <c r="J1841" i="6"/>
  <c r="J1840" i="6"/>
  <c r="J1839" i="6"/>
  <c r="J1838" i="6"/>
  <c r="J1837" i="6"/>
  <c r="J1836" i="6"/>
  <c r="J1835" i="6"/>
  <c r="J1834" i="6"/>
  <c r="J1833" i="6"/>
  <c r="J1832" i="6"/>
  <c r="J1831" i="6"/>
  <c r="J1830" i="6"/>
  <c r="J1829" i="6"/>
  <c r="J1828" i="6"/>
  <c r="J1827" i="6"/>
  <c r="J1826" i="6"/>
  <c r="J1825" i="6"/>
  <c r="J1824" i="6"/>
  <c r="J1823" i="6"/>
  <c r="J1822" i="6"/>
  <c r="J1821" i="6"/>
  <c r="J1820" i="6"/>
  <c r="J1819" i="6"/>
  <c r="J1818" i="6"/>
  <c r="J1817" i="6"/>
  <c r="J1816" i="6"/>
  <c r="J1815" i="6"/>
  <c r="J1814" i="6"/>
  <c r="J1813" i="6"/>
  <c r="J1812" i="6"/>
  <c r="J1811" i="6"/>
  <c r="J1810" i="6"/>
  <c r="J1809" i="6"/>
  <c r="J1808" i="6"/>
  <c r="J1807" i="6"/>
  <c r="J1806" i="6"/>
  <c r="J1805" i="6"/>
  <c r="J1804" i="6"/>
  <c r="J1803" i="6"/>
  <c r="J1802" i="6"/>
  <c r="J1801" i="6"/>
  <c r="J1800" i="6"/>
  <c r="J1799" i="6"/>
  <c r="J1798" i="6"/>
  <c r="J1797" i="6"/>
  <c r="J1796" i="6"/>
  <c r="J1795" i="6"/>
  <c r="J1794" i="6"/>
  <c r="J1793" i="6"/>
  <c r="J1792" i="6"/>
  <c r="J1791" i="6"/>
  <c r="J1790" i="6"/>
  <c r="J1789" i="6"/>
  <c r="J1788" i="6"/>
  <c r="J1787" i="6"/>
  <c r="J1786" i="6"/>
  <c r="J1785" i="6"/>
  <c r="J1784" i="6"/>
  <c r="J1783" i="6"/>
  <c r="J1782" i="6"/>
  <c r="J1781" i="6"/>
  <c r="J1780" i="6"/>
  <c r="J1779" i="6"/>
  <c r="J1778" i="6"/>
  <c r="J1777" i="6"/>
  <c r="J1776" i="6"/>
  <c r="J1775" i="6"/>
  <c r="J1774" i="6"/>
  <c r="J1773" i="6"/>
  <c r="J1772" i="6"/>
  <c r="J1771" i="6"/>
  <c r="J1770" i="6"/>
  <c r="J1769" i="6"/>
  <c r="J1768" i="6"/>
  <c r="J1767" i="6"/>
  <c r="J1766" i="6"/>
  <c r="J1765" i="6"/>
  <c r="J1764" i="6"/>
  <c r="J1763" i="6"/>
  <c r="J1762" i="6"/>
  <c r="J1761" i="6"/>
  <c r="J1760" i="6"/>
  <c r="J1759" i="6"/>
  <c r="J1758" i="6"/>
  <c r="J1757" i="6"/>
  <c r="J1756" i="6"/>
  <c r="J1755" i="6"/>
  <c r="J1754" i="6"/>
  <c r="J1753" i="6"/>
  <c r="J1752" i="6"/>
  <c r="J1751" i="6"/>
  <c r="J1750" i="6"/>
  <c r="J1749" i="6"/>
  <c r="J1748" i="6"/>
  <c r="J1747" i="6"/>
  <c r="J1746" i="6"/>
  <c r="J1745" i="6"/>
  <c r="J1744" i="6"/>
  <c r="J1743" i="6"/>
  <c r="J1742" i="6"/>
  <c r="J1741" i="6"/>
  <c r="J1740" i="6"/>
  <c r="J1739" i="6"/>
  <c r="J1738" i="6"/>
  <c r="J1737" i="6"/>
  <c r="J1736" i="6"/>
  <c r="J1735" i="6"/>
  <c r="J1734" i="6"/>
  <c r="J1733" i="6"/>
  <c r="J1732" i="6"/>
  <c r="J1731" i="6"/>
  <c r="J1730" i="6"/>
  <c r="J1729" i="6"/>
  <c r="J1728" i="6"/>
  <c r="J1727" i="6"/>
  <c r="J1726" i="6"/>
  <c r="J1725" i="6"/>
  <c r="J1724" i="6"/>
  <c r="J1723" i="6"/>
  <c r="J1722" i="6"/>
  <c r="J1721" i="6"/>
  <c r="J1720" i="6"/>
  <c r="J1718" i="6"/>
  <c r="J1717" i="6"/>
  <c r="J1716" i="6"/>
  <c r="J1715" i="6"/>
  <c r="J1714" i="6"/>
  <c r="J1713" i="6"/>
  <c r="J1712" i="6"/>
  <c r="J1711" i="6"/>
  <c r="J1710" i="6"/>
  <c r="J1709" i="6"/>
  <c r="J1708" i="6"/>
  <c r="J1707" i="6"/>
  <c r="J1706" i="6"/>
  <c r="J1705" i="6"/>
  <c r="J1704" i="6"/>
  <c r="J1703" i="6"/>
  <c r="J1702" i="6"/>
  <c r="J1701" i="6"/>
  <c r="J1700" i="6"/>
  <c r="J1699" i="6"/>
  <c r="J1698" i="6"/>
  <c r="J1697" i="6"/>
  <c r="J1696" i="6"/>
  <c r="J1695" i="6"/>
  <c r="J1694" i="6"/>
  <c r="J1693" i="6"/>
  <c r="J1692" i="6"/>
  <c r="J1691" i="6"/>
  <c r="J1690" i="6"/>
  <c r="J1689" i="6"/>
  <c r="J1688" i="6"/>
  <c r="J1687" i="6"/>
  <c r="J1686" i="6"/>
  <c r="J1685" i="6"/>
  <c r="J1684" i="6"/>
  <c r="J1683" i="6"/>
  <c r="J1682" i="6"/>
  <c r="J1681" i="6"/>
  <c r="J1680" i="6"/>
  <c r="J1679" i="6"/>
  <c r="J1678" i="6"/>
  <c r="J1677" i="6"/>
  <c r="J1676" i="6"/>
  <c r="J1675" i="6"/>
  <c r="J1674" i="6"/>
  <c r="J1673" i="6"/>
  <c r="J1672" i="6"/>
  <c r="J1671" i="6"/>
  <c r="J1670" i="6"/>
  <c r="J1669" i="6"/>
  <c r="J1668" i="6"/>
  <c r="J1667" i="6"/>
  <c r="J1666" i="6"/>
  <c r="J1665" i="6"/>
  <c r="J1664" i="6"/>
  <c r="J1663" i="6"/>
  <c r="J1662" i="6"/>
  <c r="J1661" i="6"/>
  <c r="J1660" i="6"/>
  <c r="J1659" i="6"/>
  <c r="J1658" i="6"/>
  <c r="J1657" i="6"/>
  <c r="J1656" i="6"/>
  <c r="J1655" i="6"/>
  <c r="J1654" i="6"/>
  <c r="J1653" i="6"/>
  <c r="J1652" i="6"/>
  <c r="J1651" i="6"/>
  <c r="J1650" i="6"/>
  <c r="J1649" i="6"/>
  <c r="J1648" i="6"/>
  <c r="J1647" i="6"/>
  <c r="J1646" i="6"/>
  <c r="J1645" i="6"/>
  <c r="J1644" i="6"/>
  <c r="J1643" i="6"/>
  <c r="J1642" i="6"/>
  <c r="J1641" i="6"/>
  <c r="J1640" i="6"/>
  <c r="J1639" i="6"/>
  <c r="J1638" i="6"/>
  <c r="J1637" i="6"/>
  <c r="J1636" i="6"/>
  <c r="J1635" i="6"/>
  <c r="J1634" i="6"/>
  <c r="J1633" i="6"/>
  <c r="J1632" i="6"/>
  <c r="J1631" i="6"/>
  <c r="J1630" i="6"/>
  <c r="J1629" i="6"/>
  <c r="J1628" i="6"/>
  <c r="J1627" i="6"/>
  <c r="J1626" i="6"/>
  <c r="J1625" i="6"/>
  <c r="J1624" i="6"/>
  <c r="J1623" i="6"/>
  <c r="J1622" i="6"/>
  <c r="J1621" i="6"/>
  <c r="J1620" i="6"/>
  <c r="J1619" i="6"/>
  <c r="J1618" i="6"/>
  <c r="J1617" i="6"/>
  <c r="J1616" i="6"/>
  <c r="J1615" i="6"/>
  <c r="J1614" i="6"/>
  <c r="J1613" i="6"/>
  <c r="J1612" i="6"/>
  <c r="J1611" i="6"/>
  <c r="J1610" i="6"/>
  <c r="J1609" i="6"/>
  <c r="J1608" i="6"/>
  <c r="J1607" i="6"/>
  <c r="J1606" i="6"/>
  <c r="J1605" i="6"/>
  <c r="J1604" i="6"/>
  <c r="J1603" i="6"/>
  <c r="J1602" i="6"/>
  <c r="J1601" i="6"/>
  <c r="J1600" i="6"/>
  <c r="J1599" i="6"/>
  <c r="J1598" i="6"/>
  <c r="J1597" i="6"/>
  <c r="J1596" i="6"/>
  <c r="J1595" i="6"/>
  <c r="J1594" i="6"/>
  <c r="J1593" i="6"/>
  <c r="J1592" i="6"/>
  <c r="J1591" i="6"/>
  <c r="J1590" i="6"/>
  <c r="J1589" i="6"/>
  <c r="J1588" i="6"/>
  <c r="J1587" i="6"/>
  <c r="J1586" i="6"/>
  <c r="J1585" i="6"/>
  <c r="J1584" i="6"/>
  <c r="J1583" i="6"/>
  <c r="J1582" i="6"/>
  <c r="J1581" i="6"/>
  <c r="J1580" i="6"/>
  <c r="J1579" i="6"/>
  <c r="J1578" i="6"/>
  <c r="J1577" i="6"/>
  <c r="J1576" i="6"/>
  <c r="J1575" i="6"/>
  <c r="J1574" i="6"/>
  <c r="J1573" i="6"/>
  <c r="J1572" i="6"/>
  <c r="J1571" i="6"/>
  <c r="J1570" i="6"/>
  <c r="J1569" i="6"/>
  <c r="J1568" i="6"/>
  <c r="J1567" i="6"/>
  <c r="J1566" i="6"/>
  <c r="J1565" i="6"/>
  <c r="J1564" i="6"/>
  <c r="J1563" i="6"/>
  <c r="J1562" i="6"/>
  <c r="J1561" i="6"/>
  <c r="J1560" i="6"/>
  <c r="J1559" i="6"/>
  <c r="J1558" i="6"/>
  <c r="J1557" i="6"/>
  <c r="J1556" i="6"/>
  <c r="J1555" i="6"/>
  <c r="J1554" i="6"/>
  <c r="J1553" i="6"/>
  <c r="J1552" i="6"/>
  <c r="J1551" i="6"/>
  <c r="J1550" i="6"/>
  <c r="J1549" i="6"/>
  <c r="J1548" i="6"/>
  <c r="J1547" i="6"/>
  <c r="J1546" i="6"/>
  <c r="J1545" i="6"/>
  <c r="J1544" i="6"/>
  <c r="J1543" i="6"/>
  <c r="J1542" i="6"/>
  <c r="J1541" i="6"/>
  <c r="J1540" i="6"/>
  <c r="J1539" i="6"/>
  <c r="J1538" i="6"/>
  <c r="J1537" i="6"/>
  <c r="J1536" i="6"/>
  <c r="J1535" i="6"/>
  <c r="J1534" i="6"/>
  <c r="J1533" i="6"/>
  <c r="J1532" i="6"/>
  <c r="J1531" i="6"/>
  <c r="J1530" i="6"/>
  <c r="J1529" i="6"/>
  <c r="J1528" i="6"/>
  <c r="J1527" i="6"/>
  <c r="J1526" i="6"/>
  <c r="J1525" i="6"/>
  <c r="J1524" i="6"/>
  <c r="J1523" i="6"/>
  <c r="J1522" i="6"/>
  <c r="J1521" i="6"/>
  <c r="J1520" i="6"/>
  <c r="J1519" i="6"/>
  <c r="J1518" i="6"/>
  <c r="J1517" i="6"/>
  <c r="J1516" i="6"/>
  <c r="J1515" i="6"/>
  <c r="J1514" i="6"/>
  <c r="J1513" i="6"/>
  <c r="J1512" i="6"/>
  <c r="J1511" i="6"/>
  <c r="J1510" i="6"/>
  <c r="J1509" i="6"/>
  <c r="J1508" i="6"/>
  <c r="J1507" i="6"/>
  <c r="J1506" i="6"/>
  <c r="J1505" i="6"/>
  <c r="J1504" i="6"/>
  <c r="J1503" i="6"/>
  <c r="J1502" i="6"/>
  <c r="J1501" i="6"/>
  <c r="J1500" i="6"/>
  <c r="J1499" i="6"/>
  <c r="J1498" i="6"/>
  <c r="J1497" i="6"/>
  <c r="J1496" i="6"/>
  <c r="J1495" i="6"/>
  <c r="J1494" i="6"/>
  <c r="J1493" i="6"/>
  <c r="J1492" i="6"/>
  <c r="J1491" i="6"/>
  <c r="J1490" i="6"/>
  <c r="J1489" i="6"/>
  <c r="J1488" i="6"/>
  <c r="J1487" i="6"/>
  <c r="J1486" i="6"/>
  <c r="J1485" i="6"/>
  <c r="J1484" i="6"/>
  <c r="J1483" i="6"/>
  <c r="J1482" i="6"/>
  <c r="J1481" i="6"/>
  <c r="J1480" i="6"/>
  <c r="J1479" i="6"/>
  <c r="J1478" i="6"/>
  <c r="J1477" i="6"/>
  <c r="J1476" i="6"/>
  <c r="J1475" i="6"/>
  <c r="J1474" i="6"/>
  <c r="J1473" i="6"/>
  <c r="J1472" i="6"/>
  <c r="J1471" i="6"/>
  <c r="J1470" i="6"/>
  <c r="J1469" i="6"/>
  <c r="J1468" i="6"/>
  <c r="J1467" i="6"/>
  <c r="J1466" i="6"/>
  <c r="J1465" i="6"/>
  <c r="J1464" i="6"/>
  <c r="J1463" i="6"/>
  <c r="J1462" i="6"/>
  <c r="J1461" i="6"/>
  <c r="J1460" i="6"/>
  <c r="J1459" i="6"/>
  <c r="J1458" i="6"/>
  <c r="J1457" i="6"/>
  <c r="J1456" i="6"/>
  <c r="J1455" i="6"/>
  <c r="J1454" i="6"/>
  <c r="J1453" i="6"/>
  <c r="J1452" i="6"/>
  <c r="J1451" i="6"/>
  <c r="J1450" i="6"/>
  <c r="J1449" i="6"/>
  <c r="J1448" i="6"/>
  <c r="J1447" i="6"/>
  <c r="J1446" i="6"/>
  <c r="J1445" i="6"/>
  <c r="J1444" i="6"/>
  <c r="J1443" i="6"/>
  <c r="J1442" i="6"/>
  <c r="J1441" i="6"/>
  <c r="J1440" i="6"/>
  <c r="J1439" i="6"/>
  <c r="J1438" i="6"/>
  <c r="J1437" i="6"/>
  <c r="J1436" i="6"/>
  <c r="J1435" i="6"/>
  <c r="J1434" i="6"/>
  <c r="J1433" i="6"/>
  <c r="J1432" i="6"/>
  <c r="J1431" i="6"/>
  <c r="J1430" i="6"/>
  <c r="J1429" i="6"/>
  <c r="J1428" i="6"/>
  <c r="J1427" i="6"/>
  <c r="J1426" i="6"/>
  <c r="J1425" i="6"/>
  <c r="J1424" i="6"/>
  <c r="J1423" i="6"/>
  <c r="J1422" i="6"/>
  <c r="J1421" i="6"/>
  <c r="J1420" i="6"/>
  <c r="J1419" i="6"/>
  <c r="J1418" i="6"/>
  <c r="J1417" i="6"/>
  <c r="J1416" i="6"/>
  <c r="J1415" i="6"/>
  <c r="J1414" i="6"/>
  <c r="J1413" i="6"/>
  <c r="J1412" i="6"/>
  <c r="J1411" i="6"/>
  <c r="J1410" i="6"/>
  <c r="J1409" i="6"/>
  <c r="J1408" i="6"/>
  <c r="J1407" i="6"/>
  <c r="J1406" i="6"/>
  <c r="J1405" i="6"/>
  <c r="J1404" i="6"/>
  <c r="J1403" i="6"/>
  <c r="J1402" i="6"/>
  <c r="J1401" i="6"/>
  <c r="J1400" i="6"/>
  <c r="J1399" i="6"/>
  <c r="J1398" i="6"/>
  <c r="J1397" i="6"/>
  <c r="J1396" i="6"/>
  <c r="J1395" i="6"/>
  <c r="J1394" i="6"/>
  <c r="J1393" i="6"/>
  <c r="J1392" i="6"/>
  <c r="J1391" i="6"/>
  <c r="J1390" i="6"/>
  <c r="J1389" i="6"/>
  <c r="J1388" i="6"/>
  <c r="J1387" i="6"/>
  <c r="J1386" i="6"/>
  <c r="J1385" i="6"/>
  <c r="J1384" i="6"/>
  <c r="J1383" i="6"/>
  <c r="J1382" i="6"/>
  <c r="J1381" i="6"/>
  <c r="J1380" i="6"/>
  <c r="J1379" i="6"/>
  <c r="J1378" i="6"/>
  <c r="J1377" i="6"/>
  <c r="J1376" i="6"/>
  <c r="J1375" i="6"/>
  <c r="J1374" i="6"/>
  <c r="J1373" i="6"/>
  <c r="J1372" i="6"/>
  <c r="J1371" i="6"/>
  <c r="J1370" i="6"/>
  <c r="J1369" i="6"/>
  <c r="J1368" i="6"/>
  <c r="J1367" i="6"/>
  <c r="J1366" i="6"/>
  <c r="J1365" i="6"/>
  <c r="J1364" i="6"/>
  <c r="J1363" i="6"/>
  <c r="J1362" i="6"/>
  <c r="J1361" i="6"/>
  <c r="J1360" i="6"/>
  <c r="J1359" i="6"/>
  <c r="L1358" i="6"/>
  <c r="J1358" i="6"/>
  <c r="L1357" i="6"/>
  <c r="J1357" i="6"/>
  <c r="L1356" i="6"/>
  <c r="J1356" i="6"/>
  <c r="L1355" i="6"/>
  <c r="J1355" i="6"/>
  <c r="L1354" i="6"/>
  <c r="J1354" i="6"/>
  <c r="L1353" i="6"/>
  <c r="J1353" i="6"/>
  <c r="L1352" i="6"/>
  <c r="J1352" i="6"/>
  <c r="L1351" i="6"/>
  <c r="J1351" i="6"/>
  <c r="L1350" i="6"/>
  <c r="J1350" i="6"/>
  <c r="L1349" i="6"/>
  <c r="J1349" i="6"/>
  <c r="L1348" i="6"/>
  <c r="J1348" i="6"/>
  <c r="L1347" i="6"/>
  <c r="J1347" i="6"/>
  <c r="L1346" i="6"/>
  <c r="J1346" i="6"/>
  <c r="L1345" i="6"/>
  <c r="J1345" i="6"/>
  <c r="L1344" i="6"/>
  <c r="J1344" i="6"/>
  <c r="L1343" i="6"/>
  <c r="J1343" i="6"/>
  <c r="L1342" i="6"/>
  <c r="J1342" i="6"/>
  <c r="L1341" i="6"/>
  <c r="J1341" i="6"/>
  <c r="L1340" i="6"/>
  <c r="J1340" i="6"/>
  <c r="L1339" i="6"/>
  <c r="J1339" i="6"/>
  <c r="L1338" i="6"/>
  <c r="J1338" i="6"/>
  <c r="L1337" i="6"/>
  <c r="J1337" i="6"/>
  <c r="K1336" i="6"/>
  <c r="J1336" i="6"/>
  <c r="K1335" i="6"/>
  <c r="AF1335" i="6" s="1"/>
  <c r="J1335" i="6"/>
  <c r="K1334" i="6"/>
  <c r="J1334" i="6"/>
  <c r="L1333" i="6"/>
  <c r="J1333" i="6"/>
  <c r="L1332" i="6"/>
  <c r="J1332" i="6"/>
  <c r="L1331" i="6"/>
  <c r="J1331" i="6"/>
  <c r="L1330" i="6"/>
  <c r="J1330" i="6"/>
  <c r="L1329" i="6"/>
  <c r="J1329" i="6"/>
  <c r="K1328" i="6"/>
  <c r="J1328" i="6"/>
  <c r="K1327" i="6"/>
  <c r="J1327" i="6"/>
  <c r="K1326" i="6"/>
  <c r="J1326" i="6"/>
  <c r="L1325" i="6"/>
  <c r="J1325" i="6"/>
  <c r="L1324" i="6"/>
  <c r="J1324" i="6"/>
  <c r="L1323" i="6"/>
  <c r="J1323" i="6"/>
  <c r="L1322" i="6"/>
  <c r="J1322" i="6"/>
  <c r="L1321" i="6"/>
  <c r="J1321" i="6"/>
  <c r="K1320" i="6"/>
  <c r="J1320" i="6"/>
  <c r="K1319" i="6"/>
  <c r="J1319" i="6"/>
  <c r="K1318" i="6"/>
  <c r="J1318" i="6"/>
  <c r="L1317" i="6"/>
  <c r="J1317" i="6"/>
  <c r="L1316" i="6"/>
  <c r="J1316" i="6"/>
  <c r="L1315" i="6"/>
  <c r="J1315" i="6"/>
  <c r="L1314" i="6"/>
  <c r="J1314" i="6"/>
  <c r="L1313" i="6"/>
  <c r="J1313" i="6"/>
  <c r="L1312" i="6"/>
  <c r="J1312" i="6"/>
  <c r="L1311" i="6"/>
  <c r="J1311" i="6"/>
  <c r="L1310" i="6"/>
  <c r="J1310" i="6"/>
  <c r="L1309" i="6"/>
  <c r="J1309" i="6"/>
  <c r="L1308" i="6"/>
  <c r="J1308" i="6"/>
  <c r="L1307" i="6"/>
  <c r="J1307" i="6"/>
  <c r="L1306" i="6"/>
  <c r="J1306" i="6"/>
  <c r="L1305" i="6"/>
  <c r="J1305" i="6"/>
  <c r="L1304" i="6"/>
  <c r="J1304" i="6"/>
  <c r="K1303" i="6"/>
  <c r="AF1303" i="6" s="1"/>
  <c r="J1303" i="6"/>
  <c r="K1302" i="6"/>
  <c r="J1302" i="6"/>
  <c r="K1301" i="6"/>
  <c r="J1301" i="6"/>
  <c r="L1300" i="6"/>
  <c r="J1300" i="6"/>
  <c r="L1299" i="6"/>
  <c r="J1299" i="6"/>
  <c r="L1298" i="6"/>
  <c r="J1298" i="6"/>
  <c r="K1297" i="6"/>
  <c r="J1297" i="6"/>
  <c r="K1296" i="6"/>
  <c r="J1296" i="6"/>
  <c r="K1295" i="6"/>
  <c r="J1295" i="6"/>
  <c r="L1294" i="6"/>
  <c r="J1294" i="6"/>
  <c r="L1293" i="6"/>
  <c r="J1293" i="6"/>
  <c r="L1292" i="6"/>
  <c r="J1292" i="6"/>
  <c r="L1291" i="6"/>
  <c r="J1291" i="6"/>
  <c r="L1290" i="6"/>
  <c r="J1290" i="6"/>
  <c r="K1289" i="6"/>
  <c r="J1289" i="6"/>
  <c r="L1288" i="6"/>
  <c r="J1288" i="6"/>
  <c r="L1287" i="6"/>
  <c r="J1287" i="6"/>
  <c r="L1286" i="6"/>
  <c r="J1286" i="6"/>
  <c r="L1285" i="6"/>
  <c r="J1285" i="6"/>
  <c r="L1284" i="6"/>
  <c r="J1284" i="6"/>
  <c r="L1283" i="6"/>
  <c r="J1283" i="6"/>
  <c r="K1282" i="6"/>
  <c r="J1282" i="6"/>
  <c r="K1281" i="6"/>
  <c r="AF1281" i="6" s="1"/>
  <c r="J1281" i="6"/>
  <c r="K1280" i="6"/>
  <c r="J1280" i="6"/>
  <c r="K1279" i="6"/>
  <c r="J1279" i="6"/>
  <c r="K1278" i="6"/>
  <c r="AF1278" i="6" s="1"/>
  <c r="J1278" i="6"/>
  <c r="L1277" i="6"/>
  <c r="J1277" i="6"/>
  <c r="L1276" i="6"/>
  <c r="J1276" i="6"/>
  <c r="L1275" i="6"/>
  <c r="J1275" i="6"/>
  <c r="L1274" i="6"/>
  <c r="J1274" i="6"/>
  <c r="L1273" i="6"/>
  <c r="J1273" i="6"/>
  <c r="L1272" i="6"/>
  <c r="J1272" i="6"/>
  <c r="L1271" i="6"/>
  <c r="J1271" i="6"/>
  <c r="L1270" i="6"/>
  <c r="J1270" i="6"/>
  <c r="L1269" i="6"/>
  <c r="J1269" i="6"/>
  <c r="J1268" i="6"/>
  <c r="J1267" i="6"/>
  <c r="J1266" i="6"/>
  <c r="J1265" i="6"/>
  <c r="J1264" i="6"/>
  <c r="J1263" i="6"/>
  <c r="J1262" i="6"/>
  <c r="J1261" i="6"/>
  <c r="J1260" i="6"/>
  <c r="J1259" i="6"/>
  <c r="J1258" i="6"/>
  <c r="J1257" i="6"/>
  <c r="J1256" i="6"/>
  <c r="J1254" i="6"/>
  <c r="J1253" i="6"/>
  <c r="J1252" i="6"/>
  <c r="J1251" i="6"/>
  <c r="J1250" i="6"/>
  <c r="J1249" i="6"/>
  <c r="J1248" i="6"/>
  <c r="J1247" i="6"/>
  <c r="J1246" i="6"/>
  <c r="J1245" i="6"/>
  <c r="J1244" i="6"/>
  <c r="J1243" i="6"/>
  <c r="J1242" i="6"/>
  <c r="J1241" i="6"/>
  <c r="J1240" i="6"/>
  <c r="J1239" i="6"/>
  <c r="J1238" i="6"/>
  <c r="J1237" i="6"/>
  <c r="J1236" i="6"/>
  <c r="J1235" i="6"/>
  <c r="J1234" i="6"/>
  <c r="J1233" i="6"/>
  <c r="J1232" i="6"/>
  <c r="J1231" i="6"/>
  <c r="J1230" i="6"/>
  <c r="J1229" i="6"/>
  <c r="J1228" i="6"/>
  <c r="J1227" i="6"/>
  <c r="J1226" i="6"/>
  <c r="J1225" i="6"/>
  <c r="J1224" i="6"/>
  <c r="J1223" i="6"/>
  <c r="J1222" i="6"/>
  <c r="J1221" i="6"/>
  <c r="J1220" i="6"/>
  <c r="J1219" i="6"/>
  <c r="J1218" i="6"/>
  <c r="J1217" i="6"/>
  <c r="J1216" i="6"/>
  <c r="J1215" i="6"/>
  <c r="J1214" i="6"/>
  <c r="J1213" i="6"/>
  <c r="J1212" i="6"/>
  <c r="J1211" i="6"/>
  <c r="J1210" i="6"/>
  <c r="J1209" i="6"/>
  <c r="J1208" i="6"/>
  <c r="J1207" i="6"/>
  <c r="J1206" i="6"/>
  <c r="J1205" i="6"/>
  <c r="J1204" i="6"/>
  <c r="J1203" i="6"/>
  <c r="J1202" i="6"/>
  <c r="J1201" i="6"/>
  <c r="J1200" i="6"/>
  <c r="J1199" i="6"/>
  <c r="J1198" i="6"/>
  <c r="J1197" i="6"/>
  <c r="J1196" i="6"/>
  <c r="J1195" i="6"/>
  <c r="J1194" i="6"/>
  <c r="J1193" i="6"/>
  <c r="J1192" i="6"/>
  <c r="J1191" i="6"/>
  <c r="J1190" i="6"/>
  <c r="J1189" i="6"/>
  <c r="J1188" i="6"/>
  <c r="J1187" i="6"/>
  <c r="J1186" i="6"/>
  <c r="J1185" i="6"/>
  <c r="J1184" i="6"/>
  <c r="J1183" i="6"/>
  <c r="J1182" i="6"/>
  <c r="J1181" i="6"/>
  <c r="J1180" i="6"/>
  <c r="J1179" i="6"/>
  <c r="J1178" i="6"/>
  <c r="J1177" i="6"/>
  <c r="J1176" i="6"/>
  <c r="J1175" i="6"/>
  <c r="J1174" i="6"/>
  <c r="J1173" i="6"/>
  <c r="J1172" i="6"/>
  <c r="J1171" i="6"/>
  <c r="J1170" i="6"/>
  <c r="J1169" i="6"/>
  <c r="J1168" i="6"/>
  <c r="J1167" i="6"/>
  <c r="J1166" i="6"/>
  <c r="J1165" i="6"/>
  <c r="J1164" i="6"/>
  <c r="J1163" i="6"/>
  <c r="J1162" i="6"/>
  <c r="J1161" i="6"/>
  <c r="J1160" i="6"/>
  <c r="J1159" i="6"/>
  <c r="J1158" i="6"/>
  <c r="J1157" i="6"/>
  <c r="J1156" i="6"/>
  <c r="J1155" i="6"/>
  <c r="J1154" i="6"/>
  <c r="J1153" i="6"/>
  <c r="J1152" i="6"/>
  <c r="J1151" i="6"/>
  <c r="J1150" i="6"/>
  <c r="J1149" i="6"/>
  <c r="J1148" i="6"/>
  <c r="J1147" i="6"/>
  <c r="J1146" i="6"/>
  <c r="J1145" i="6"/>
  <c r="J1144" i="6"/>
  <c r="J1143" i="6"/>
  <c r="J1142" i="6"/>
  <c r="J1141" i="6"/>
  <c r="J1140" i="6"/>
  <c r="J1139" i="6"/>
  <c r="J1138" i="6"/>
  <c r="J1137" i="6"/>
  <c r="J1136" i="6"/>
  <c r="J1135" i="6"/>
  <c r="J1134" i="6"/>
  <c r="J1133" i="6"/>
  <c r="J1132" i="6"/>
  <c r="J1131" i="6"/>
  <c r="J1130" i="6"/>
  <c r="J1129" i="6"/>
  <c r="J1128" i="6"/>
  <c r="J1127" i="6"/>
  <c r="J1126" i="6"/>
  <c r="J1125" i="6"/>
  <c r="J1124" i="6"/>
  <c r="J1123" i="6"/>
  <c r="J1122" i="6"/>
  <c r="J1121" i="6"/>
  <c r="J1120" i="6"/>
  <c r="J1119" i="6"/>
  <c r="J1118" i="6"/>
  <c r="J1117" i="6"/>
  <c r="J1116" i="6"/>
  <c r="J1115" i="6"/>
  <c r="J1114" i="6"/>
  <c r="J1113" i="6"/>
  <c r="J1112" i="6"/>
  <c r="J1111" i="6"/>
  <c r="J1110" i="6"/>
  <c r="J1109" i="6"/>
  <c r="J1108" i="6"/>
  <c r="J1107" i="6"/>
  <c r="J1106" i="6"/>
  <c r="J1105" i="6"/>
  <c r="J1104" i="6"/>
  <c r="J1103" i="6"/>
  <c r="J1102" i="6"/>
  <c r="J1101" i="6"/>
  <c r="J1100" i="6"/>
  <c r="J1099" i="6"/>
  <c r="J1098" i="6"/>
  <c r="J1097" i="6"/>
  <c r="J1096" i="6"/>
  <c r="J1095" i="6"/>
  <c r="J1094" i="6"/>
  <c r="J1093" i="6"/>
  <c r="J1092" i="6"/>
  <c r="J1091" i="6"/>
  <c r="J1090" i="6"/>
  <c r="J1089" i="6"/>
  <c r="J1088" i="6"/>
  <c r="J1087" i="6"/>
  <c r="J1086" i="6"/>
  <c r="J1085" i="6"/>
  <c r="J1084" i="6"/>
  <c r="J1083" i="6"/>
  <c r="J1082" i="6"/>
  <c r="J1081" i="6"/>
  <c r="J1080" i="6"/>
  <c r="J1079" i="6"/>
  <c r="J1078" i="6"/>
  <c r="J1077" i="6"/>
  <c r="J1076" i="6"/>
  <c r="J1075" i="6"/>
  <c r="J1074" i="6"/>
  <c r="J1073" i="6"/>
  <c r="J1072" i="6"/>
  <c r="J1071" i="6"/>
  <c r="J1070" i="6"/>
  <c r="J1069" i="6"/>
  <c r="J1068" i="6"/>
  <c r="J1067" i="6"/>
  <c r="J1066" i="6"/>
  <c r="J1065" i="6"/>
  <c r="J1064" i="6"/>
  <c r="J1063" i="6"/>
  <c r="J1062" i="6"/>
  <c r="J1061" i="6"/>
  <c r="J1060" i="6"/>
  <c r="J1059" i="6"/>
  <c r="J1058" i="6"/>
  <c r="J1057" i="6"/>
  <c r="J1056" i="6"/>
  <c r="J1055" i="6"/>
  <c r="J1054" i="6"/>
  <c r="J1053" i="6"/>
  <c r="J1052" i="6"/>
  <c r="J1051" i="6"/>
  <c r="J1050" i="6"/>
  <c r="J1049" i="6"/>
  <c r="J1048" i="6"/>
  <c r="J1047" i="6"/>
  <c r="J1046" i="6"/>
  <c r="J1045" i="6"/>
  <c r="J1044" i="6"/>
  <c r="J1043" i="6"/>
  <c r="J1042" i="6"/>
  <c r="J1041" i="6"/>
  <c r="J1040" i="6"/>
  <c r="J1039" i="6"/>
  <c r="J1038" i="6"/>
  <c r="J1037" i="6"/>
  <c r="J1036" i="6"/>
  <c r="J1035" i="6"/>
  <c r="J1034" i="6"/>
  <c r="J1033" i="6"/>
  <c r="J1032" i="6"/>
  <c r="J1031" i="6"/>
  <c r="J1030" i="6"/>
  <c r="J1029" i="6"/>
  <c r="J1028" i="6"/>
  <c r="J1027" i="6"/>
  <c r="J1026" i="6"/>
  <c r="J1025" i="6"/>
  <c r="J1024" i="6"/>
  <c r="J1023" i="6"/>
  <c r="J1022" i="6"/>
  <c r="J1021" i="6"/>
  <c r="J1020" i="6"/>
  <c r="J1019" i="6"/>
  <c r="J1018" i="6"/>
  <c r="J1017" i="6"/>
  <c r="J1016" i="6"/>
  <c r="J1015" i="6"/>
  <c r="J1014" i="6"/>
  <c r="J1013" i="6"/>
  <c r="J1012" i="6"/>
  <c r="J1011" i="6"/>
  <c r="J1010" i="6"/>
  <c r="J1009" i="6"/>
  <c r="J1008" i="6"/>
  <c r="J1007" i="6"/>
  <c r="J1006" i="6"/>
  <c r="J1005" i="6"/>
  <c r="J1004" i="6"/>
  <c r="J1003" i="6"/>
  <c r="J1002" i="6"/>
  <c r="J1001" i="6"/>
  <c r="J1000" i="6"/>
  <c r="J999" i="6"/>
  <c r="L998" i="6"/>
  <c r="L887" i="6" s="1"/>
  <c r="AJ110" i="15" s="1"/>
  <c r="J998" i="6"/>
  <c r="L997" i="6"/>
  <c r="L885" i="6" s="1"/>
  <c r="AJ109" i="15" s="1"/>
  <c r="J997" i="6"/>
  <c r="L996" i="6"/>
  <c r="L883" i="6" s="1"/>
  <c r="AJ108" i="15" s="1"/>
  <c r="J996" i="6"/>
  <c r="L995" i="6"/>
  <c r="L881" i="6" s="1"/>
  <c r="AJ107" i="15" s="1"/>
  <c r="J995" i="6"/>
  <c r="L994" i="6"/>
  <c r="L879" i="6" s="1"/>
  <c r="AJ106" i="15" s="1"/>
  <c r="J994" i="6"/>
  <c r="L993" i="6"/>
  <c r="J993" i="6"/>
  <c r="L992" i="6"/>
  <c r="L875" i="6" s="1"/>
  <c r="AJ105" i="15" s="1"/>
  <c r="J992" i="6"/>
  <c r="L991" i="6"/>
  <c r="L873" i="6" s="1"/>
  <c r="AJ104" i="15" s="1"/>
  <c r="J991" i="6"/>
  <c r="L990" i="6"/>
  <c r="L871" i="6" s="1"/>
  <c r="AJ103" i="15" s="1"/>
  <c r="J990" i="6"/>
  <c r="L989" i="6"/>
  <c r="J989" i="6"/>
  <c r="L988" i="6"/>
  <c r="L867" i="6" s="1"/>
  <c r="AJ102" i="15" s="1"/>
  <c r="J988" i="6"/>
  <c r="L987" i="6"/>
  <c r="J987" i="6"/>
  <c r="L986" i="6"/>
  <c r="L863" i="6" s="1"/>
  <c r="AJ101" i="15" s="1"/>
  <c r="J986" i="6"/>
  <c r="L985" i="6"/>
  <c r="J985" i="6"/>
  <c r="L984" i="6"/>
  <c r="L859" i="6" s="1"/>
  <c r="AJ100" i="15" s="1"/>
  <c r="J984" i="6"/>
  <c r="L983" i="6"/>
  <c r="L857" i="6" s="1"/>
  <c r="AJ99" i="15" s="1"/>
  <c r="J983" i="6"/>
  <c r="L982" i="6"/>
  <c r="J982" i="6"/>
  <c r="L981" i="6"/>
  <c r="L853" i="6" s="1"/>
  <c r="AJ98" i="15" s="1"/>
  <c r="J981" i="6"/>
  <c r="L980" i="6"/>
  <c r="J980" i="6"/>
  <c r="L979" i="6"/>
  <c r="L849" i="6" s="1"/>
  <c r="AJ97" i="15" s="1"/>
  <c r="J979" i="6"/>
  <c r="L978" i="6"/>
  <c r="J978" i="6"/>
  <c r="L977" i="6"/>
  <c r="L845" i="6" s="1"/>
  <c r="AJ96" i="15" s="1"/>
  <c r="J977" i="6"/>
  <c r="L976" i="6"/>
  <c r="J976" i="6"/>
  <c r="L975" i="6"/>
  <c r="L841" i="6" s="1"/>
  <c r="AJ95" i="15" s="1"/>
  <c r="J975" i="6"/>
  <c r="L974" i="6"/>
  <c r="J974" i="6"/>
  <c r="L973" i="6"/>
  <c r="L837" i="6" s="1"/>
  <c r="AJ94" i="15" s="1"/>
  <c r="J973" i="6"/>
  <c r="L972" i="6"/>
  <c r="J972" i="6"/>
  <c r="L971" i="6"/>
  <c r="L833" i="6" s="1"/>
  <c r="AJ93" i="15" s="1"/>
  <c r="J971" i="6"/>
  <c r="L970" i="6"/>
  <c r="J970" i="6"/>
  <c r="L969" i="6"/>
  <c r="L829" i="6" s="1"/>
  <c r="AJ92" i="15" s="1"/>
  <c r="J969" i="6"/>
  <c r="L968" i="6"/>
  <c r="J968" i="6"/>
  <c r="L967" i="6"/>
  <c r="L825" i="6" s="1"/>
  <c r="AJ91" i="15" s="1"/>
  <c r="J967" i="6"/>
  <c r="L966" i="6"/>
  <c r="J966" i="6"/>
  <c r="L965" i="6"/>
  <c r="L821" i="6" s="1"/>
  <c r="AJ90" i="15" s="1"/>
  <c r="J965" i="6"/>
  <c r="L964" i="6"/>
  <c r="J964" i="6"/>
  <c r="L963" i="6"/>
  <c r="L817" i="6" s="1"/>
  <c r="AJ89" i="15" s="1"/>
  <c r="J963" i="6"/>
  <c r="L962" i="6"/>
  <c r="J962" i="6"/>
  <c r="L961" i="6"/>
  <c r="L813" i="6" s="1"/>
  <c r="AJ88" i="15" s="1"/>
  <c r="J961" i="6"/>
  <c r="L960" i="6"/>
  <c r="J960" i="6"/>
  <c r="L959" i="6"/>
  <c r="L809" i="6" s="1"/>
  <c r="AJ87" i="15" s="1"/>
  <c r="J959" i="6"/>
  <c r="L958" i="6"/>
  <c r="J958" i="6"/>
  <c r="L957" i="6"/>
  <c r="L805" i="6" s="1"/>
  <c r="AJ86" i="15" s="1"/>
  <c r="J957" i="6"/>
  <c r="L956" i="6"/>
  <c r="L803" i="6" s="1"/>
  <c r="AJ85" i="15" s="1"/>
  <c r="J956" i="6"/>
  <c r="L955" i="6"/>
  <c r="J955" i="6"/>
  <c r="L954" i="6"/>
  <c r="L799" i="6" s="1"/>
  <c r="AJ84" i="15" s="1"/>
  <c r="J954" i="6"/>
  <c r="L953" i="6"/>
  <c r="L797" i="6" s="1"/>
  <c r="AJ83" i="15" s="1"/>
  <c r="J953" i="6"/>
  <c r="L952" i="6"/>
  <c r="J952" i="6"/>
  <c r="L951" i="6"/>
  <c r="L793" i="6" s="1"/>
  <c r="AJ82" i="15" s="1"/>
  <c r="J951" i="6"/>
  <c r="L950" i="6"/>
  <c r="L791" i="6" s="1"/>
  <c r="AJ81" i="15" s="1"/>
  <c r="J950" i="6"/>
  <c r="L949" i="6"/>
  <c r="J949" i="6"/>
  <c r="L948" i="6"/>
  <c r="L787" i="6" s="1"/>
  <c r="AJ80" i="15" s="1"/>
  <c r="J948" i="6"/>
  <c r="L947" i="6"/>
  <c r="L785" i="6" s="1"/>
  <c r="AJ79" i="15" s="1"/>
  <c r="J947" i="6"/>
  <c r="L946" i="6"/>
  <c r="L783" i="6" s="1"/>
  <c r="AJ78" i="15" s="1"/>
  <c r="J946" i="6"/>
  <c r="L945" i="6"/>
  <c r="J945" i="6"/>
  <c r="L944" i="6"/>
  <c r="L779" i="6" s="1"/>
  <c r="AJ77" i="15" s="1"/>
  <c r="J944" i="6"/>
  <c r="L943" i="6"/>
  <c r="J943" i="6"/>
  <c r="L942" i="6"/>
  <c r="L775" i="6" s="1"/>
  <c r="AJ76" i="15" s="1"/>
  <c r="J942" i="6"/>
  <c r="L941" i="6"/>
  <c r="J941" i="6"/>
  <c r="L940" i="6"/>
  <c r="L771" i="6" s="1"/>
  <c r="AJ75" i="15" s="1"/>
  <c r="J940" i="6"/>
  <c r="L939" i="6"/>
  <c r="L769" i="6" s="1"/>
  <c r="AJ74" i="15" s="1"/>
  <c r="J939" i="6"/>
  <c r="L938" i="6"/>
  <c r="L767" i="6" s="1"/>
  <c r="AJ73" i="15" s="1"/>
  <c r="J938" i="6"/>
  <c r="L937" i="6"/>
  <c r="J937" i="6"/>
  <c r="L936" i="6"/>
  <c r="L763" i="6" s="1"/>
  <c r="AJ72" i="15" s="1"/>
  <c r="J936" i="6"/>
  <c r="L935" i="6"/>
  <c r="J935" i="6"/>
  <c r="L934" i="6"/>
  <c r="L759" i="6" s="1"/>
  <c r="AJ71" i="15" s="1"/>
  <c r="J934" i="6"/>
  <c r="L933" i="6"/>
  <c r="L757" i="6" s="1"/>
  <c r="AJ70" i="15" s="1"/>
  <c r="J933" i="6"/>
  <c r="L932" i="6"/>
  <c r="L755" i="6" s="1"/>
  <c r="AJ69" i="15" s="1"/>
  <c r="J932" i="6"/>
  <c r="L931" i="6"/>
  <c r="L753" i="6" s="1"/>
  <c r="AJ68" i="15" s="1"/>
  <c r="J931" i="6"/>
  <c r="L930" i="6"/>
  <c r="L751" i="6" s="1"/>
  <c r="AJ67" i="15" s="1"/>
  <c r="J930" i="6"/>
  <c r="L929" i="6"/>
  <c r="L749" i="6" s="1"/>
  <c r="AJ66" i="15" s="1"/>
  <c r="J929" i="6"/>
  <c r="L928" i="6"/>
  <c r="L747" i="6" s="1"/>
  <c r="AJ65" i="15" s="1"/>
  <c r="J928" i="6"/>
  <c r="L927" i="6"/>
  <c r="J927" i="6"/>
  <c r="L926" i="6"/>
  <c r="L743" i="6" s="1"/>
  <c r="AJ64" i="15" s="1"/>
  <c r="J926" i="6"/>
  <c r="L925" i="6"/>
  <c r="L741" i="6" s="1"/>
  <c r="AJ63" i="15" s="1"/>
  <c r="J925" i="6"/>
  <c r="L924" i="6"/>
  <c r="L739" i="6" s="1"/>
  <c r="J924" i="6"/>
  <c r="L923" i="6"/>
  <c r="L737" i="6" s="1"/>
  <c r="AJ61" i="15" s="1"/>
  <c r="J923" i="6"/>
  <c r="L922" i="6"/>
  <c r="J922" i="6"/>
  <c r="L921" i="6"/>
  <c r="L733" i="6" s="1"/>
  <c r="AJ60" i="15" s="1"/>
  <c r="J921" i="6"/>
  <c r="L920" i="6"/>
  <c r="J920" i="6"/>
  <c r="L919" i="6"/>
  <c r="L729" i="6" s="1"/>
  <c r="AJ59" i="15" s="1"/>
  <c r="J919" i="6"/>
  <c r="L918" i="6"/>
  <c r="J918" i="6"/>
  <c r="L917" i="6"/>
  <c r="L725" i="6" s="1"/>
  <c r="AJ58" i="15" s="1"/>
  <c r="J917" i="6"/>
  <c r="L916" i="6"/>
  <c r="L723" i="6" s="1"/>
  <c r="AJ57" i="15" s="1"/>
  <c r="J916" i="6"/>
  <c r="L915" i="6"/>
  <c r="L721" i="6" s="1"/>
  <c r="AJ56" i="15" s="1"/>
  <c r="J915" i="6"/>
  <c r="L914" i="6"/>
  <c r="J914" i="6"/>
  <c r="L913" i="6"/>
  <c r="L717" i="6" s="1"/>
  <c r="AJ55" i="15" s="1"/>
  <c r="J913" i="6"/>
  <c r="L912" i="6"/>
  <c r="J912" i="6"/>
  <c r="L911" i="6"/>
  <c r="L713" i="6" s="1"/>
  <c r="AJ54" i="15" s="1"/>
  <c r="J911" i="6"/>
  <c r="L910" i="6"/>
  <c r="J910" i="6"/>
  <c r="L909" i="6"/>
  <c r="L709" i="6" s="1"/>
  <c r="AJ53" i="15" s="1"/>
  <c r="J909" i="6"/>
  <c r="H888" i="6"/>
  <c r="H887" i="6"/>
  <c r="H886" i="6"/>
  <c r="H885" i="6"/>
  <c r="H884" i="6"/>
  <c r="H883" i="6"/>
  <c r="H882" i="6"/>
  <c r="H881" i="6"/>
  <c r="H880" i="6"/>
  <c r="H879" i="6"/>
  <c r="H878" i="6"/>
  <c r="H877" i="6"/>
  <c r="H876" i="6"/>
  <c r="H875" i="6"/>
  <c r="H874" i="6"/>
  <c r="H873" i="6"/>
  <c r="H872" i="6"/>
  <c r="H871" i="6"/>
  <c r="H870" i="6"/>
  <c r="H869" i="6"/>
  <c r="H868" i="6"/>
  <c r="H867" i="6"/>
  <c r="H866" i="6"/>
  <c r="H865" i="6"/>
  <c r="H864" i="6"/>
  <c r="H863" i="6"/>
  <c r="H862" i="6"/>
  <c r="H861" i="6"/>
  <c r="H860" i="6"/>
  <c r="H859" i="6"/>
  <c r="H858" i="6"/>
  <c r="H857" i="6"/>
  <c r="H856" i="6"/>
  <c r="H855" i="6"/>
  <c r="H854" i="6"/>
  <c r="H853" i="6"/>
  <c r="H852" i="6"/>
  <c r="H851" i="6"/>
  <c r="H850" i="6"/>
  <c r="H849" i="6"/>
  <c r="H848" i="6"/>
  <c r="H847" i="6"/>
  <c r="H846" i="6"/>
  <c r="H845" i="6"/>
  <c r="H844" i="6"/>
  <c r="H843" i="6"/>
  <c r="H842" i="6"/>
  <c r="I842" i="6" s="1"/>
  <c r="R95" i="15" s="1"/>
  <c r="H841" i="6"/>
  <c r="H840" i="6"/>
  <c r="H839" i="6"/>
  <c r="H838" i="6"/>
  <c r="H837" i="6"/>
  <c r="H836" i="6"/>
  <c r="H835" i="6"/>
  <c r="H834" i="6"/>
  <c r="H833" i="6"/>
  <c r="H832" i="6"/>
  <c r="H831" i="6"/>
  <c r="H830" i="6"/>
  <c r="H829" i="6"/>
  <c r="H828" i="6"/>
  <c r="H827" i="6"/>
  <c r="H826" i="6"/>
  <c r="I826" i="6" s="1"/>
  <c r="R91" i="15" s="1"/>
  <c r="H825" i="6"/>
  <c r="H824" i="6"/>
  <c r="H823" i="6"/>
  <c r="H822" i="6"/>
  <c r="H821" i="6"/>
  <c r="H820" i="6"/>
  <c r="H819" i="6"/>
  <c r="H818" i="6"/>
  <c r="H817" i="6"/>
  <c r="H816" i="6"/>
  <c r="H815" i="6"/>
  <c r="H814" i="6"/>
  <c r="H813" i="6"/>
  <c r="H812" i="6"/>
  <c r="H811" i="6"/>
  <c r="H810" i="6"/>
  <c r="I810" i="6" s="1"/>
  <c r="R87" i="15" s="1"/>
  <c r="H809" i="6"/>
  <c r="H808" i="6"/>
  <c r="H807" i="6"/>
  <c r="H806" i="6"/>
  <c r="H805" i="6"/>
  <c r="H804" i="6"/>
  <c r="H803" i="6"/>
  <c r="H802" i="6"/>
  <c r="H801" i="6"/>
  <c r="H800" i="6"/>
  <c r="H799" i="6"/>
  <c r="H798" i="6"/>
  <c r="H797" i="6"/>
  <c r="H796" i="6"/>
  <c r="H795" i="6"/>
  <c r="H794" i="6"/>
  <c r="H793" i="6"/>
  <c r="H792" i="6"/>
  <c r="H791" i="6"/>
  <c r="H790" i="6"/>
  <c r="H789" i="6"/>
  <c r="H788" i="6"/>
  <c r="H787" i="6"/>
  <c r="H786" i="6"/>
  <c r="H785" i="6"/>
  <c r="H784" i="6"/>
  <c r="H783" i="6"/>
  <c r="H782" i="6"/>
  <c r="H781" i="6"/>
  <c r="H780" i="6"/>
  <c r="H779" i="6"/>
  <c r="H778" i="6"/>
  <c r="H777" i="6"/>
  <c r="H776" i="6"/>
  <c r="I776" i="6" s="1"/>
  <c r="R76" i="15" s="1"/>
  <c r="H775" i="6"/>
  <c r="H774" i="6"/>
  <c r="H773" i="6"/>
  <c r="H772" i="6"/>
  <c r="H771" i="6"/>
  <c r="H770" i="6"/>
  <c r="H769" i="6"/>
  <c r="H768" i="6"/>
  <c r="H767" i="6"/>
  <c r="H766" i="6"/>
  <c r="H765" i="6"/>
  <c r="H764" i="6"/>
  <c r="I764" i="6" s="1"/>
  <c r="R72" i="15" s="1"/>
  <c r="H763" i="6"/>
  <c r="H762" i="6"/>
  <c r="H761" i="6"/>
  <c r="H760" i="6"/>
  <c r="H759" i="6"/>
  <c r="H758" i="6"/>
  <c r="H757" i="6"/>
  <c r="H756" i="6"/>
  <c r="H755" i="6"/>
  <c r="H754" i="6"/>
  <c r="H753" i="6"/>
  <c r="H752" i="6"/>
  <c r="H751" i="6"/>
  <c r="H750" i="6"/>
  <c r="H749" i="6"/>
  <c r="H748" i="6"/>
  <c r="H747" i="6"/>
  <c r="H746" i="6"/>
  <c r="H745" i="6"/>
  <c r="H744" i="6"/>
  <c r="H743" i="6"/>
  <c r="H742" i="6"/>
  <c r="H741" i="6"/>
  <c r="H740" i="6"/>
  <c r="H739" i="6"/>
  <c r="H738" i="6"/>
  <c r="H737" i="6"/>
  <c r="H736" i="6"/>
  <c r="H735" i="6"/>
  <c r="H734" i="6"/>
  <c r="H733" i="6"/>
  <c r="H732" i="6"/>
  <c r="H731" i="6"/>
  <c r="H730" i="6"/>
  <c r="I730" i="6" s="1"/>
  <c r="R59" i="15" s="1"/>
  <c r="H729" i="6"/>
  <c r="H728" i="6"/>
  <c r="H727" i="6"/>
  <c r="H726" i="6"/>
  <c r="H725" i="6"/>
  <c r="H724" i="6"/>
  <c r="H723" i="6"/>
  <c r="H722" i="6"/>
  <c r="H721" i="6"/>
  <c r="H720" i="6"/>
  <c r="H719" i="6"/>
  <c r="H718" i="6"/>
  <c r="H717" i="6"/>
  <c r="H716" i="6"/>
  <c r="H715" i="6"/>
  <c r="H714" i="6"/>
  <c r="H713" i="6"/>
  <c r="H712" i="6"/>
  <c r="H711" i="6"/>
  <c r="H710" i="6"/>
  <c r="H709" i="6"/>
  <c r="J888" i="6"/>
  <c r="F888" i="6"/>
  <c r="J887" i="6"/>
  <c r="X110" i="15" s="1"/>
  <c r="Z110" i="15" s="1"/>
  <c r="F887" i="6"/>
  <c r="J886" i="6"/>
  <c r="F886" i="6"/>
  <c r="J885" i="6"/>
  <c r="X109" i="15" s="1"/>
  <c r="Z109" i="15" s="1"/>
  <c r="F885" i="6"/>
  <c r="J884" i="6"/>
  <c r="F884" i="6"/>
  <c r="J883" i="6"/>
  <c r="X108" i="15" s="1"/>
  <c r="Z108" i="15" s="1"/>
  <c r="F883" i="6"/>
  <c r="J882" i="6"/>
  <c r="F882" i="6"/>
  <c r="J881" i="6"/>
  <c r="X107" i="15" s="1"/>
  <c r="Z107" i="15" s="1"/>
  <c r="F881" i="6"/>
  <c r="J880" i="6"/>
  <c r="F880" i="6"/>
  <c r="J879" i="6"/>
  <c r="X106" i="15" s="1"/>
  <c r="Z106" i="15" s="1"/>
  <c r="F879" i="6"/>
  <c r="J878" i="6"/>
  <c r="F878" i="6"/>
  <c r="J877" i="6"/>
  <c r="Y105" i="15" s="1"/>
  <c r="J876" i="6"/>
  <c r="F876" i="6"/>
  <c r="J875" i="6"/>
  <c r="X105" i="15" s="1"/>
  <c r="J874" i="6"/>
  <c r="F874" i="6"/>
  <c r="J873" i="6"/>
  <c r="X104" i="15" s="1"/>
  <c r="Z104" i="15" s="1"/>
  <c r="F873" i="6"/>
  <c r="J872" i="6"/>
  <c r="F872" i="6"/>
  <c r="J871" i="6"/>
  <c r="X103" i="15" s="1"/>
  <c r="Z103" i="15" s="1"/>
  <c r="F871" i="6"/>
  <c r="J870" i="6"/>
  <c r="F870" i="6"/>
  <c r="J869" i="6"/>
  <c r="Y102" i="15" s="1"/>
  <c r="F869" i="6"/>
  <c r="J868" i="6"/>
  <c r="F868" i="6"/>
  <c r="J867" i="6"/>
  <c r="X102" i="15" s="1"/>
  <c r="F867" i="6"/>
  <c r="J866" i="6"/>
  <c r="F866" i="6"/>
  <c r="J865" i="6"/>
  <c r="Y101" i="15" s="1"/>
  <c r="F865" i="6"/>
  <c r="J864" i="6"/>
  <c r="F864" i="6"/>
  <c r="J863" i="6"/>
  <c r="X101" i="15" s="1"/>
  <c r="F863" i="6"/>
  <c r="J862" i="6"/>
  <c r="J861" i="6"/>
  <c r="Y100" i="15" s="1"/>
  <c r="F861" i="6"/>
  <c r="J860" i="6"/>
  <c r="F860" i="6"/>
  <c r="J859" i="6"/>
  <c r="X100" i="15" s="1"/>
  <c r="F859" i="6"/>
  <c r="J858" i="6"/>
  <c r="F858" i="6"/>
  <c r="J857" i="6"/>
  <c r="X99" i="15" s="1"/>
  <c r="Z99" i="15" s="1"/>
  <c r="F857" i="6"/>
  <c r="J856" i="6"/>
  <c r="F856" i="6"/>
  <c r="J855" i="6"/>
  <c r="Y98" i="15" s="1"/>
  <c r="F855" i="6"/>
  <c r="J854" i="6"/>
  <c r="F854" i="6"/>
  <c r="J853" i="6"/>
  <c r="X98" i="15" s="1"/>
  <c r="F853" i="6"/>
  <c r="J852" i="6"/>
  <c r="F852" i="6"/>
  <c r="J851" i="6"/>
  <c r="Y97" i="15" s="1"/>
  <c r="F851" i="6"/>
  <c r="J850" i="6"/>
  <c r="F850" i="6"/>
  <c r="J849" i="6"/>
  <c r="X97" i="15" s="1"/>
  <c r="F849" i="6"/>
  <c r="J848" i="6"/>
  <c r="F848" i="6"/>
  <c r="J847" i="6"/>
  <c r="Y96" i="15" s="1"/>
  <c r="F847" i="6"/>
  <c r="J846" i="6"/>
  <c r="F846" i="6"/>
  <c r="J845" i="6"/>
  <c r="X96" i="15" s="1"/>
  <c r="F845" i="6"/>
  <c r="J844" i="6"/>
  <c r="F844" i="6"/>
  <c r="J843" i="6"/>
  <c r="Y95" i="15" s="1"/>
  <c r="J842" i="6"/>
  <c r="J841" i="6"/>
  <c r="X95" i="15" s="1"/>
  <c r="J840" i="6"/>
  <c r="F840" i="6"/>
  <c r="J839" i="6"/>
  <c r="Y94" i="15" s="1"/>
  <c r="J838" i="6"/>
  <c r="F838" i="6"/>
  <c r="J837" i="6"/>
  <c r="X94" i="15" s="1"/>
  <c r="F837" i="6"/>
  <c r="J836" i="6"/>
  <c r="F836" i="6"/>
  <c r="J835" i="6"/>
  <c r="Y93" i="15" s="1"/>
  <c r="F835" i="6"/>
  <c r="J834" i="6"/>
  <c r="F834" i="6"/>
  <c r="J833" i="6"/>
  <c r="X93" i="15" s="1"/>
  <c r="F833" i="6"/>
  <c r="J832" i="6"/>
  <c r="F832" i="6"/>
  <c r="J831" i="6"/>
  <c r="Y92" i="15" s="1"/>
  <c r="F831" i="6"/>
  <c r="J830" i="6"/>
  <c r="F830" i="6"/>
  <c r="J829" i="6"/>
  <c r="X92" i="15" s="1"/>
  <c r="F829" i="6"/>
  <c r="J828" i="6"/>
  <c r="F828" i="6"/>
  <c r="J827" i="6"/>
  <c r="Y91" i="15" s="1"/>
  <c r="J826" i="6"/>
  <c r="J825" i="6"/>
  <c r="X91" i="15" s="1"/>
  <c r="J824" i="6"/>
  <c r="F824" i="6"/>
  <c r="J823" i="6"/>
  <c r="Y90" i="15" s="1"/>
  <c r="J822" i="6"/>
  <c r="F822" i="6"/>
  <c r="J821" i="6"/>
  <c r="X90" i="15" s="1"/>
  <c r="F821" i="6"/>
  <c r="J820" i="6"/>
  <c r="F820" i="6"/>
  <c r="J819" i="6"/>
  <c r="Y89" i="15" s="1"/>
  <c r="F819" i="6"/>
  <c r="J818" i="6"/>
  <c r="F818" i="6"/>
  <c r="J817" i="6"/>
  <c r="X89" i="15" s="1"/>
  <c r="F817" i="6"/>
  <c r="J816" i="6"/>
  <c r="F816" i="6"/>
  <c r="J815" i="6"/>
  <c r="Y88" i="15" s="1"/>
  <c r="F815" i="6"/>
  <c r="J814" i="6"/>
  <c r="F814" i="6"/>
  <c r="J813" i="6"/>
  <c r="X88" i="15" s="1"/>
  <c r="F813" i="6"/>
  <c r="J812" i="6"/>
  <c r="F812" i="6"/>
  <c r="J811" i="6"/>
  <c r="Y87" i="15" s="1"/>
  <c r="J810" i="6"/>
  <c r="J809" i="6"/>
  <c r="X87" i="15" s="1"/>
  <c r="J808" i="6"/>
  <c r="F808" i="6"/>
  <c r="J807" i="6"/>
  <c r="Y86" i="15" s="1"/>
  <c r="J806" i="6"/>
  <c r="F806" i="6"/>
  <c r="J805" i="6"/>
  <c r="X86" i="15" s="1"/>
  <c r="F805" i="6"/>
  <c r="J804" i="6"/>
  <c r="F804" i="6"/>
  <c r="J803" i="6"/>
  <c r="X85" i="15" s="1"/>
  <c r="Z85" i="15" s="1"/>
  <c r="F803" i="6"/>
  <c r="J802" i="6"/>
  <c r="F802" i="6"/>
  <c r="J801" i="6"/>
  <c r="Y84" i="15" s="1"/>
  <c r="F801" i="6"/>
  <c r="J800" i="6"/>
  <c r="F800" i="6"/>
  <c r="J799" i="6"/>
  <c r="X84" i="15" s="1"/>
  <c r="F799" i="6"/>
  <c r="J798" i="6"/>
  <c r="F798" i="6"/>
  <c r="J797" i="6"/>
  <c r="X83" i="15" s="1"/>
  <c r="Z83" i="15" s="1"/>
  <c r="F797" i="6"/>
  <c r="J796" i="6"/>
  <c r="F796" i="6"/>
  <c r="J795" i="6"/>
  <c r="Y82" i="15" s="1"/>
  <c r="F795" i="6"/>
  <c r="J794" i="6"/>
  <c r="F794" i="6"/>
  <c r="J793" i="6"/>
  <c r="X82" i="15" s="1"/>
  <c r="F793" i="6"/>
  <c r="J792" i="6"/>
  <c r="F792" i="6"/>
  <c r="J791" i="6"/>
  <c r="X81" i="15" s="1"/>
  <c r="Z81" i="15" s="1"/>
  <c r="F791" i="6"/>
  <c r="J790" i="6"/>
  <c r="F790" i="6"/>
  <c r="J789" i="6"/>
  <c r="Y80" i="15" s="1"/>
  <c r="F789" i="6"/>
  <c r="J788" i="6"/>
  <c r="F788" i="6"/>
  <c r="J787" i="6"/>
  <c r="X80" i="15" s="1"/>
  <c r="F787" i="6"/>
  <c r="J786" i="6"/>
  <c r="F786" i="6"/>
  <c r="J785" i="6"/>
  <c r="X79" i="15" s="1"/>
  <c r="Z79" i="15" s="1"/>
  <c r="F785" i="6"/>
  <c r="J784" i="6"/>
  <c r="F784" i="6"/>
  <c r="J783" i="6"/>
  <c r="X78" i="15" s="1"/>
  <c r="Z78" i="15" s="1"/>
  <c r="F783" i="6"/>
  <c r="J782" i="6"/>
  <c r="F782" i="6"/>
  <c r="J781" i="6"/>
  <c r="Y77" i="15" s="1"/>
  <c r="F781" i="6"/>
  <c r="J780" i="6"/>
  <c r="F780" i="6"/>
  <c r="J779" i="6"/>
  <c r="X77" i="15" s="1"/>
  <c r="F779" i="6"/>
  <c r="J778" i="6"/>
  <c r="F778" i="6"/>
  <c r="J777" i="6"/>
  <c r="Y76" i="15" s="1"/>
  <c r="J776" i="6"/>
  <c r="J775" i="6"/>
  <c r="X76" i="15" s="1"/>
  <c r="J774" i="6"/>
  <c r="F774" i="6"/>
  <c r="J773" i="6"/>
  <c r="Y75" i="15" s="1"/>
  <c r="J772" i="6"/>
  <c r="F772" i="6"/>
  <c r="J771" i="6"/>
  <c r="X75" i="15" s="1"/>
  <c r="F771" i="6"/>
  <c r="J770" i="6"/>
  <c r="F770" i="6"/>
  <c r="J769" i="6"/>
  <c r="X74" i="15" s="1"/>
  <c r="Z74" i="15" s="1"/>
  <c r="F769" i="6"/>
  <c r="J768" i="6"/>
  <c r="F768" i="6"/>
  <c r="J767" i="6"/>
  <c r="X73" i="15" s="1"/>
  <c r="Z73" i="15" s="1"/>
  <c r="F767" i="6"/>
  <c r="J766" i="6"/>
  <c r="F766" i="6"/>
  <c r="J765" i="6"/>
  <c r="Y72" i="15" s="1"/>
  <c r="J764" i="6"/>
  <c r="J763" i="6"/>
  <c r="X72" i="15" s="1"/>
  <c r="J762" i="6"/>
  <c r="F762" i="6"/>
  <c r="J761" i="6"/>
  <c r="Y71" i="15" s="1"/>
  <c r="J760" i="6"/>
  <c r="F760" i="6"/>
  <c r="J759" i="6"/>
  <c r="X71" i="15" s="1"/>
  <c r="F759" i="6"/>
  <c r="J758" i="6"/>
  <c r="F758" i="6"/>
  <c r="J757" i="6"/>
  <c r="X70" i="15" s="1"/>
  <c r="Z70" i="15" s="1"/>
  <c r="F757" i="6"/>
  <c r="J756" i="6"/>
  <c r="F756" i="6"/>
  <c r="J755" i="6"/>
  <c r="X69" i="15" s="1"/>
  <c r="Z69" i="15" s="1"/>
  <c r="F755" i="6"/>
  <c r="J754" i="6"/>
  <c r="F754" i="6"/>
  <c r="J753" i="6"/>
  <c r="X68" i="15" s="1"/>
  <c r="Z68" i="15" s="1"/>
  <c r="F753" i="6"/>
  <c r="J752" i="6"/>
  <c r="F752" i="6"/>
  <c r="J751" i="6"/>
  <c r="X67" i="15" s="1"/>
  <c r="Z67" i="15" s="1"/>
  <c r="F751" i="6"/>
  <c r="J750" i="6"/>
  <c r="F750" i="6"/>
  <c r="J749" i="6"/>
  <c r="X66" i="15" s="1"/>
  <c r="Z66" i="15" s="1"/>
  <c r="J748" i="6"/>
  <c r="F748" i="6"/>
  <c r="J747" i="6"/>
  <c r="X65" i="15" s="1"/>
  <c r="Z65" i="15" s="1"/>
  <c r="F747" i="6"/>
  <c r="J746" i="6"/>
  <c r="F746" i="6"/>
  <c r="J745" i="6"/>
  <c r="Y64" i="15" s="1"/>
  <c r="F745" i="6"/>
  <c r="J744" i="6"/>
  <c r="F744" i="6"/>
  <c r="J743" i="6"/>
  <c r="X64" i="15" s="1"/>
  <c r="F743" i="6"/>
  <c r="J742" i="6"/>
  <c r="F742" i="6"/>
  <c r="J741" i="6"/>
  <c r="X63" i="15" s="1"/>
  <c r="Z63" i="15" s="1"/>
  <c r="F741" i="6"/>
  <c r="J740" i="6"/>
  <c r="F740" i="6"/>
  <c r="J739" i="6"/>
  <c r="X62" i="15" s="1"/>
  <c r="Z62" i="15" s="1"/>
  <c r="F739" i="6"/>
  <c r="J738" i="6"/>
  <c r="F738" i="6"/>
  <c r="J737" i="6"/>
  <c r="X61" i="15" s="1"/>
  <c r="Z61" i="15" s="1"/>
  <c r="F737" i="6"/>
  <c r="J736" i="6"/>
  <c r="F736" i="6"/>
  <c r="J735" i="6"/>
  <c r="Y60" i="15" s="1"/>
  <c r="J734" i="6"/>
  <c r="F734" i="6"/>
  <c r="J733" i="6"/>
  <c r="X60" i="15" s="1"/>
  <c r="J732" i="6"/>
  <c r="F732" i="6"/>
  <c r="J731" i="6"/>
  <c r="Y59" i="15" s="1"/>
  <c r="J730" i="6"/>
  <c r="J729" i="6"/>
  <c r="X59" i="15" s="1"/>
  <c r="J728" i="6"/>
  <c r="F728" i="6"/>
  <c r="J727" i="6"/>
  <c r="Y58" i="15" s="1"/>
  <c r="J726" i="6"/>
  <c r="F726" i="6"/>
  <c r="J725" i="6"/>
  <c r="X58" i="15" s="1"/>
  <c r="F725" i="6"/>
  <c r="J724" i="6"/>
  <c r="F724" i="6"/>
  <c r="J723" i="6"/>
  <c r="X57" i="15" s="1"/>
  <c r="Z57" i="15" s="1"/>
  <c r="F723" i="6"/>
  <c r="J722" i="6"/>
  <c r="F722" i="6"/>
  <c r="J721" i="6"/>
  <c r="X56" i="15" s="1"/>
  <c r="Z56" i="15" s="1"/>
  <c r="F721" i="6"/>
  <c r="J720" i="6"/>
  <c r="F720" i="6"/>
  <c r="J719" i="6"/>
  <c r="Y55" i="15" s="1"/>
  <c r="F719" i="6"/>
  <c r="J718" i="6"/>
  <c r="F718" i="6"/>
  <c r="J717" i="6"/>
  <c r="X55" i="15" s="1"/>
  <c r="F717" i="6"/>
  <c r="J716" i="6"/>
  <c r="F716" i="6"/>
  <c r="J715" i="6"/>
  <c r="Y54" i="15" s="1"/>
  <c r="F715" i="6"/>
  <c r="J714" i="6"/>
  <c r="F714" i="6"/>
  <c r="J713" i="6"/>
  <c r="X54" i="15" s="1"/>
  <c r="F713" i="6"/>
  <c r="J712" i="6"/>
  <c r="J711" i="6"/>
  <c r="Y53" i="15" s="1"/>
  <c r="F711" i="6"/>
  <c r="J710" i="6"/>
  <c r="J709" i="6"/>
  <c r="X53" i="15" s="1"/>
  <c r="F709" i="6"/>
  <c r="K648" i="6"/>
  <c r="J647" i="6"/>
  <c r="AF647" i="6" s="1"/>
  <c r="J646" i="6"/>
  <c r="AF646" i="6" s="1"/>
  <c r="K645" i="6"/>
  <c r="J645" i="6"/>
  <c r="AF645" i="6" s="1"/>
  <c r="K643" i="6"/>
  <c r="F575" i="6"/>
  <c r="J451" i="6"/>
  <c r="J416" i="6"/>
  <c r="J415" i="6"/>
  <c r="J414" i="6"/>
  <c r="J413" i="6"/>
  <c r="J406" i="6"/>
  <c r="AF406" i="6" s="1"/>
  <c r="J376" i="6"/>
  <c r="AF376" i="6" s="1"/>
  <c r="J366" i="6"/>
  <c r="AF366" i="6" s="1"/>
  <c r="J356" i="6"/>
  <c r="AF356" i="6" s="1"/>
  <c r="J336" i="6"/>
  <c r="AF336" i="6" s="1"/>
  <c r="H317" i="6"/>
  <c r="H316" i="6"/>
  <c r="H315" i="6"/>
  <c r="H314" i="6"/>
  <c r="H313" i="6"/>
  <c r="H312" i="6"/>
  <c r="H311" i="6"/>
  <c r="H310" i="6"/>
  <c r="H309" i="6"/>
  <c r="H308" i="6"/>
  <c r="H307" i="6"/>
  <c r="H306" i="6"/>
  <c r="H305" i="6"/>
  <c r="H304" i="6"/>
  <c r="H303" i="6"/>
  <c r="H302" i="6"/>
  <c r="H301" i="6"/>
  <c r="H300" i="6"/>
  <c r="H299" i="6"/>
  <c r="H298" i="6"/>
  <c r="H297" i="6"/>
  <c r="H296" i="6"/>
  <c r="H295" i="6"/>
  <c r="H294" i="6"/>
  <c r="H293" i="6"/>
  <c r="K317" i="6"/>
  <c r="J317" i="6"/>
  <c r="J316" i="6"/>
  <c r="K315" i="6"/>
  <c r="DJ315" i="6" s="1"/>
  <c r="J315" i="6"/>
  <c r="F315" i="6"/>
  <c r="K314" i="6"/>
  <c r="DJ314" i="6" s="1"/>
  <c r="J314" i="6"/>
  <c r="Y43" i="15" s="1"/>
  <c r="F314" i="6"/>
  <c r="K313" i="6"/>
  <c r="DJ313" i="6" s="1"/>
  <c r="J313" i="6"/>
  <c r="F313" i="6"/>
  <c r="J312" i="6"/>
  <c r="X43" i="15" s="1"/>
  <c r="K311" i="6"/>
  <c r="DJ311" i="6" s="1"/>
  <c r="J311" i="6"/>
  <c r="F311" i="6"/>
  <c r="J310" i="6"/>
  <c r="X42" i="15" s="1"/>
  <c r="Z42" i="15" s="1"/>
  <c r="F310" i="6"/>
  <c r="K309" i="6"/>
  <c r="DJ309" i="6" s="1"/>
  <c r="J309" i="6"/>
  <c r="F309" i="6"/>
  <c r="J308" i="6"/>
  <c r="X41" i="15" s="1"/>
  <c r="Z41" i="15" s="1"/>
  <c r="F308" i="6"/>
  <c r="K307" i="6"/>
  <c r="DJ307" i="6" s="1"/>
  <c r="J307" i="6"/>
  <c r="F307" i="6"/>
  <c r="K306" i="6"/>
  <c r="DJ306" i="6" s="1"/>
  <c r="J306" i="6"/>
  <c r="Y40" i="15" s="1"/>
  <c r="F306" i="6"/>
  <c r="K305" i="6"/>
  <c r="DJ305" i="6" s="1"/>
  <c r="J305" i="6"/>
  <c r="F305" i="6"/>
  <c r="J304" i="6"/>
  <c r="X40" i="15" s="1"/>
  <c r="K303" i="6"/>
  <c r="DJ303" i="6" s="1"/>
  <c r="J303" i="6"/>
  <c r="F303" i="6"/>
  <c r="K302" i="6"/>
  <c r="DJ302" i="6" s="1"/>
  <c r="J302" i="6"/>
  <c r="Y39" i="15" s="1"/>
  <c r="F302" i="6"/>
  <c r="K301" i="6"/>
  <c r="DJ301" i="6" s="1"/>
  <c r="J301" i="6"/>
  <c r="F301" i="6"/>
  <c r="J300" i="6"/>
  <c r="X39" i="15" s="1"/>
  <c r="F300" i="6"/>
  <c r="K299" i="6"/>
  <c r="DJ299" i="6" s="1"/>
  <c r="J299" i="6"/>
  <c r="F299" i="6"/>
  <c r="J298" i="6"/>
  <c r="X38" i="15" s="1"/>
  <c r="Z38" i="15" s="1"/>
  <c r="F298" i="6"/>
  <c r="K297" i="6"/>
  <c r="DJ297" i="6" s="1"/>
  <c r="J297" i="6"/>
  <c r="F297" i="6"/>
  <c r="J296" i="6"/>
  <c r="X37" i="15" s="1"/>
  <c r="Z37" i="15" s="1"/>
  <c r="F296" i="6"/>
  <c r="J295" i="6"/>
  <c r="X36" i="15" s="1"/>
  <c r="Z36" i="15" s="1"/>
  <c r="F295" i="6"/>
  <c r="K294" i="6"/>
  <c r="DJ294" i="6" s="1"/>
  <c r="J294" i="6"/>
  <c r="Y35" i="15" s="1"/>
  <c r="F294" i="6"/>
  <c r="J293" i="6"/>
  <c r="X35" i="15" s="1"/>
  <c r="F293" i="6"/>
  <c r="L297" i="15"/>
  <c r="F90" i="6"/>
  <c r="J193" i="6"/>
  <c r="AF193" i="6" s="1"/>
  <c r="J190" i="6"/>
  <c r="AF190" i="6" s="1"/>
  <c r="J187" i="6"/>
  <c r="AF187" i="6" s="1"/>
  <c r="J184" i="6"/>
  <c r="AF184" i="6" s="1"/>
  <c r="J181" i="6"/>
  <c r="AF181" i="6" s="1"/>
  <c r="J179" i="6"/>
  <c r="J176" i="6"/>
  <c r="AF176" i="6" s="1"/>
  <c r="J173" i="6"/>
  <c r="AF173" i="6" s="1"/>
  <c r="K148" i="6"/>
  <c r="J147" i="6"/>
  <c r="K146" i="6"/>
  <c r="K145" i="6"/>
  <c r="L89" i="6" s="1"/>
  <c r="AJ32" i="15" s="1"/>
  <c r="J144" i="6"/>
  <c r="K143" i="6"/>
  <c r="K282" i="6" s="1"/>
  <c r="K142" i="6"/>
  <c r="J141" i="6"/>
  <c r="K140" i="6"/>
  <c r="K139" i="6"/>
  <c r="K278" i="6" s="1"/>
  <c r="J138" i="6"/>
  <c r="K137" i="6"/>
  <c r="K136" i="6"/>
  <c r="L80" i="6" s="1"/>
  <c r="AJ26" i="15" s="1"/>
  <c r="J135" i="6"/>
  <c r="K134" i="6"/>
  <c r="K273" i="6" s="1"/>
  <c r="J133" i="6"/>
  <c r="K132" i="6"/>
  <c r="K271" i="6" s="1"/>
  <c r="K131" i="6"/>
  <c r="K270" i="6" s="1"/>
  <c r="J130" i="6"/>
  <c r="K129" i="6"/>
  <c r="L73" i="6" s="1"/>
  <c r="AJ22" i="15" s="1"/>
  <c r="K128" i="6"/>
  <c r="L72" i="6" s="1"/>
  <c r="AJ21" i="15" s="1"/>
  <c r="J127" i="6"/>
  <c r="K126" i="6"/>
  <c r="I125" i="6"/>
  <c r="I148" i="6" s="1"/>
  <c r="I171" i="6" s="1"/>
  <c r="I194" i="6" s="1"/>
  <c r="I217" i="6" s="1"/>
  <c r="I240" i="6" s="1"/>
  <c r="I264" i="6" s="1"/>
  <c r="I287" i="6" s="1"/>
  <c r="F125" i="6"/>
  <c r="F148" i="6" s="1"/>
  <c r="F171" i="6" s="1"/>
  <c r="F194" i="6" s="1"/>
  <c r="F217" i="6" s="1"/>
  <c r="F240" i="6" s="1"/>
  <c r="F264" i="6" s="1"/>
  <c r="F287" i="6" s="1"/>
  <c r="I124" i="6"/>
  <c r="I147" i="6" s="1"/>
  <c r="I170" i="6" s="1"/>
  <c r="I193" i="6" s="1"/>
  <c r="I216" i="6" s="1"/>
  <c r="I239" i="6" s="1"/>
  <c r="I263" i="6" s="1"/>
  <c r="I286" i="6" s="1"/>
  <c r="F124" i="6"/>
  <c r="F147" i="6" s="1"/>
  <c r="F170" i="6" s="1"/>
  <c r="F193" i="6" s="1"/>
  <c r="F216" i="6" s="1"/>
  <c r="F239" i="6" s="1"/>
  <c r="F263" i="6" s="1"/>
  <c r="F286" i="6" s="1"/>
  <c r="I123" i="6"/>
  <c r="I146" i="6" s="1"/>
  <c r="I169" i="6" s="1"/>
  <c r="I192" i="6" s="1"/>
  <c r="I215" i="6" s="1"/>
  <c r="I238" i="6" s="1"/>
  <c r="I262" i="6" s="1"/>
  <c r="I285" i="6" s="1"/>
  <c r="F123" i="6"/>
  <c r="F146" i="6" s="1"/>
  <c r="F169" i="6" s="1"/>
  <c r="F192" i="6" s="1"/>
  <c r="F215" i="6" s="1"/>
  <c r="F238" i="6" s="1"/>
  <c r="F262" i="6" s="1"/>
  <c r="F285" i="6" s="1"/>
  <c r="I122" i="6"/>
  <c r="I145" i="6" s="1"/>
  <c r="I168" i="6" s="1"/>
  <c r="I191" i="6" s="1"/>
  <c r="I214" i="6" s="1"/>
  <c r="I237" i="6" s="1"/>
  <c r="I261" i="6" s="1"/>
  <c r="I284" i="6" s="1"/>
  <c r="F122" i="6"/>
  <c r="F145" i="6" s="1"/>
  <c r="F168" i="6" s="1"/>
  <c r="F191" i="6" s="1"/>
  <c r="F214" i="6" s="1"/>
  <c r="F237" i="6" s="1"/>
  <c r="F261" i="6" s="1"/>
  <c r="F284" i="6" s="1"/>
  <c r="I121" i="6"/>
  <c r="I144" i="6" s="1"/>
  <c r="I167" i="6" s="1"/>
  <c r="I190" i="6" s="1"/>
  <c r="I213" i="6" s="1"/>
  <c r="I236" i="6" s="1"/>
  <c r="I260" i="6" s="1"/>
  <c r="I283" i="6" s="1"/>
  <c r="F121" i="6"/>
  <c r="F144" i="6" s="1"/>
  <c r="F167" i="6" s="1"/>
  <c r="F190" i="6" s="1"/>
  <c r="F213" i="6" s="1"/>
  <c r="F236" i="6" s="1"/>
  <c r="F260" i="6" s="1"/>
  <c r="F283" i="6" s="1"/>
  <c r="I120" i="6"/>
  <c r="I143" i="6" s="1"/>
  <c r="I166" i="6" s="1"/>
  <c r="I189" i="6" s="1"/>
  <c r="I212" i="6" s="1"/>
  <c r="I235" i="6" s="1"/>
  <c r="I259" i="6" s="1"/>
  <c r="I282" i="6" s="1"/>
  <c r="F120" i="6"/>
  <c r="F143" i="6" s="1"/>
  <c r="F166" i="6" s="1"/>
  <c r="F189" i="6" s="1"/>
  <c r="F212" i="6" s="1"/>
  <c r="F235" i="6" s="1"/>
  <c r="F259" i="6" s="1"/>
  <c r="F282" i="6" s="1"/>
  <c r="I119" i="6"/>
  <c r="I142" i="6" s="1"/>
  <c r="I165" i="6" s="1"/>
  <c r="I188" i="6" s="1"/>
  <c r="I211" i="6" s="1"/>
  <c r="I234" i="6" s="1"/>
  <c r="I258" i="6" s="1"/>
  <c r="I281" i="6" s="1"/>
  <c r="F119" i="6"/>
  <c r="F142" i="6" s="1"/>
  <c r="F165" i="6" s="1"/>
  <c r="F188" i="6" s="1"/>
  <c r="F211" i="6" s="1"/>
  <c r="F234" i="6" s="1"/>
  <c r="F258" i="6" s="1"/>
  <c r="F281" i="6" s="1"/>
  <c r="I118" i="6"/>
  <c r="I141" i="6" s="1"/>
  <c r="I164" i="6" s="1"/>
  <c r="I187" i="6" s="1"/>
  <c r="I210" i="6" s="1"/>
  <c r="I233" i="6" s="1"/>
  <c r="I257" i="6" s="1"/>
  <c r="I280" i="6" s="1"/>
  <c r="F118" i="6"/>
  <c r="F141" i="6" s="1"/>
  <c r="F164" i="6" s="1"/>
  <c r="F187" i="6" s="1"/>
  <c r="F210" i="6" s="1"/>
  <c r="F233" i="6" s="1"/>
  <c r="F257" i="6" s="1"/>
  <c r="F280" i="6" s="1"/>
  <c r="I117" i="6"/>
  <c r="I140" i="6" s="1"/>
  <c r="I163" i="6" s="1"/>
  <c r="I186" i="6" s="1"/>
  <c r="I209" i="6" s="1"/>
  <c r="I232" i="6" s="1"/>
  <c r="I256" i="6" s="1"/>
  <c r="I279" i="6" s="1"/>
  <c r="F117" i="6"/>
  <c r="F140" i="6" s="1"/>
  <c r="F163" i="6" s="1"/>
  <c r="F186" i="6" s="1"/>
  <c r="F209" i="6" s="1"/>
  <c r="F232" i="6" s="1"/>
  <c r="F256" i="6" s="1"/>
  <c r="F279" i="6" s="1"/>
  <c r="I116" i="6"/>
  <c r="I139" i="6" s="1"/>
  <c r="I162" i="6" s="1"/>
  <c r="I185" i="6" s="1"/>
  <c r="I208" i="6" s="1"/>
  <c r="I231" i="6" s="1"/>
  <c r="I255" i="6" s="1"/>
  <c r="I278" i="6" s="1"/>
  <c r="F116" i="6"/>
  <c r="F139" i="6" s="1"/>
  <c r="F162" i="6" s="1"/>
  <c r="F185" i="6" s="1"/>
  <c r="F208" i="6" s="1"/>
  <c r="F231" i="6" s="1"/>
  <c r="F255" i="6" s="1"/>
  <c r="F278" i="6" s="1"/>
  <c r="I115" i="6"/>
  <c r="I138" i="6" s="1"/>
  <c r="I161" i="6" s="1"/>
  <c r="I184" i="6" s="1"/>
  <c r="I207" i="6" s="1"/>
  <c r="I230" i="6" s="1"/>
  <c r="I254" i="6" s="1"/>
  <c r="I277" i="6" s="1"/>
  <c r="F115" i="6"/>
  <c r="F138" i="6" s="1"/>
  <c r="F161" i="6" s="1"/>
  <c r="F184" i="6" s="1"/>
  <c r="F207" i="6" s="1"/>
  <c r="F230" i="6" s="1"/>
  <c r="F254" i="6" s="1"/>
  <c r="F277" i="6" s="1"/>
  <c r="I114" i="6"/>
  <c r="I137" i="6" s="1"/>
  <c r="I160" i="6" s="1"/>
  <c r="I183" i="6" s="1"/>
  <c r="I206" i="6" s="1"/>
  <c r="I229" i="6" s="1"/>
  <c r="I253" i="6" s="1"/>
  <c r="I276" i="6" s="1"/>
  <c r="F114" i="6"/>
  <c r="F137" i="6" s="1"/>
  <c r="F160" i="6" s="1"/>
  <c r="F183" i="6" s="1"/>
  <c r="F206" i="6" s="1"/>
  <c r="F229" i="6" s="1"/>
  <c r="F253" i="6" s="1"/>
  <c r="F276" i="6" s="1"/>
  <c r="I113" i="6"/>
  <c r="I136" i="6" s="1"/>
  <c r="I159" i="6" s="1"/>
  <c r="I182" i="6" s="1"/>
  <c r="I205" i="6" s="1"/>
  <c r="I228" i="6" s="1"/>
  <c r="I252" i="6" s="1"/>
  <c r="I275" i="6" s="1"/>
  <c r="F113" i="6"/>
  <c r="F136" i="6" s="1"/>
  <c r="F159" i="6" s="1"/>
  <c r="F182" i="6" s="1"/>
  <c r="F205" i="6" s="1"/>
  <c r="F228" i="6" s="1"/>
  <c r="F252" i="6" s="1"/>
  <c r="F275" i="6" s="1"/>
  <c r="I112" i="6"/>
  <c r="I135" i="6" s="1"/>
  <c r="I158" i="6" s="1"/>
  <c r="I181" i="6" s="1"/>
  <c r="I204" i="6" s="1"/>
  <c r="I227" i="6" s="1"/>
  <c r="I251" i="6" s="1"/>
  <c r="I274" i="6" s="1"/>
  <c r="F112" i="6"/>
  <c r="F135" i="6" s="1"/>
  <c r="F158" i="6" s="1"/>
  <c r="F181" i="6" s="1"/>
  <c r="F204" i="6" s="1"/>
  <c r="F227" i="6" s="1"/>
  <c r="F251" i="6" s="1"/>
  <c r="F274" i="6" s="1"/>
  <c r="I111" i="6"/>
  <c r="I134" i="6" s="1"/>
  <c r="I157" i="6" s="1"/>
  <c r="I180" i="6" s="1"/>
  <c r="I203" i="6" s="1"/>
  <c r="I226" i="6" s="1"/>
  <c r="I250" i="6" s="1"/>
  <c r="I273" i="6" s="1"/>
  <c r="F111" i="6"/>
  <c r="F134" i="6" s="1"/>
  <c r="F157" i="6" s="1"/>
  <c r="F180" i="6" s="1"/>
  <c r="F203" i="6" s="1"/>
  <c r="F226" i="6" s="1"/>
  <c r="F250" i="6" s="1"/>
  <c r="F273" i="6" s="1"/>
  <c r="I110" i="6"/>
  <c r="I133" i="6" s="1"/>
  <c r="I156" i="6" s="1"/>
  <c r="I179" i="6" s="1"/>
  <c r="I202" i="6" s="1"/>
  <c r="I225" i="6" s="1"/>
  <c r="I249" i="6" s="1"/>
  <c r="I272" i="6" s="1"/>
  <c r="F110" i="6"/>
  <c r="F133" i="6" s="1"/>
  <c r="F156" i="6" s="1"/>
  <c r="F179" i="6" s="1"/>
  <c r="F202" i="6" s="1"/>
  <c r="F225" i="6" s="1"/>
  <c r="F249" i="6" s="1"/>
  <c r="F272" i="6" s="1"/>
  <c r="I109" i="6"/>
  <c r="I132" i="6" s="1"/>
  <c r="I155" i="6" s="1"/>
  <c r="I178" i="6" s="1"/>
  <c r="I201" i="6" s="1"/>
  <c r="I224" i="6" s="1"/>
  <c r="I248" i="6" s="1"/>
  <c r="I271" i="6" s="1"/>
  <c r="F109" i="6"/>
  <c r="F132" i="6" s="1"/>
  <c r="F155" i="6" s="1"/>
  <c r="F178" i="6" s="1"/>
  <c r="F201" i="6" s="1"/>
  <c r="F224" i="6" s="1"/>
  <c r="F248" i="6" s="1"/>
  <c r="F271" i="6" s="1"/>
  <c r="I108" i="6"/>
  <c r="I131" i="6" s="1"/>
  <c r="I154" i="6" s="1"/>
  <c r="I177" i="6" s="1"/>
  <c r="I200" i="6" s="1"/>
  <c r="I223" i="6" s="1"/>
  <c r="I247" i="6" s="1"/>
  <c r="I270" i="6" s="1"/>
  <c r="F108" i="6"/>
  <c r="F131" i="6" s="1"/>
  <c r="F154" i="6" s="1"/>
  <c r="F177" i="6" s="1"/>
  <c r="F200" i="6" s="1"/>
  <c r="F223" i="6" s="1"/>
  <c r="F247" i="6" s="1"/>
  <c r="F270" i="6" s="1"/>
  <c r="I107" i="6"/>
  <c r="I130" i="6" s="1"/>
  <c r="I153" i="6" s="1"/>
  <c r="I176" i="6" s="1"/>
  <c r="I199" i="6" s="1"/>
  <c r="I222" i="6" s="1"/>
  <c r="I246" i="6" s="1"/>
  <c r="I269" i="6" s="1"/>
  <c r="F107" i="6"/>
  <c r="F130" i="6" s="1"/>
  <c r="F153" i="6" s="1"/>
  <c r="F176" i="6" s="1"/>
  <c r="F199" i="6" s="1"/>
  <c r="F222" i="6" s="1"/>
  <c r="F246" i="6" s="1"/>
  <c r="F269" i="6" s="1"/>
  <c r="I106" i="6"/>
  <c r="I129" i="6" s="1"/>
  <c r="I152" i="6" s="1"/>
  <c r="I175" i="6" s="1"/>
  <c r="I198" i="6" s="1"/>
  <c r="I221" i="6" s="1"/>
  <c r="I245" i="6" s="1"/>
  <c r="I268" i="6" s="1"/>
  <c r="F106" i="6"/>
  <c r="F129" i="6" s="1"/>
  <c r="F152" i="6" s="1"/>
  <c r="F175" i="6" s="1"/>
  <c r="F198" i="6" s="1"/>
  <c r="F221" i="6" s="1"/>
  <c r="F245" i="6" s="1"/>
  <c r="F268" i="6" s="1"/>
  <c r="I105" i="6"/>
  <c r="I128" i="6" s="1"/>
  <c r="I151" i="6" s="1"/>
  <c r="I174" i="6" s="1"/>
  <c r="I197" i="6" s="1"/>
  <c r="I220" i="6" s="1"/>
  <c r="I244" i="6" s="1"/>
  <c r="I267" i="6" s="1"/>
  <c r="F105" i="6"/>
  <c r="F128" i="6" s="1"/>
  <c r="F151" i="6" s="1"/>
  <c r="F174" i="6" s="1"/>
  <c r="F197" i="6" s="1"/>
  <c r="F220" i="6" s="1"/>
  <c r="F244" i="6" s="1"/>
  <c r="F267" i="6" s="1"/>
  <c r="I104" i="6"/>
  <c r="I127" i="6" s="1"/>
  <c r="I150" i="6" s="1"/>
  <c r="I173" i="6" s="1"/>
  <c r="I196" i="6" s="1"/>
  <c r="I219" i="6" s="1"/>
  <c r="I243" i="6" s="1"/>
  <c r="I266" i="6" s="1"/>
  <c r="F104" i="6"/>
  <c r="F127" i="6" s="1"/>
  <c r="F150" i="6" s="1"/>
  <c r="F173" i="6" s="1"/>
  <c r="F196" i="6" s="1"/>
  <c r="F219" i="6" s="1"/>
  <c r="F243" i="6" s="1"/>
  <c r="F266" i="6" s="1"/>
  <c r="I103" i="6"/>
  <c r="I126" i="6" s="1"/>
  <c r="I149" i="6" s="1"/>
  <c r="I172" i="6" s="1"/>
  <c r="I195" i="6" s="1"/>
  <c r="I218" i="6" s="1"/>
  <c r="I242" i="6" s="1"/>
  <c r="I265" i="6" s="1"/>
  <c r="F103" i="6"/>
  <c r="F126" i="6" s="1"/>
  <c r="F149" i="6" s="1"/>
  <c r="F172" i="6" s="1"/>
  <c r="F195" i="6" s="1"/>
  <c r="F218" i="6" s="1"/>
  <c r="F242" i="6" s="1"/>
  <c r="F265" i="6" s="1"/>
  <c r="H92" i="6"/>
  <c r="H91" i="6"/>
  <c r="H90" i="6"/>
  <c r="H89" i="6"/>
  <c r="H88" i="6"/>
  <c r="H87" i="6"/>
  <c r="H86" i="6"/>
  <c r="H85" i="6"/>
  <c r="H84" i="6"/>
  <c r="H83" i="6"/>
  <c r="H82" i="6"/>
  <c r="H81" i="6"/>
  <c r="H80" i="6"/>
  <c r="H79" i="6"/>
  <c r="H78" i="6"/>
  <c r="H77" i="6"/>
  <c r="H76" i="6"/>
  <c r="H75" i="6"/>
  <c r="H74" i="6"/>
  <c r="H73" i="6"/>
  <c r="H72" i="6"/>
  <c r="H71" i="6"/>
  <c r="H70" i="6"/>
  <c r="J92" i="6"/>
  <c r="X34" i="15" s="1"/>
  <c r="Z34" i="15" s="1"/>
  <c r="K91" i="6"/>
  <c r="DJ91" i="6" s="1"/>
  <c r="J91" i="6"/>
  <c r="Y33" i="15" s="1"/>
  <c r="J90" i="6"/>
  <c r="X33" i="15" s="1"/>
  <c r="J89" i="6"/>
  <c r="X32" i="15" s="1"/>
  <c r="Z32" i="15" s="1"/>
  <c r="K88" i="6"/>
  <c r="DJ88" i="6" s="1"/>
  <c r="J88" i="6"/>
  <c r="Y31" i="15" s="1"/>
  <c r="J87" i="6"/>
  <c r="X31" i="15" s="1"/>
  <c r="J86" i="6"/>
  <c r="X30" i="15" s="1"/>
  <c r="Z30" i="15" s="1"/>
  <c r="K85" i="6"/>
  <c r="DJ85" i="6" s="1"/>
  <c r="J85" i="6"/>
  <c r="Y29" i="15" s="1"/>
  <c r="J84" i="6"/>
  <c r="X29" i="15" s="1"/>
  <c r="J83" i="6"/>
  <c r="X28" i="15" s="1"/>
  <c r="Z28" i="15" s="1"/>
  <c r="K82" i="6"/>
  <c r="DJ82" i="6" s="1"/>
  <c r="J82" i="6"/>
  <c r="Y27" i="15" s="1"/>
  <c r="J81" i="6"/>
  <c r="X27" i="15" s="1"/>
  <c r="J80" i="6"/>
  <c r="X26" i="15" s="1"/>
  <c r="Z26" i="15" s="1"/>
  <c r="K79" i="6"/>
  <c r="DJ79" i="6" s="1"/>
  <c r="J79" i="6"/>
  <c r="Y25" i="15" s="1"/>
  <c r="J78" i="6"/>
  <c r="X25" i="15" s="1"/>
  <c r="K77" i="6"/>
  <c r="DJ77" i="6" s="1"/>
  <c r="J77" i="6"/>
  <c r="Y24" i="15" s="1"/>
  <c r="J76" i="6"/>
  <c r="X24" i="15" s="1"/>
  <c r="J75" i="6"/>
  <c r="X23" i="15" s="1"/>
  <c r="Z23" i="15" s="1"/>
  <c r="K74" i="6"/>
  <c r="DJ74" i="6" s="1"/>
  <c r="J74" i="6"/>
  <c r="Y22" i="15" s="1"/>
  <c r="J73" i="6"/>
  <c r="X22" i="15" s="1"/>
  <c r="J72" i="6"/>
  <c r="X21" i="15" s="1"/>
  <c r="Z21" i="15" s="1"/>
  <c r="K71" i="6"/>
  <c r="DJ71" i="6" s="1"/>
  <c r="J71" i="6"/>
  <c r="J70" i="6"/>
  <c r="X20" i="15" s="1"/>
  <c r="Z20" i="15" s="1"/>
  <c r="G18" i="7"/>
  <c r="AF18" i="7" s="1"/>
  <c r="M48" i="2" l="1"/>
  <c r="F18" i="2" s="1"/>
  <c r="I247" i="15" s="1"/>
  <c r="M50" i="2"/>
  <c r="F20" i="2" s="1"/>
  <c r="M51" i="2"/>
  <c r="F21" i="2" s="1"/>
  <c r="M52" i="2"/>
  <c r="F22" i="2" s="1"/>
  <c r="M53" i="2"/>
  <c r="F23" i="2" s="1"/>
  <c r="M54" i="2"/>
  <c r="F24" i="2" s="1"/>
  <c r="AF18" i="2"/>
  <c r="DI18" i="2"/>
  <c r="I18" i="2"/>
  <c r="O247" i="15" s="1"/>
  <c r="V247" i="15" s="1"/>
  <c r="U247" i="15" s="1"/>
  <c r="DJ317" i="6"/>
  <c r="Z93" i="15"/>
  <c r="Z88" i="15"/>
  <c r="Z102" i="15"/>
  <c r="Z80" i="15"/>
  <c r="Z100" i="15"/>
  <c r="Z39" i="15"/>
  <c r="Z96" i="15"/>
  <c r="Z40" i="15"/>
  <c r="Z43" i="15"/>
  <c r="Z24" i="15"/>
  <c r="Z72" i="15"/>
  <c r="AF415" i="6"/>
  <c r="Z55" i="15"/>
  <c r="N58" i="15"/>
  <c r="AF728" i="6"/>
  <c r="K70" i="15"/>
  <c r="AF757" i="6"/>
  <c r="K71" i="15"/>
  <c r="AF759" i="6"/>
  <c r="L92" i="15"/>
  <c r="AF830" i="6"/>
  <c r="Z95" i="15"/>
  <c r="M97" i="15"/>
  <c r="AF851" i="6"/>
  <c r="M98" i="15"/>
  <c r="AF855" i="6"/>
  <c r="M92" i="15"/>
  <c r="AF831" i="6"/>
  <c r="L37" i="15"/>
  <c r="AF297" i="6"/>
  <c r="L40" i="15"/>
  <c r="AF305" i="6"/>
  <c r="K69" i="15"/>
  <c r="AF755" i="6"/>
  <c r="N94" i="15"/>
  <c r="AF840" i="6"/>
  <c r="K97" i="15"/>
  <c r="AF849" i="6"/>
  <c r="L1327" i="6"/>
  <c r="AF1327" i="6"/>
  <c r="L58" i="15"/>
  <c r="AF726" i="6"/>
  <c r="L68" i="15"/>
  <c r="AF754" i="6"/>
  <c r="K85" i="15"/>
  <c r="AF803" i="6"/>
  <c r="N93" i="15"/>
  <c r="AF836" i="6"/>
  <c r="K109" i="15"/>
  <c r="AF885" i="6"/>
  <c r="F304" i="6"/>
  <c r="AF413" i="6"/>
  <c r="L69" i="15"/>
  <c r="AF756" i="6"/>
  <c r="L74" i="15"/>
  <c r="AF770" i="6"/>
  <c r="L98" i="15"/>
  <c r="AF854" i="6"/>
  <c r="M43" i="15"/>
  <c r="AF314" i="6"/>
  <c r="Z58" i="15"/>
  <c r="L85" i="15"/>
  <c r="AF804" i="6"/>
  <c r="L107" i="15"/>
  <c r="AF882" i="6"/>
  <c r="L38" i="15"/>
  <c r="AF299" i="6"/>
  <c r="F316" i="6"/>
  <c r="I316" i="6" s="1"/>
  <c r="Q44" i="15" s="1"/>
  <c r="O44" i="15" s="1"/>
  <c r="AF416" i="6"/>
  <c r="N55" i="15"/>
  <c r="AF720" i="6"/>
  <c r="M82" i="15"/>
  <c r="AF795" i="6"/>
  <c r="N95" i="15"/>
  <c r="AF844" i="6"/>
  <c r="Z98" i="15"/>
  <c r="K102" i="15"/>
  <c r="AF867" i="6"/>
  <c r="N40" i="15"/>
  <c r="AF307" i="6"/>
  <c r="N43" i="15"/>
  <c r="AF315" i="6"/>
  <c r="L70" i="15"/>
  <c r="AF758" i="6"/>
  <c r="L71" i="15"/>
  <c r="AF760" i="6"/>
  <c r="N75" i="15"/>
  <c r="AF774" i="6"/>
  <c r="K78" i="15"/>
  <c r="AF783" i="6"/>
  <c r="Z82" i="15"/>
  <c r="N97" i="15"/>
  <c r="AF852" i="6"/>
  <c r="N98" i="15"/>
  <c r="AF856" i="6"/>
  <c r="Z25" i="15"/>
  <c r="K56" i="15"/>
  <c r="AF721" i="6"/>
  <c r="L63" i="15"/>
  <c r="AF742" i="6"/>
  <c r="N82" i="15"/>
  <c r="AF796" i="6"/>
  <c r="L86" i="15"/>
  <c r="AF806" i="6"/>
  <c r="Z92" i="15"/>
  <c r="K96" i="15"/>
  <c r="AF845" i="6"/>
  <c r="L101" i="15"/>
  <c r="AF864" i="6"/>
  <c r="L102" i="15"/>
  <c r="AF868" i="6"/>
  <c r="Z29" i="15"/>
  <c r="K39" i="15"/>
  <c r="AF300" i="6"/>
  <c r="M53" i="15"/>
  <c r="J53" i="15" s="1"/>
  <c r="AF711" i="6"/>
  <c r="Z59" i="15"/>
  <c r="Z71" i="15"/>
  <c r="L78" i="15"/>
  <c r="AF784" i="6"/>
  <c r="N92" i="15"/>
  <c r="AF832" i="6"/>
  <c r="K99" i="15"/>
  <c r="AF857" i="6"/>
  <c r="L1318" i="6"/>
  <c r="AF1318" i="6"/>
  <c r="F839" i="6"/>
  <c r="I839" i="6" s="1"/>
  <c r="S94" i="15" s="1"/>
  <c r="AF1334" i="6"/>
  <c r="K127" i="6"/>
  <c r="K266" i="6" s="1"/>
  <c r="AF127" i="6"/>
  <c r="K33" i="15"/>
  <c r="I33" i="15" s="1"/>
  <c r="AF90" i="6"/>
  <c r="K41" i="15"/>
  <c r="AF308" i="6"/>
  <c r="X44" i="15"/>
  <c r="Z53" i="15"/>
  <c r="L56" i="15"/>
  <c r="AF722" i="6"/>
  <c r="N59" i="15"/>
  <c r="AF732" i="6"/>
  <c r="K64" i="15"/>
  <c r="AF743" i="6"/>
  <c r="N71" i="15"/>
  <c r="AF762" i="6"/>
  <c r="K80" i="15"/>
  <c r="AF787" i="6"/>
  <c r="K83" i="15"/>
  <c r="AF797" i="6"/>
  <c r="Z86" i="15"/>
  <c r="L96" i="15"/>
  <c r="AF846" i="6"/>
  <c r="M101" i="15"/>
  <c r="AF865" i="6"/>
  <c r="M102" i="15"/>
  <c r="AF869" i="6"/>
  <c r="Z33" i="15"/>
  <c r="K144" i="6"/>
  <c r="K283" i="6" s="1"/>
  <c r="AF144" i="6"/>
  <c r="L39" i="15"/>
  <c r="AF301" i="6"/>
  <c r="Y44" i="15"/>
  <c r="Z64" i="15"/>
  <c r="Z76" i="15"/>
  <c r="K79" i="15"/>
  <c r="AF785" i="6"/>
  <c r="N86" i="15"/>
  <c r="AF808" i="6"/>
  <c r="K89" i="15"/>
  <c r="AF817" i="6"/>
  <c r="K90" i="15"/>
  <c r="AF821" i="6"/>
  <c r="L99" i="15"/>
  <c r="AF858" i="6"/>
  <c r="Z101" i="15"/>
  <c r="L1319" i="6"/>
  <c r="AF1319" i="6"/>
  <c r="L89" i="15"/>
  <c r="AF818" i="6"/>
  <c r="K100" i="15"/>
  <c r="AF859" i="6"/>
  <c r="M39" i="15"/>
  <c r="AF302" i="6"/>
  <c r="M80" i="15"/>
  <c r="AF789" i="6"/>
  <c r="K84" i="15"/>
  <c r="AF799" i="6"/>
  <c r="L106" i="15"/>
  <c r="AF880" i="6"/>
  <c r="L110" i="15"/>
  <c r="AF888" i="6"/>
  <c r="Z35" i="15"/>
  <c r="K42" i="15"/>
  <c r="AF310" i="6"/>
  <c r="Z60" i="15"/>
  <c r="Z87" i="15"/>
  <c r="Z90" i="15"/>
  <c r="L100" i="15"/>
  <c r="AF860" i="6"/>
  <c r="AF133" i="6"/>
  <c r="L43" i="15"/>
  <c r="AF313" i="6"/>
  <c r="K74" i="15"/>
  <c r="AF769" i="6"/>
  <c r="N91" i="15"/>
  <c r="AF828" i="6"/>
  <c r="K98" i="15"/>
  <c r="AF853" i="6"/>
  <c r="K141" i="6"/>
  <c r="L85" i="6" s="1"/>
  <c r="AF141" i="6"/>
  <c r="L55" i="15"/>
  <c r="AF718" i="6"/>
  <c r="K62" i="15"/>
  <c r="AF739" i="6"/>
  <c r="K75" i="15"/>
  <c r="AF771" i="6"/>
  <c r="K82" i="15"/>
  <c r="AF793" i="6"/>
  <c r="M88" i="15"/>
  <c r="AF815" i="6"/>
  <c r="K107" i="15"/>
  <c r="AF881" i="6"/>
  <c r="L1282" i="6"/>
  <c r="AF1282" i="6"/>
  <c r="K92" i="15"/>
  <c r="AF829" i="6"/>
  <c r="L97" i="15"/>
  <c r="AF850" i="6"/>
  <c r="L1328" i="6"/>
  <c r="AF1328" i="6"/>
  <c r="K38" i="15"/>
  <c r="AF298" i="6"/>
  <c r="M40" i="15"/>
  <c r="AF306" i="6"/>
  <c r="AF414" i="6"/>
  <c r="M55" i="15"/>
  <c r="AF719" i="6"/>
  <c r="L62" i="15"/>
  <c r="AF740" i="6"/>
  <c r="L75" i="15"/>
  <c r="AF772" i="6"/>
  <c r="L82" i="15"/>
  <c r="AF794" i="6"/>
  <c r="N88" i="15"/>
  <c r="AF816" i="6"/>
  <c r="L109" i="15"/>
  <c r="AF886" i="6"/>
  <c r="K135" i="6"/>
  <c r="L79" i="6" s="1"/>
  <c r="AF135" i="6"/>
  <c r="K53" i="15"/>
  <c r="I53" i="15" s="1"/>
  <c r="AF709" i="6"/>
  <c r="K63" i="15"/>
  <c r="AF741" i="6"/>
  <c r="Z75" i="15"/>
  <c r="K86" i="15"/>
  <c r="AF805" i="6"/>
  <c r="Z97" i="15"/>
  <c r="K101" i="15"/>
  <c r="AF863" i="6"/>
  <c r="AF179" i="6"/>
  <c r="K35" i="15"/>
  <c r="I35" i="15" s="1"/>
  <c r="AF293" i="6"/>
  <c r="L41" i="15"/>
  <c r="AF309" i="6"/>
  <c r="K54" i="15"/>
  <c r="AF713" i="6"/>
  <c r="K57" i="15"/>
  <c r="AF723" i="6"/>
  <c r="L64" i="15"/>
  <c r="AF744" i="6"/>
  <c r="K65" i="15"/>
  <c r="AF747" i="6"/>
  <c r="N76" i="15"/>
  <c r="AF778" i="6"/>
  <c r="L80" i="15"/>
  <c r="AF788" i="6"/>
  <c r="L83" i="15"/>
  <c r="AF798" i="6"/>
  <c r="M96" i="15"/>
  <c r="AF847" i="6"/>
  <c r="N101" i="15"/>
  <c r="AF866" i="6"/>
  <c r="N102" i="15"/>
  <c r="AF870" i="6"/>
  <c r="K106" i="15"/>
  <c r="AF879" i="6"/>
  <c r="K108" i="15"/>
  <c r="AF883" i="6"/>
  <c r="K110" i="15"/>
  <c r="AF887" i="6"/>
  <c r="L60" i="15"/>
  <c r="AF734" i="6"/>
  <c r="L79" i="15"/>
  <c r="AF786" i="6"/>
  <c r="L90" i="15"/>
  <c r="AF822" i="6"/>
  <c r="F811" i="6"/>
  <c r="I811" i="6" s="1"/>
  <c r="S87" i="15" s="1"/>
  <c r="AF1320" i="6"/>
  <c r="L1336" i="6"/>
  <c r="AF1336" i="6"/>
  <c r="K138" i="6"/>
  <c r="K277" i="6" s="1"/>
  <c r="AF138" i="6"/>
  <c r="M35" i="15"/>
  <c r="J35" i="15" s="1"/>
  <c r="AF294" i="6"/>
  <c r="L54" i="15"/>
  <c r="AF714" i="6"/>
  <c r="L57" i="15"/>
  <c r="AF724" i="6"/>
  <c r="M64" i="15"/>
  <c r="AF745" i="6"/>
  <c r="L65" i="15"/>
  <c r="AF748" i="6"/>
  <c r="K77" i="15"/>
  <c r="AF779" i="6"/>
  <c r="N96" i="15"/>
  <c r="AF848" i="6"/>
  <c r="K103" i="15"/>
  <c r="AF871" i="6"/>
  <c r="L108" i="15"/>
  <c r="AF884" i="6"/>
  <c r="N72" i="15"/>
  <c r="AF766" i="6"/>
  <c r="M89" i="15"/>
  <c r="AF819" i="6"/>
  <c r="M54" i="15"/>
  <c r="AF715" i="6"/>
  <c r="N60" i="15"/>
  <c r="AF736" i="6"/>
  <c r="N64" i="15"/>
  <c r="AF746" i="6"/>
  <c r="K67" i="15"/>
  <c r="AF751" i="6"/>
  <c r="L77" i="15"/>
  <c r="AF780" i="6"/>
  <c r="N80" i="15"/>
  <c r="AF790" i="6"/>
  <c r="L84" i="15"/>
  <c r="AF800" i="6"/>
  <c r="N87" i="15"/>
  <c r="AF812" i="6"/>
  <c r="Z89" i="15"/>
  <c r="N90" i="15"/>
  <c r="AF824" i="6"/>
  <c r="K93" i="15"/>
  <c r="AF833" i="6"/>
  <c r="K94" i="15"/>
  <c r="AF837" i="6"/>
  <c r="L103" i="15"/>
  <c r="AF872" i="6"/>
  <c r="L105" i="15"/>
  <c r="I105" i="15" s="1"/>
  <c r="AF876" i="6"/>
  <c r="L1279" i="6"/>
  <c r="AF1279" i="6"/>
  <c r="L1295" i="6"/>
  <c r="AF1295" i="6"/>
  <c r="F773" i="6"/>
  <c r="I773" i="6" s="1"/>
  <c r="S75" i="15" s="1"/>
  <c r="AF1301" i="6"/>
  <c r="Z22" i="15"/>
  <c r="K36" i="15"/>
  <c r="I36" i="15" s="1"/>
  <c r="AF295" i="6"/>
  <c r="N39" i="15"/>
  <c r="AF303" i="6"/>
  <c r="L42" i="15"/>
  <c r="AF311" i="6"/>
  <c r="Z54" i="15"/>
  <c r="L66" i="15"/>
  <c r="AF750" i="6"/>
  <c r="K73" i="15"/>
  <c r="AF767" i="6"/>
  <c r="N89" i="15"/>
  <c r="AF820" i="6"/>
  <c r="M100" i="15"/>
  <c r="AF861" i="6"/>
  <c r="K130" i="6"/>
  <c r="L74" i="6" s="1"/>
  <c r="AF130" i="6"/>
  <c r="AF451" i="6"/>
  <c r="N54" i="15"/>
  <c r="AF716" i="6"/>
  <c r="K61" i="15"/>
  <c r="AF737" i="6"/>
  <c r="L67" i="15"/>
  <c r="AF752" i="6"/>
  <c r="M77" i="15"/>
  <c r="AF781" i="6"/>
  <c r="K81" i="15"/>
  <c r="AF791" i="6"/>
  <c r="M84" i="15"/>
  <c r="AF801" i="6"/>
  <c r="K88" i="15"/>
  <c r="AF813" i="6"/>
  <c r="L93" i="15"/>
  <c r="AF834" i="6"/>
  <c r="L94" i="15"/>
  <c r="AF838" i="6"/>
  <c r="K104" i="15"/>
  <c r="AF873" i="6"/>
  <c r="Z105" i="15"/>
  <c r="L1280" i="6"/>
  <c r="AF1280" i="6"/>
  <c r="F763" i="6"/>
  <c r="AF1296" i="6"/>
  <c r="F775" i="6"/>
  <c r="AF1302" i="6"/>
  <c r="K147" i="6"/>
  <c r="K286" i="6" s="1"/>
  <c r="AF147" i="6"/>
  <c r="K37" i="15"/>
  <c r="AF296" i="6"/>
  <c r="K48" i="15"/>
  <c r="I48" i="15" s="1"/>
  <c r="AF575" i="6"/>
  <c r="L73" i="15"/>
  <c r="AF768" i="6"/>
  <c r="Z77" i="15"/>
  <c r="Z84" i="15"/>
  <c r="N100" i="15"/>
  <c r="AF862" i="6"/>
  <c r="N105" i="15"/>
  <c r="J105" i="15" s="1"/>
  <c r="AF878" i="6"/>
  <c r="F823" i="6"/>
  <c r="AF1326" i="6"/>
  <c r="Z27" i="15"/>
  <c r="Z31" i="15"/>
  <c r="K55" i="15"/>
  <c r="AF717" i="6"/>
  <c r="K58" i="15"/>
  <c r="AF725" i="6"/>
  <c r="L61" i="15"/>
  <c r="AF738" i="6"/>
  <c r="K68" i="15"/>
  <c r="AF753" i="6"/>
  <c r="N77" i="15"/>
  <c r="AF782" i="6"/>
  <c r="L81" i="15"/>
  <c r="AF792" i="6"/>
  <c r="N84" i="15"/>
  <c r="AF802" i="6"/>
  <c r="L88" i="15"/>
  <c r="AF814" i="6"/>
  <c r="Z91" i="15"/>
  <c r="M93" i="15"/>
  <c r="AF835" i="6"/>
  <c r="Z94" i="15"/>
  <c r="L104" i="15"/>
  <c r="AF874" i="6"/>
  <c r="F749" i="6"/>
  <c r="I749" i="6" s="1"/>
  <c r="Q66" i="15" s="1"/>
  <c r="AF1289" i="6"/>
  <c r="F765" i="6"/>
  <c r="AF1297" i="6"/>
  <c r="L285" i="6"/>
  <c r="J285" i="6" s="1"/>
  <c r="L273" i="6"/>
  <c r="J273" i="6" s="1"/>
  <c r="L278" i="6"/>
  <c r="J278" i="6" s="1"/>
  <c r="L282" i="6"/>
  <c r="J282" i="6" s="1"/>
  <c r="I293" i="6"/>
  <c r="Q35" i="15" s="1"/>
  <c r="O35" i="15" s="1"/>
  <c r="L268" i="6"/>
  <c r="J268" i="6" s="1"/>
  <c r="L287" i="6"/>
  <c r="J287" i="6" s="1"/>
  <c r="L275" i="6"/>
  <c r="J275" i="6" s="1"/>
  <c r="L279" i="6"/>
  <c r="J279" i="6" s="1"/>
  <c r="L265" i="6"/>
  <c r="J265" i="6" s="1"/>
  <c r="L284" i="6"/>
  <c r="J284" i="6" s="1"/>
  <c r="L270" i="6"/>
  <c r="J270" i="6" s="1"/>
  <c r="L271" i="6"/>
  <c r="J271" i="6" s="1"/>
  <c r="L276" i="6"/>
  <c r="J276" i="6" s="1"/>
  <c r="L281" i="6"/>
  <c r="J281" i="6" s="1"/>
  <c r="J504" i="6"/>
  <c r="L267" i="6"/>
  <c r="J267" i="6" s="1"/>
  <c r="K647" i="6"/>
  <c r="J650" i="6"/>
  <c r="AF650" i="6" s="1"/>
  <c r="J649" i="6"/>
  <c r="AF649" i="6" s="1"/>
  <c r="M1900" i="6"/>
  <c r="L1900" i="6" s="1"/>
  <c r="K1900" i="6" s="1"/>
  <c r="F583" i="6"/>
  <c r="F581" i="6"/>
  <c r="F827" i="6"/>
  <c r="I876" i="6"/>
  <c r="R105" i="15" s="1"/>
  <c r="F735" i="6"/>
  <c r="I778" i="6"/>
  <c r="T76" i="15" s="1"/>
  <c r="I732" i="6"/>
  <c r="T59" i="15" s="1"/>
  <c r="AJ62" i="15"/>
  <c r="I724" i="6"/>
  <c r="R57" i="15" s="1"/>
  <c r="F825" i="6"/>
  <c r="I309" i="6"/>
  <c r="R41" i="15" s="1"/>
  <c r="K267" i="6"/>
  <c r="L78" i="6"/>
  <c r="AJ25" i="15" s="1"/>
  <c r="I305" i="6"/>
  <c r="R40" i="15" s="1"/>
  <c r="I306" i="6"/>
  <c r="S40" i="15" s="1"/>
  <c r="I90" i="6"/>
  <c r="Q33" i="15" s="1"/>
  <c r="O33" i="15" s="1"/>
  <c r="L83" i="6"/>
  <c r="AJ28" i="15" s="1"/>
  <c r="F312" i="6"/>
  <c r="F317" i="6"/>
  <c r="L75" i="6"/>
  <c r="AJ23" i="15" s="1"/>
  <c r="I844" i="6"/>
  <c r="T95" i="15" s="1"/>
  <c r="I766" i="6"/>
  <c r="T72" i="15" s="1"/>
  <c r="I714" i="6"/>
  <c r="R54" i="15" s="1"/>
  <c r="I770" i="6"/>
  <c r="R74" i="15" s="1"/>
  <c r="M1908" i="6"/>
  <c r="L1908" i="6" s="1"/>
  <c r="I716" i="6"/>
  <c r="T54" i="15" s="1"/>
  <c r="I779" i="6"/>
  <c r="Q77" i="15" s="1"/>
  <c r="I780" i="6"/>
  <c r="R77" i="15" s="1"/>
  <c r="I847" i="6"/>
  <c r="S96" i="15" s="1"/>
  <c r="F761" i="6"/>
  <c r="I804" i="6"/>
  <c r="R85" i="15" s="1"/>
  <c r="I747" i="6"/>
  <c r="Q65" i="15" s="1"/>
  <c r="I834" i="6"/>
  <c r="R93" i="15" s="1"/>
  <c r="I815" i="6"/>
  <c r="S88" i="15" s="1"/>
  <c r="I845" i="6"/>
  <c r="Q96" i="15" s="1"/>
  <c r="I737" i="6"/>
  <c r="Q61" i="15" s="1"/>
  <c r="I745" i="6"/>
  <c r="S64" i="15" s="1"/>
  <c r="I785" i="6"/>
  <c r="Q79" i="15" s="1"/>
  <c r="I800" i="6"/>
  <c r="R84" i="15" s="1"/>
  <c r="I835" i="6"/>
  <c r="S93" i="15" s="1"/>
  <c r="I855" i="6"/>
  <c r="S98" i="15" s="1"/>
  <c r="I874" i="6"/>
  <c r="R104" i="15" s="1"/>
  <c r="I875" i="6"/>
  <c r="Q105" i="15" s="1"/>
  <c r="I846" i="6"/>
  <c r="R96" i="15" s="1"/>
  <c r="I882" i="6"/>
  <c r="R107" i="15" s="1"/>
  <c r="I746" i="6"/>
  <c r="T64" i="15" s="1"/>
  <c r="I801" i="6"/>
  <c r="S84" i="15" s="1"/>
  <c r="I818" i="6"/>
  <c r="R89" i="15" s="1"/>
  <c r="I836" i="6"/>
  <c r="T93" i="15" s="1"/>
  <c r="I793" i="6"/>
  <c r="Q82" i="15" s="1"/>
  <c r="I718" i="6"/>
  <c r="R55" i="15" s="1"/>
  <c r="I762" i="6"/>
  <c r="T71" i="15" s="1"/>
  <c r="I794" i="6"/>
  <c r="R82" i="15" s="1"/>
  <c r="I866" i="6"/>
  <c r="T101" i="15" s="1"/>
  <c r="I868" i="6"/>
  <c r="R102" i="15" s="1"/>
  <c r="I787" i="6"/>
  <c r="Q80" i="15" s="1"/>
  <c r="I710" i="6"/>
  <c r="R53" i="15" s="1"/>
  <c r="F731" i="6"/>
  <c r="F809" i="6"/>
  <c r="I719" i="6"/>
  <c r="S55" i="15" s="1"/>
  <c r="I757" i="6"/>
  <c r="Q70" i="15" s="1"/>
  <c r="I788" i="6"/>
  <c r="R80" i="15" s="1"/>
  <c r="I795" i="6"/>
  <c r="S82" i="15" s="1"/>
  <c r="I848" i="6"/>
  <c r="T96" i="15" s="1"/>
  <c r="I869" i="6"/>
  <c r="S102" i="15" s="1"/>
  <c r="I871" i="6"/>
  <c r="Q103" i="15" s="1"/>
  <c r="I744" i="6"/>
  <c r="R64" i="15" s="1"/>
  <c r="I712" i="6"/>
  <c r="T53" i="15" s="1"/>
  <c r="I849" i="6"/>
  <c r="Q97" i="15" s="1"/>
  <c r="I858" i="6"/>
  <c r="R99" i="15" s="1"/>
  <c r="I851" i="6"/>
  <c r="S97" i="15" s="1"/>
  <c r="I820" i="6"/>
  <c r="T89" i="15" s="1"/>
  <c r="I752" i="6"/>
  <c r="R67" i="15" s="1"/>
  <c r="I797" i="6"/>
  <c r="Q83" i="15" s="1"/>
  <c r="I860" i="6"/>
  <c r="R100" i="15" s="1"/>
  <c r="I743" i="6"/>
  <c r="Q64" i="15" s="1"/>
  <c r="I774" i="6"/>
  <c r="T75" i="15" s="1"/>
  <c r="I783" i="6"/>
  <c r="Q78" i="15" s="1"/>
  <c r="I872" i="6"/>
  <c r="R103" i="15" s="1"/>
  <c r="I806" i="6"/>
  <c r="R86" i="15" s="1"/>
  <c r="I863" i="6"/>
  <c r="Q101" i="15" s="1"/>
  <c r="I736" i="6"/>
  <c r="T60" i="15" s="1"/>
  <c r="I862" i="6"/>
  <c r="T100" i="15" s="1"/>
  <c r="I808" i="6"/>
  <c r="T86" i="15" s="1"/>
  <c r="I867" i="6"/>
  <c r="Q102" i="15" s="1"/>
  <c r="I720" i="6"/>
  <c r="T55" i="15" s="1"/>
  <c r="I796" i="6"/>
  <c r="T82" i="15" s="1"/>
  <c r="I850" i="6"/>
  <c r="R97" i="15" s="1"/>
  <c r="I870" i="6"/>
  <c r="T102" i="15" s="1"/>
  <c r="I831" i="6"/>
  <c r="S92" i="15" s="1"/>
  <c r="I781" i="6"/>
  <c r="S77" i="15" s="1"/>
  <c r="I790" i="6"/>
  <c r="T80" i="15" s="1"/>
  <c r="I824" i="6"/>
  <c r="T90" i="15" s="1"/>
  <c r="I833" i="6"/>
  <c r="Q93" i="15" s="1"/>
  <c r="I767" i="6"/>
  <c r="Q73" i="15" s="1"/>
  <c r="I715" i="6"/>
  <c r="S54" i="15" s="1"/>
  <c r="I814" i="6"/>
  <c r="R88" i="15" s="1"/>
  <c r="I861" i="6"/>
  <c r="S100" i="15" s="1"/>
  <c r="I784" i="6"/>
  <c r="R78" i="15" s="1"/>
  <c r="F807" i="6"/>
  <c r="I717" i="6"/>
  <c r="Q55" i="15" s="1"/>
  <c r="I816" i="6"/>
  <c r="T88" i="15" s="1"/>
  <c r="I713" i="6"/>
  <c r="Q54" i="15" s="1"/>
  <c r="I859" i="6"/>
  <c r="Q100" i="15" s="1"/>
  <c r="I805" i="6"/>
  <c r="Q86" i="15" s="1"/>
  <c r="I768" i="6"/>
  <c r="R73" i="15" s="1"/>
  <c r="I769" i="6"/>
  <c r="Q74" i="15" s="1"/>
  <c r="I817" i="6"/>
  <c r="Q89" i="15" s="1"/>
  <c r="I742" i="6"/>
  <c r="R63" i="15" s="1"/>
  <c r="I799" i="6"/>
  <c r="Q84" i="15" s="1"/>
  <c r="I721" i="6"/>
  <c r="Q56" i="15" s="1"/>
  <c r="L1320" i="6"/>
  <c r="L84" i="6"/>
  <c r="AJ29" i="15" s="1"/>
  <c r="K279" i="6"/>
  <c r="I748" i="6"/>
  <c r="R65" i="15" s="1"/>
  <c r="L1301" i="6"/>
  <c r="L1289" i="6"/>
  <c r="L1296" i="6"/>
  <c r="M1920" i="6"/>
  <c r="L1920" i="6" s="1"/>
  <c r="I782" i="6"/>
  <c r="T77" i="15" s="1"/>
  <c r="I838" i="6"/>
  <c r="R94" i="15" s="1"/>
  <c r="I294" i="6"/>
  <c r="S35" i="15" s="1"/>
  <c r="P35" i="15" s="1"/>
  <c r="I830" i="6"/>
  <c r="R92" i="15" s="1"/>
  <c r="I755" i="6"/>
  <c r="Q69" i="15" s="1"/>
  <c r="K644" i="6"/>
  <c r="F579" i="6"/>
  <c r="I829" i="6"/>
  <c r="Q92" i="15" s="1"/>
  <c r="I739" i="6"/>
  <c r="Q62" i="15" s="1"/>
  <c r="I837" i="6"/>
  <c r="Q94" i="15" s="1"/>
  <c r="I852" i="6"/>
  <c r="T97" i="15" s="1"/>
  <c r="L76" i="6"/>
  <c r="AJ24" i="15" s="1"/>
  <c r="K646" i="6"/>
  <c r="L581" i="6" s="1"/>
  <c r="AJ50" i="15" s="1"/>
  <c r="I725" i="6"/>
  <c r="Q58" i="15" s="1"/>
  <c r="I854" i="6"/>
  <c r="R98" i="15" s="1"/>
  <c r="I728" i="6"/>
  <c r="T58" i="15" s="1"/>
  <c r="I864" i="6"/>
  <c r="R101" i="15" s="1"/>
  <c r="I756" i="6"/>
  <c r="R69" i="15" s="1"/>
  <c r="I803" i="6"/>
  <c r="Q85" i="15" s="1"/>
  <c r="I840" i="6"/>
  <c r="T94" i="15" s="1"/>
  <c r="M1914" i="6"/>
  <c r="L1914" i="6" s="1"/>
  <c r="L87" i="6"/>
  <c r="AJ31" i="15" s="1"/>
  <c r="K133" i="6"/>
  <c r="I726" i="6"/>
  <c r="R58" i="15" s="1"/>
  <c r="I734" i="6"/>
  <c r="R60" i="15" s="1"/>
  <c r="I771" i="6"/>
  <c r="Q75" i="15" s="1"/>
  <c r="I877" i="6"/>
  <c r="S105" i="15" s="1"/>
  <c r="L1326" i="6"/>
  <c r="I741" i="6"/>
  <c r="Q63" i="15" s="1"/>
  <c r="I791" i="6"/>
  <c r="Q81" i="15" s="1"/>
  <c r="I887" i="6"/>
  <c r="Q110" i="15" s="1"/>
  <c r="I832" i="6"/>
  <c r="T92" i="15" s="1"/>
  <c r="I758" i="6"/>
  <c r="R70" i="15" s="1"/>
  <c r="I786" i="6"/>
  <c r="R79" i="15" s="1"/>
  <c r="I856" i="6"/>
  <c r="T98" i="15" s="1"/>
  <c r="I878" i="6"/>
  <c r="T105" i="15" s="1"/>
  <c r="I879" i="6"/>
  <c r="Q106" i="15" s="1"/>
  <c r="I821" i="6"/>
  <c r="Q90" i="15" s="1"/>
  <c r="I853" i="6"/>
  <c r="Q98" i="15" s="1"/>
  <c r="I750" i="6"/>
  <c r="R66" i="15" s="1"/>
  <c r="I798" i="6"/>
  <c r="R83" i="15" s="1"/>
  <c r="I828" i="6"/>
  <c r="T91" i="15" s="1"/>
  <c r="I802" i="6"/>
  <c r="T84" i="15" s="1"/>
  <c r="I819" i="6"/>
  <c r="S89" i="15" s="1"/>
  <c r="F843" i="6"/>
  <c r="I857" i="6"/>
  <c r="Q99" i="15" s="1"/>
  <c r="I865" i="6"/>
  <c r="S101" i="15" s="1"/>
  <c r="I880" i="6"/>
  <c r="R106" i="15" s="1"/>
  <c r="I711" i="6"/>
  <c r="S53" i="15" s="1"/>
  <c r="I813" i="6"/>
  <c r="Q88" i="15" s="1"/>
  <c r="I738" i="6"/>
  <c r="R61" i="15" s="1"/>
  <c r="I295" i="6"/>
  <c r="Q36" i="15" s="1"/>
  <c r="I307" i="6"/>
  <c r="T40" i="15" s="1"/>
  <c r="I302" i="6"/>
  <c r="S39" i="15" s="1"/>
  <c r="I303" i="6"/>
  <c r="T39" i="15" s="1"/>
  <c r="I296" i="6"/>
  <c r="Q37" i="15" s="1"/>
  <c r="I308" i="6"/>
  <c r="Q41" i="15" s="1"/>
  <c r="I313" i="6"/>
  <c r="R43" i="15" s="1"/>
  <c r="I299" i="6"/>
  <c r="R38" i="15" s="1"/>
  <c r="I314" i="6"/>
  <c r="S43" i="15" s="1"/>
  <c r="I300" i="6"/>
  <c r="Q39" i="15" s="1"/>
  <c r="I301" i="6"/>
  <c r="R39" i="15" s="1"/>
  <c r="I310" i="6"/>
  <c r="Q42" i="15" s="1"/>
  <c r="I311" i="6"/>
  <c r="R42" i="15" s="1"/>
  <c r="I297" i="6"/>
  <c r="R37" i="15" s="1"/>
  <c r="I298" i="6"/>
  <c r="Q38" i="15" s="1"/>
  <c r="I315" i="6"/>
  <c r="T43" i="15" s="1"/>
  <c r="M46" i="2"/>
  <c r="M45" i="2"/>
  <c r="M44" i="2"/>
  <c r="M43" i="2"/>
  <c r="F13" i="2" s="1"/>
  <c r="M42" i="2"/>
  <c r="F12" i="2" s="1"/>
  <c r="M41" i="2"/>
  <c r="F11" i="2" s="1"/>
  <c r="M40" i="2"/>
  <c r="M39" i="2"/>
  <c r="F9" i="2" s="1"/>
  <c r="M49" i="2"/>
  <c r="M47" i="2"/>
  <c r="I753" i="6"/>
  <c r="Q68" i="15" s="1"/>
  <c r="I754" i="6"/>
  <c r="R68" i="15" s="1"/>
  <c r="I812" i="6"/>
  <c r="T87" i="15" s="1"/>
  <c r="L1302" i="6"/>
  <c r="I722" i="6"/>
  <c r="R56" i="15" s="1"/>
  <c r="L1334" i="6"/>
  <c r="I772" i="6"/>
  <c r="R75" i="15" s="1"/>
  <c r="F777" i="6"/>
  <c r="L1303" i="6"/>
  <c r="I723" i="6"/>
  <c r="Q57" i="15" s="1"/>
  <c r="F727" i="6"/>
  <c r="L1278" i="6"/>
  <c r="I792" i="6"/>
  <c r="R81" i="15" s="1"/>
  <c r="L1297" i="6"/>
  <c r="I740" i="6"/>
  <c r="R62" i="15" s="1"/>
  <c r="L1335" i="6"/>
  <c r="F841" i="6"/>
  <c r="I760" i="6"/>
  <c r="R71" i="15" s="1"/>
  <c r="M1932" i="6"/>
  <c r="L1932" i="6" s="1"/>
  <c r="I822" i="6"/>
  <c r="R90" i="15" s="1"/>
  <c r="M1916" i="6"/>
  <c r="L1916" i="6" s="1"/>
  <c r="M1930" i="6"/>
  <c r="L1930" i="6" s="1"/>
  <c r="M1912" i="6"/>
  <c r="L1912" i="6" s="1"/>
  <c r="M1924" i="6"/>
  <c r="L1924" i="6" s="1"/>
  <c r="M1904" i="6"/>
  <c r="L1904" i="6" s="1"/>
  <c r="I759" i="6"/>
  <c r="Q71" i="15" s="1"/>
  <c r="F729" i="6"/>
  <c r="I751" i="6"/>
  <c r="Q67" i="15" s="1"/>
  <c r="I789" i="6"/>
  <c r="S80" i="15" s="1"/>
  <c r="I709" i="6"/>
  <c r="Q53" i="15" s="1"/>
  <c r="I884" i="6"/>
  <c r="R108" i="15" s="1"/>
  <c r="M1928" i="6"/>
  <c r="L1928" i="6" s="1"/>
  <c r="K1928" i="6" s="1"/>
  <c r="I873" i="6"/>
  <c r="Q104" i="15" s="1"/>
  <c r="I888" i="6"/>
  <c r="R110" i="15" s="1"/>
  <c r="I881" i="6"/>
  <c r="Q107" i="15" s="1"/>
  <c r="I886" i="6"/>
  <c r="R109" i="15" s="1"/>
  <c r="F733" i="6"/>
  <c r="L1281" i="6"/>
  <c r="I885" i="6"/>
  <c r="Q109" i="15" s="1"/>
  <c r="I883" i="6"/>
  <c r="Q108" i="15" s="1"/>
  <c r="L90" i="6"/>
  <c r="AJ33" i="15" s="1"/>
  <c r="K285" i="6"/>
  <c r="L70" i="6"/>
  <c r="AJ20" i="15" s="1"/>
  <c r="K265" i="6"/>
  <c r="K281" i="6"/>
  <c r="L86" i="6"/>
  <c r="AJ30" i="15" s="1"/>
  <c r="K287" i="6"/>
  <c r="L92" i="6"/>
  <c r="AJ34" i="15" s="1"/>
  <c r="K284" i="6"/>
  <c r="L81" i="6"/>
  <c r="AJ27" i="15" s="1"/>
  <c r="K276" i="6"/>
  <c r="K268" i="6"/>
  <c r="K275" i="6"/>
  <c r="DG18" i="2" l="1"/>
  <c r="AA247" i="15" s="1"/>
  <c r="AE247" i="15"/>
  <c r="AC247" i="15" s="1"/>
  <c r="I253" i="15"/>
  <c r="AF24" i="2"/>
  <c r="I24" i="2"/>
  <c r="O253" i="15" s="1"/>
  <c r="V253" i="15" s="1"/>
  <c r="U253" i="15" s="1"/>
  <c r="DI24" i="2"/>
  <c r="I252" i="15"/>
  <c r="I23" i="2"/>
  <c r="O252" i="15" s="1"/>
  <c r="W252" i="15" s="1"/>
  <c r="V252" i="15" s="1"/>
  <c r="U252" i="15" s="1"/>
  <c r="I251" i="15"/>
  <c r="I22" i="2"/>
  <c r="O251" i="15" s="1"/>
  <c r="V251" i="15" s="1"/>
  <c r="U251" i="15" s="1"/>
  <c r="AF22" i="2"/>
  <c r="DI22" i="2"/>
  <c r="I250" i="15"/>
  <c r="I21" i="2"/>
  <c r="O250" i="15" s="1"/>
  <c r="W250" i="15" s="1"/>
  <c r="V250" i="15" s="1"/>
  <c r="U250" i="15" s="1"/>
  <c r="I249" i="15"/>
  <c r="AF20" i="2"/>
  <c r="I20" i="2"/>
  <c r="O249" i="15" s="1"/>
  <c r="V249" i="15" s="1"/>
  <c r="U249" i="15" s="1"/>
  <c r="DI20" i="2"/>
  <c r="F10" i="2"/>
  <c r="AF10" i="2" s="1"/>
  <c r="O68" i="15"/>
  <c r="W68" i="15" s="1"/>
  <c r="V68" i="15" s="1"/>
  <c r="U68" i="15" s="1"/>
  <c r="W33" i="15"/>
  <c r="V33" i="15" s="1"/>
  <c r="U33" i="15" s="1"/>
  <c r="W35" i="15"/>
  <c r="V35" i="15" s="1"/>
  <c r="U35" i="15" s="1"/>
  <c r="J43" i="15"/>
  <c r="L88" i="6"/>
  <c r="L71" i="6"/>
  <c r="O62" i="15"/>
  <c r="W62" i="15" s="1"/>
  <c r="V62" i="15" s="1"/>
  <c r="U62" i="15" s="1"/>
  <c r="K1932" i="6"/>
  <c r="AF1932" i="6" s="1"/>
  <c r="J64" i="15"/>
  <c r="AF271" i="6"/>
  <c r="AF278" i="6"/>
  <c r="AF287" i="6"/>
  <c r="O100" i="15"/>
  <c r="W100" i="15" s="1"/>
  <c r="V100" i="15" s="1"/>
  <c r="U100" i="15" s="1"/>
  <c r="P102" i="15"/>
  <c r="AF282" i="6"/>
  <c r="AF284" i="6"/>
  <c r="AF281" i="6"/>
  <c r="I304" i="6"/>
  <c r="Q40" i="15" s="1"/>
  <c r="O40" i="15" s="1"/>
  <c r="W40" i="15" s="1"/>
  <c r="V40" i="15" s="1"/>
  <c r="U40" i="15" s="1"/>
  <c r="J503" i="6"/>
  <c r="L82" i="6"/>
  <c r="J97" i="15"/>
  <c r="O61" i="15"/>
  <c r="W61" i="15" s="1"/>
  <c r="V61" i="15" s="1"/>
  <c r="U61" i="15" s="1"/>
  <c r="I82" i="15"/>
  <c r="L91" i="6"/>
  <c r="O78" i="15"/>
  <c r="W78" i="15" s="1"/>
  <c r="V78" i="15" s="1"/>
  <c r="U78" i="15" s="1"/>
  <c r="I65" i="15"/>
  <c r="O39" i="15"/>
  <c r="W39" i="15" s="1"/>
  <c r="V39" i="15" s="1"/>
  <c r="U39" i="15" s="1"/>
  <c r="I54" i="15"/>
  <c r="I81" i="15"/>
  <c r="I106" i="15"/>
  <c r="P97" i="15"/>
  <c r="J102" i="15"/>
  <c r="P98" i="15"/>
  <c r="O58" i="15"/>
  <c r="W58" i="15" s="1"/>
  <c r="V58" i="15" s="1"/>
  <c r="U58" i="15" s="1"/>
  <c r="P92" i="15"/>
  <c r="P105" i="15"/>
  <c r="P89" i="15"/>
  <c r="O75" i="15"/>
  <c r="W75" i="15" s="1"/>
  <c r="V75" i="15" s="1"/>
  <c r="U75" i="15" s="1"/>
  <c r="P75" i="15"/>
  <c r="I98" i="15"/>
  <c r="O67" i="15"/>
  <c r="W67" i="15" s="1"/>
  <c r="V67" i="15" s="1"/>
  <c r="U67" i="15" s="1"/>
  <c r="O90" i="15"/>
  <c r="W90" i="15" s="1"/>
  <c r="V90" i="15" s="1"/>
  <c r="U90" i="15" s="1"/>
  <c r="O84" i="15"/>
  <c r="W84" i="15" s="1"/>
  <c r="V84" i="15" s="1"/>
  <c r="U84" i="15" s="1"/>
  <c r="I92" i="15"/>
  <c r="P96" i="15"/>
  <c r="J84" i="15"/>
  <c r="J89" i="15"/>
  <c r="P100" i="15"/>
  <c r="O97" i="15"/>
  <c r="W97" i="15" s="1"/>
  <c r="V97" i="15" s="1"/>
  <c r="U97" i="15" s="1"/>
  <c r="I68" i="15"/>
  <c r="I89" i="15"/>
  <c r="I85" i="15"/>
  <c r="J92" i="15"/>
  <c r="O89" i="15"/>
  <c r="W89" i="15" s="1"/>
  <c r="V89" i="15" s="1"/>
  <c r="U89" i="15" s="1"/>
  <c r="I74" i="15"/>
  <c r="O107" i="15"/>
  <c r="W107" i="15" s="1"/>
  <c r="V107" i="15" s="1"/>
  <c r="U107" i="15" s="1"/>
  <c r="J93" i="15"/>
  <c r="I41" i="15"/>
  <c r="O54" i="15"/>
  <c r="W54" i="15" s="1"/>
  <c r="V54" i="15" s="1"/>
  <c r="U54" i="15" s="1"/>
  <c r="I104" i="15"/>
  <c r="I84" i="15"/>
  <c r="I77" i="15"/>
  <c r="J96" i="15"/>
  <c r="J77" i="15"/>
  <c r="J80" i="15"/>
  <c r="I63" i="15"/>
  <c r="J82" i="15"/>
  <c r="K274" i="6"/>
  <c r="O57" i="15"/>
  <c r="W57" i="15" s="1"/>
  <c r="V57" i="15" s="1"/>
  <c r="U57" i="15" s="1"/>
  <c r="O79" i="15"/>
  <c r="W79" i="15" s="1"/>
  <c r="V79" i="15" s="1"/>
  <c r="U79" i="15" s="1"/>
  <c r="P64" i="15"/>
  <c r="O108" i="15"/>
  <c r="W108" i="15" s="1"/>
  <c r="V108" i="15" s="1"/>
  <c r="U108" i="15" s="1"/>
  <c r="O53" i="15"/>
  <c r="W53" i="15" s="1"/>
  <c r="V53" i="15" s="1"/>
  <c r="U53" i="15" s="1"/>
  <c r="O83" i="15"/>
  <c r="W83" i="15" s="1"/>
  <c r="V83" i="15" s="1"/>
  <c r="U83" i="15" s="1"/>
  <c r="K269" i="6"/>
  <c r="P53" i="15"/>
  <c r="O55" i="15"/>
  <c r="W55" i="15" s="1"/>
  <c r="V55" i="15" s="1"/>
  <c r="U55" i="15" s="1"/>
  <c r="O42" i="15"/>
  <c r="W42" i="15" s="1"/>
  <c r="V42" i="15" s="1"/>
  <c r="U42" i="15" s="1"/>
  <c r="O102" i="15"/>
  <c r="W102" i="15" s="1"/>
  <c r="V102" i="15" s="1"/>
  <c r="U102" i="15" s="1"/>
  <c r="I75" i="15"/>
  <c r="I102" i="15"/>
  <c r="I90" i="15"/>
  <c r="P101" i="15"/>
  <c r="P94" i="15"/>
  <c r="I70" i="15"/>
  <c r="I67" i="15"/>
  <c r="I83" i="15"/>
  <c r="I38" i="15"/>
  <c r="I109" i="15"/>
  <c r="O71" i="15"/>
  <c r="W71" i="15" s="1"/>
  <c r="V71" i="15" s="1"/>
  <c r="U71" i="15" s="1"/>
  <c r="P43" i="15"/>
  <c r="P55" i="15"/>
  <c r="K87" i="15"/>
  <c r="I87" i="15" s="1"/>
  <c r="AF809" i="6"/>
  <c r="J101" i="15"/>
  <c r="I78" i="15"/>
  <c r="K59" i="15"/>
  <c r="I59" i="15" s="1"/>
  <c r="AF729" i="6"/>
  <c r="O94" i="15"/>
  <c r="W94" i="15" s="1"/>
  <c r="V94" i="15" s="1"/>
  <c r="U94" i="15" s="1"/>
  <c r="M59" i="15"/>
  <c r="J59" i="15" s="1"/>
  <c r="AF731" i="6"/>
  <c r="I735" i="6"/>
  <c r="S60" i="15" s="1"/>
  <c r="P60" i="15" s="1"/>
  <c r="M60" i="15"/>
  <c r="J60" i="15" s="1"/>
  <c r="AF735" i="6"/>
  <c r="I61" i="15"/>
  <c r="K95" i="15"/>
  <c r="I95" i="15" s="1"/>
  <c r="AF841" i="6"/>
  <c r="O82" i="15"/>
  <c r="W82" i="15" s="1"/>
  <c r="V82" i="15" s="1"/>
  <c r="U82" i="15" s="1"/>
  <c r="O96" i="15"/>
  <c r="W96" i="15" s="1"/>
  <c r="V96" i="15" s="1"/>
  <c r="U96" i="15" s="1"/>
  <c r="Z44" i="15"/>
  <c r="W44" i="15" s="1"/>
  <c r="V44" i="15" s="1"/>
  <c r="U44" i="15" s="1"/>
  <c r="K44" i="15"/>
  <c r="I44" i="15" s="1"/>
  <c r="AF316" i="6"/>
  <c r="O74" i="15"/>
  <c r="W74" i="15" s="1"/>
  <c r="V74" i="15" s="1"/>
  <c r="U74" i="15" s="1"/>
  <c r="P88" i="15"/>
  <c r="P40" i="15"/>
  <c r="I827" i="6"/>
  <c r="S91" i="15" s="1"/>
  <c r="P91" i="15" s="1"/>
  <c r="M91" i="15"/>
  <c r="J91" i="15" s="1"/>
  <c r="AF827" i="6"/>
  <c r="K280" i="6"/>
  <c r="K50" i="15"/>
  <c r="AF581" i="6"/>
  <c r="M90" i="15"/>
  <c r="J90" i="15" s="1"/>
  <c r="AF823" i="6"/>
  <c r="I79" i="15"/>
  <c r="I99" i="15"/>
  <c r="O41" i="15"/>
  <c r="W41" i="15" s="1"/>
  <c r="V41" i="15" s="1"/>
  <c r="U41" i="15" s="1"/>
  <c r="O99" i="15"/>
  <c r="W99" i="15" s="1"/>
  <c r="V99" i="15" s="1"/>
  <c r="U99" i="15" s="1"/>
  <c r="O98" i="15"/>
  <c r="W98" i="15" s="1"/>
  <c r="V98" i="15" s="1"/>
  <c r="U98" i="15" s="1"/>
  <c r="M86" i="15"/>
  <c r="J86" i="15" s="1"/>
  <c r="AF807" i="6"/>
  <c r="P84" i="15"/>
  <c r="M50" i="15"/>
  <c r="AF583" i="6"/>
  <c r="M72" i="15"/>
  <c r="J72" i="15" s="1"/>
  <c r="AF765" i="6"/>
  <c r="J55" i="15"/>
  <c r="I97" i="15"/>
  <c r="I39" i="15"/>
  <c r="M95" i="15"/>
  <c r="J95" i="15" s="1"/>
  <c r="AF843" i="6"/>
  <c r="O110" i="15"/>
  <c r="W110" i="15" s="1"/>
  <c r="V110" i="15" s="1"/>
  <c r="U110" i="15" s="1"/>
  <c r="O92" i="15"/>
  <c r="W92" i="15" s="1"/>
  <c r="V92" i="15" s="1"/>
  <c r="U92" i="15" s="1"/>
  <c r="P82" i="15"/>
  <c r="I823" i="6"/>
  <c r="S90" i="15" s="1"/>
  <c r="P90" i="15" s="1"/>
  <c r="O65" i="15"/>
  <c r="W65" i="15" s="1"/>
  <c r="V65" i="15" s="1"/>
  <c r="U65" i="15" s="1"/>
  <c r="K709" i="6"/>
  <c r="DJ709" i="6" s="1"/>
  <c r="AF1900" i="6"/>
  <c r="J54" i="15"/>
  <c r="I100" i="15"/>
  <c r="O104" i="15"/>
  <c r="W104" i="15" s="1"/>
  <c r="V104" i="15" s="1"/>
  <c r="U104" i="15" s="1"/>
  <c r="O81" i="15"/>
  <c r="W81" i="15" s="1"/>
  <c r="V81" i="15" s="1"/>
  <c r="U81" i="15" s="1"/>
  <c r="O64" i="15"/>
  <c r="W64" i="15" s="1"/>
  <c r="V64" i="15" s="1"/>
  <c r="U64" i="15" s="1"/>
  <c r="I765" i="6"/>
  <c r="S72" i="15" s="1"/>
  <c r="P72" i="15" s="1"/>
  <c r="O85" i="15"/>
  <c r="W85" i="15" s="1"/>
  <c r="V85" i="15" s="1"/>
  <c r="U85" i="15" s="1"/>
  <c r="K66" i="15"/>
  <c r="I66" i="15" s="1"/>
  <c r="AF749" i="6"/>
  <c r="I64" i="15"/>
  <c r="J88" i="15"/>
  <c r="I37" i="15"/>
  <c r="K737" i="6"/>
  <c r="DJ737" i="6" s="1"/>
  <c r="AF1928" i="6"/>
  <c r="P39" i="15"/>
  <c r="O56" i="15"/>
  <c r="W56" i="15" s="1"/>
  <c r="V56" i="15" s="1"/>
  <c r="U56" i="15" s="1"/>
  <c r="I94" i="15"/>
  <c r="M87" i="15"/>
  <c r="J87" i="15" s="1"/>
  <c r="AF811" i="6"/>
  <c r="I42" i="15"/>
  <c r="J40" i="15"/>
  <c r="K60" i="15"/>
  <c r="I60" i="15" s="1"/>
  <c r="AF733" i="6"/>
  <c r="J39" i="15"/>
  <c r="O63" i="15"/>
  <c r="W63" i="15" s="1"/>
  <c r="V63" i="15" s="1"/>
  <c r="U63" i="15" s="1"/>
  <c r="O103" i="15"/>
  <c r="W103" i="15" s="1"/>
  <c r="V103" i="15" s="1"/>
  <c r="U103" i="15" s="1"/>
  <c r="I761" i="6"/>
  <c r="S71" i="15" s="1"/>
  <c r="P71" i="15" s="1"/>
  <c r="M71" i="15"/>
  <c r="J71" i="15" s="1"/>
  <c r="AF761" i="6"/>
  <c r="I73" i="15"/>
  <c r="M75" i="15"/>
  <c r="J75" i="15" s="1"/>
  <c r="AF773" i="6"/>
  <c r="I56" i="15"/>
  <c r="M49" i="15"/>
  <c r="AF579" i="6"/>
  <c r="I825" i="6"/>
  <c r="Q91" i="15" s="1"/>
  <c r="O91" i="15" s="1"/>
  <c r="W91" i="15" s="1"/>
  <c r="V91" i="15" s="1"/>
  <c r="U91" i="15" s="1"/>
  <c r="K91" i="15"/>
  <c r="I91" i="15" s="1"/>
  <c r="AF825" i="6"/>
  <c r="O36" i="15"/>
  <c r="W36" i="15" s="1"/>
  <c r="V36" i="15" s="1"/>
  <c r="U36" i="15" s="1"/>
  <c r="P87" i="15"/>
  <c r="I317" i="6"/>
  <c r="S44" i="15" s="1"/>
  <c r="P44" i="15" s="1"/>
  <c r="M44" i="15"/>
  <c r="J44" i="15" s="1"/>
  <c r="AF317" i="6"/>
  <c r="M58" i="15"/>
  <c r="J58" i="15" s="1"/>
  <c r="AF727" i="6"/>
  <c r="O86" i="15"/>
  <c r="W86" i="15" s="1"/>
  <c r="V86" i="15" s="1"/>
  <c r="U86" i="15" s="1"/>
  <c r="O105" i="15"/>
  <c r="W105" i="15" s="1"/>
  <c r="V105" i="15" s="1"/>
  <c r="U105" i="15" s="1"/>
  <c r="O77" i="15"/>
  <c r="W77" i="15" s="1"/>
  <c r="V77" i="15" s="1"/>
  <c r="U77" i="15" s="1"/>
  <c r="I312" i="6"/>
  <c r="Q43" i="15" s="1"/>
  <c r="O43" i="15" s="1"/>
  <c r="W43" i="15" s="1"/>
  <c r="V43" i="15" s="1"/>
  <c r="U43" i="15" s="1"/>
  <c r="K43" i="15"/>
  <c r="I43" i="15" s="1"/>
  <c r="AF312" i="6"/>
  <c r="I58" i="15"/>
  <c r="K76" i="15"/>
  <c r="I76" i="15" s="1"/>
  <c r="AF775" i="6"/>
  <c r="I108" i="15"/>
  <c r="I101" i="15"/>
  <c r="M94" i="15"/>
  <c r="J94" i="15" s="1"/>
  <c r="AF839" i="6"/>
  <c r="K40" i="15"/>
  <c r="I40" i="15" s="1"/>
  <c r="AF304" i="6"/>
  <c r="P54" i="15"/>
  <c r="I93" i="15"/>
  <c r="I110" i="15"/>
  <c r="P77" i="15"/>
  <c r="O66" i="15"/>
  <c r="W66" i="15" s="1"/>
  <c r="V66" i="15" s="1"/>
  <c r="U66" i="15" s="1"/>
  <c r="O73" i="15"/>
  <c r="W73" i="15" s="1"/>
  <c r="V73" i="15" s="1"/>
  <c r="U73" i="15" s="1"/>
  <c r="O80" i="15"/>
  <c r="W80" i="15" s="1"/>
  <c r="V80" i="15" s="1"/>
  <c r="U80" i="15" s="1"/>
  <c r="I55" i="15"/>
  <c r="J100" i="15"/>
  <c r="K72" i="15"/>
  <c r="I72" i="15" s="1"/>
  <c r="AF763" i="6"/>
  <c r="I103" i="15"/>
  <c r="I80" i="15"/>
  <c r="O38" i="15"/>
  <c r="W38" i="15" s="1"/>
  <c r="V38" i="15" s="1"/>
  <c r="U38" i="15" s="1"/>
  <c r="O106" i="15"/>
  <c r="W106" i="15" s="1"/>
  <c r="V106" i="15" s="1"/>
  <c r="U106" i="15" s="1"/>
  <c r="O69" i="15"/>
  <c r="W69" i="15" s="1"/>
  <c r="V69" i="15" s="1"/>
  <c r="U69" i="15" s="1"/>
  <c r="O70" i="15"/>
  <c r="W70" i="15" s="1"/>
  <c r="V70" i="15" s="1"/>
  <c r="U70" i="15" s="1"/>
  <c r="I775" i="6"/>
  <c r="Q76" i="15" s="1"/>
  <c r="O76" i="15" s="1"/>
  <c r="W76" i="15" s="1"/>
  <c r="V76" i="15" s="1"/>
  <c r="U76" i="15" s="1"/>
  <c r="P93" i="15"/>
  <c r="I86" i="15"/>
  <c r="I69" i="15"/>
  <c r="O109" i="15"/>
  <c r="W109" i="15" s="1"/>
  <c r="V109" i="15" s="1"/>
  <c r="U109" i="15" s="1"/>
  <c r="M76" i="15"/>
  <c r="J76" i="15" s="1"/>
  <c r="AF777" i="6"/>
  <c r="O37" i="15"/>
  <c r="W37" i="15" s="1"/>
  <c r="V37" i="15" s="1"/>
  <c r="U37" i="15" s="1"/>
  <c r="O88" i="15"/>
  <c r="W88" i="15" s="1"/>
  <c r="V88" i="15" s="1"/>
  <c r="U88" i="15" s="1"/>
  <c r="O93" i="15"/>
  <c r="W93" i="15" s="1"/>
  <c r="V93" i="15" s="1"/>
  <c r="U93" i="15" s="1"/>
  <c r="O101" i="15"/>
  <c r="W101" i="15" s="1"/>
  <c r="V101" i="15" s="1"/>
  <c r="U101" i="15" s="1"/>
  <c r="I763" i="6"/>
  <c r="Q72" i="15" s="1"/>
  <c r="O72" i="15" s="1"/>
  <c r="W72" i="15" s="1"/>
  <c r="V72" i="15" s="1"/>
  <c r="U72" i="15" s="1"/>
  <c r="AF273" i="6"/>
  <c r="I88" i="15"/>
  <c r="I96" i="15"/>
  <c r="I71" i="15"/>
  <c r="P80" i="15"/>
  <c r="I57" i="15"/>
  <c r="I107" i="15"/>
  <c r="I62" i="15"/>
  <c r="J98" i="15"/>
  <c r="K11" i="15"/>
  <c r="AF50" i="16"/>
  <c r="K15" i="15"/>
  <c r="AF58" i="16"/>
  <c r="K14" i="15"/>
  <c r="AF56" i="16"/>
  <c r="K16" i="15"/>
  <c r="AF60" i="16"/>
  <c r="K10" i="15"/>
  <c r="AF48" i="16"/>
  <c r="K12" i="15"/>
  <c r="AF52" i="16"/>
  <c r="K13" i="15"/>
  <c r="AF54" i="16"/>
  <c r="K75" i="6"/>
  <c r="DJ75" i="6" s="1"/>
  <c r="AF270" i="6"/>
  <c r="K80" i="6"/>
  <c r="DJ80" i="6" s="1"/>
  <c r="AF275" i="6"/>
  <c r="K72" i="6"/>
  <c r="DJ72" i="6" s="1"/>
  <c r="AF267" i="6"/>
  <c r="AF279" i="6"/>
  <c r="AF276" i="6"/>
  <c r="AF265" i="6"/>
  <c r="AF268" i="6"/>
  <c r="AF285" i="6"/>
  <c r="K1912" i="6"/>
  <c r="AF1912" i="6" s="1"/>
  <c r="K649" i="6"/>
  <c r="L587" i="6" s="1"/>
  <c r="AJ52" i="15" s="1"/>
  <c r="F587" i="6"/>
  <c r="K650" i="6"/>
  <c r="F589" i="6"/>
  <c r="I731" i="6"/>
  <c r="S59" i="15" s="1"/>
  <c r="P59" i="15" s="1"/>
  <c r="I809" i="6"/>
  <c r="Q87" i="15" s="1"/>
  <c r="O87" i="15" s="1"/>
  <c r="W87" i="15" s="1"/>
  <c r="V87" i="15" s="1"/>
  <c r="U87" i="15" s="1"/>
  <c r="I729" i="6"/>
  <c r="Q59" i="15" s="1"/>
  <c r="O59" i="15" s="1"/>
  <c r="W59" i="15" s="1"/>
  <c r="V59" i="15" s="1"/>
  <c r="U59" i="15" s="1"/>
  <c r="I841" i="6"/>
  <c r="Q95" i="15" s="1"/>
  <c r="O95" i="15" s="1"/>
  <c r="W95" i="15" s="1"/>
  <c r="V95" i="15" s="1"/>
  <c r="U95" i="15" s="1"/>
  <c r="I727" i="6"/>
  <c r="S58" i="15" s="1"/>
  <c r="P58" i="15" s="1"/>
  <c r="I777" i="6"/>
  <c r="S76" i="15" s="1"/>
  <c r="P76" i="15" s="1"/>
  <c r="I807" i="6"/>
  <c r="S86" i="15" s="1"/>
  <c r="P86" i="15" s="1"/>
  <c r="I733" i="6"/>
  <c r="Q60" i="15" s="1"/>
  <c r="O60" i="15" s="1"/>
  <c r="W60" i="15" s="1"/>
  <c r="V60" i="15" s="1"/>
  <c r="U60" i="15" s="1"/>
  <c r="I843" i="6"/>
  <c r="S95" i="15" s="1"/>
  <c r="P95" i="15" s="1"/>
  <c r="K272" i="6"/>
  <c r="L77" i="6"/>
  <c r="DG22" i="2" l="1"/>
  <c r="AA251" i="15" s="1"/>
  <c r="AE251" i="15"/>
  <c r="AC251" i="15" s="1"/>
  <c r="DG24" i="2"/>
  <c r="AA253" i="15" s="1"/>
  <c r="AE253" i="15"/>
  <c r="AC253" i="15" s="1"/>
  <c r="DG20" i="2"/>
  <c r="AA249" i="15" s="1"/>
  <c r="AE249" i="15"/>
  <c r="AC249" i="15" s="1"/>
  <c r="AF587" i="6"/>
  <c r="K52" i="15"/>
  <c r="DI587" i="6"/>
  <c r="AE52" i="15" s="1"/>
  <c r="AF589" i="6"/>
  <c r="DI589" i="6"/>
  <c r="AB61" i="15"/>
  <c r="AB53" i="15"/>
  <c r="AB21" i="15"/>
  <c r="AB26" i="15"/>
  <c r="AB23" i="15"/>
  <c r="K741" i="6"/>
  <c r="DJ741" i="6" s="1"/>
  <c r="K721" i="6"/>
  <c r="DJ721" i="6" s="1"/>
  <c r="I589" i="6"/>
  <c r="I587" i="6"/>
  <c r="Q52" i="15" s="1"/>
  <c r="AB56" i="15" l="1"/>
  <c r="AB63" i="15"/>
  <c r="K781" i="7" l="1"/>
  <c r="DJ781" i="7" s="1"/>
  <c r="K779" i="7"/>
  <c r="DJ779" i="7" s="1"/>
  <c r="K777" i="7"/>
  <c r="DJ777" i="7" s="1"/>
  <c r="K775" i="7"/>
  <c r="DJ775" i="7" s="1"/>
  <c r="K773" i="7"/>
  <c r="DJ773" i="7" s="1"/>
  <c r="K771" i="7"/>
  <c r="DJ771" i="7" s="1"/>
  <c r="F968" i="7"/>
  <c r="F967" i="7"/>
  <c r="AB198" i="15" l="1"/>
  <c r="AB200" i="15"/>
  <c r="AB201" i="15"/>
  <c r="AB202" i="15"/>
  <c r="K221" i="15"/>
  <c r="I221" i="15" s="1"/>
  <c r="AF968" i="7"/>
  <c r="AB203" i="15"/>
  <c r="K220" i="15"/>
  <c r="I220" i="15" s="1"/>
  <c r="AF967" i="7"/>
  <c r="AB199" i="15"/>
  <c r="F954" i="7" l="1"/>
  <c r="AF954" i="7" s="1"/>
  <c r="F955" i="7"/>
  <c r="AF955" i="7" s="1"/>
  <c r="F956" i="7"/>
  <c r="AF956" i="7" s="1"/>
  <c r="F953" i="7"/>
  <c r="AF953" i="7" s="1"/>
  <c r="F950" i="7"/>
  <c r="AF950" i="7" s="1"/>
  <c r="F297" i="7" l="1"/>
  <c r="F293" i="7"/>
  <c r="F320" i="7"/>
  <c r="F319" i="7"/>
  <c r="F318" i="7"/>
  <c r="F317" i="7"/>
  <c r="F316" i="7"/>
  <c r="F315" i="7"/>
  <c r="F314" i="7"/>
  <c r="F313" i="7"/>
  <c r="F312" i="7"/>
  <c r="F311" i="7"/>
  <c r="F310" i="7"/>
  <c r="F309" i="7"/>
  <c r="F308" i="7"/>
  <c r="F307" i="7"/>
  <c r="F306" i="7"/>
  <c r="F305" i="7"/>
  <c r="F304" i="7"/>
  <c r="F303" i="7"/>
  <c r="F302" i="7"/>
  <c r="F301" i="7"/>
  <c r="F300" i="7"/>
  <c r="F299" i="7"/>
  <c r="I108" i="7"/>
  <c r="F296" i="7"/>
  <c r="F295" i="7"/>
  <c r="F294" i="7"/>
  <c r="F292" i="7"/>
  <c r="I101" i="7"/>
  <c r="J105"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4" i="7"/>
  <c r="J103" i="7"/>
  <c r="J102" i="7"/>
  <c r="J101" i="7"/>
  <c r="I420" i="7"/>
  <c r="I422" i="7"/>
  <c r="I124" i="7" l="1"/>
  <c r="AF314" i="7"/>
  <c r="I105" i="7"/>
  <c r="AF295" i="7"/>
  <c r="I127" i="7"/>
  <c r="AF317" i="7"/>
  <c r="I128" i="7"/>
  <c r="AF318" i="7"/>
  <c r="I130" i="7"/>
  <c r="AF320" i="7"/>
  <c r="I107" i="7"/>
  <c r="AF297" i="7"/>
  <c r="I113" i="7"/>
  <c r="AF303" i="7"/>
  <c r="I114" i="7"/>
  <c r="AF304" i="7"/>
  <c r="I118" i="7"/>
  <c r="AF308" i="7"/>
  <c r="I119" i="7"/>
  <c r="AF309" i="7"/>
  <c r="I125" i="7"/>
  <c r="AF315" i="7"/>
  <c r="I126" i="7"/>
  <c r="AF316" i="7"/>
  <c r="I109" i="7"/>
  <c r="AF299" i="7"/>
  <c r="I110" i="7"/>
  <c r="AF300" i="7"/>
  <c r="I103" i="7"/>
  <c r="AF293" i="7"/>
  <c r="I115" i="7"/>
  <c r="AF305" i="7"/>
  <c r="I116" i="7"/>
  <c r="AF306" i="7"/>
  <c r="I117" i="7"/>
  <c r="AF307" i="7"/>
  <c r="I120" i="7"/>
  <c r="AF310" i="7"/>
  <c r="I122" i="7"/>
  <c r="AF312" i="7"/>
  <c r="I123" i="7"/>
  <c r="AF313" i="7"/>
  <c r="I102" i="7"/>
  <c r="AF292" i="7"/>
  <c r="I104" i="7"/>
  <c r="AF294" i="7"/>
  <c r="I106" i="7"/>
  <c r="AF296" i="7"/>
  <c r="I129" i="7"/>
  <c r="AF319" i="7"/>
  <c r="I111" i="7"/>
  <c r="AF301" i="7"/>
  <c r="I112" i="7"/>
  <c r="AF302" i="7"/>
  <c r="I121" i="7"/>
  <c r="AF311" i="7"/>
  <c r="K992" i="7"/>
  <c r="DJ992" i="7" s="1"/>
  <c r="K993" i="7"/>
  <c r="DJ993" i="7" s="1"/>
  <c r="K994" i="7"/>
  <c r="DJ994" i="7" s="1"/>
  <c r="K995" i="7"/>
  <c r="DJ995" i="7" s="1"/>
  <c r="J992" i="7"/>
  <c r="J993" i="7"/>
  <c r="J994" i="7"/>
  <c r="J995" i="7"/>
  <c r="D1013" i="7"/>
  <c r="D1012" i="7"/>
  <c r="V1012" i="7" s="1"/>
  <c r="V1011" i="7"/>
  <c r="AG1004" i="7"/>
  <c r="AE1004" i="7"/>
  <c r="AD1004" i="7"/>
  <c r="AC1004" i="7"/>
  <c r="AB1004" i="7"/>
  <c r="AA1004" i="7"/>
  <c r="Z1004" i="7"/>
  <c r="Y1004" i="7"/>
  <c r="X1004" i="7"/>
  <c r="W1004" i="7"/>
  <c r="H995" i="7"/>
  <c r="B995" i="7"/>
  <c r="H994" i="7"/>
  <c r="B994" i="7"/>
  <c r="H993" i="7"/>
  <c r="B993" i="7"/>
  <c r="H992" i="7"/>
  <c r="B992" i="7"/>
  <c r="V989" i="7"/>
  <c r="G598" i="7"/>
  <c r="AF598" i="7" s="1"/>
  <c r="I63" i="6"/>
  <c r="AF63" i="6" s="1"/>
  <c r="I61" i="6"/>
  <c r="AF61" i="6" s="1"/>
  <c r="I59" i="6"/>
  <c r="AF59" i="6" s="1"/>
  <c r="I57" i="6"/>
  <c r="AF57" i="6" s="1"/>
  <c r="AF6" i="11"/>
  <c r="AF6" i="7"/>
  <c r="AF1004" i="7" s="1"/>
  <c r="AF102" i="6"/>
  <c r="AF8" i="2"/>
  <c r="AF6" i="16"/>
  <c r="AF6" i="5"/>
  <c r="G217" i="15"/>
  <c r="G216" i="15"/>
  <c r="B8" i="11"/>
  <c r="B9" i="11"/>
  <c r="B10" i="11"/>
  <c r="B7" i="11"/>
  <c r="B38" i="22"/>
  <c r="B967" i="7"/>
  <c r="B968" i="7"/>
  <c r="B932" i="7"/>
  <c r="B933" i="7"/>
  <c r="B934" i="7"/>
  <c r="B931" i="7"/>
  <c r="B914" i="7"/>
  <c r="B915" i="7"/>
  <c r="B838" i="7"/>
  <c r="B839" i="7"/>
  <c r="B840" i="7"/>
  <c r="B841" i="7"/>
  <c r="B842" i="7"/>
  <c r="B843" i="7"/>
  <c r="B844" i="7"/>
  <c r="B845" i="7"/>
  <c r="B846" i="7"/>
  <c r="B847" i="7"/>
  <c r="B848" i="7"/>
  <c r="B837" i="7"/>
  <c r="B772" i="7"/>
  <c r="B773" i="7"/>
  <c r="B774" i="7"/>
  <c r="B775" i="7"/>
  <c r="B776" i="7"/>
  <c r="B777" i="7"/>
  <c r="B778" i="7"/>
  <c r="B779" i="7"/>
  <c r="B780" i="7"/>
  <c r="B781" i="7"/>
  <c r="B782" i="7"/>
  <c r="B771" i="7"/>
  <c r="B704" i="7"/>
  <c r="B743" i="7"/>
  <c r="B744" i="7"/>
  <c r="B703" i="7"/>
  <c r="B702" i="7"/>
  <c r="B701" i="7"/>
  <c r="B667" i="7"/>
  <c r="B666" i="7"/>
  <c r="B630" i="7"/>
  <c r="B631" i="7"/>
  <c r="B605" i="7"/>
  <c r="B606" i="7"/>
  <c r="B555" i="7"/>
  <c r="B556" i="7"/>
  <c r="B557" i="7"/>
  <c r="B558" i="7"/>
  <c r="B521" i="7"/>
  <c r="B522" i="7"/>
  <c r="B523" i="7"/>
  <c r="B524" i="7"/>
  <c r="B525" i="7"/>
  <c r="B520" i="7"/>
  <c r="B486" i="7"/>
  <c r="B487" i="7"/>
  <c r="B485" i="7"/>
  <c r="B458" i="7"/>
  <c r="B421" i="7"/>
  <c r="B422" i="7"/>
  <c r="B423" i="7"/>
  <c r="B424" i="7"/>
  <c r="B425" i="7"/>
  <c r="B420"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01" i="7"/>
  <c r="B34" i="7"/>
  <c r="B35" i="7"/>
  <c r="B36" i="7"/>
  <c r="B37" i="7"/>
  <c r="B38" i="7"/>
  <c r="B39" i="7"/>
  <c r="B40" i="7"/>
  <c r="B41" i="7"/>
  <c r="B33" i="7"/>
  <c r="B7" i="7"/>
  <c r="B8" i="7"/>
  <c r="B9" i="7"/>
  <c r="B2104" i="6"/>
  <c r="B2105" i="6"/>
  <c r="B2106" i="6"/>
  <c r="B2107" i="6"/>
  <c r="B2108" i="6"/>
  <c r="B2109" i="6"/>
  <c r="B2110" i="6"/>
  <c r="B2111" i="6"/>
  <c r="B2112" i="6"/>
  <c r="B2113" i="6"/>
  <c r="B2114" i="6"/>
  <c r="B2115" i="6"/>
  <c r="B2116" i="6"/>
  <c r="B2117" i="6"/>
  <c r="B2118" i="6"/>
  <c r="B2119" i="6"/>
  <c r="B2120" i="6"/>
  <c r="B2121" i="6"/>
  <c r="B2122" i="6"/>
  <c r="B2123" i="6"/>
  <c r="B2124" i="6"/>
  <c r="B2125" i="6"/>
  <c r="B2126" i="6"/>
  <c r="B2127" i="6"/>
  <c r="B2128" i="6"/>
  <c r="B2129" i="6"/>
  <c r="B2130" i="6"/>
  <c r="B2131" i="6"/>
  <c r="B2132" i="6"/>
  <c r="B2133" i="6"/>
  <c r="B2134" i="6"/>
  <c r="B2135" i="6"/>
  <c r="B2136" i="6"/>
  <c r="B2137" i="6"/>
  <c r="B2138" i="6"/>
  <c r="B2139" i="6"/>
  <c r="B2140" i="6"/>
  <c r="B2141" i="6"/>
  <c r="B2142" i="6"/>
  <c r="B2143" i="6"/>
  <c r="B2144" i="6"/>
  <c r="B2145" i="6"/>
  <c r="B2146" i="6"/>
  <c r="B2147" i="6"/>
  <c r="B2148" i="6"/>
  <c r="B2149" i="6"/>
  <c r="B2150" i="6"/>
  <c r="B2103" i="6"/>
  <c r="B710" i="6"/>
  <c r="B711" i="6"/>
  <c r="B712" i="6"/>
  <c r="B713" i="6"/>
  <c r="B714" i="6"/>
  <c r="B715" i="6"/>
  <c r="B716" i="6"/>
  <c r="B717" i="6"/>
  <c r="B718" i="6"/>
  <c r="B719" i="6"/>
  <c r="B720" i="6"/>
  <c r="B721" i="6"/>
  <c r="B722" i="6"/>
  <c r="B723" i="6"/>
  <c r="B724" i="6"/>
  <c r="B725" i="6"/>
  <c r="B726" i="6"/>
  <c r="B727" i="6"/>
  <c r="B728" i="6"/>
  <c r="B729" i="6"/>
  <c r="B730" i="6"/>
  <c r="B731" i="6"/>
  <c r="B732" i="6"/>
  <c r="B733" i="6"/>
  <c r="B734" i="6"/>
  <c r="B735" i="6"/>
  <c r="B736" i="6"/>
  <c r="B737" i="6"/>
  <c r="B738" i="6"/>
  <c r="B739" i="6"/>
  <c r="B740" i="6"/>
  <c r="B741" i="6"/>
  <c r="B742" i="6"/>
  <c r="B743" i="6"/>
  <c r="B744" i="6"/>
  <c r="B745" i="6"/>
  <c r="B746" i="6"/>
  <c r="B747" i="6"/>
  <c r="B748" i="6"/>
  <c r="B749" i="6"/>
  <c r="B750" i="6"/>
  <c r="B751" i="6"/>
  <c r="B752" i="6"/>
  <c r="B753" i="6"/>
  <c r="B754" i="6"/>
  <c r="B755" i="6"/>
  <c r="B756" i="6"/>
  <c r="B757" i="6"/>
  <c r="B758" i="6"/>
  <c r="B759" i="6"/>
  <c r="B760" i="6"/>
  <c r="B761" i="6"/>
  <c r="B762" i="6"/>
  <c r="B763" i="6"/>
  <c r="B764" i="6"/>
  <c r="B765" i="6"/>
  <c r="B766" i="6"/>
  <c r="B767" i="6"/>
  <c r="B768" i="6"/>
  <c r="B769" i="6"/>
  <c r="B770" i="6"/>
  <c r="B771" i="6"/>
  <c r="B772" i="6"/>
  <c r="B773" i="6"/>
  <c r="B774" i="6"/>
  <c r="B775" i="6"/>
  <c r="B776" i="6"/>
  <c r="B777" i="6"/>
  <c r="B778" i="6"/>
  <c r="B779" i="6"/>
  <c r="B780" i="6"/>
  <c r="B781" i="6"/>
  <c r="B782" i="6"/>
  <c r="B783" i="6"/>
  <c r="B784" i="6"/>
  <c r="B785" i="6"/>
  <c r="B786" i="6"/>
  <c r="B787" i="6"/>
  <c r="B788" i="6"/>
  <c r="B789" i="6"/>
  <c r="B790" i="6"/>
  <c r="B791" i="6"/>
  <c r="B792" i="6"/>
  <c r="B793" i="6"/>
  <c r="B794" i="6"/>
  <c r="B795" i="6"/>
  <c r="B796" i="6"/>
  <c r="B797" i="6"/>
  <c r="B798" i="6"/>
  <c r="B799" i="6"/>
  <c r="B800" i="6"/>
  <c r="B801" i="6"/>
  <c r="B802" i="6"/>
  <c r="B803" i="6"/>
  <c r="B804" i="6"/>
  <c r="B805" i="6"/>
  <c r="B806" i="6"/>
  <c r="B807" i="6"/>
  <c r="B808" i="6"/>
  <c r="B809" i="6"/>
  <c r="B810" i="6"/>
  <c r="B811" i="6"/>
  <c r="B812" i="6"/>
  <c r="B813" i="6"/>
  <c r="B814" i="6"/>
  <c r="B815" i="6"/>
  <c r="B816" i="6"/>
  <c r="B817" i="6"/>
  <c r="B818" i="6"/>
  <c r="B819" i="6"/>
  <c r="B820" i="6"/>
  <c r="B821" i="6"/>
  <c r="B822" i="6"/>
  <c r="B823" i="6"/>
  <c r="B824" i="6"/>
  <c r="B825" i="6"/>
  <c r="B826" i="6"/>
  <c r="B827" i="6"/>
  <c r="B828" i="6"/>
  <c r="B829" i="6"/>
  <c r="B830" i="6"/>
  <c r="B831" i="6"/>
  <c r="B832" i="6"/>
  <c r="B833" i="6"/>
  <c r="B834" i="6"/>
  <c r="B835" i="6"/>
  <c r="B836" i="6"/>
  <c r="B837" i="6"/>
  <c r="B838" i="6"/>
  <c r="B839" i="6"/>
  <c r="B840" i="6"/>
  <c r="B841" i="6"/>
  <c r="B842" i="6"/>
  <c r="B843" i="6"/>
  <c r="B844" i="6"/>
  <c r="B845" i="6"/>
  <c r="B846" i="6"/>
  <c r="B847" i="6"/>
  <c r="B848" i="6"/>
  <c r="B849" i="6"/>
  <c r="B850" i="6"/>
  <c r="B851" i="6"/>
  <c r="B852" i="6"/>
  <c r="B853" i="6"/>
  <c r="B854" i="6"/>
  <c r="B855" i="6"/>
  <c r="B856" i="6"/>
  <c r="B857" i="6"/>
  <c r="B858" i="6"/>
  <c r="B859" i="6"/>
  <c r="B860" i="6"/>
  <c r="B861" i="6"/>
  <c r="B862" i="6"/>
  <c r="B863" i="6"/>
  <c r="B864" i="6"/>
  <c r="B865" i="6"/>
  <c r="B866" i="6"/>
  <c r="B867" i="6"/>
  <c r="B868" i="6"/>
  <c r="B869" i="6"/>
  <c r="B870" i="6"/>
  <c r="B871" i="6"/>
  <c r="B872" i="6"/>
  <c r="B873" i="6"/>
  <c r="B874" i="6"/>
  <c r="B875" i="6"/>
  <c r="B876" i="6"/>
  <c r="B877" i="6"/>
  <c r="B878" i="6"/>
  <c r="B879" i="6"/>
  <c r="B880" i="6"/>
  <c r="B881" i="6"/>
  <c r="B882" i="6"/>
  <c r="B883" i="6"/>
  <c r="B884" i="6"/>
  <c r="B885" i="6"/>
  <c r="B886" i="6"/>
  <c r="B887" i="6"/>
  <c r="B888" i="6"/>
  <c r="B709" i="6"/>
  <c r="B576" i="6"/>
  <c r="B577" i="6"/>
  <c r="B578" i="6"/>
  <c r="B579" i="6"/>
  <c r="B580" i="6"/>
  <c r="B581" i="6"/>
  <c r="B582" i="6"/>
  <c r="B583" i="6"/>
  <c r="B584" i="6"/>
  <c r="B585" i="6"/>
  <c r="B586" i="6"/>
  <c r="B575" i="6"/>
  <c r="B511" i="6"/>
  <c r="B512" i="6"/>
  <c r="B513" i="6"/>
  <c r="B514" i="6"/>
  <c r="B515" i="6"/>
  <c r="B510" i="6"/>
  <c r="B294" i="6"/>
  <c r="B295" i="6"/>
  <c r="B296" i="6"/>
  <c r="B297" i="6"/>
  <c r="B298" i="6"/>
  <c r="B299" i="6"/>
  <c r="B300" i="6"/>
  <c r="B301" i="6"/>
  <c r="B302" i="6"/>
  <c r="B303" i="6"/>
  <c r="B304" i="6"/>
  <c r="B305" i="6"/>
  <c r="B306" i="6"/>
  <c r="B307" i="6"/>
  <c r="B308" i="6"/>
  <c r="B309" i="6"/>
  <c r="B310" i="6"/>
  <c r="B311" i="6"/>
  <c r="B312" i="6"/>
  <c r="B313" i="6"/>
  <c r="B314" i="6"/>
  <c r="B315" i="6"/>
  <c r="B316" i="6"/>
  <c r="B317" i="6"/>
  <c r="B293" i="6"/>
  <c r="B70" i="6"/>
  <c r="B71" i="6"/>
  <c r="B72" i="6"/>
  <c r="B73" i="6"/>
  <c r="B74" i="6"/>
  <c r="B75" i="6"/>
  <c r="B76" i="6"/>
  <c r="B77" i="6"/>
  <c r="B78" i="6"/>
  <c r="B79" i="6"/>
  <c r="B80" i="6"/>
  <c r="B81" i="6"/>
  <c r="B82" i="6"/>
  <c r="B83" i="6"/>
  <c r="B84" i="6"/>
  <c r="B85" i="6"/>
  <c r="B86" i="6"/>
  <c r="B87" i="6"/>
  <c r="B88" i="6"/>
  <c r="B89" i="6"/>
  <c r="B90" i="6"/>
  <c r="B91" i="6"/>
  <c r="B92" i="6"/>
  <c r="B7" i="5"/>
  <c r="B49" i="16"/>
  <c r="B50" i="16"/>
  <c r="B51" i="16"/>
  <c r="B52" i="16"/>
  <c r="B53" i="16"/>
  <c r="B54" i="16"/>
  <c r="B55" i="16"/>
  <c r="B56" i="16"/>
  <c r="B57" i="16"/>
  <c r="B58" i="16"/>
  <c r="B59" i="16"/>
  <c r="B60" i="16"/>
  <c r="B61" i="16"/>
  <c r="B48" i="16"/>
  <c r="B7" i="16"/>
  <c r="B507" i="2"/>
  <c r="B491" i="2"/>
  <c r="B490" i="2"/>
  <c r="B489" i="2"/>
  <c r="B471" i="2"/>
  <c r="B453" i="2"/>
  <c r="B452" i="2"/>
  <c r="B451" i="2"/>
  <c r="B435" i="2"/>
  <c r="B364" i="2"/>
  <c r="B365" i="2"/>
  <c r="B366" i="2"/>
  <c r="B367" i="2"/>
  <c r="B368" i="2"/>
  <c r="B369" i="2"/>
  <c r="B389" i="2"/>
  <c r="B390" i="2"/>
  <c r="B391" i="2"/>
  <c r="B392" i="2"/>
  <c r="B393" i="2"/>
  <c r="B394" i="2"/>
  <c r="B395" i="2"/>
  <c r="B415" i="2"/>
  <c r="B416" i="2"/>
  <c r="B417" i="2"/>
  <c r="B363" i="2"/>
  <c r="B343" i="2"/>
  <c r="B342" i="2"/>
  <c r="B320" i="2"/>
  <c r="B314" i="2"/>
  <c r="B317" i="2"/>
  <c r="B318" i="2"/>
  <c r="B319" i="2"/>
  <c r="B292" i="2"/>
  <c r="B293" i="2"/>
  <c r="B294" i="2"/>
  <c r="B295" i="2"/>
  <c r="B291" i="2"/>
  <c r="B261" i="2"/>
  <c r="B242" i="2"/>
  <c r="B243" i="2"/>
  <c r="B244" i="2"/>
  <c r="B241" i="2"/>
  <c r="B226" i="2"/>
  <c r="B207" i="2"/>
  <c r="B208" i="2"/>
  <c r="B206" i="2"/>
  <c r="B184" i="2"/>
  <c r="B185" i="2"/>
  <c r="B186" i="2"/>
  <c r="B183" i="2"/>
  <c r="B167" i="2"/>
  <c r="B140" i="2"/>
  <c r="B141" i="2"/>
  <c r="B142" i="2"/>
  <c r="B143" i="2"/>
  <c r="B139" i="2"/>
  <c r="B121" i="2"/>
  <c r="B120" i="2"/>
  <c r="B83" i="2"/>
  <c r="B84" i="2"/>
  <c r="B85" i="2"/>
  <c r="B86" i="2"/>
  <c r="B87" i="2"/>
  <c r="B88" i="2"/>
  <c r="B89" i="2"/>
  <c r="B82" i="2"/>
  <c r="B61" i="2"/>
  <c r="B60" i="2"/>
  <c r="B10" i="2"/>
  <c r="B11" i="2"/>
  <c r="B12" i="2"/>
  <c r="B13" i="2"/>
  <c r="B14" i="2"/>
  <c r="B15" i="2"/>
  <c r="B16" i="2"/>
  <c r="B17" i="2"/>
  <c r="B19" i="2"/>
  <c r="B21" i="2"/>
  <c r="B23" i="2"/>
  <c r="B9" i="2"/>
  <c r="B4" i="23"/>
  <c r="DG7" i="11"/>
  <c r="AA232" i="15" s="1"/>
  <c r="DH995" i="7" l="1"/>
  <c r="X225" i="15"/>
  <c r="Z225" i="15" s="1"/>
  <c r="DH994" i="7"/>
  <c r="X224" i="15"/>
  <c r="Z224" i="15" s="1"/>
  <c r="DH993" i="7"/>
  <c r="X223" i="15"/>
  <c r="Z223" i="15" s="1"/>
  <c r="DH992" i="7"/>
  <c r="X222" i="15"/>
  <c r="Z222" i="15" s="1"/>
  <c r="AB225" i="15"/>
  <c r="AB224" i="15"/>
  <c r="AB223" i="15"/>
  <c r="AB222" i="15"/>
  <c r="G577" i="7"/>
  <c r="G578" i="7" s="1"/>
  <c r="G579" i="7" s="1"/>
  <c r="AF576" i="7"/>
  <c r="BE154" i="2"/>
  <c r="AS404" i="2"/>
  <c r="BQ330" i="2"/>
  <c r="AF217" i="2"/>
  <c r="CD236" i="2"/>
  <c r="AF330" i="2"/>
  <c r="AF236" i="2"/>
  <c r="DN330" i="2"/>
  <c r="AS217" i="2"/>
  <c r="BQ154" i="2"/>
  <c r="AS236" i="2"/>
  <c r="BE330" i="2"/>
  <c r="BQ236" i="2"/>
  <c r="BE404" i="2"/>
  <c r="CD330" i="2"/>
  <c r="AS330" i="2"/>
  <c r="AF154" i="2"/>
  <c r="DB330" i="2"/>
  <c r="CP330" i="2"/>
  <c r="AF253" i="2"/>
  <c r="BE217" i="2"/>
  <c r="BE236" i="2"/>
  <c r="AS253" i="2"/>
  <c r="AS154" i="2"/>
  <c r="AF404" i="2"/>
  <c r="AF196" i="2"/>
  <c r="BE196" i="2"/>
  <c r="AF102" i="2"/>
  <c r="AS196" i="2"/>
  <c r="I217" i="15"/>
  <c r="AF915" i="7"/>
  <c r="AF138" i="16"/>
  <c r="AF131" i="16"/>
  <c r="AF27" i="11"/>
  <c r="AF414" i="2"/>
  <c r="BE362" i="2"/>
  <c r="AF312" i="2"/>
  <c r="BQ225" i="2"/>
  <c r="BE205" i="2"/>
  <c r="AS182" i="2"/>
  <c r="CD225" i="2"/>
  <c r="AS414" i="2"/>
  <c r="AF341" i="2"/>
  <c r="BE260" i="2"/>
  <c r="AF225" i="2"/>
  <c r="AF486" i="2"/>
  <c r="AF388" i="2"/>
  <c r="CD312" i="2"/>
  <c r="AS312" i="2"/>
  <c r="AF290" i="2"/>
  <c r="AF240" i="2"/>
  <c r="AS341" i="2"/>
  <c r="AS225" i="2"/>
  <c r="BE182" i="2"/>
  <c r="AS486" i="2"/>
  <c r="AS388" i="2"/>
  <c r="AS240" i="2"/>
  <c r="BQ312" i="2"/>
  <c r="BE414" i="2"/>
  <c r="AF362" i="2"/>
  <c r="AS290" i="2"/>
  <c r="AF205" i="2"/>
  <c r="BE312" i="2"/>
  <c r="BE486" i="2"/>
  <c r="AS362" i="2"/>
  <c r="BE341" i="2"/>
  <c r="AF260" i="2"/>
  <c r="BE225" i="2"/>
  <c r="AS205" i="2"/>
  <c r="BE388" i="2"/>
  <c r="BE240" i="2"/>
  <c r="BE290" i="2"/>
  <c r="AS260" i="2"/>
  <c r="AF182" i="2"/>
  <c r="AF991" i="7"/>
  <c r="AF577" i="7" l="1"/>
  <c r="AF579" i="7" l="1"/>
  <c r="AF578" i="7"/>
  <c r="B21" i="12" l="1"/>
  <c r="BC4" i="15" l="1"/>
  <c r="BD44" i="15" s="1"/>
  <c r="BI44" i="15" s="1"/>
  <c r="BG21" i="15"/>
  <c r="BI21" i="15"/>
  <c r="BG22" i="15"/>
  <c r="BI22" i="15"/>
  <c r="BG23" i="15"/>
  <c r="BI23" i="15"/>
  <c r="BG24" i="15"/>
  <c r="BI24" i="15"/>
  <c r="BG25" i="15"/>
  <c r="BI25" i="15"/>
  <c r="BG26" i="15"/>
  <c r="BI26" i="15"/>
  <c r="BG27" i="15"/>
  <c r="BI27" i="15"/>
  <c r="BG28" i="15"/>
  <c r="BI28" i="15"/>
  <c r="BG29" i="15"/>
  <c r="BI29" i="15"/>
  <c r="BG30" i="15"/>
  <c r="BI30" i="15"/>
  <c r="BG31" i="15"/>
  <c r="BI31" i="15"/>
  <c r="BG32" i="15"/>
  <c r="BI32" i="15"/>
  <c r="BG33" i="15"/>
  <c r="BI33" i="15"/>
  <c r="BG34" i="15"/>
  <c r="BI34" i="15"/>
  <c r="BG35" i="15"/>
  <c r="BI35" i="15"/>
  <c r="BG36" i="15"/>
  <c r="BI36" i="15"/>
  <c r="BI20" i="15"/>
  <c r="BG20" i="15"/>
  <c r="BD47" i="15"/>
  <c r="BI47" i="15" s="1"/>
  <c r="BC47" i="15"/>
  <c r="BH47" i="15" s="1"/>
  <c r="BD46" i="15"/>
  <c r="BI46" i="15" s="1"/>
  <c r="BC46" i="15"/>
  <c r="BD45" i="15"/>
  <c r="BI45" i="15" s="1"/>
  <c r="BC45" i="15"/>
  <c r="BB44" i="15" l="1"/>
  <c r="BG44" i="15" s="1"/>
  <c r="BL46" i="15"/>
  <c r="BN47" i="15"/>
  <c r="BL45" i="15"/>
  <c r="BH45" i="15"/>
  <c r="BN45" i="15" s="1"/>
  <c r="BL47" i="15"/>
  <c r="BH46" i="15"/>
  <c r="BN46" i="15" s="1"/>
  <c r="AX322" i="15"/>
  <c r="AZ322" i="15"/>
  <c r="AX321" i="15"/>
  <c r="AZ321" i="15"/>
  <c r="AX235" i="15" l="1"/>
  <c r="AZ235" i="15"/>
  <c r="AX233" i="15"/>
  <c r="AZ233" i="15"/>
  <c r="AX231" i="15"/>
  <c r="AZ231" i="15"/>
  <c r="AB22" i="23" l="1"/>
  <c r="AA22" i="23"/>
  <c r="Z22" i="23"/>
  <c r="Y22" i="23"/>
  <c r="X22" i="23"/>
  <c r="W22" i="23"/>
  <c r="V22" i="23"/>
  <c r="U22" i="23"/>
  <c r="T22" i="23"/>
  <c r="S22" i="23"/>
  <c r="R22" i="23"/>
  <c r="Q22" i="23"/>
  <c r="P22" i="23"/>
  <c r="L22" i="23"/>
  <c r="K22" i="23"/>
  <c r="J22" i="23"/>
  <c r="I22" i="23"/>
  <c r="H22" i="23"/>
  <c r="G22" i="23"/>
  <c r="F22" i="23"/>
  <c r="E22" i="23"/>
  <c r="D22" i="23"/>
  <c r="C22" i="23"/>
  <c r="I231" i="15"/>
  <c r="DG8" i="11"/>
  <c r="AA233" i="15" s="1"/>
  <c r="DG9" i="11"/>
  <c r="AA234" i="15" s="1"/>
  <c r="DG10" i="11"/>
  <c r="AA235" i="15" s="1"/>
  <c r="V10" i="11"/>
  <c r="V8" i="11"/>
  <c r="DI471" i="2"/>
  <c r="DI227" i="2"/>
  <c r="DG227" i="2" l="1"/>
  <c r="AA285" i="15" s="1"/>
  <c r="AE285" i="15"/>
  <c r="AC285" i="15" s="1"/>
  <c r="DI132" i="16"/>
  <c r="DI90" i="2"/>
  <c r="DI92" i="2"/>
  <c r="DI144" i="2"/>
  <c r="DI145" i="2"/>
  <c r="DI452" i="2"/>
  <c r="DI451" i="2"/>
  <c r="DI453" i="2"/>
  <c r="DI490" i="2"/>
  <c r="DI491" i="2"/>
  <c r="DI489" i="2"/>
  <c r="DG471" i="2"/>
  <c r="AA327" i="15" s="1"/>
  <c r="AE327" i="15"/>
  <c r="AC327" i="15" s="1"/>
  <c r="AF38" i="22"/>
  <c r="DI487" i="2"/>
  <c r="DH416" i="2"/>
  <c r="F416" i="2"/>
  <c r="E428" i="2"/>
  <c r="D428" i="2"/>
  <c r="H416" i="2"/>
  <c r="E429" i="2"/>
  <c r="D429" i="2"/>
  <c r="DH417" i="2"/>
  <c r="H417" i="2"/>
  <c r="F417" i="2"/>
  <c r="DG487" i="2" l="1"/>
  <c r="AA328" i="15" s="1"/>
  <c r="AE328" i="15"/>
  <c r="AC328" i="15" s="1"/>
  <c r="DG145" i="2"/>
  <c r="AA275" i="15" s="1"/>
  <c r="AE275" i="15"/>
  <c r="AC275" i="15" s="1"/>
  <c r="DG144" i="2"/>
  <c r="AA274" i="15" s="1"/>
  <c r="AE274" i="15"/>
  <c r="AC274" i="15" s="1"/>
  <c r="DG92" i="2"/>
  <c r="AA266" i="15" s="1"/>
  <c r="AE266" i="15"/>
  <c r="AC266" i="15" s="1"/>
  <c r="DG90" i="2"/>
  <c r="AA264" i="15" s="1"/>
  <c r="AE264" i="15"/>
  <c r="AC264" i="15" s="1"/>
  <c r="DG132" i="16"/>
  <c r="AA17" i="15" s="1"/>
  <c r="AE17" i="15"/>
  <c r="AC17" i="15" s="1"/>
  <c r="I322" i="15"/>
  <c r="AF417" i="2"/>
  <c r="I321" i="15"/>
  <c r="AF416" i="2"/>
  <c r="AE330" i="15"/>
  <c r="AC330" i="15" s="1"/>
  <c r="DG489" i="2"/>
  <c r="AA330" i="15" s="1"/>
  <c r="DG491" i="2"/>
  <c r="AA332" i="15" s="1"/>
  <c r="AE332" i="15"/>
  <c r="AC332" i="15" s="1"/>
  <c r="DG490" i="2"/>
  <c r="AA331" i="15" s="1"/>
  <c r="AE331" i="15"/>
  <c r="AC331" i="15" s="1"/>
  <c r="AE326" i="15"/>
  <c r="AC326" i="15" s="1"/>
  <c r="DG453" i="2"/>
  <c r="DG451" i="2"/>
  <c r="AE324" i="15"/>
  <c r="AC324" i="15" s="1"/>
  <c r="AE325" i="15"/>
  <c r="AC325" i="15" s="1"/>
  <c r="DG452" i="2"/>
  <c r="DI417" i="2"/>
  <c r="AE322" i="15" s="1"/>
  <c r="AC322" i="15" s="1"/>
  <c r="DI416" i="2"/>
  <c r="AE321" i="15" s="1"/>
  <c r="AC321" i="15" s="1"/>
  <c r="I416" i="2"/>
  <c r="O321" i="15" s="1"/>
  <c r="V321" i="15" s="1"/>
  <c r="U321" i="15" s="1"/>
  <c r="I417" i="2"/>
  <c r="O322" i="15" s="1"/>
  <c r="V322" i="15" s="1"/>
  <c r="U322" i="15" s="1"/>
  <c r="DG416" i="2" l="1"/>
  <c r="AA321" i="15" s="1"/>
  <c r="DG417" i="2"/>
  <c r="AA322" i="15" s="1"/>
  <c r="G353" i="2" l="1"/>
  <c r="J353" i="2" s="1"/>
  <c r="K342" i="2" s="1"/>
  <c r="DJ342" i="2" s="1"/>
  <c r="BE342" i="2" l="1"/>
  <c r="AB304" i="15"/>
  <c r="BD434" i="2" l="1"/>
  <c r="W27" i="11"/>
  <c r="X27" i="11"/>
  <c r="Y27" i="11"/>
  <c r="Z27" i="11"/>
  <c r="AA27" i="11"/>
  <c r="AB27" i="11"/>
  <c r="AC27" i="11"/>
  <c r="AD27" i="11"/>
  <c r="AE27" i="11"/>
  <c r="AE452" i="7" l="1"/>
  <c r="AE444" i="7"/>
  <c r="AE439" i="7"/>
  <c r="AE434" i="7"/>
  <c r="H38" i="22" l="1"/>
  <c r="V49" i="22"/>
  <c r="V35" i="22"/>
  <c r="X37" i="22"/>
  <c r="Y37" i="22"/>
  <c r="Z37" i="22"/>
  <c r="AA37" i="22"/>
  <c r="AB37" i="22"/>
  <c r="AC37" i="22"/>
  <c r="AD37" i="22"/>
  <c r="AE37" i="22"/>
  <c r="AF37" i="22"/>
  <c r="AG37" i="22"/>
  <c r="DG37" i="22"/>
  <c r="DH37" i="22"/>
  <c r="DI37" i="22"/>
  <c r="K38" i="22"/>
  <c r="V38" i="22"/>
  <c r="DH38" i="22"/>
  <c r="AE44" i="22"/>
  <c r="AF44" i="22"/>
  <c r="AG44" i="22"/>
  <c r="DJ38" i="22" l="1"/>
  <c r="AB231" i="15" s="1"/>
  <c r="DI38" i="22"/>
  <c r="AE231" i="15" s="1"/>
  <c r="AC231" i="15" s="1"/>
  <c r="I38" i="22"/>
  <c r="O231" i="15" s="1"/>
  <c r="V231" i="15" s="1"/>
  <c r="U231" i="15" s="1"/>
  <c r="DG38" i="22" l="1"/>
  <c r="AA231" i="15" s="1"/>
  <c r="K83" i="6" l="1"/>
  <c r="DJ83" i="6" s="1"/>
  <c r="AB28" i="15" l="1"/>
  <c r="K89" i="6"/>
  <c r="DJ89" i="6" s="1"/>
  <c r="K86" i="6"/>
  <c r="DJ86" i="6" s="1"/>
  <c r="AB30" i="15" l="1"/>
  <c r="AB32" i="15"/>
  <c r="K92" i="6"/>
  <c r="DJ92" i="6" s="1"/>
  <c r="AB34" i="15" l="1"/>
  <c r="F84" i="6"/>
  <c r="F86" i="6"/>
  <c r="F87" i="6"/>
  <c r="F89" i="6"/>
  <c r="F92" i="6"/>
  <c r="I92" i="6" l="1"/>
  <c r="Q34" i="15" s="1"/>
  <c r="K34" i="15"/>
  <c r="I34" i="15" s="1"/>
  <c r="AF92" i="6"/>
  <c r="I89" i="6"/>
  <c r="Q32" i="15" s="1"/>
  <c r="K32" i="15"/>
  <c r="I32" i="15" s="1"/>
  <c r="AF89" i="6"/>
  <c r="I87" i="6"/>
  <c r="Q31" i="15" s="1"/>
  <c r="O31" i="15" s="1"/>
  <c r="W31" i="15" s="1"/>
  <c r="V31" i="15" s="1"/>
  <c r="U31" i="15" s="1"/>
  <c r="K31" i="15"/>
  <c r="I31" i="15" s="1"/>
  <c r="AF87" i="6"/>
  <c r="I86" i="6"/>
  <c r="Q30" i="15" s="1"/>
  <c r="K30" i="15"/>
  <c r="I30" i="15" s="1"/>
  <c r="AF86" i="6"/>
  <c r="I84" i="6"/>
  <c r="Q29" i="15" s="1"/>
  <c r="O29" i="15" s="1"/>
  <c r="W29" i="15" s="1"/>
  <c r="V29" i="15" s="1"/>
  <c r="U29" i="15" s="1"/>
  <c r="K29" i="15"/>
  <c r="I29" i="15" s="1"/>
  <c r="AF84" i="6"/>
  <c r="V25" i="11"/>
  <c r="AG2163" i="6"/>
  <c r="AF2163" i="6"/>
  <c r="AE2163" i="6"/>
  <c r="AX125" i="15"/>
  <c r="AZ125" i="15"/>
  <c r="AX121" i="15"/>
  <c r="AZ121" i="15"/>
  <c r="AX117" i="15"/>
  <c r="AZ117" i="15"/>
  <c r="AX113" i="15"/>
  <c r="AZ113" i="15"/>
  <c r="J2112" i="6"/>
  <c r="DH2112" i="6" s="1"/>
  <c r="H2112" i="6"/>
  <c r="J2111" i="6"/>
  <c r="H2111" i="6"/>
  <c r="J2124" i="6"/>
  <c r="DH2124" i="6" s="1"/>
  <c r="H2124" i="6"/>
  <c r="J2123" i="6"/>
  <c r="H2123" i="6"/>
  <c r="J2148" i="6"/>
  <c r="DH2148" i="6" s="1"/>
  <c r="H2148" i="6"/>
  <c r="J2147" i="6"/>
  <c r="X125" i="15" s="1"/>
  <c r="Z125" i="15" s="1"/>
  <c r="H2147" i="6"/>
  <c r="J2136" i="6"/>
  <c r="DH2136" i="6" s="1"/>
  <c r="H2136" i="6"/>
  <c r="J2135" i="6"/>
  <c r="H2135" i="6"/>
  <c r="BT37" i="2"/>
  <c r="DJ2102" i="6"/>
  <c r="DI2102" i="6"/>
  <c r="DH2102" i="6"/>
  <c r="DG2102" i="6"/>
  <c r="DH750" i="6"/>
  <c r="DI750" i="6" s="1"/>
  <c r="DH749" i="6"/>
  <c r="DI749" i="6" s="1"/>
  <c r="DH754" i="6"/>
  <c r="DI754" i="6" s="1"/>
  <c r="DH753" i="6"/>
  <c r="DI753" i="6" s="1"/>
  <c r="DH758" i="6"/>
  <c r="DI758" i="6" s="1"/>
  <c r="DH770" i="6"/>
  <c r="DI770" i="6" s="1"/>
  <c r="DH769" i="6"/>
  <c r="DI769" i="6" s="1"/>
  <c r="DH786" i="6"/>
  <c r="DI786" i="6" s="1"/>
  <c r="DH785" i="6"/>
  <c r="DI785" i="6" s="1"/>
  <c r="F1718" i="6"/>
  <c r="F1717" i="6"/>
  <c r="F1716" i="6"/>
  <c r="F1715" i="6"/>
  <c r="F1714" i="6"/>
  <c r="F1713" i="6"/>
  <c r="F1712" i="6"/>
  <c r="F1711" i="6"/>
  <c r="F1710" i="6"/>
  <c r="F1709" i="6"/>
  <c r="F1708" i="6"/>
  <c r="F1707" i="6"/>
  <c r="F1706" i="6"/>
  <c r="F1705" i="6"/>
  <c r="F1704" i="6"/>
  <c r="F1703" i="6"/>
  <c r="F1702" i="6"/>
  <c r="F1701" i="6"/>
  <c r="F1700" i="6"/>
  <c r="F1699" i="6"/>
  <c r="F1698" i="6"/>
  <c r="F1697" i="6"/>
  <c r="F1696" i="6"/>
  <c r="F1695" i="6"/>
  <c r="F1694" i="6"/>
  <c r="F1693" i="6"/>
  <c r="F1692" i="6"/>
  <c r="F1691" i="6"/>
  <c r="F1690" i="6"/>
  <c r="F1689" i="6"/>
  <c r="F1688" i="6"/>
  <c r="F1687" i="6"/>
  <c r="F1686" i="6"/>
  <c r="F1685" i="6"/>
  <c r="F1684" i="6"/>
  <c r="F1683" i="6"/>
  <c r="F1682" i="6"/>
  <c r="F1681" i="6"/>
  <c r="F1680" i="6"/>
  <c r="F1679" i="6"/>
  <c r="F1678" i="6"/>
  <c r="F1677" i="6"/>
  <c r="F1676" i="6"/>
  <c r="F1675" i="6"/>
  <c r="F1674" i="6"/>
  <c r="F1673" i="6"/>
  <c r="F1672" i="6"/>
  <c r="F1671" i="6"/>
  <c r="F1670" i="6"/>
  <c r="F1669" i="6"/>
  <c r="F1668" i="6"/>
  <c r="F1667" i="6"/>
  <c r="F1666" i="6"/>
  <c r="F1665" i="6"/>
  <c r="F1664" i="6"/>
  <c r="F1663" i="6"/>
  <c r="F1662" i="6"/>
  <c r="F1661" i="6"/>
  <c r="F1660" i="6"/>
  <c r="F1659" i="6"/>
  <c r="F1658" i="6"/>
  <c r="F1657" i="6"/>
  <c r="F1656" i="6"/>
  <c r="F1655" i="6"/>
  <c r="F1654" i="6"/>
  <c r="F1653" i="6"/>
  <c r="F1652" i="6"/>
  <c r="F1651" i="6"/>
  <c r="F1650" i="6"/>
  <c r="F1649" i="6"/>
  <c r="F1648" i="6"/>
  <c r="F1647" i="6"/>
  <c r="F1646" i="6"/>
  <c r="F1645" i="6"/>
  <c r="F1644" i="6"/>
  <c r="F1643" i="6"/>
  <c r="F1642" i="6"/>
  <c r="F1641" i="6"/>
  <c r="F1640" i="6"/>
  <c r="F1639" i="6"/>
  <c r="F1638" i="6"/>
  <c r="F1637" i="6"/>
  <c r="F1636" i="6"/>
  <c r="F1635" i="6"/>
  <c r="F1634" i="6"/>
  <c r="F1633" i="6"/>
  <c r="F1632" i="6"/>
  <c r="F1631" i="6"/>
  <c r="F1630" i="6"/>
  <c r="F1629" i="6"/>
  <c r="F1628" i="6"/>
  <c r="F1627" i="6"/>
  <c r="F1626" i="6"/>
  <c r="F1625" i="6"/>
  <c r="F1624" i="6"/>
  <c r="F1623" i="6"/>
  <c r="F1622" i="6"/>
  <c r="F1621" i="6"/>
  <c r="F1620" i="6"/>
  <c r="F1619" i="6"/>
  <c r="F1618" i="6"/>
  <c r="F1617" i="6"/>
  <c r="F1616" i="6"/>
  <c r="F1615" i="6"/>
  <c r="F1614" i="6"/>
  <c r="F1613" i="6"/>
  <c r="F1612" i="6"/>
  <c r="F1611" i="6"/>
  <c r="F1610" i="6"/>
  <c r="F1609" i="6"/>
  <c r="F1608" i="6"/>
  <c r="F1607" i="6"/>
  <c r="F1606" i="6"/>
  <c r="F1605" i="6"/>
  <c r="F1604" i="6"/>
  <c r="F1603" i="6"/>
  <c r="F1602" i="6"/>
  <c r="F1601" i="6"/>
  <c r="F1600" i="6"/>
  <c r="F1599" i="6"/>
  <c r="F1598" i="6"/>
  <c r="F1597" i="6"/>
  <c r="F1596" i="6"/>
  <c r="F1595" i="6"/>
  <c r="F1594" i="6"/>
  <c r="F1593" i="6"/>
  <c r="F1592" i="6"/>
  <c r="F1591" i="6"/>
  <c r="F1590" i="6"/>
  <c r="F1589" i="6"/>
  <c r="F1588" i="6"/>
  <c r="F1587" i="6"/>
  <c r="F1586" i="6"/>
  <c r="F1585" i="6"/>
  <c r="F1584" i="6"/>
  <c r="F1583" i="6"/>
  <c r="F1582" i="6"/>
  <c r="F1581" i="6"/>
  <c r="F1580" i="6"/>
  <c r="F1579" i="6"/>
  <c r="F1578" i="6"/>
  <c r="F1577" i="6"/>
  <c r="F1576" i="6"/>
  <c r="F1575" i="6"/>
  <c r="F1574" i="6"/>
  <c r="F1573" i="6"/>
  <c r="F1572" i="6"/>
  <c r="F1571" i="6"/>
  <c r="F1570" i="6"/>
  <c r="F1569" i="6"/>
  <c r="F1568" i="6"/>
  <c r="F1567" i="6"/>
  <c r="F1566" i="6"/>
  <c r="F1565" i="6"/>
  <c r="F1564" i="6"/>
  <c r="F1563" i="6"/>
  <c r="F1562" i="6"/>
  <c r="F1561" i="6"/>
  <c r="F1560" i="6"/>
  <c r="F1559" i="6"/>
  <c r="F1558" i="6"/>
  <c r="F1557" i="6"/>
  <c r="F1556" i="6"/>
  <c r="F1555" i="6"/>
  <c r="F1554" i="6"/>
  <c r="F1553" i="6"/>
  <c r="F1552" i="6"/>
  <c r="F1551" i="6"/>
  <c r="F1550" i="6"/>
  <c r="F1549" i="6"/>
  <c r="F1548" i="6"/>
  <c r="F1547" i="6"/>
  <c r="F1546" i="6"/>
  <c r="F1545" i="6"/>
  <c r="F1544" i="6"/>
  <c r="F1543" i="6"/>
  <c r="F1542" i="6"/>
  <c r="F1541" i="6"/>
  <c r="F1540" i="6"/>
  <c r="F1539" i="6"/>
  <c r="F1538" i="6"/>
  <c r="F1537" i="6"/>
  <c r="F1536" i="6"/>
  <c r="F1535" i="6"/>
  <c r="F1534" i="6"/>
  <c r="F1533" i="6"/>
  <c r="F1532" i="6"/>
  <c r="F1531" i="6"/>
  <c r="F1530" i="6"/>
  <c r="F1529" i="6"/>
  <c r="F1528" i="6"/>
  <c r="F1527" i="6"/>
  <c r="F1526" i="6"/>
  <c r="F1525" i="6"/>
  <c r="F1524" i="6"/>
  <c r="F1523" i="6"/>
  <c r="F1522" i="6"/>
  <c r="F1521" i="6"/>
  <c r="F1520" i="6"/>
  <c r="F1519" i="6"/>
  <c r="F1518" i="6"/>
  <c r="F1517" i="6"/>
  <c r="F1516" i="6"/>
  <c r="F1515" i="6"/>
  <c r="F1514" i="6"/>
  <c r="F1513" i="6"/>
  <c r="F1512" i="6"/>
  <c r="F1511" i="6"/>
  <c r="F1510" i="6"/>
  <c r="F1509" i="6"/>
  <c r="F1508" i="6"/>
  <c r="F1507" i="6"/>
  <c r="F1506" i="6"/>
  <c r="F1505" i="6"/>
  <c r="F1504" i="6"/>
  <c r="F1503" i="6"/>
  <c r="F1502" i="6"/>
  <c r="F1501" i="6"/>
  <c r="F1500" i="6"/>
  <c r="F1499" i="6"/>
  <c r="F1498" i="6"/>
  <c r="F1497" i="6"/>
  <c r="F1496" i="6"/>
  <c r="F1495" i="6"/>
  <c r="F1494" i="6"/>
  <c r="F1493" i="6"/>
  <c r="F1492" i="6"/>
  <c r="F1491" i="6"/>
  <c r="F1490" i="6"/>
  <c r="F1489" i="6"/>
  <c r="F1488" i="6"/>
  <c r="F1487" i="6"/>
  <c r="F1486" i="6"/>
  <c r="F1485" i="6"/>
  <c r="F1484" i="6"/>
  <c r="F1483" i="6"/>
  <c r="F1482" i="6"/>
  <c r="F1481" i="6"/>
  <c r="F1480" i="6"/>
  <c r="F1479" i="6"/>
  <c r="F1478" i="6"/>
  <c r="F1477" i="6"/>
  <c r="F1476" i="6"/>
  <c r="F1475" i="6"/>
  <c r="F1474" i="6"/>
  <c r="F1473" i="6"/>
  <c r="F1472" i="6"/>
  <c r="F1471" i="6"/>
  <c r="F1470" i="6"/>
  <c r="F1469" i="6"/>
  <c r="F1468" i="6"/>
  <c r="F1467" i="6"/>
  <c r="F1466" i="6"/>
  <c r="F1465" i="6"/>
  <c r="F1464" i="6"/>
  <c r="F1463" i="6"/>
  <c r="F1462" i="6"/>
  <c r="F1461" i="6"/>
  <c r="F1460" i="6"/>
  <c r="F1459" i="6"/>
  <c r="F1458" i="6"/>
  <c r="F1457" i="6"/>
  <c r="F1456" i="6"/>
  <c r="F1455" i="6"/>
  <c r="F1454" i="6"/>
  <c r="F1453" i="6"/>
  <c r="F1452" i="6"/>
  <c r="F1451" i="6"/>
  <c r="F1450" i="6"/>
  <c r="F1449" i="6"/>
  <c r="F1448" i="6"/>
  <c r="F1447" i="6"/>
  <c r="F1446" i="6"/>
  <c r="F1445" i="6"/>
  <c r="F1444" i="6"/>
  <c r="F1443" i="6"/>
  <c r="F1442" i="6"/>
  <c r="F1441" i="6"/>
  <c r="F1440" i="6"/>
  <c r="F1439" i="6"/>
  <c r="F1438" i="6"/>
  <c r="F1437" i="6"/>
  <c r="F1436" i="6"/>
  <c r="F1435" i="6"/>
  <c r="F1434" i="6"/>
  <c r="F1433" i="6"/>
  <c r="F1432" i="6"/>
  <c r="F1431" i="6"/>
  <c r="F1430" i="6"/>
  <c r="F1429" i="6"/>
  <c r="F1428" i="6"/>
  <c r="F1427" i="6"/>
  <c r="F1426" i="6"/>
  <c r="F1425" i="6"/>
  <c r="F1424" i="6"/>
  <c r="F1423" i="6"/>
  <c r="F1422" i="6"/>
  <c r="F1421" i="6"/>
  <c r="F1420" i="6"/>
  <c r="F1419" i="6"/>
  <c r="F1418" i="6"/>
  <c r="F1417" i="6"/>
  <c r="F1416" i="6"/>
  <c r="F1415" i="6"/>
  <c r="F1414" i="6"/>
  <c r="F1413" i="6"/>
  <c r="F1412" i="6"/>
  <c r="F1411" i="6"/>
  <c r="F1410" i="6"/>
  <c r="F1409" i="6"/>
  <c r="F1408" i="6"/>
  <c r="F1407" i="6"/>
  <c r="F1406" i="6"/>
  <c r="F1405" i="6"/>
  <c r="F1404" i="6"/>
  <c r="F1403" i="6"/>
  <c r="F1402" i="6"/>
  <c r="F1401" i="6"/>
  <c r="F1400" i="6"/>
  <c r="F1399" i="6"/>
  <c r="F1398" i="6"/>
  <c r="F1397" i="6"/>
  <c r="F1396" i="6"/>
  <c r="F1395" i="6"/>
  <c r="F1394" i="6"/>
  <c r="F1393" i="6"/>
  <c r="F1392" i="6"/>
  <c r="F1391" i="6"/>
  <c r="F1390" i="6"/>
  <c r="F1389" i="6"/>
  <c r="F1388" i="6"/>
  <c r="F1387" i="6"/>
  <c r="F1386" i="6"/>
  <c r="F1385" i="6"/>
  <c r="F1384" i="6"/>
  <c r="F1383" i="6"/>
  <c r="F1382" i="6"/>
  <c r="F1381" i="6"/>
  <c r="F1380" i="6"/>
  <c r="F1379" i="6"/>
  <c r="F1378" i="6"/>
  <c r="F1377" i="6"/>
  <c r="F1376" i="6"/>
  <c r="F1375" i="6"/>
  <c r="F1374" i="6"/>
  <c r="F1373" i="6"/>
  <c r="F1372" i="6"/>
  <c r="F1371" i="6"/>
  <c r="F1370" i="6"/>
  <c r="F1369" i="6"/>
  <c r="F1368" i="6"/>
  <c r="F1367" i="6"/>
  <c r="F1366" i="6"/>
  <c r="F1365" i="6"/>
  <c r="F1364" i="6"/>
  <c r="F1363" i="6"/>
  <c r="F1362" i="6"/>
  <c r="F1361" i="6"/>
  <c r="F1360" i="6"/>
  <c r="F1359" i="6"/>
  <c r="F1358" i="6"/>
  <c r="F1357" i="6"/>
  <c r="F1356" i="6"/>
  <c r="F1355" i="6"/>
  <c r="F1354" i="6"/>
  <c r="F1353" i="6"/>
  <c r="F1352" i="6"/>
  <c r="F1351" i="6"/>
  <c r="F1350" i="6"/>
  <c r="F1349" i="6"/>
  <c r="F1348" i="6"/>
  <c r="F1347" i="6"/>
  <c r="F1346" i="6"/>
  <c r="F1345" i="6"/>
  <c r="F1344" i="6"/>
  <c r="F1343" i="6"/>
  <c r="F1342" i="6"/>
  <c r="F1341" i="6"/>
  <c r="F1340" i="6"/>
  <c r="F1339" i="6"/>
  <c r="F1338" i="6"/>
  <c r="F1337" i="6"/>
  <c r="F1336" i="6"/>
  <c r="F1335" i="6"/>
  <c r="F1334" i="6"/>
  <c r="F1333" i="6"/>
  <c r="F1332" i="6"/>
  <c r="F1331" i="6"/>
  <c r="F1330" i="6"/>
  <c r="F1329" i="6"/>
  <c r="F1328" i="6"/>
  <c r="F1327" i="6"/>
  <c r="F1326" i="6"/>
  <c r="F1325" i="6"/>
  <c r="F1324" i="6"/>
  <c r="F1323" i="6"/>
  <c r="F1322" i="6"/>
  <c r="F1321" i="6"/>
  <c r="F1320" i="6"/>
  <c r="F1319" i="6"/>
  <c r="F1318" i="6"/>
  <c r="F1317" i="6"/>
  <c r="F1316" i="6"/>
  <c r="F1315" i="6"/>
  <c r="F1314" i="6"/>
  <c r="F1313" i="6"/>
  <c r="F1312" i="6"/>
  <c r="F1311" i="6"/>
  <c r="F1310" i="6"/>
  <c r="F1309" i="6"/>
  <c r="F1308" i="6"/>
  <c r="F1307" i="6"/>
  <c r="F1306" i="6"/>
  <c r="F1305" i="6"/>
  <c r="F1304" i="6"/>
  <c r="F1303" i="6"/>
  <c r="F1302" i="6"/>
  <c r="F1301" i="6"/>
  <c r="F1300" i="6"/>
  <c r="F1299" i="6"/>
  <c r="F1298" i="6"/>
  <c r="F1297" i="6"/>
  <c r="F1296" i="6"/>
  <c r="F1295" i="6"/>
  <c r="F1294" i="6"/>
  <c r="F1293" i="6"/>
  <c r="F1292" i="6"/>
  <c r="F1291" i="6"/>
  <c r="F1290" i="6"/>
  <c r="F1289" i="6"/>
  <c r="F1288" i="6"/>
  <c r="F1287" i="6"/>
  <c r="F1286" i="6"/>
  <c r="F1285" i="6"/>
  <c r="F1284" i="6"/>
  <c r="F1283" i="6"/>
  <c r="F1282" i="6"/>
  <c r="F1281" i="6"/>
  <c r="F1280" i="6"/>
  <c r="F1279" i="6"/>
  <c r="F1278" i="6"/>
  <c r="F1277" i="6"/>
  <c r="F1276" i="6"/>
  <c r="F1275" i="6"/>
  <c r="F1274" i="6"/>
  <c r="F1273" i="6"/>
  <c r="F1272" i="6"/>
  <c r="F1271" i="6"/>
  <c r="F1270" i="6"/>
  <c r="F1269" i="6"/>
  <c r="F1268" i="6"/>
  <c r="F1267" i="6"/>
  <c r="F1266" i="6"/>
  <c r="F1265" i="6"/>
  <c r="F1264" i="6"/>
  <c r="F1263" i="6"/>
  <c r="F1262" i="6"/>
  <c r="F1261" i="6"/>
  <c r="F1260" i="6"/>
  <c r="F1259" i="6"/>
  <c r="F1258" i="6"/>
  <c r="F1257" i="6"/>
  <c r="F1256" i="6"/>
  <c r="F1254" i="6"/>
  <c r="F1253" i="6"/>
  <c r="F1252" i="6"/>
  <c r="F1251" i="6"/>
  <c r="F1250" i="6"/>
  <c r="F1249" i="6"/>
  <c r="F1248" i="6"/>
  <c r="F1247" i="6"/>
  <c r="F1246" i="6"/>
  <c r="F1245" i="6"/>
  <c r="F1244" i="6"/>
  <c r="F1243" i="6"/>
  <c r="F1242" i="6"/>
  <c r="F1241" i="6"/>
  <c r="F1240" i="6"/>
  <c r="F1239" i="6"/>
  <c r="F1238" i="6"/>
  <c r="F1237" i="6"/>
  <c r="F1236" i="6"/>
  <c r="F1235" i="6"/>
  <c r="F1234" i="6"/>
  <c r="F1233" i="6"/>
  <c r="F1232" i="6"/>
  <c r="F1231" i="6"/>
  <c r="F1230" i="6"/>
  <c r="F1229" i="6"/>
  <c r="F1228" i="6"/>
  <c r="F1227" i="6"/>
  <c r="F1226" i="6"/>
  <c r="F1225" i="6"/>
  <c r="F1224" i="6"/>
  <c r="F1223" i="6"/>
  <c r="F1222" i="6"/>
  <c r="F1221" i="6"/>
  <c r="F1220" i="6"/>
  <c r="F1219" i="6"/>
  <c r="F1218" i="6"/>
  <c r="F1217" i="6"/>
  <c r="F1216" i="6"/>
  <c r="F1215" i="6"/>
  <c r="F1214" i="6"/>
  <c r="F1213" i="6"/>
  <c r="F1212" i="6"/>
  <c r="F1211" i="6"/>
  <c r="F1210" i="6"/>
  <c r="F1209" i="6"/>
  <c r="F1208" i="6"/>
  <c r="F1207" i="6"/>
  <c r="F1206" i="6"/>
  <c r="F1205" i="6"/>
  <c r="F1204" i="6"/>
  <c r="F1203" i="6"/>
  <c r="F1202" i="6"/>
  <c r="F1201" i="6"/>
  <c r="F1200" i="6"/>
  <c r="F1199" i="6"/>
  <c r="F1198" i="6"/>
  <c r="F1197" i="6"/>
  <c r="F1196" i="6"/>
  <c r="F1195" i="6"/>
  <c r="F1194" i="6"/>
  <c r="F1193" i="6"/>
  <c r="F1192" i="6"/>
  <c r="F1191" i="6"/>
  <c r="F1190" i="6"/>
  <c r="F1189" i="6"/>
  <c r="F1188" i="6"/>
  <c r="F1187" i="6"/>
  <c r="F1186" i="6"/>
  <c r="F1185" i="6"/>
  <c r="F1184" i="6"/>
  <c r="F1183" i="6"/>
  <c r="F1182" i="6"/>
  <c r="F1181" i="6"/>
  <c r="F1180" i="6"/>
  <c r="F1179" i="6"/>
  <c r="F1178" i="6"/>
  <c r="F1177" i="6"/>
  <c r="F1176" i="6"/>
  <c r="F1175" i="6"/>
  <c r="F1174" i="6"/>
  <c r="F1173" i="6"/>
  <c r="F1172" i="6"/>
  <c r="F1171" i="6"/>
  <c r="F1170" i="6"/>
  <c r="F1169" i="6"/>
  <c r="F1168" i="6"/>
  <c r="F1167" i="6"/>
  <c r="F1166" i="6"/>
  <c r="F1165" i="6"/>
  <c r="F1164" i="6"/>
  <c r="F1163" i="6"/>
  <c r="F1162" i="6"/>
  <c r="F1161" i="6"/>
  <c r="F1160" i="6"/>
  <c r="F1159" i="6"/>
  <c r="F1158" i="6"/>
  <c r="F1157" i="6"/>
  <c r="F1156" i="6"/>
  <c r="F1155" i="6"/>
  <c r="F1154" i="6"/>
  <c r="F1153" i="6"/>
  <c r="F1152" i="6"/>
  <c r="F1151" i="6"/>
  <c r="F1150" i="6"/>
  <c r="F1149" i="6"/>
  <c r="F1148" i="6"/>
  <c r="F1147" i="6"/>
  <c r="F1146" i="6"/>
  <c r="F1145" i="6"/>
  <c r="F1144" i="6"/>
  <c r="F1143" i="6"/>
  <c r="F1142" i="6"/>
  <c r="F1141" i="6"/>
  <c r="F1140" i="6"/>
  <c r="F1139" i="6"/>
  <c r="F1138" i="6"/>
  <c r="F1137" i="6"/>
  <c r="F1136" i="6"/>
  <c r="F1135" i="6"/>
  <c r="F1134" i="6"/>
  <c r="F1133" i="6"/>
  <c r="F1132" i="6"/>
  <c r="F1131" i="6"/>
  <c r="F1130" i="6"/>
  <c r="F1129" i="6"/>
  <c r="F1128" i="6"/>
  <c r="F1127" i="6"/>
  <c r="F1126" i="6"/>
  <c r="F1125" i="6"/>
  <c r="F1124" i="6"/>
  <c r="F1123" i="6"/>
  <c r="F1122" i="6"/>
  <c r="F1121" i="6"/>
  <c r="F1120" i="6"/>
  <c r="F1119" i="6"/>
  <c r="F1118" i="6"/>
  <c r="F1117" i="6"/>
  <c r="F1116" i="6"/>
  <c r="F1115" i="6"/>
  <c r="F1114" i="6"/>
  <c r="F1113" i="6"/>
  <c r="F1112" i="6"/>
  <c r="F1111" i="6"/>
  <c r="F1110" i="6"/>
  <c r="F1109" i="6"/>
  <c r="F1108" i="6"/>
  <c r="F1107" i="6"/>
  <c r="F1106" i="6"/>
  <c r="F1105" i="6"/>
  <c r="F1104" i="6"/>
  <c r="F1103" i="6"/>
  <c r="F1102" i="6"/>
  <c r="F1101" i="6"/>
  <c r="F1100" i="6"/>
  <c r="F1099" i="6"/>
  <c r="F1098" i="6"/>
  <c r="F1097" i="6"/>
  <c r="F1096" i="6"/>
  <c r="F1095" i="6"/>
  <c r="F1094" i="6"/>
  <c r="F1093" i="6"/>
  <c r="F1092" i="6"/>
  <c r="F1091" i="6"/>
  <c r="F1090" i="6"/>
  <c r="F1089" i="6"/>
  <c r="F1088" i="6"/>
  <c r="F1087" i="6"/>
  <c r="F1086" i="6"/>
  <c r="F1085" i="6"/>
  <c r="F1084" i="6"/>
  <c r="F1083" i="6"/>
  <c r="F1082" i="6"/>
  <c r="F1081" i="6"/>
  <c r="F1080" i="6"/>
  <c r="F1079" i="6"/>
  <c r="F1078" i="6"/>
  <c r="F1077" i="6"/>
  <c r="F1076" i="6"/>
  <c r="F1075" i="6"/>
  <c r="F1074" i="6"/>
  <c r="F1073" i="6"/>
  <c r="F1072" i="6"/>
  <c r="F1071" i="6"/>
  <c r="F1070" i="6"/>
  <c r="F1069" i="6"/>
  <c r="F1068" i="6"/>
  <c r="F1067" i="6"/>
  <c r="F1066" i="6"/>
  <c r="F1065" i="6"/>
  <c r="F1064" i="6"/>
  <c r="F1063" i="6"/>
  <c r="F1062" i="6"/>
  <c r="F1061" i="6"/>
  <c r="F1060" i="6"/>
  <c r="F1059" i="6"/>
  <c r="F1058" i="6"/>
  <c r="F1057" i="6"/>
  <c r="F1056" i="6"/>
  <c r="F1055" i="6"/>
  <c r="F1054" i="6"/>
  <c r="F1053" i="6"/>
  <c r="F1052" i="6"/>
  <c r="F1051" i="6"/>
  <c r="F1050" i="6"/>
  <c r="F1049" i="6"/>
  <c r="F1048" i="6"/>
  <c r="F1047" i="6"/>
  <c r="F1046" i="6"/>
  <c r="F1045" i="6"/>
  <c r="F1044" i="6"/>
  <c r="F1043" i="6"/>
  <c r="F1042" i="6"/>
  <c r="F1041" i="6"/>
  <c r="F1040" i="6"/>
  <c r="F1039" i="6"/>
  <c r="F1038" i="6"/>
  <c r="F1037" i="6"/>
  <c r="F1036" i="6"/>
  <c r="F1035" i="6"/>
  <c r="F1034" i="6"/>
  <c r="F1033" i="6"/>
  <c r="F1032" i="6"/>
  <c r="F1031" i="6"/>
  <c r="F1030" i="6"/>
  <c r="F1029" i="6"/>
  <c r="F1028" i="6"/>
  <c r="F1027" i="6"/>
  <c r="F1026" i="6"/>
  <c r="F1025" i="6"/>
  <c r="F1024" i="6"/>
  <c r="F1023" i="6"/>
  <c r="F1022" i="6"/>
  <c r="F1021" i="6"/>
  <c r="F1020" i="6"/>
  <c r="F1019" i="6"/>
  <c r="F1018" i="6"/>
  <c r="F1017" i="6"/>
  <c r="F1016" i="6"/>
  <c r="F1015" i="6"/>
  <c r="F1014" i="6"/>
  <c r="F1013" i="6"/>
  <c r="F1012" i="6"/>
  <c r="F1011" i="6"/>
  <c r="F1010" i="6"/>
  <c r="F1009" i="6"/>
  <c r="F1008" i="6"/>
  <c r="F1007" i="6"/>
  <c r="F1006" i="6"/>
  <c r="F1005" i="6"/>
  <c r="F1004" i="6"/>
  <c r="F1003" i="6"/>
  <c r="F1002" i="6"/>
  <c r="F1001" i="6"/>
  <c r="F1000" i="6"/>
  <c r="F999" i="6"/>
  <c r="F1720" i="6"/>
  <c r="F1721" i="6"/>
  <c r="F1722" i="6"/>
  <c r="F1723" i="6"/>
  <c r="F1724" i="6"/>
  <c r="F1725" i="6"/>
  <c r="F1726" i="6"/>
  <c r="F1727" i="6"/>
  <c r="F1728" i="6"/>
  <c r="F1729" i="6"/>
  <c r="F1730" i="6"/>
  <c r="F1731" i="6"/>
  <c r="F1732" i="6"/>
  <c r="F1733" i="6"/>
  <c r="F1734" i="6"/>
  <c r="F1735" i="6"/>
  <c r="F1736" i="6"/>
  <c r="F1737" i="6"/>
  <c r="F1738" i="6"/>
  <c r="F1739" i="6"/>
  <c r="F1740" i="6"/>
  <c r="F1741" i="6"/>
  <c r="F1742" i="6"/>
  <c r="F1743" i="6"/>
  <c r="F1744" i="6"/>
  <c r="F1745" i="6"/>
  <c r="F1746" i="6"/>
  <c r="F1747" i="6"/>
  <c r="F1748" i="6"/>
  <c r="F1749" i="6"/>
  <c r="F1750" i="6"/>
  <c r="F1751" i="6"/>
  <c r="F1752" i="6"/>
  <c r="F1753" i="6"/>
  <c r="F1754" i="6"/>
  <c r="F1755" i="6"/>
  <c r="F1756" i="6"/>
  <c r="F1757" i="6"/>
  <c r="F1758" i="6"/>
  <c r="F1759" i="6"/>
  <c r="F1760" i="6"/>
  <c r="F1761" i="6"/>
  <c r="F1762" i="6"/>
  <c r="F1763" i="6"/>
  <c r="F1764" i="6"/>
  <c r="F1765" i="6"/>
  <c r="F1766" i="6"/>
  <c r="F1767" i="6"/>
  <c r="F1768" i="6"/>
  <c r="F1769" i="6"/>
  <c r="F1770" i="6"/>
  <c r="F1771" i="6"/>
  <c r="F1772" i="6"/>
  <c r="F1773" i="6"/>
  <c r="F1774" i="6"/>
  <c r="F1775" i="6"/>
  <c r="F1776" i="6"/>
  <c r="F1777" i="6"/>
  <c r="F1778" i="6"/>
  <c r="F1779" i="6"/>
  <c r="F1780" i="6"/>
  <c r="F1781" i="6"/>
  <c r="F1782" i="6"/>
  <c r="F1783" i="6"/>
  <c r="F1784" i="6"/>
  <c r="F1785" i="6"/>
  <c r="F1786" i="6"/>
  <c r="F1787" i="6"/>
  <c r="F1788" i="6"/>
  <c r="F1789" i="6"/>
  <c r="F1790" i="6"/>
  <c r="F1791" i="6"/>
  <c r="F1792" i="6"/>
  <c r="F1793" i="6"/>
  <c r="F1794" i="6"/>
  <c r="F1795" i="6"/>
  <c r="F1796" i="6"/>
  <c r="F1797" i="6"/>
  <c r="F1977" i="6"/>
  <c r="F1976" i="6"/>
  <c r="F1961" i="6"/>
  <c r="F1960" i="6"/>
  <c r="F1949" i="6"/>
  <c r="F1948" i="6"/>
  <c r="F1945" i="6"/>
  <c r="F1944" i="6"/>
  <c r="F1941" i="6"/>
  <c r="F1940" i="6"/>
  <c r="F947" i="6"/>
  <c r="F939" i="6"/>
  <c r="F933" i="6"/>
  <c r="F931" i="6"/>
  <c r="F929" i="6"/>
  <c r="AX70" i="15"/>
  <c r="AZ70" i="15"/>
  <c r="AX74" i="15"/>
  <c r="AZ74" i="15"/>
  <c r="AX79" i="15"/>
  <c r="AZ79" i="15"/>
  <c r="AX68" i="15"/>
  <c r="AZ68" i="15"/>
  <c r="AX66" i="15"/>
  <c r="AZ66" i="15"/>
  <c r="AX62" i="15"/>
  <c r="AZ62" i="15"/>
  <c r="F1931" i="6"/>
  <c r="F1930" i="6"/>
  <c r="F924" i="6"/>
  <c r="DH740" i="6"/>
  <c r="DI740" i="6" s="1"/>
  <c r="AX132" i="15"/>
  <c r="AZ132" i="15"/>
  <c r="J35" i="7"/>
  <c r="F35" i="7" s="1"/>
  <c r="I36" i="7"/>
  <c r="AD68" i="7"/>
  <c r="AD77" i="7"/>
  <c r="F89" i="7"/>
  <c r="AF89" i="7" s="1"/>
  <c r="E50" i="7"/>
  <c r="E59" i="7" s="1"/>
  <c r="E68" i="7" s="1"/>
  <c r="L35" i="7"/>
  <c r="M35" i="7"/>
  <c r="DJ35" i="7" s="1"/>
  <c r="N35" i="7"/>
  <c r="H35" i="7"/>
  <c r="AX126" i="15"/>
  <c r="AZ126" i="15"/>
  <c r="AX124" i="15"/>
  <c r="AZ124" i="15"/>
  <c r="AX123" i="15"/>
  <c r="AZ123" i="15"/>
  <c r="AX122" i="15"/>
  <c r="AZ122" i="15"/>
  <c r="AX120" i="15"/>
  <c r="AZ120" i="15"/>
  <c r="AX119" i="15"/>
  <c r="AZ119" i="15"/>
  <c r="AX118" i="15"/>
  <c r="AZ118" i="15"/>
  <c r="AX116" i="15"/>
  <c r="AZ116" i="15"/>
  <c r="AX115" i="15"/>
  <c r="AZ115" i="15"/>
  <c r="AX114" i="15"/>
  <c r="AZ114" i="15"/>
  <c r="AX112" i="15"/>
  <c r="AZ112" i="15"/>
  <c r="AX111" i="15"/>
  <c r="AZ111" i="15"/>
  <c r="AX42" i="15"/>
  <c r="AZ42" i="15"/>
  <c r="AX40" i="15"/>
  <c r="AZ40" i="15"/>
  <c r="CD37" i="2"/>
  <c r="CC37" i="2"/>
  <c r="CB37" i="2"/>
  <c r="CA37" i="2"/>
  <c r="BZ37" i="2"/>
  <c r="BX37" i="2"/>
  <c r="BW37" i="2"/>
  <c r="BV37" i="2"/>
  <c r="BU37" i="2"/>
  <c r="CD72" i="2"/>
  <c r="CC72" i="2"/>
  <c r="CB72" i="2"/>
  <c r="CA72" i="2"/>
  <c r="BZ72" i="2"/>
  <c r="BX72" i="2"/>
  <c r="BW72" i="2"/>
  <c r="BV72" i="2"/>
  <c r="BU72" i="2"/>
  <c r="BT72" i="2"/>
  <c r="DC37" i="2"/>
  <c r="DB37" i="2"/>
  <c r="DA37" i="2"/>
  <c r="CZ37" i="2"/>
  <c r="CX37" i="2"/>
  <c r="CW37" i="2"/>
  <c r="CV37" i="2"/>
  <c r="CU37" i="2"/>
  <c r="CT37" i="2"/>
  <c r="CP37" i="2"/>
  <c r="CO37" i="2"/>
  <c r="CN37" i="2"/>
  <c r="CM37" i="2"/>
  <c r="CK37" i="2"/>
  <c r="CJ37" i="2"/>
  <c r="CI37" i="2"/>
  <c r="CH37" i="2"/>
  <c r="CG37" i="2"/>
  <c r="BQ37" i="2"/>
  <c r="BP37" i="2"/>
  <c r="BO37" i="2"/>
  <c r="BN37" i="2"/>
  <c r="BL37" i="2"/>
  <c r="BK37" i="2"/>
  <c r="BJ37" i="2"/>
  <c r="BI37" i="2"/>
  <c r="BH37" i="2"/>
  <c r="BE37" i="2"/>
  <c r="BD37" i="2"/>
  <c r="BC37" i="2"/>
  <c r="BB37" i="2"/>
  <c r="AZ37" i="2"/>
  <c r="AY37" i="2"/>
  <c r="AX37" i="2"/>
  <c r="AW37" i="2"/>
  <c r="AV37" i="2"/>
  <c r="AS37" i="2"/>
  <c r="AR37" i="2"/>
  <c r="AQ37" i="2"/>
  <c r="AP37" i="2"/>
  <c r="AN37" i="2"/>
  <c r="AM37" i="2"/>
  <c r="AL37" i="2"/>
  <c r="AK37" i="2"/>
  <c r="AJ37" i="2"/>
  <c r="AD452" i="7"/>
  <c r="AD444" i="7"/>
  <c r="AD439" i="7"/>
  <c r="AD434" i="7"/>
  <c r="L585" i="6"/>
  <c r="AJ51" i="15" s="1"/>
  <c r="L577" i="6"/>
  <c r="AJ49" i="15" s="1"/>
  <c r="J2150" i="6"/>
  <c r="DH2150" i="6" s="1"/>
  <c r="J2149" i="6"/>
  <c r="X126" i="15" s="1"/>
  <c r="Z126" i="15" s="1"/>
  <c r="J2146" i="6"/>
  <c r="DH2146" i="6" s="1"/>
  <c r="J2145" i="6"/>
  <c r="Y124" i="15" s="1"/>
  <c r="J2144" i="6"/>
  <c r="DH2144" i="6" s="1"/>
  <c r="J2143" i="6"/>
  <c r="X124" i="15" s="1"/>
  <c r="J2142" i="6"/>
  <c r="DH2142" i="6" s="1"/>
  <c r="J2141" i="6"/>
  <c r="Y123" i="15" s="1"/>
  <c r="J2140" i="6"/>
  <c r="DH2140" i="6" s="1"/>
  <c r="J2139" i="6"/>
  <c r="X123" i="15" s="1"/>
  <c r="J2138" i="6"/>
  <c r="DH2138" i="6" s="1"/>
  <c r="J2137" i="6"/>
  <c r="J2134" i="6"/>
  <c r="DH2134" i="6" s="1"/>
  <c r="J2133" i="6"/>
  <c r="Y120" i="15" s="1"/>
  <c r="J2132" i="6"/>
  <c r="DH2132" i="6" s="1"/>
  <c r="J2131" i="6"/>
  <c r="X120" i="15" s="1"/>
  <c r="J2130" i="6"/>
  <c r="DH2130" i="6" s="1"/>
  <c r="J2129" i="6"/>
  <c r="J2128" i="6"/>
  <c r="DH2128" i="6" s="1"/>
  <c r="J2127" i="6"/>
  <c r="J2126" i="6"/>
  <c r="DH2126" i="6" s="1"/>
  <c r="J2125" i="6"/>
  <c r="J2122" i="6"/>
  <c r="DH2122" i="6" s="1"/>
  <c r="J2121" i="6"/>
  <c r="Y116" i="15" s="1"/>
  <c r="J2120" i="6"/>
  <c r="DH2120" i="6" s="1"/>
  <c r="J2119" i="6"/>
  <c r="J2118" i="6"/>
  <c r="DH2118" i="6" s="1"/>
  <c r="J2117" i="6"/>
  <c r="Y115" i="15" s="1"/>
  <c r="J2116" i="6"/>
  <c r="DH2116" i="6" s="1"/>
  <c r="J2115" i="6"/>
  <c r="J2114" i="6"/>
  <c r="DH2114" i="6" s="1"/>
  <c r="J2113" i="6"/>
  <c r="J2110" i="6"/>
  <c r="DH2110" i="6" s="1"/>
  <c r="J2109" i="6"/>
  <c r="Y112" i="15" s="1"/>
  <c r="J2108" i="6"/>
  <c r="DH2108" i="6" s="1"/>
  <c r="J2107" i="6"/>
  <c r="J2106" i="6"/>
  <c r="DH2106" i="6" s="1"/>
  <c r="J2105" i="6"/>
  <c r="J2104" i="6"/>
  <c r="DH2104" i="6" s="1"/>
  <c r="J2103" i="6"/>
  <c r="X111" i="15" s="1"/>
  <c r="H2146" i="6"/>
  <c r="H2145" i="6"/>
  <c r="H2144" i="6"/>
  <c r="H2143" i="6"/>
  <c r="H2142" i="6"/>
  <c r="H2141" i="6"/>
  <c r="H2140" i="6"/>
  <c r="H2139" i="6"/>
  <c r="H2134" i="6"/>
  <c r="H2133" i="6"/>
  <c r="H2132" i="6"/>
  <c r="H2131" i="6"/>
  <c r="H2130" i="6"/>
  <c r="H2129" i="6"/>
  <c r="H2128" i="6"/>
  <c r="H2127" i="6"/>
  <c r="H2122" i="6"/>
  <c r="H2121" i="6"/>
  <c r="H2120" i="6"/>
  <c r="H2119" i="6"/>
  <c r="H2118" i="6"/>
  <c r="H2117" i="6"/>
  <c r="H2116" i="6"/>
  <c r="H2115" i="6"/>
  <c r="H2110" i="6"/>
  <c r="H2109" i="6"/>
  <c r="H2108" i="6"/>
  <c r="H2107" i="6"/>
  <c r="H2106" i="6"/>
  <c r="H2105" i="6"/>
  <c r="H2104" i="6"/>
  <c r="H2103" i="6"/>
  <c r="J2174" i="6"/>
  <c r="AF2174" i="6" s="1"/>
  <c r="J2164" i="6"/>
  <c r="I441" i="6"/>
  <c r="I440" i="6"/>
  <c r="I439" i="6"/>
  <c r="I438" i="6"/>
  <c r="I437" i="6"/>
  <c r="I427" i="6"/>
  <c r="J615" i="6"/>
  <c r="AF615" i="6" s="1"/>
  <c r="J614" i="6"/>
  <c r="J616" i="6"/>
  <c r="AF616" i="6" s="1"/>
  <c r="J613" i="6"/>
  <c r="AD2163" i="6"/>
  <c r="AC2163" i="6"/>
  <c r="AB2163" i="6"/>
  <c r="AA2163" i="6"/>
  <c r="Z2163" i="6"/>
  <c r="Y2163" i="6"/>
  <c r="X2163" i="6"/>
  <c r="W2163" i="6"/>
  <c r="AG2102" i="6"/>
  <c r="AF2102" i="6"/>
  <c r="AE2102" i="6"/>
  <c r="AD2102" i="6"/>
  <c r="AC2102" i="6"/>
  <c r="AB2102" i="6"/>
  <c r="AA2102" i="6"/>
  <c r="Z2102" i="6"/>
  <c r="Y2102" i="6"/>
  <c r="X2102" i="6"/>
  <c r="W2102" i="6"/>
  <c r="H2113" i="6"/>
  <c r="H2114" i="6"/>
  <c r="H2125" i="6"/>
  <c r="H2126" i="6"/>
  <c r="H2137" i="6"/>
  <c r="H2138" i="6"/>
  <c r="H2149" i="6"/>
  <c r="H2150" i="6"/>
  <c r="V2100" i="6"/>
  <c r="I333" i="6"/>
  <c r="I334" i="6"/>
  <c r="DH311" i="6"/>
  <c r="DI311" i="6" s="1"/>
  <c r="DH312" i="6"/>
  <c r="DI312" i="6" s="1"/>
  <c r="DH313" i="6"/>
  <c r="DI313" i="6" s="1"/>
  <c r="DH305" i="6"/>
  <c r="DI305" i="6" s="1"/>
  <c r="DH307" i="6"/>
  <c r="DI307" i="6" s="1"/>
  <c r="DH309" i="6"/>
  <c r="DI309" i="6" s="1"/>
  <c r="K381" i="6"/>
  <c r="L300" i="6" s="1"/>
  <c r="AJ39" i="15" s="1"/>
  <c r="I445" i="6"/>
  <c r="F445" i="6"/>
  <c r="F471" i="6" s="1"/>
  <c r="F496" i="6" s="1"/>
  <c r="I444" i="6"/>
  <c r="F444" i="6"/>
  <c r="F470" i="6" s="1"/>
  <c r="F495" i="6" s="1"/>
  <c r="F439" i="6"/>
  <c r="F465" i="6" s="1"/>
  <c r="F490" i="6" s="1"/>
  <c r="F440" i="6"/>
  <c r="F466" i="6" s="1"/>
  <c r="F491" i="6" s="1"/>
  <c r="F441" i="6"/>
  <c r="F467" i="6" s="1"/>
  <c r="F492" i="6" s="1"/>
  <c r="F438" i="6"/>
  <c r="F464" i="6" s="1"/>
  <c r="F489" i="6" s="1"/>
  <c r="F334" i="6"/>
  <c r="F344" i="6" s="1"/>
  <c r="F354" i="6" s="1"/>
  <c r="F364" i="6" s="1"/>
  <c r="F374" i="6" s="1"/>
  <c r="F384" i="6" s="1"/>
  <c r="F394" i="6" s="1"/>
  <c r="F404" i="6" s="1"/>
  <c r="F414" i="6" s="1"/>
  <c r="F424" i="6" s="1"/>
  <c r="F333" i="6"/>
  <c r="F343" i="6" s="1"/>
  <c r="F353" i="6" s="1"/>
  <c r="F363" i="6" s="1"/>
  <c r="F373" i="6" s="1"/>
  <c r="F383" i="6" s="1"/>
  <c r="F393" i="6" s="1"/>
  <c r="F403" i="6" s="1"/>
  <c r="F413" i="6" s="1"/>
  <c r="F423" i="6" s="1"/>
  <c r="K334" i="6"/>
  <c r="K333" i="6"/>
  <c r="K48" i="16"/>
  <c r="DJ48" i="16" s="1"/>
  <c r="E71" i="16"/>
  <c r="E97" i="16" s="1"/>
  <c r="V48" i="16"/>
  <c r="I458" i="7"/>
  <c r="I555" i="7"/>
  <c r="K845" i="7"/>
  <c r="I704" i="7"/>
  <c r="F704" i="7" s="1"/>
  <c r="I703" i="7"/>
  <c r="F703" i="7" s="1"/>
  <c r="DH847" i="7"/>
  <c r="DH848" i="7"/>
  <c r="AX305" i="15"/>
  <c r="AZ305" i="15"/>
  <c r="AX234" i="15"/>
  <c r="AZ234" i="15"/>
  <c r="AX215" i="15"/>
  <c r="AZ215" i="15"/>
  <c r="AX187" i="15"/>
  <c r="AZ187" i="15"/>
  <c r="AX129" i="15"/>
  <c r="AZ129" i="15"/>
  <c r="AX128" i="15"/>
  <c r="AZ128" i="15"/>
  <c r="AX95" i="15"/>
  <c r="AZ95" i="15"/>
  <c r="AX91" i="15"/>
  <c r="AZ91" i="15"/>
  <c r="AX87" i="15"/>
  <c r="AZ87" i="15"/>
  <c r="AX76" i="15"/>
  <c r="AZ76" i="15"/>
  <c r="AX72" i="15"/>
  <c r="AZ72" i="15"/>
  <c r="AX59" i="15"/>
  <c r="AZ59" i="15"/>
  <c r="AX57" i="15"/>
  <c r="AZ57" i="15"/>
  <c r="AX54" i="15"/>
  <c r="AZ54" i="15"/>
  <c r="AZ55" i="15"/>
  <c r="AX55" i="15"/>
  <c r="K8" i="7"/>
  <c r="DJ8" i="7" s="1"/>
  <c r="AC614" i="7"/>
  <c r="AC616" i="7"/>
  <c r="AC617" i="7"/>
  <c r="AC618" i="7"/>
  <c r="AC619" i="7"/>
  <c r="AC620" i="7"/>
  <c r="AC622" i="7"/>
  <c r="AC623" i="7"/>
  <c r="AC613" i="7"/>
  <c r="K9" i="7"/>
  <c r="DJ9" i="7" s="1"/>
  <c r="DH261" i="2"/>
  <c r="DI260" i="2"/>
  <c r="DH260" i="2"/>
  <c r="DG260" i="2"/>
  <c r="DH343" i="2"/>
  <c r="K605" i="7"/>
  <c r="DJ605" i="7" s="1"/>
  <c r="AF615" i="7"/>
  <c r="V605" i="7"/>
  <c r="V606" i="7"/>
  <c r="J605" i="7"/>
  <c r="X187" i="15" s="1"/>
  <c r="Z187" i="15" s="1"/>
  <c r="W187" i="15" s="1"/>
  <c r="V187" i="15" s="1"/>
  <c r="J606" i="7"/>
  <c r="DH606" i="7" s="1"/>
  <c r="H605" i="7"/>
  <c r="H606" i="7"/>
  <c r="J9" i="7"/>
  <c r="X129" i="15" s="1"/>
  <c r="Z129" i="15" s="1"/>
  <c r="W129" i="15" s="1"/>
  <c r="V129" i="15" s="1"/>
  <c r="J8" i="7"/>
  <c r="X128" i="15" s="1"/>
  <c r="Z128" i="15" s="1"/>
  <c r="W128" i="15" s="1"/>
  <c r="V128" i="15" s="1"/>
  <c r="H9" i="7"/>
  <c r="H8" i="7"/>
  <c r="I451" i="6"/>
  <c r="I450" i="6"/>
  <c r="I449" i="6"/>
  <c r="I448" i="6"/>
  <c r="I447" i="6"/>
  <c r="I446" i="6"/>
  <c r="I443" i="6"/>
  <c r="I442" i="6"/>
  <c r="I436" i="6"/>
  <c r="I435" i="6"/>
  <c r="I434" i="6"/>
  <c r="I433" i="6"/>
  <c r="I432" i="6"/>
  <c r="I431" i="6"/>
  <c r="I430" i="6"/>
  <c r="I429" i="6"/>
  <c r="I428" i="6"/>
  <c r="I336" i="6"/>
  <c r="I335" i="6"/>
  <c r="I332" i="6"/>
  <c r="I331" i="6"/>
  <c r="I330" i="6"/>
  <c r="I329" i="6"/>
  <c r="I328" i="6"/>
  <c r="I327" i="6"/>
  <c r="K327" i="6"/>
  <c r="K328" i="6"/>
  <c r="K329" i="6"/>
  <c r="K330" i="6"/>
  <c r="K331" i="6"/>
  <c r="K332" i="6"/>
  <c r="K335" i="6"/>
  <c r="K336" i="6"/>
  <c r="H354" i="2"/>
  <c r="E354" i="2"/>
  <c r="D354" i="2"/>
  <c r="H343" i="2"/>
  <c r="E40" i="2"/>
  <c r="E41" i="2"/>
  <c r="E42" i="2"/>
  <c r="E43" i="2"/>
  <c r="E44" i="2"/>
  <c r="E45" i="2"/>
  <c r="E46" i="2"/>
  <c r="E47" i="2"/>
  <c r="J10" i="2"/>
  <c r="X239" i="15" s="1"/>
  <c r="Z239" i="15" s="1"/>
  <c r="W239" i="15" s="1"/>
  <c r="J11" i="2"/>
  <c r="J12" i="2"/>
  <c r="J13" i="2"/>
  <c r="X242" i="15" s="1"/>
  <c r="Z242" i="15" s="1"/>
  <c r="W242" i="15" s="1"/>
  <c r="J14" i="2"/>
  <c r="X243" i="15" s="1"/>
  <c r="Z243" i="15" s="1"/>
  <c r="J15" i="2"/>
  <c r="X244" i="15" s="1"/>
  <c r="Z244" i="15" s="1"/>
  <c r="J16" i="2"/>
  <c r="J17" i="2"/>
  <c r="J19" i="2"/>
  <c r="X248" i="15" s="1"/>
  <c r="Z248" i="15" s="1"/>
  <c r="J9" i="2"/>
  <c r="X238" i="15" s="1"/>
  <c r="Z238" i="15" s="1"/>
  <c r="W238" i="15" s="1"/>
  <c r="V9" i="11"/>
  <c r="K558" i="7"/>
  <c r="J558" i="7"/>
  <c r="K556" i="7"/>
  <c r="J556" i="7"/>
  <c r="I558" i="7"/>
  <c r="I556" i="7"/>
  <c r="AC452" i="7"/>
  <c r="AC444" i="7"/>
  <c r="AC439" i="7"/>
  <c r="AC434" i="7"/>
  <c r="AC1619" i="6"/>
  <c r="AC1612" i="6"/>
  <c r="AC1606" i="6"/>
  <c r="AC1604" i="6"/>
  <c r="AC1602" i="6"/>
  <c r="AC1600" i="6"/>
  <c r="AC1598" i="6"/>
  <c r="AC1596" i="6"/>
  <c r="AC1590" i="6"/>
  <c r="AC1588" i="6"/>
  <c r="AC1585" i="6"/>
  <c r="AC1582" i="6"/>
  <c r="AC1579" i="6"/>
  <c r="AC1573" i="6"/>
  <c r="AC1571" i="6"/>
  <c r="AC1567" i="6"/>
  <c r="AC1565" i="6"/>
  <c r="AC1557" i="6"/>
  <c r="AC1552" i="6"/>
  <c r="AC1550" i="6"/>
  <c r="AC1548" i="6"/>
  <c r="AC1544" i="6"/>
  <c r="AC1542" i="6"/>
  <c r="AC1540" i="6"/>
  <c r="AC1349" i="6"/>
  <c r="AC1342" i="6"/>
  <c r="AC1336" i="6"/>
  <c r="AC1334" i="6"/>
  <c r="AC1332" i="6"/>
  <c r="AC1330" i="6"/>
  <c r="AC1328" i="6"/>
  <c r="AC1326" i="6"/>
  <c r="AC1315" i="6"/>
  <c r="AC1312" i="6"/>
  <c r="AC1309" i="6"/>
  <c r="AC1303" i="6"/>
  <c r="AC1301" i="6"/>
  <c r="AC1297" i="6"/>
  <c r="AC1295" i="6"/>
  <c r="AC1287" i="6"/>
  <c r="AC1282" i="6"/>
  <c r="AC1280" i="6"/>
  <c r="AC1278" i="6"/>
  <c r="AC1274" i="6"/>
  <c r="AC1272" i="6"/>
  <c r="AC1270" i="6"/>
  <c r="AC1259" i="6"/>
  <c r="AC1252" i="6"/>
  <c r="AC1246" i="6"/>
  <c r="AC1244" i="6"/>
  <c r="AC1242" i="6"/>
  <c r="AC1240" i="6"/>
  <c r="AC1238" i="6"/>
  <c r="AC1236" i="6"/>
  <c r="AC1230" i="6"/>
  <c r="AC1228" i="6"/>
  <c r="AC1225" i="6"/>
  <c r="AC1222" i="6"/>
  <c r="AC1219" i="6"/>
  <c r="AC1213" i="6"/>
  <c r="AC1211" i="6"/>
  <c r="AC1207" i="6"/>
  <c r="AC1205" i="6"/>
  <c r="AC1197" i="6"/>
  <c r="AC1192" i="6"/>
  <c r="AC1190" i="6"/>
  <c r="AC1188" i="6"/>
  <c r="AC1184" i="6"/>
  <c r="AC1182" i="6"/>
  <c r="AC1180" i="6"/>
  <c r="AC989" i="6"/>
  <c r="AC982" i="6"/>
  <c r="AC976" i="6"/>
  <c r="AC974" i="6"/>
  <c r="AC972" i="6"/>
  <c r="AC970" i="6"/>
  <c r="AC968" i="6"/>
  <c r="AC966" i="6"/>
  <c r="AC955" i="6"/>
  <c r="AC952" i="6"/>
  <c r="AC949" i="6"/>
  <c r="AC943" i="6"/>
  <c r="AC941" i="6"/>
  <c r="AC937" i="6"/>
  <c r="AC935" i="6"/>
  <c r="AC927" i="6"/>
  <c r="AC922" i="6"/>
  <c r="AC920" i="6"/>
  <c r="AC918" i="6"/>
  <c r="AC914" i="6"/>
  <c r="AC912" i="6"/>
  <c r="AC910" i="6"/>
  <c r="DH888" i="6"/>
  <c r="DH886" i="6"/>
  <c r="DI886" i="6" s="1"/>
  <c r="DH884" i="6"/>
  <c r="DI884" i="6" s="1"/>
  <c r="DH883" i="6"/>
  <c r="DI883" i="6" s="1"/>
  <c r="DH882" i="6"/>
  <c r="DI882" i="6" s="1"/>
  <c r="DH881" i="6"/>
  <c r="DI881" i="6" s="1"/>
  <c r="DH880" i="6"/>
  <c r="DI880" i="6" s="1"/>
  <c r="DH878" i="6"/>
  <c r="DI878" i="6" s="1"/>
  <c r="DH877" i="6"/>
  <c r="DI877" i="6" s="1"/>
  <c r="DH876" i="6"/>
  <c r="DI876" i="6" s="1"/>
  <c r="DH875" i="6"/>
  <c r="DI875" i="6" s="1"/>
  <c r="DH874" i="6"/>
  <c r="DI874" i="6" s="1"/>
  <c r="DH873" i="6"/>
  <c r="DI873" i="6" s="1"/>
  <c r="DH872" i="6"/>
  <c r="DI872" i="6" s="1"/>
  <c r="DH871" i="6"/>
  <c r="DI871" i="6" s="1"/>
  <c r="DH870" i="6"/>
  <c r="DI870" i="6" s="1"/>
  <c r="DH869" i="6"/>
  <c r="DI869" i="6" s="1"/>
  <c r="DH868" i="6"/>
  <c r="DI868" i="6" s="1"/>
  <c r="DH867" i="6"/>
  <c r="DI867" i="6" s="1"/>
  <c r="DH866" i="6"/>
  <c r="DI866" i="6" s="1"/>
  <c r="DH865" i="6"/>
  <c r="DI865" i="6" s="1"/>
  <c r="DH864" i="6"/>
  <c r="DI864" i="6" s="1"/>
  <c r="DH862" i="6"/>
  <c r="DI862" i="6" s="1"/>
  <c r="DH861" i="6"/>
  <c r="DI861" i="6" s="1"/>
  <c r="DH860" i="6"/>
  <c r="DI860" i="6" s="1"/>
  <c r="DH859" i="6"/>
  <c r="DI859" i="6" s="1"/>
  <c r="DH858" i="6"/>
  <c r="DI858" i="6" s="1"/>
  <c r="DH857" i="6"/>
  <c r="DI857" i="6" s="1"/>
  <c r="DH856" i="6"/>
  <c r="DI856" i="6" s="1"/>
  <c r="DH854" i="6"/>
  <c r="DI854" i="6" s="1"/>
  <c r="DH853" i="6"/>
  <c r="DI853" i="6" s="1"/>
  <c r="DH852" i="6"/>
  <c r="DI852" i="6" s="1"/>
  <c r="DH851" i="6"/>
  <c r="DI851" i="6" s="1"/>
  <c r="DH850" i="6"/>
  <c r="DI850" i="6" s="1"/>
  <c r="DH849" i="6"/>
  <c r="DI849" i="6" s="1"/>
  <c r="DH848" i="6"/>
  <c r="DI848" i="6" s="1"/>
  <c r="DH847" i="6"/>
  <c r="DI847" i="6" s="1"/>
  <c r="DH846" i="6"/>
  <c r="DI846" i="6" s="1"/>
  <c r="DH845" i="6"/>
  <c r="DI845" i="6" s="1"/>
  <c r="DH844" i="6"/>
  <c r="DI844" i="6" s="1"/>
  <c r="DH843" i="6"/>
  <c r="DI843" i="6" s="1"/>
  <c r="DH842" i="6"/>
  <c r="DH840" i="6"/>
  <c r="DI840" i="6" s="1"/>
  <c r="DH839" i="6"/>
  <c r="DI839" i="6" s="1"/>
  <c r="DH838" i="6"/>
  <c r="DI838" i="6" s="1"/>
  <c r="DH836" i="6"/>
  <c r="DI836" i="6" s="1"/>
  <c r="DH834" i="6"/>
  <c r="DI834" i="6" s="1"/>
  <c r="DH833" i="6"/>
  <c r="DI833" i="6" s="1"/>
  <c r="DH832" i="6"/>
  <c r="DI832" i="6" s="1"/>
  <c r="DH831" i="6"/>
  <c r="DI831" i="6" s="1"/>
  <c r="DH830" i="6"/>
  <c r="DI830" i="6" s="1"/>
  <c r="DH829" i="6"/>
  <c r="DI829" i="6" s="1"/>
  <c r="DH828" i="6"/>
  <c r="DI828" i="6" s="1"/>
  <c r="DH826" i="6"/>
  <c r="DH824" i="6"/>
  <c r="DI824" i="6" s="1"/>
  <c r="DH823" i="6"/>
  <c r="DI823" i="6" s="1"/>
  <c r="DH822" i="6"/>
  <c r="DI822" i="6" s="1"/>
  <c r="DH821" i="6"/>
  <c r="DI821" i="6" s="1"/>
  <c r="DH820" i="6"/>
  <c r="DI820" i="6" s="1"/>
  <c r="DH819" i="6"/>
  <c r="DI819" i="6" s="1"/>
  <c r="DH818" i="6"/>
  <c r="DI818" i="6" s="1"/>
  <c r="DH817" i="6"/>
  <c r="DI817" i="6" s="1"/>
  <c r="DH816" i="6"/>
  <c r="DI816" i="6" s="1"/>
  <c r="DH815" i="6"/>
  <c r="DI815" i="6" s="1"/>
  <c r="DH814" i="6"/>
  <c r="DI814" i="6" s="1"/>
  <c r="DH813" i="6"/>
  <c r="DI813" i="6" s="1"/>
  <c r="DH812" i="6"/>
  <c r="DI812" i="6" s="1"/>
  <c r="DH811" i="6"/>
  <c r="DI811" i="6" s="1"/>
  <c r="DH810" i="6"/>
  <c r="DH809" i="6"/>
  <c r="DI809" i="6" s="1"/>
  <c r="DH808" i="6"/>
  <c r="DI808" i="6" s="1"/>
  <c r="DH807" i="6"/>
  <c r="DI807" i="6" s="1"/>
  <c r="DH806" i="6"/>
  <c r="DI806" i="6" s="1"/>
  <c r="DH805" i="6"/>
  <c r="DI805" i="6" s="1"/>
  <c r="DH804" i="6"/>
  <c r="DI804" i="6" s="1"/>
  <c r="DH803" i="6"/>
  <c r="DI803" i="6" s="1"/>
  <c r="DH802" i="6"/>
  <c r="DI802" i="6" s="1"/>
  <c r="DH801" i="6"/>
  <c r="DI801" i="6" s="1"/>
  <c r="DH800" i="6"/>
  <c r="DI800" i="6" s="1"/>
  <c r="DH799" i="6"/>
  <c r="DI799" i="6" s="1"/>
  <c r="DH798" i="6"/>
  <c r="DI798" i="6" s="1"/>
  <c r="DH797" i="6"/>
  <c r="DI797" i="6" s="1"/>
  <c r="DH796" i="6"/>
  <c r="DI796" i="6" s="1"/>
  <c r="DH795" i="6"/>
  <c r="DI795" i="6" s="1"/>
  <c r="DH794" i="6"/>
  <c r="DI794" i="6" s="1"/>
  <c r="DH793" i="6"/>
  <c r="DI793" i="6" s="1"/>
  <c r="DH792" i="6"/>
  <c r="DI792" i="6" s="1"/>
  <c r="DH791" i="6"/>
  <c r="DI791" i="6" s="1"/>
  <c r="DH790" i="6"/>
  <c r="DI790" i="6" s="1"/>
  <c r="DH789" i="6"/>
  <c r="DI789" i="6" s="1"/>
  <c r="DH788" i="6"/>
  <c r="DI788" i="6" s="1"/>
  <c r="DH784" i="6"/>
  <c r="DI784" i="6" s="1"/>
  <c r="DH783" i="6"/>
  <c r="DI783" i="6" s="1"/>
  <c r="DH782" i="6"/>
  <c r="DI782" i="6" s="1"/>
  <c r="DH781" i="6"/>
  <c r="DI781" i="6" s="1"/>
  <c r="DH780" i="6"/>
  <c r="DI780" i="6" s="1"/>
  <c r="DH779" i="6"/>
  <c r="DI779" i="6" s="1"/>
  <c r="DH778" i="6"/>
  <c r="DI778" i="6" s="1"/>
  <c r="DH777" i="6"/>
  <c r="DI777" i="6" s="1"/>
  <c r="DH776" i="6"/>
  <c r="DH775" i="6"/>
  <c r="DI775" i="6" s="1"/>
  <c r="DH774" i="6"/>
  <c r="DI774" i="6" s="1"/>
  <c r="DH773" i="6"/>
  <c r="DI773" i="6" s="1"/>
  <c r="DH772" i="6"/>
  <c r="DI772" i="6" s="1"/>
  <c r="DH771" i="6"/>
  <c r="DI771" i="6" s="1"/>
  <c r="DH768" i="6"/>
  <c r="DI768" i="6" s="1"/>
  <c r="DH767" i="6"/>
  <c r="DI767" i="6" s="1"/>
  <c r="DH766" i="6"/>
  <c r="DI766" i="6" s="1"/>
  <c r="DH765" i="6"/>
  <c r="DI765" i="6" s="1"/>
  <c r="DH764" i="6"/>
  <c r="DH762" i="6"/>
  <c r="DI762" i="6" s="1"/>
  <c r="DH761" i="6"/>
  <c r="DI761" i="6" s="1"/>
  <c r="DH760" i="6"/>
  <c r="DI760" i="6" s="1"/>
  <c r="DH759" i="6"/>
  <c r="DI759" i="6" s="1"/>
  <c r="DH756" i="6"/>
  <c r="DI756" i="6" s="1"/>
  <c r="DH752" i="6"/>
  <c r="DI752" i="6" s="1"/>
  <c r="DH751" i="6"/>
  <c r="DI751" i="6" s="1"/>
  <c r="DH748" i="6"/>
  <c r="DI748" i="6" s="1"/>
  <c r="DH746" i="6"/>
  <c r="DI746" i="6" s="1"/>
  <c r="DH744" i="6"/>
  <c r="DI744" i="6" s="1"/>
  <c r="DH743" i="6"/>
  <c r="DI743" i="6" s="1"/>
  <c r="DH742" i="6"/>
  <c r="DI742" i="6" s="1"/>
  <c r="DH738" i="6"/>
  <c r="DI738" i="6" s="1"/>
  <c r="DH737" i="6"/>
  <c r="DI737" i="6" s="1"/>
  <c r="DH736" i="6"/>
  <c r="DI736" i="6" s="1"/>
  <c r="DH734" i="6"/>
  <c r="DI734" i="6" s="1"/>
  <c r="DH732" i="6"/>
  <c r="DI732" i="6" s="1"/>
  <c r="DH731" i="6"/>
  <c r="DI731" i="6" s="1"/>
  <c r="DH730" i="6"/>
  <c r="DH728" i="6"/>
  <c r="DI728" i="6" s="1"/>
  <c r="DH727" i="6"/>
  <c r="DI727" i="6" s="1"/>
  <c r="DH726" i="6"/>
  <c r="DI726" i="6" s="1"/>
  <c r="DH725" i="6"/>
  <c r="DI725" i="6" s="1"/>
  <c r="DH724" i="6"/>
  <c r="DI724" i="6" s="1"/>
  <c r="DH722" i="6"/>
  <c r="DI722" i="6" s="1"/>
  <c r="DH721" i="6"/>
  <c r="DI721" i="6" s="1"/>
  <c r="DH720" i="6"/>
  <c r="DI720" i="6" s="1"/>
  <c r="DH718" i="6"/>
  <c r="DI718" i="6" s="1"/>
  <c r="DH717" i="6"/>
  <c r="DI717" i="6" s="1"/>
  <c r="DH716" i="6"/>
  <c r="DI716" i="6" s="1"/>
  <c r="DH714" i="6"/>
  <c r="DI714" i="6" s="1"/>
  <c r="DH712" i="6"/>
  <c r="DI712" i="6" s="1"/>
  <c r="DH711" i="6"/>
  <c r="DI711" i="6" s="1"/>
  <c r="DH710" i="6"/>
  <c r="DI710" i="6" s="1"/>
  <c r="F1908" i="6"/>
  <c r="F1909" i="6"/>
  <c r="F1910" i="6"/>
  <c r="F1911" i="6"/>
  <c r="F1912" i="6"/>
  <c r="F1913" i="6"/>
  <c r="F1914" i="6"/>
  <c r="F1915" i="6"/>
  <c r="F1916" i="6"/>
  <c r="F1917" i="6"/>
  <c r="F1918" i="6"/>
  <c r="F1919" i="6"/>
  <c r="F1920" i="6"/>
  <c r="F1921" i="6"/>
  <c r="F1922" i="6"/>
  <c r="F1923" i="6"/>
  <c r="F1924" i="6"/>
  <c r="F1925" i="6"/>
  <c r="F1926" i="6"/>
  <c r="F1927" i="6"/>
  <c r="F1928" i="6"/>
  <c r="F1929" i="6"/>
  <c r="F1932" i="6"/>
  <c r="F1933" i="6"/>
  <c r="F1934" i="6"/>
  <c r="F1935" i="6"/>
  <c r="F1936" i="6"/>
  <c r="F1937" i="6"/>
  <c r="F1938" i="6"/>
  <c r="F1939" i="6"/>
  <c r="F1942" i="6"/>
  <c r="F1943" i="6"/>
  <c r="F1946" i="6"/>
  <c r="F1947" i="6"/>
  <c r="F1950" i="6"/>
  <c r="F1951" i="6"/>
  <c r="F1952" i="6"/>
  <c r="F1953" i="6"/>
  <c r="F1954" i="6"/>
  <c r="F1955" i="6"/>
  <c r="F1956" i="6"/>
  <c r="F1957" i="6"/>
  <c r="F1958" i="6"/>
  <c r="F1959" i="6"/>
  <c r="F1962" i="6"/>
  <c r="F1963" i="6"/>
  <c r="F1964" i="6"/>
  <c r="F1965" i="6"/>
  <c r="F1966" i="6"/>
  <c r="F1967" i="6"/>
  <c r="F1968" i="6"/>
  <c r="F1969" i="6"/>
  <c r="F1970" i="6"/>
  <c r="F1971" i="6"/>
  <c r="F1972" i="6"/>
  <c r="F1973" i="6"/>
  <c r="F1974" i="6"/>
  <c r="F1975" i="6"/>
  <c r="F1978" i="6"/>
  <c r="F1979" i="6"/>
  <c r="F1980" i="6"/>
  <c r="F1981" i="6"/>
  <c r="F1982" i="6"/>
  <c r="F1983" i="6"/>
  <c r="F1984" i="6"/>
  <c r="F1985" i="6"/>
  <c r="F1986" i="6"/>
  <c r="F1987" i="6"/>
  <c r="F1988" i="6"/>
  <c r="F1989" i="6"/>
  <c r="F1990" i="6"/>
  <c r="F1991" i="6"/>
  <c r="F1992" i="6"/>
  <c r="F1993" i="6"/>
  <c r="F1994" i="6"/>
  <c r="F1995" i="6"/>
  <c r="F1996" i="6"/>
  <c r="F1997" i="6"/>
  <c r="F1998" i="6"/>
  <c r="F1999" i="6"/>
  <c r="F2000" i="6"/>
  <c r="F2001" i="6"/>
  <c r="F2002" i="6"/>
  <c r="F2003" i="6"/>
  <c r="F2004" i="6"/>
  <c r="F2005" i="6"/>
  <c r="F2006" i="6"/>
  <c r="F2007" i="6"/>
  <c r="F2008" i="6"/>
  <c r="F2009" i="6"/>
  <c r="F2010" i="6"/>
  <c r="F2011" i="6"/>
  <c r="F2012" i="6"/>
  <c r="F2013" i="6"/>
  <c r="F2014" i="6"/>
  <c r="F2015" i="6"/>
  <c r="F2016" i="6"/>
  <c r="F2017" i="6"/>
  <c r="F2018" i="6"/>
  <c r="F2019" i="6"/>
  <c r="F2020" i="6"/>
  <c r="F2021" i="6"/>
  <c r="F2022" i="6"/>
  <c r="F2023" i="6"/>
  <c r="F2024" i="6"/>
  <c r="F2025" i="6"/>
  <c r="F2026" i="6"/>
  <c r="F2027" i="6"/>
  <c r="F2028" i="6"/>
  <c r="F2029" i="6"/>
  <c r="F2030" i="6"/>
  <c r="F2031" i="6"/>
  <c r="F2032" i="6"/>
  <c r="F2033" i="6"/>
  <c r="F2034" i="6"/>
  <c r="F2035" i="6"/>
  <c r="F2036" i="6"/>
  <c r="F2037" i="6"/>
  <c r="F2038" i="6"/>
  <c r="F2039" i="6"/>
  <c r="F2040" i="6"/>
  <c r="F2041" i="6"/>
  <c r="F2042" i="6"/>
  <c r="F2043" i="6"/>
  <c r="F2044" i="6"/>
  <c r="F2045" i="6"/>
  <c r="F2046" i="6"/>
  <c r="F2047" i="6"/>
  <c r="F2048" i="6"/>
  <c r="F2049" i="6"/>
  <c r="F2050" i="6"/>
  <c r="F2051" i="6"/>
  <c r="F2052" i="6"/>
  <c r="F2053" i="6"/>
  <c r="F2054" i="6"/>
  <c r="F2055" i="6"/>
  <c r="F2056" i="6"/>
  <c r="F2057" i="6"/>
  <c r="F2058" i="6"/>
  <c r="F2059" i="6"/>
  <c r="F2060" i="6"/>
  <c r="F2061" i="6"/>
  <c r="F2062" i="6"/>
  <c r="F2063" i="6"/>
  <c r="F2064" i="6"/>
  <c r="F2065" i="6"/>
  <c r="F2066" i="6"/>
  <c r="F2067" i="6"/>
  <c r="F2068" i="6"/>
  <c r="F2069" i="6"/>
  <c r="F2070" i="6"/>
  <c r="F2071" i="6"/>
  <c r="F2072" i="6"/>
  <c r="F2073" i="6"/>
  <c r="F2074" i="6"/>
  <c r="F2075" i="6"/>
  <c r="F2076" i="6"/>
  <c r="F2077" i="6"/>
  <c r="F2078" i="6"/>
  <c r="F2079" i="6"/>
  <c r="F2080" i="6"/>
  <c r="F2081" i="6"/>
  <c r="F1904" i="6"/>
  <c r="F1905" i="6"/>
  <c r="F1906" i="6"/>
  <c r="F1907" i="6"/>
  <c r="F1798" i="6"/>
  <c r="F1799" i="6"/>
  <c r="F1800" i="6"/>
  <c r="F1801" i="6"/>
  <c r="F1802" i="6"/>
  <c r="F1803" i="6"/>
  <c r="F1804" i="6"/>
  <c r="F1805" i="6"/>
  <c r="F1806" i="6"/>
  <c r="F1807" i="6"/>
  <c r="F1808" i="6"/>
  <c r="F1809" i="6"/>
  <c r="F1810" i="6"/>
  <c r="F1811" i="6"/>
  <c r="F1812" i="6"/>
  <c r="F1813" i="6"/>
  <c r="F1814" i="6"/>
  <c r="F1815" i="6"/>
  <c r="F1816" i="6"/>
  <c r="F1817" i="6"/>
  <c r="F1818" i="6"/>
  <c r="F1819" i="6"/>
  <c r="F1820" i="6"/>
  <c r="F1821" i="6"/>
  <c r="F1822" i="6"/>
  <c r="F1823" i="6"/>
  <c r="F1824" i="6"/>
  <c r="F1825" i="6"/>
  <c r="F1826" i="6"/>
  <c r="F1827" i="6"/>
  <c r="F1828" i="6"/>
  <c r="F1829" i="6"/>
  <c r="F1830" i="6"/>
  <c r="F1831" i="6"/>
  <c r="F1832" i="6"/>
  <c r="F1833" i="6"/>
  <c r="F1834" i="6"/>
  <c r="F1835" i="6"/>
  <c r="F1836" i="6"/>
  <c r="F1837" i="6"/>
  <c r="F1838" i="6"/>
  <c r="F1839" i="6"/>
  <c r="F1840" i="6"/>
  <c r="F1841" i="6"/>
  <c r="F1842" i="6"/>
  <c r="F1843" i="6"/>
  <c r="F1844" i="6"/>
  <c r="F1845" i="6"/>
  <c r="F1846" i="6"/>
  <c r="F1847" i="6"/>
  <c r="F1848" i="6"/>
  <c r="F1849" i="6"/>
  <c r="F1850" i="6"/>
  <c r="F1851" i="6"/>
  <c r="F1852" i="6"/>
  <c r="F1853" i="6"/>
  <c r="F1854" i="6"/>
  <c r="F1855" i="6"/>
  <c r="F1856" i="6"/>
  <c r="F1857" i="6"/>
  <c r="F1858" i="6"/>
  <c r="F1859" i="6"/>
  <c r="F1860" i="6"/>
  <c r="F1861" i="6"/>
  <c r="F1862" i="6"/>
  <c r="F1863" i="6"/>
  <c r="F1864" i="6"/>
  <c r="F1865" i="6"/>
  <c r="F1866" i="6"/>
  <c r="F1867" i="6"/>
  <c r="F1868" i="6"/>
  <c r="F1869" i="6"/>
  <c r="F1870" i="6"/>
  <c r="F1871" i="6"/>
  <c r="F1872" i="6"/>
  <c r="F1873" i="6"/>
  <c r="F1874" i="6"/>
  <c r="F1875" i="6"/>
  <c r="F1876" i="6"/>
  <c r="F1877" i="6"/>
  <c r="F1878" i="6"/>
  <c r="F1879" i="6"/>
  <c r="F1880" i="6"/>
  <c r="F1881" i="6"/>
  <c r="F1882" i="6"/>
  <c r="F1883" i="6"/>
  <c r="F1884" i="6"/>
  <c r="F1885" i="6"/>
  <c r="F1886" i="6"/>
  <c r="F1887" i="6"/>
  <c r="F1888" i="6"/>
  <c r="F1889" i="6"/>
  <c r="F1890" i="6"/>
  <c r="F1891" i="6"/>
  <c r="F1892" i="6"/>
  <c r="F1893" i="6"/>
  <c r="F1894" i="6"/>
  <c r="F1895" i="6"/>
  <c r="F1896" i="6"/>
  <c r="F1897" i="6"/>
  <c r="F1898" i="6"/>
  <c r="F1899" i="6"/>
  <c r="F1900" i="6"/>
  <c r="F1901" i="6"/>
  <c r="F1902" i="6"/>
  <c r="F1903" i="6"/>
  <c r="F998" i="6"/>
  <c r="F997" i="6"/>
  <c r="F996" i="6"/>
  <c r="F995" i="6"/>
  <c r="F994" i="6"/>
  <c r="F993" i="6"/>
  <c r="F992" i="6"/>
  <c r="F991" i="6"/>
  <c r="F990" i="6"/>
  <c r="F989" i="6"/>
  <c r="F988" i="6"/>
  <c r="F987" i="6"/>
  <c r="F986" i="6"/>
  <c r="F985" i="6"/>
  <c r="F984" i="6"/>
  <c r="F983" i="6"/>
  <c r="F982" i="6"/>
  <c r="F981" i="6"/>
  <c r="F980" i="6"/>
  <c r="F979" i="6"/>
  <c r="F978" i="6"/>
  <c r="F977" i="6"/>
  <c r="F976" i="6"/>
  <c r="F975" i="6"/>
  <c r="F974" i="6"/>
  <c r="F973" i="6"/>
  <c r="F972" i="6"/>
  <c r="F971" i="6"/>
  <c r="F970" i="6"/>
  <c r="F969" i="6"/>
  <c r="F968" i="6"/>
  <c r="F967" i="6"/>
  <c r="F966" i="6"/>
  <c r="F965" i="6"/>
  <c r="F964" i="6"/>
  <c r="F963" i="6"/>
  <c r="F962" i="6"/>
  <c r="F961" i="6"/>
  <c r="F960" i="6"/>
  <c r="F959" i="6"/>
  <c r="F958" i="6"/>
  <c r="F957" i="6"/>
  <c r="F956" i="6"/>
  <c r="F955" i="6"/>
  <c r="F954" i="6"/>
  <c r="F953" i="6"/>
  <c r="F952" i="6"/>
  <c r="F951" i="6"/>
  <c r="F950" i="6"/>
  <c r="F949" i="6"/>
  <c r="F948" i="6"/>
  <c r="F946" i="6"/>
  <c r="F945" i="6"/>
  <c r="F944" i="6"/>
  <c r="F943" i="6"/>
  <c r="F942" i="6"/>
  <c r="F941" i="6"/>
  <c r="F940" i="6"/>
  <c r="F938" i="6"/>
  <c r="F937" i="6"/>
  <c r="F936" i="6"/>
  <c r="F935" i="6"/>
  <c r="F934" i="6"/>
  <c r="F932" i="6"/>
  <c r="F930" i="6"/>
  <c r="F928" i="6"/>
  <c r="F927" i="6"/>
  <c r="F926" i="6"/>
  <c r="F925" i="6"/>
  <c r="F923" i="6"/>
  <c r="F922" i="6"/>
  <c r="F921" i="6"/>
  <c r="F920" i="6"/>
  <c r="F919" i="6"/>
  <c r="F918" i="6"/>
  <c r="F917" i="6"/>
  <c r="F916" i="6"/>
  <c r="F915" i="6"/>
  <c r="F914" i="6"/>
  <c r="F913" i="6"/>
  <c r="F912" i="6"/>
  <c r="F911" i="6"/>
  <c r="F910" i="6"/>
  <c r="F909" i="6"/>
  <c r="BC66" i="15"/>
  <c r="F659" i="6"/>
  <c r="F660" i="6"/>
  <c r="F661" i="6"/>
  <c r="F662" i="6"/>
  <c r="F663" i="6"/>
  <c r="F664" i="6"/>
  <c r="F640" i="6"/>
  <c r="F639" i="6"/>
  <c r="F638" i="6"/>
  <c r="F637" i="6"/>
  <c r="F636" i="6"/>
  <c r="F635" i="6"/>
  <c r="F632" i="6"/>
  <c r="F631" i="6"/>
  <c r="F630" i="6"/>
  <c r="F629" i="6"/>
  <c r="F628" i="6"/>
  <c r="F627" i="6"/>
  <c r="F624" i="6"/>
  <c r="F623" i="6"/>
  <c r="F622" i="6"/>
  <c r="F621" i="6"/>
  <c r="F620" i="6"/>
  <c r="F619" i="6"/>
  <c r="AC92" i="16"/>
  <c r="L848" i="7"/>
  <c r="K848" i="7"/>
  <c r="J847" i="7"/>
  <c r="K847" i="7"/>
  <c r="L847" i="7"/>
  <c r="J848" i="7"/>
  <c r="H848" i="7"/>
  <c r="J525" i="7"/>
  <c r="L841" i="7"/>
  <c r="K841" i="7"/>
  <c r="J841" i="7"/>
  <c r="L704" i="7"/>
  <c r="DJ704" i="7" s="1"/>
  <c r="J524" i="7"/>
  <c r="N521" i="7"/>
  <c r="N522" i="7"/>
  <c r="N523" i="7"/>
  <c r="N524" i="7"/>
  <c r="N525" i="7"/>
  <c r="N520" i="7"/>
  <c r="L7" i="5"/>
  <c r="X18" i="15" s="1"/>
  <c r="Z18" i="15" s="1"/>
  <c r="W18" i="15" s="1"/>
  <c r="V18" i="15" s="1"/>
  <c r="G40" i="5"/>
  <c r="V57" i="2"/>
  <c r="W72" i="2"/>
  <c r="X72" i="2"/>
  <c r="Y72" i="2"/>
  <c r="AX72" i="2" s="1"/>
  <c r="Z72" i="2"/>
  <c r="AA72" i="2"/>
  <c r="AN72" i="2" s="1"/>
  <c r="AC72" i="2"/>
  <c r="BB72" i="2" s="1"/>
  <c r="AD72" i="2"/>
  <c r="AE72" i="2"/>
  <c r="AR72" i="2" s="1"/>
  <c r="AF72" i="2"/>
  <c r="AS72" i="2" s="1"/>
  <c r="AG72" i="2"/>
  <c r="AO72" i="2"/>
  <c r="BH72" i="2"/>
  <c r="BI72" i="2"/>
  <c r="BJ72" i="2"/>
  <c r="BK72" i="2"/>
  <c r="BL72" i="2"/>
  <c r="BN72" i="2"/>
  <c r="BO72" i="2"/>
  <c r="BP72" i="2"/>
  <c r="BQ72" i="2"/>
  <c r="AO8" i="2"/>
  <c r="BA8" i="2"/>
  <c r="AX217" i="15"/>
  <c r="AZ217" i="15"/>
  <c r="DH914" i="7"/>
  <c r="DH915" i="7"/>
  <c r="DJ915" i="7"/>
  <c r="DH841" i="7"/>
  <c r="AX214" i="15"/>
  <c r="AZ214" i="15"/>
  <c r="AX208" i="15"/>
  <c r="AZ208" i="15"/>
  <c r="L666" i="7"/>
  <c r="DJ666" i="7" s="1"/>
  <c r="L667" i="7"/>
  <c r="DJ667" i="7" s="1"/>
  <c r="K666" i="7"/>
  <c r="X190" i="15" s="1"/>
  <c r="Z190" i="15" s="1"/>
  <c r="W190" i="15" s="1"/>
  <c r="K667" i="7"/>
  <c r="X191" i="15" s="1"/>
  <c r="Z191" i="15" s="1"/>
  <c r="W191" i="15" s="1"/>
  <c r="AX191" i="15"/>
  <c r="AZ191" i="15"/>
  <c r="AX190" i="15"/>
  <c r="AZ190" i="15"/>
  <c r="AX182" i="15"/>
  <c r="AZ182" i="15"/>
  <c r="AX181" i="15"/>
  <c r="AZ181" i="15"/>
  <c r="DI312" i="2"/>
  <c r="H667" i="7"/>
  <c r="H666" i="7"/>
  <c r="H841" i="7"/>
  <c r="H847" i="7"/>
  <c r="V567" i="6"/>
  <c r="V564" i="6"/>
  <c r="AX232" i="15"/>
  <c r="AZ232" i="15"/>
  <c r="F92" i="16"/>
  <c r="BL39" i="2"/>
  <c r="V915" i="7"/>
  <c r="H914" i="7"/>
  <c r="H915" i="7"/>
  <c r="AN907" i="7"/>
  <c r="V694" i="7"/>
  <c r="I667" i="7"/>
  <c r="F667" i="7" s="1"/>
  <c r="I666" i="7"/>
  <c r="F666" i="7" s="1"/>
  <c r="AG676" i="7"/>
  <c r="AF676" i="7"/>
  <c r="AE676" i="7"/>
  <c r="AD676" i="7"/>
  <c r="AC676" i="7"/>
  <c r="AB676" i="7"/>
  <c r="AA676" i="7"/>
  <c r="Z676" i="7"/>
  <c r="Y676" i="7"/>
  <c r="X676" i="7"/>
  <c r="W676" i="7"/>
  <c r="V666" i="7"/>
  <c r="V667" i="7" s="1"/>
  <c r="DI665" i="7"/>
  <c r="DH665" i="7"/>
  <c r="DG665" i="7"/>
  <c r="AG665" i="7"/>
  <c r="AF665" i="7"/>
  <c r="AE665" i="7"/>
  <c r="AD665" i="7"/>
  <c r="AC665" i="7"/>
  <c r="AB665" i="7"/>
  <c r="AA665" i="7"/>
  <c r="Z665" i="7"/>
  <c r="Y665" i="7"/>
  <c r="X665" i="7"/>
  <c r="W665" i="7"/>
  <c r="V663" i="7"/>
  <c r="I630" i="7"/>
  <c r="F630" i="7" s="1"/>
  <c r="I631" i="7"/>
  <c r="F631" i="7" s="1"/>
  <c r="K557" i="7"/>
  <c r="K555" i="7"/>
  <c r="J557" i="7"/>
  <c r="J555" i="7"/>
  <c r="I557" i="7"/>
  <c r="V522" i="7"/>
  <c r="V523" i="7"/>
  <c r="L522" i="7"/>
  <c r="X181" i="15" s="1"/>
  <c r="Z181" i="15" s="1"/>
  <c r="L523" i="7"/>
  <c r="X182" i="15" s="1"/>
  <c r="Z182" i="15" s="1"/>
  <c r="I523" i="7"/>
  <c r="J522" i="7"/>
  <c r="I522" i="7"/>
  <c r="H522" i="7"/>
  <c r="H523" i="7"/>
  <c r="AA598" i="7"/>
  <c r="Z598" i="7"/>
  <c r="AA596" i="7"/>
  <c r="Z596" i="7"/>
  <c r="AA514" i="7"/>
  <c r="Z514" i="7"/>
  <c r="AA497" i="7"/>
  <c r="Z497" i="7"/>
  <c r="AA496" i="7"/>
  <c r="Z496" i="7"/>
  <c r="Z47" i="7"/>
  <c r="V41" i="7"/>
  <c r="V40" i="7"/>
  <c r="V39" i="7"/>
  <c r="V38" i="7"/>
  <c r="V37" i="7"/>
  <c r="V36" i="7"/>
  <c r="V34" i="7"/>
  <c r="AA21" i="7"/>
  <c r="Z21" i="7"/>
  <c r="AB908" i="6"/>
  <c r="F671" i="6"/>
  <c r="F655" i="6"/>
  <c r="L575" i="6"/>
  <c r="AJ48" i="15" s="1"/>
  <c r="F647" i="6"/>
  <c r="F616" i="6"/>
  <c r="F615" i="6"/>
  <c r="F614" i="6"/>
  <c r="F611" i="6"/>
  <c r="F613" i="6"/>
  <c r="F612" i="6"/>
  <c r="K385" i="6"/>
  <c r="L312" i="6" s="1"/>
  <c r="AJ43" i="15" s="1"/>
  <c r="K382" i="6"/>
  <c r="K380" i="6"/>
  <c r="K379" i="6"/>
  <c r="K377" i="6"/>
  <c r="F83" i="6"/>
  <c r="F81" i="6"/>
  <c r="F80" i="6"/>
  <c r="F78" i="6"/>
  <c r="F76" i="6"/>
  <c r="F75" i="6"/>
  <c r="F73" i="6"/>
  <c r="F72" i="6"/>
  <c r="F70" i="6"/>
  <c r="AA640" i="6"/>
  <c r="Z640" i="6"/>
  <c r="AA639" i="6"/>
  <c r="Z639" i="6"/>
  <c r="AA637" i="6"/>
  <c r="Z637" i="6"/>
  <c r="AA636" i="6"/>
  <c r="Z636" i="6"/>
  <c r="AA635" i="6"/>
  <c r="Z635" i="6"/>
  <c r="AA616" i="6"/>
  <c r="AA648" i="6" s="1"/>
  <c r="Z616" i="6"/>
  <c r="Z648" i="6" s="1"/>
  <c r="AA615" i="6"/>
  <c r="AA646" i="6" s="1"/>
  <c r="Z615" i="6"/>
  <c r="Z646" i="6" s="1"/>
  <c r="AA611" i="6"/>
  <c r="AA645" i="6" s="1"/>
  <c r="Z611" i="6"/>
  <c r="Z645" i="6" s="1"/>
  <c r="AA613" i="6"/>
  <c r="AA644" i="6" s="1"/>
  <c r="Z613" i="6"/>
  <c r="Z644" i="6" s="1"/>
  <c r="AA612" i="6"/>
  <c r="AA643" i="6" s="1"/>
  <c r="Z612" i="6"/>
  <c r="Z643" i="6" s="1"/>
  <c r="V7" i="5"/>
  <c r="X836" i="7"/>
  <c r="Y836" i="7"/>
  <c r="Z836" i="7"/>
  <c r="AA836" i="7"/>
  <c r="AB836" i="7"/>
  <c r="AC836" i="7"/>
  <c r="AD836" i="7"/>
  <c r="AE836" i="7"/>
  <c r="AF836" i="7"/>
  <c r="AG836" i="7"/>
  <c r="W836" i="7"/>
  <c r="F907" i="7"/>
  <c r="AG708" i="6"/>
  <c r="AF708" i="6"/>
  <c r="AE708" i="6"/>
  <c r="AD708" i="6"/>
  <c r="AC708" i="6"/>
  <c r="AB708" i="6"/>
  <c r="AA708" i="6"/>
  <c r="Z708" i="6"/>
  <c r="Y708" i="6"/>
  <c r="X708" i="6"/>
  <c r="W708" i="6"/>
  <c r="AG574" i="6"/>
  <c r="AF574" i="6"/>
  <c r="AE574" i="6"/>
  <c r="AD574" i="6"/>
  <c r="AC574" i="6"/>
  <c r="AB574" i="6"/>
  <c r="AA574" i="6"/>
  <c r="Z574" i="6"/>
  <c r="Y574" i="6"/>
  <c r="X574" i="6"/>
  <c r="W574" i="6"/>
  <c r="AG509" i="6"/>
  <c r="AF509" i="6"/>
  <c r="AE509" i="6"/>
  <c r="AD509" i="6"/>
  <c r="AC509" i="6"/>
  <c r="AB509" i="6"/>
  <c r="AA509" i="6"/>
  <c r="Z509" i="6"/>
  <c r="Y509" i="6"/>
  <c r="X509" i="6"/>
  <c r="W509" i="6"/>
  <c r="AG292" i="6"/>
  <c r="AF292" i="6"/>
  <c r="AE292" i="6"/>
  <c r="AD292" i="6"/>
  <c r="AC292" i="6"/>
  <c r="AB292" i="6"/>
  <c r="AA292" i="6"/>
  <c r="Z292" i="6"/>
  <c r="Y292" i="6"/>
  <c r="X292" i="6"/>
  <c r="W292" i="6"/>
  <c r="X69" i="6"/>
  <c r="Y69" i="6"/>
  <c r="Z69" i="6"/>
  <c r="AA69" i="6"/>
  <c r="AB69" i="6"/>
  <c r="AC69" i="6"/>
  <c r="AD69" i="6"/>
  <c r="AE69" i="6"/>
  <c r="AF69" i="6"/>
  <c r="AG69" i="6"/>
  <c r="W69" i="6"/>
  <c r="V708" i="6"/>
  <c r="V7" i="11"/>
  <c r="I7" i="5"/>
  <c r="AM506" i="2"/>
  <c r="AN506" i="2"/>
  <c r="CY38" i="2"/>
  <c r="CL38" i="2"/>
  <c r="AO38" i="2"/>
  <c r="DK320" i="2"/>
  <c r="DK319" i="2"/>
  <c r="DK318" i="2"/>
  <c r="DK317" i="2"/>
  <c r="DK314" i="2"/>
  <c r="DL312" i="2"/>
  <c r="DK312" i="2"/>
  <c r="DG312" i="2"/>
  <c r="DH312" i="2"/>
  <c r="DH314" i="2"/>
  <c r="H317" i="2"/>
  <c r="DH317" i="2"/>
  <c r="H318" i="2"/>
  <c r="DH318" i="2"/>
  <c r="H19" i="2"/>
  <c r="G318" i="2"/>
  <c r="AI319" i="2" s="1"/>
  <c r="G319" i="2"/>
  <c r="AI320" i="2" s="1"/>
  <c r="G320" i="2"/>
  <c r="G317" i="2"/>
  <c r="AI318" i="2" s="1"/>
  <c r="H243" i="2"/>
  <c r="H244" i="2"/>
  <c r="H60" i="2"/>
  <c r="H61" i="2"/>
  <c r="H435" i="2"/>
  <c r="AX332" i="15"/>
  <c r="AZ332" i="15"/>
  <c r="AX331" i="15"/>
  <c r="AZ331" i="15"/>
  <c r="AX330" i="15"/>
  <c r="AZ330" i="15"/>
  <c r="V484" i="2"/>
  <c r="D501" i="2"/>
  <c r="D500" i="2"/>
  <c r="D499" i="2"/>
  <c r="D445" i="2"/>
  <c r="E445" i="2"/>
  <c r="AX323" i="15"/>
  <c r="AZ323" i="15"/>
  <c r="F435" i="2"/>
  <c r="I323" i="15" s="1"/>
  <c r="DH435" i="2"/>
  <c r="L303" i="15"/>
  <c r="H319" i="2"/>
  <c r="K295" i="15"/>
  <c r="I295" i="15" s="1"/>
  <c r="K294" i="15"/>
  <c r="I294" i="15" s="1"/>
  <c r="K293" i="15"/>
  <c r="I293" i="15" s="1"/>
  <c r="K292" i="15"/>
  <c r="I292" i="15" s="1"/>
  <c r="K291" i="15"/>
  <c r="I291" i="15" s="1"/>
  <c r="AX289" i="15"/>
  <c r="AZ289" i="15"/>
  <c r="AX288" i="15"/>
  <c r="AZ288" i="15"/>
  <c r="F244" i="2"/>
  <c r="AF244" i="2" s="1"/>
  <c r="F243" i="2"/>
  <c r="AF243" i="2" s="1"/>
  <c r="E257" i="2"/>
  <c r="E256" i="2"/>
  <c r="D257" i="2"/>
  <c r="D256" i="2"/>
  <c r="DH244" i="2"/>
  <c r="DH243" i="2"/>
  <c r="AX255" i="15"/>
  <c r="AZ255" i="15"/>
  <c r="AX254" i="15"/>
  <c r="AZ254" i="15"/>
  <c r="DH61" i="2"/>
  <c r="F61" i="2"/>
  <c r="AF61" i="2" s="1"/>
  <c r="DH60" i="2"/>
  <c r="E75" i="2"/>
  <c r="D75" i="2"/>
  <c r="E74" i="2"/>
  <c r="D74" i="2"/>
  <c r="AX333" i="15"/>
  <c r="AZ333" i="15"/>
  <c r="AX327" i="15"/>
  <c r="AZ327" i="15"/>
  <c r="AX326" i="15"/>
  <c r="AZ326" i="15"/>
  <c r="AX325" i="15"/>
  <c r="AZ325" i="15"/>
  <c r="AX324" i="15"/>
  <c r="AZ324" i="15"/>
  <c r="AX320" i="15"/>
  <c r="AZ320" i="15"/>
  <c r="AX319" i="15"/>
  <c r="AZ319" i="15"/>
  <c r="AX318" i="15"/>
  <c r="AZ318" i="15"/>
  <c r="AX317" i="15"/>
  <c r="AZ317" i="15"/>
  <c r="AX316" i="15"/>
  <c r="AZ316" i="15"/>
  <c r="AX315" i="15"/>
  <c r="AZ315" i="15"/>
  <c r="AX314" i="15"/>
  <c r="AZ314" i="15"/>
  <c r="AX313" i="15"/>
  <c r="AZ313" i="15"/>
  <c r="AX312" i="15"/>
  <c r="AZ312" i="15"/>
  <c r="AX311" i="15"/>
  <c r="AZ311" i="15"/>
  <c r="AX310" i="15"/>
  <c r="AZ310" i="15"/>
  <c r="AX309" i="15"/>
  <c r="AZ309" i="15"/>
  <c r="AX308" i="15"/>
  <c r="AZ308" i="15"/>
  <c r="AX307" i="15"/>
  <c r="AZ307" i="15"/>
  <c r="AX306" i="15"/>
  <c r="AZ306" i="15"/>
  <c r="AX304" i="15"/>
  <c r="AZ304" i="15"/>
  <c r="AX303" i="15"/>
  <c r="AZ303" i="15"/>
  <c r="AX302" i="15"/>
  <c r="AZ302" i="15"/>
  <c r="AX301" i="15"/>
  <c r="AZ301" i="15"/>
  <c r="AX300" i="15"/>
  <c r="AZ300" i="15"/>
  <c r="AX297" i="15"/>
  <c r="AZ297" i="15"/>
  <c r="AX296" i="15"/>
  <c r="AZ296" i="15"/>
  <c r="AX295" i="15"/>
  <c r="AZ295" i="15"/>
  <c r="AX294" i="15"/>
  <c r="AZ294" i="15"/>
  <c r="AX293" i="15"/>
  <c r="AZ293" i="15"/>
  <c r="AX292" i="15"/>
  <c r="AZ292" i="15"/>
  <c r="AX291" i="15"/>
  <c r="AZ291" i="15"/>
  <c r="AX290" i="15"/>
  <c r="AZ290" i="15"/>
  <c r="AX287" i="15"/>
  <c r="AZ287" i="15"/>
  <c r="AX286" i="15"/>
  <c r="AZ286" i="15"/>
  <c r="AX284" i="15"/>
  <c r="AZ284" i="15"/>
  <c r="AX283" i="15"/>
  <c r="AZ283" i="15"/>
  <c r="AX282" i="15"/>
  <c r="AZ282" i="15"/>
  <c r="AX281" i="15"/>
  <c r="AZ281" i="15"/>
  <c r="AX280" i="15"/>
  <c r="AZ280" i="15"/>
  <c r="AX279" i="15"/>
  <c r="AZ279" i="15"/>
  <c r="AX278" i="15"/>
  <c r="AZ278" i="15"/>
  <c r="AX277" i="15"/>
  <c r="AZ277" i="15"/>
  <c r="AX276" i="15"/>
  <c r="AZ276" i="15"/>
  <c r="AX273" i="15"/>
  <c r="AZ273" i="15"/>
  <c r="AX272" i="15"/>
  <c r="AZ272" i="15"/>
  <c r="AX271" i="15"/>
  <c r="AZ271" i="15"/>
  <c r="AX270" i="15"/>
  <c r="AZ270" i="15"/>
  <c r="AX269" i="15"/>
  <c r="AZ269" i="15"/>
  <c r="AX268" i="15"/>
  <c r="AZ268" i="15"/>
  <c r="AX267" i="15"/>
  <c r="AZ267" i="15"/>
  <c r="AX265" i="15"/>
  <c r="AZ265" i="15"/>
  <c r="AX263" i="15"/>
  <c r="AZ263" i="15"/>
  <c r="AX262" i="15"/>
  <c r="AZ262" i="15"/>
  <c r="AX261" i="15"/>
  <c r="AZ261" i="15"/>
  <c r="AX260" i="15"/>
  <c r="AZ260" i="15"/>
  <c r="AX259" i="15"/>
  <c r="AZ259" i="15"/>
  <c r="AX258" i="15"/>
  <c r="AZ258" i="15"/>
  <c r="AX257" i="15"/>
  <c r="AZ257" i="15"/>
  <c r="AX256" i="15"/>
  <c r="AZ256" i="15"/>
  <c r="AX246" i="15"/>
  <c r="AZ246" i="15"/>
  <c r="AX245" i="15"/>
  <c r="AZ245" i="15"/>
  <c r="AX244" i="15"/>
  <c r="AZ244" i="15"/>
  <c r="AX243" i="15"/>
  <c r="AZ243" i="15"/>
  <c r="AX242" i="15"/>
  <c r="AZ242" i="15"/>
  <c r="AX241" i="15"/>
  <c r="AZ241" i="15"/>
  <c r="AX240" i="15"/>
  <c r="AZ240" i="15"/>
  <c r="AX239" i="15"/>
  <c r="AZ239" i="15"/>
  <c r="AX238" i="15"/>
  <c r="AZ238" i="15"/>
  <c r="F434" i="7"/>
  <c r="AZ172" i="15"/>
  <c r="AZ173" i="15"/>
  <c r="AZ174" i="15"/>
  <c r="AX172" i="15"/>
  <c r="AX173" i="15"/>
  <c r="AX174" i="15"/>
  <c r="AX28" i="15"/>
  <c r="AZ27" i="15"/>
  <c r="AZ28" i="15"/>
  <c r="AZ29" i="15"/>
  <c r="AZ30" i="15"/>
  <c r="AZ31" i="15"/>
  <c r="AZ32" i="15"/>
  <c r="AZ33" i="15"/>
  <c r="AZ34" i="15"/>
  <c r="AX33" i="15"/>
  <c r="AX34" i="15"/>
  <c r="AX31" i="15"/>
  <c r="AX32" i="15"/>
  <c r="AX29" i="15"/>
  <c r="AX30" i="15"/>
  <c r="AX27" i="15"/>
  <c r="DH91" i="6"/>
  <c r="DH88" i="6"/>
  <c r="DH87" i="6"/>
  <c r="DI87" i="6" s="1"/>
  <c r="DH85" i="6"/>
  <c r="DH83" i="6"/>
  <c r="DH82" i="6"/>
  <c r="DH81" i="6"/>
  <c r="W537" i="6"/>
  <c r="V425" i="7"/>
  <c r="N425" i="7"/>
  <c r="L425" i="7"/>
  <c r="H425" i="7"/>
  <c r="V424" i="7"/>
  <c r="N424" i="7"/>
  <c r="L424" i="7"/>
  <c r="H424" i="7"/>
  <c r="V423" i="7"/>
  <c r="N423" i="7"/>
  <c r="L423" i="7"/>
  <c r="X172" i="15" s="1"/>
  <c r="Z172" i="15" s="1"/>
  <c r="H423" i="7"/>
  <c r="AX220" i="15"/>
  <c r="AX221" i="15"/>
  <c r="AZ220" i="15"/>
  <c r="AZ221" i="15"/>
  <c r="AX219" i="15"/>
  <c r="AX218" i="15"/>
  <c r="AZ219" i="15"/>
  <c r="AZ218" i="15"/>
  <c r="AX216" i="15"/>
  <c r="AZ216" i="15"/>
  <c r="AX205" i="15"/>
  <c r="AX206" i="15"/>
  <c r="AX207" i="15"/>
  <c r="AX209" i="15"/>
  <c r="AX210" i="15"/>
  <c r="AX211" i="15"/>
  <c r="AX212" i="15"/>
  <c r="AX213" i="15"/>
  <c r="AX204" i="15"/>
  <c r="AZ205" i="15"/>
  <c r="AZ206" i="15"/>
  <c r="AZ207" i="15"/>
  <c r="AZ209" i="15"/>
  <c r="AZ210" i="15"/>
  <c r="AZ211" i="15"/>
  <c r="AZ212" i="15"/>
  <c r="AZ213" i="15"/>
  <c r="AZ204" i="15"/>
  <c r="AX199" i="15"/>
  <c r="AX200" i="15"/>
  <c r="AX201" i="15"/>
  <c r="AX202" i="15"/>
  <c r="AX203" i="15"/>
  <c r="AX198" i="15"/>
  <c r="AZ199" i="15"/>
  <c r="AZ200" i="15"/>
  <c r="AZ201" i="15"/>
  <c r="AZ202" i="15"/>
  <c r="AZ203" i="15"/>
  <c r="AZ198" i="15"/>
  <c r="AX196" i="15"/>
  <c r="AX197" i="15"/>
  <c r="AZ196" i="15"/>
  <c r="AZ197" i="15"/>
  <c r="AX192" i="15"/>
  <c r="AX193" i="15"/>
  <c r="AX194" i="15"/>
  <c r="AX195" i="15"/>
  <c r="AZ192" i="15"/>
  <c r="AZ193" i="15"/>
  <c r="AZ194" i="15"/>
  <c r="AZ195" i="15"/>
  <c r="AX188" i="15"/>
  <c r="AX189" i="15"/>
  <c r="AZ188" i="15"/>
  <c r="AZ189" i="15"/>
  <c r="AX185" i="15"/>
  <c r="AX186" i="15"/>
  <c r="AZ185" i="15"/>
  <c r="AZ186" i="15"/>
  <c r="AX183" i="15"/>
  <c r="AX184" i="15"/>
  <c r="AX180" i="15"/>
  <c r="AX179" i="15"/>
  <c r="AZ180" i="15"/>
  <c r="AZ183" i="15"/>
  <c r="AZ184" i="15"/>
  <c r="AZ179" i="15"/>
  <c r="AX177" i="15"/>
  <c r="AX178" i="15"/>
  <c r="AX176" i="15"/>
  <c r="AZ177" i="15"/>
  <c r="AZ178" i="15"/>
  <c r="AZ176" i="15"/>
  <c r="AX175" i="15"/>
  <c r="AX170" i="15"/>
  <c r="AX171" i="15"/>
  <c r="AX169" i="15"/>
  <c r="AZ175" i="15"/>
  <c r="AZ170" i="15"/>
  <c r="AZ171" i="15"/>
  <c r="AZ169" i="15"/>
  <c r="AX140" i="15"/>
  <c r="AX141" i="15"/>
  <c r="AX142" i="15"/>
  <c r="AX143" i="15"/>
  <c r="AX144" i="15"/>
  <c r="AX145" i="15"/>
  <c r="AX146" i="15"/>
  <c r="AX147" i="15"/>
  <c r="AX148" i="15"/>
  <c r="AX149" i="15"/>
  <c r="AX150" i="15"/>
  <c r="AX151" i="15"/>
  <c r="AX152" i="15"/>
  <c r="AX153" i="15"/>
  <c r="AX154" i="15"/>
  <c r="AX155" i="15"/>
  <c r="AX156" i="15"/>
  <c r="AX157" i="15"/>
  <c r="AX158" i="15"/>
  <c r="AX159" i="15"/>
  <c r="AX160" i="15"/>
  <c r="AX161" i="15"/>
  <c r="AX162" i="15"/>
  <c r="AX163" i="15"/>
  <c r="AX164" i="15"/>
  <c r="AX165" i="15"/>
  <c r="AX166" i="15"/>
  <c r="AX167" i="15"/>
  <c r="AX168" i="15"/>
  <c r="AX139" i="15"/>
  <c r="AZ166" i="15"/>
  <c r="AZ167" i="15"/>
  <c r="AZ168" i="15"/>
  <c r="AZ162" i="15"/>
  <c r="AZ163" i="15"/>
  <c r="AZ164" i="15"/>
  <c r="AZ165" i="15"/>
  <c r="AZ140" i="15"/>
  <c r="AZ141" i="15"/>
  <c r="AZ142" i="15"/>
  <c r="AZ143" i="15"/>
  <c r="AZ144" i="15"/>
  <c r="AZ145" i="15"/>
  <c r="AZ146" i="15"/>
  <c r="AZ147" i="15"/>
  <c r="AZ148" i="15"/>
  <c r="AZ149" i="15"/>
  <c r="AZ150" i="15"/>
  <c r="AZ151" i="15"/>
  <c r="AZ152" i="15"/>
  <c r="AZ153" i="15"/>
  <c r="AZ154" i="15"/>
  <c r="AZ155" i="15"/>
  <c r="AZ156" i="15"/>
  <c r="AZ157" i="15"/>
  <c r="AZ158" i="15"/>
  <c r="AZ159" i="15"/>
  <c r="AZ160" i="15"/>
  <c r="AZ161" i="15"/>
  <c r="AZ139" i="15"/>
  <c r="AX131" i="15"/>
  <c r="AX133" i="15"/>
  <c r="AX134" i="15"/>
  <c r="AX135" i="15"/>
  <c r="AX136" i="15"/>
  <c r="AX137" i="15"/>
  <c r="AX138" i="15"/>
  <c r="AX130" i="15"/>
  <c r="AZ131" i="15"/>
  <c r="AZ133" i="15"/>
  <c r="AZ134" i="15"/>
  <c r="AZ135" i="15"/>
  <c r="AZ136" i="15"/>
  <c r="AZ137" i="15"/>
  <c r="AZ138" i="15"/>
  <c r="AZ130" i="15"/>
  <c r="AX127" i="15"/>
  <c r="AZ127" i="15"/>
  <c r="AX56" i="15"/>
  <c r="AZ58" i="15"/>
  <c r="AX58" i="15"/>
  <c r="AZ60" i="15"/>
  <c r="AX60" i="15"/>
  <c r="AZ61" i="15"/>
  <c r="AX61" i="15"/>
  <c r="AZ63" i="15"/>
  <c r="AX63" i="15"/>
  <c r="AZ64" i="15"/>
  <c r="AX64" i="15"/>
  <c r="AZ65" i="15"/>
  <c r="AX65" i="15"/>
  <c r="AZ67" i="15"/>
  <c r="AX67" i="15"/>
  <c r="AZ69" i="15"/>
  <c r="AX69" i="15"/>
  <c r="AZ71" i="15"/>
  <c r="AX71" i="15"/>
  <c r="AZ73" i="15"/>
  <c r="AX73" i="15"/>
  <c r="AZ75" i="15"/>
  <c r="AX75" i="15"/>
  <c r="AZ77" i="15"/>
  <c r="AX77" i="15"/>
  <c r="AZ78" i="15"/>
  <c r="AX78" i="15"/>
  <c r="AZ80" i="15"/>
  <c r="AX80" i="15"/>
  <c r="AZ81" i="15"/>
  <c r="AX81" i="15"/>
  <c r="AZ82" i="15"/>
  <c r="AX82" i="15"/>
  <c r="AZ83" i="15"/>
  <c r="AX83" i="15"/>
  <c r="AZ84" i="15"/>
  <c r="AX84" i="15"/>
  <c r="AZ85" i="15"/>
  <c r="AX85" i="15"/>
  <c r="AZ86" i="15"/>
  <c r="AX86" i="15"/>
  <c r="AZ88" i="15"/>
  <c r="AX88" i="15"/>
  <c r="AZ89" i="15"/>
  <c r="AX89" i="15"/>
  <c r="AZ90" i="15"/>
  <c r="AX90" i="15"/>
  <c r="AZ92" i="15"/>
  <c r="AX92" i="15"/>
  <c r="AZ93" i="15"/>
  <c r="AX93" i="15"/>
  <c r="AZ94" i="15"/>
  <c r="AX94" i="15"/>
  <c r="AZ96" i="15"/>
  <c r="AX96" i="15"/>
  <c r="AZ97" i="15"/>
  <c r="AX97" i="15"/>
  <c r="AZ98" i="15"/>
  <c r="AX98" i="15"/>
  <c r="AZ99" i="15"/>
  <c r="AX99" i="15"/>
  <c r="AZ100" i="15"/>
  <c r="AX100" i="15"/>
  <c r="AZ101" i="15"/>
  <c r="AX101" i="15"/>
  <c r="AZ102" i="15"/>
  <c r="AX102" i="15"/>
  <c r="AZ103" i="15"/>
  <c r="AX103" i="15"/>
  <c r="AZ104" i="15"/>
  <c r="AX104" i="15"/>
  <c r="AZ105" i="15"/>
  <c r="AX105" i="15"/>
  <c r="AZ106" i="15"/>
  <c r="AX106" i="15"/>
  <c r="AZ107" i="15"/>
  <c r="AX107" i="15"/>
  <c r="AZ108" i="15"/>
  <c r="AX108" i="15"/>
  <c r="AZ109" i="15"/>
  <c r="AX109" i="15"/>
  <c r="AZ110" i="15"/>
  <c r="AX110" i="15"/>
  <c r="AX53" i="15"/>
  <c r="AZ53" i="15"/>
  <c r="AX49" i="15"/>
  <c r="AX50" i="15"/>
  <c r="AX51" i="15"/>
  <c r="AX48" i="15"/>
  <c r="AZ49" i="15"/>
  <c r="AZ50" i="15"/>
  <c r="AZ51" i="15"/>
  <c r="AZ48" i="15"/>
  <c r="AX46" i="15"/>
  <c r="AX47" i="15"/>
  <c r="AX45" i="15"/>
  <c r="AZ46" i="15"/>
  <c r="AZ47" i="15"/>
  <c r="AZ45" i="15"/>
  <c r="AX36" i="15"/>
  <c r="AX37" i="15"/>
  <c r="AX38" i="15"/>
  <c r="AX39" i="15"/>
  <c r="AX41" i="15"/>
  <c r="AX43" i="15"/>
  <c r="AX44" i="15"/>
  <c r="AX35" i="15"/>
  <c r="AZ36" i="15"/>
  <c r="AZ37" i="15"/>
  <c r="AZ38" i="15"/>
  <c r="AZ39" i="15"/>
  <c r="AZ41" i="15"/>
  <c r="AZ43" i="15"/>
  <c r="AZ44" i="15"/>
  <c r="AX20" i="15"/>
  <c r="AX21" i="15"/>
  <c r="AX22" i="15"/>
  <c r="AX23" i="15"/>
  <c r="AX24" i="15"/>
  <c r="AX25" i="15"/>
  <c r="AX26" i="15"/>
  <c r="AZ25" i="15"/>
  <c r="AZ26" i="15"/>
  <c r="AZ20" i="15"/>
  <c r="AZ21" i="15"/>
  <c r="AZ22" i="15"/>
  <c r="AZ23" i="15"/>
  <c r="AZ24" i="15"/>
  <c r="AX18" i="15"/>
  <c r="AZ18" i="15"/>
  <c r="V4" i="16"/>
  <c r="H7" i="16"/>
  <c r="I7" i="16"/>
  <c r="F7" i="16" s="1"/>
  <c r="N7" i="16"/>
  <c r="O7" i="16"/>
  <c r="DJ7" i="16" s="1"/>
  <c r="V7" i="16"/>
  <c r="X15" i="16"/>
  <c r="Y15" i="16"/>
  <c r="Z15" i="16"/>
  <c r="AA15" i="16"/>
  <c r="AB15" i="16"/>
  <c r="AC15" i="16"/>
  <c r="AD15" i="16"/>
  <c r="AE15" i="16"/>
  <c r="AF15" i="16"/>
  <c r="AG15" i="16"/>
  <c r="V16" i="16"/>
  <c r="V17" i="16"/>
  <c r="V18" i="16"/>
  <c r="W18" i="16"/>
  <c r="V19" i="16"/>
  <c r="V20" i="16"/>
  <c r="V21" i="16"/>
  <c r="V22" i="16"/>
  <c r="V23" i="16"/>
  <c r="V24" i="16"/>
  <c r="V25" i="16"/>
  <c r="V26" i="16"/>
  <c r="V27" i="16"/>
  <c r="V28" i="16"/>
  <c r="V29" i="16"/>
  <c r="V35" i="16"/>
  <c r="V36" i="16"/>
  <c r="V38" i="16"/>
  <c r="V39" i="16"/>
  <c r="V40" i="16"/>
  <c r="D41" i="16"/>
  <c r="V41" i="16" s="1"/>
  <c r="E41" i="16"/>
  <c r="D42" i="16"/>
  <c r="V45" i="16"/>
  <c r="X47" i="16"/>
  <c r="Y47" i="16"/>
  <c r="Z47" i="16"/>
  <c r="AA47" i="16"/>
  <c r="AB47" i="16"/>
  <c r="AC47" i="16"/>
  <c r="AD47" i="16"/>
  <c r="AE47" i="16"/>
  <c r="AF47" i="16"/>
  <c r="AG47" i="16"/>
  <c r="DG47" i="16"/>
  <c r="DH47" i="16"/>
  <c r="DI47" i="16"/>
  <c r="H48" i="16"/>
  <c r="J48" i="16"/>
  <c r="H49" i="16"/>
  <c r="J49" i="16"/>
  <c r="DH49" i="16" s="1"/>
  <c r="V49" i="16"/>
  <c r="H50" i="16"/>
  <c r="J50" i="16"/>
  <c r="K50" i="16"/>
  <c r="DJ50" i="16" s="1"/>
  <c r="V50" i="16"/>
  <c r="H51" i="16"/>
  <c r="J51" i="16"/>
  <c r="DH51" i="16" s="1"/>
  <c r="V51" i="16"/>
  <c r="H52" i="16"/>
  <c r="J52" i="16"/>
  <c r="X12" i="15" s="1"/>
  <c r="Z12" i="15" s="1"/>
  <c r="W12" i="15" s="1"/>
  <c r="K52" i="16"/>
  <c r="DJ52" i="16" s="1"/>
  <c r="V52" i="16"/>
  <c r="H53" i="16"/>
  <c r="J53" i="16"/>
  <c r="DH53" i="16" s="1"/>
  <c r="V53" i="16"/>
  <c r="H54" i="16"/>
  <c r="J54" i="16"/>
  <c r="X13" i="15" s="1"/>
  <c r="Z13" i="15" s="1"/>
  <c r="W13" i="15" s="1"/>
  <c r="K54" i="16"/>
  <c r="DJ54" i="16" s="1"/>
  <c r="V54" i="16"/>
  <c r="H55" i="16"/>
  <c r="J55" i="16"/>
  <c r="DH55" i="16" s="1"/>
  <c r="V55" i="16"/>
  <c r="H56" i="16"/>
  <c r="J56" i="16"/>
  <c r="K56" i="16"/>
  <c r="DJ56" i="16" s="1"/>
  <c r="V56" i="16"/>
  <c r="H57" i="16"/>
  <c r="J57" i="16"/>
  <c r="DH57" i="16" s="1"/>
  <c r="V57" i="16"/>
  <c r="H58" i="16"/>
  <c r="J58" i="16"/>
  <c r="X15" i="15" s="1"/>
  <c r="Z15" i="15" s="1"/>
  <c r="W15" i="15" s="1"/>
  <c r="K58" i="16"/>
  <c r="DJ58" i="16" s="1"/>
  <c r="V58" i="16"/>
  <c r="H59" i="16"/>
  <c r="J59" i="16"/>
  <c r="DH59" i="16" s="1"/>
  <c r="V59" i="16"/>
  <c r="H60" i="16"/>
  <c r="J60" i="16"/>
  <c r="K60" i="16"/>
  <c r="DJ60" i="16" s="1"/>
  <c r="V60" i="16"/>
  <c r="H61" i="16"/>
  <c r="J61" i="16"/>
  <c r="DH61" i="16" s="1"/>
  <c r="V61" i="16"/>
  <c r="X70" i="16"/>
  <c r="Y70" i="16"/>
  <c r="Z70" i="16"/>
  <c r="AA70" i="16"/>
  <c r="AB70" i="16"/>
  <c r="AC70" i="16"/>
  <c r="AD70" i="16"/>
  <c r="AE70" i="16"/>
  <c r="AF70" i="16"/>
  <c r="AG70" i="16"/>
  <c r="V71" i="16"/>
  <c r="E72" i="16"/>
  <c r="E79" i="16" s="1"/>
  <c r="E73" i="16"/>
  <c r="E80" i="16" s="1"/>
  <c r="E74" i="16"/>
  <c r="E108" i="16" s="1"/>
  <c r="E75" i="16"/>
  <c r="E121" i="16" s="1"/>
  <c r="E76" i="16"/>
  <c r="E102" i="16" s="1"/>
  <c r="E77" i="16"/>
  <c r="E103" i="16" s="1"/>
  <c r="V78" i="16"/>
  <c r="X78" i="16"/>
  <c r="W80" i="16"/>
  <c r="X81" i="16"/>
  <c r="X80" i="16" s="1"/>
  <c r="V85" i="16"/>
  <c r="V92" i="16"/>
  <c r="V96" i="16"/>
  <c r="V97" i="16"/>
  <c r="W97" i="16"/>
  <c r="X97" i="16"/>
  <c r="W99" i="16"/>
  <c r="X99" i="16"/>
  <c r="W100" i="16"/>
  <c r="X100" i="16"/>
  <c r="W101" i="16"/>
  <c r="X101" i="16"/>
  <c r="W103" i="16"/>
  <c r="X103" i="16"/>
  <c r="V104" i="16"/>
  <c r="V105" i="16"/>
  <c r="V112" i="16"/>
  <c r="V113" i="16"/>
  <c r="V114" i="16"/>
  <c r="X114" i="16"/>
  <c r="V115" i="16"/>
  <c r="V116" i="16"/>
  <c r="V117" i="16"/>
  <c r="V124" i="16"/>
  <c r="AX11" i="15"/>
  <c r="AX12" i="15"/>
  <c r="AX13" i="15"/>
  <c r="AX14" i="15"/>
  <c r="AX15" i="15"/>
  <c r="AX16" i="15"/>
  <c r="AX10" i="15"/>
  <c r="AX9" i="15"/>
  <c r="AZ11" i="15"/>
  <c r="AZ12" i="15"/>
  <c r="AZ13" i="15"/>
  <c r="AZ14" i="15"/>
  <c r="AZ15" i="15"/>
  <c r="AZ16" i="15"/>
  <c r="AZ10" i="15"/>
  <c r="L702" i="7"/>
  <c r="DJ702" i="7" s="1"/>
  <c r="L703" i="7"/>
  <c r="DJ703" i="7" s="1"/>
  <c r="L701" i="7"/>
  <c r="DJ701" i="7" s="1"/>
  <c r="V4" i="11"/>
  <c r="AS973" i="7"/>
  <c r="AR973" i="7"/>
  <c r="AQ973" i="7"/>
  <c r="AP973" i="7"/>
  <c r="AO973" i="7"/>
  <c r="AN973" i="7"/>
  <c r="AM973" i="7"/>
  <c r="AL973" i="7"/>
  <c r="AK973" i="7"/>
  <c r="AJ973" i="7"/>
  <c r="AG973" i="7"/>
  <c r="AF973" i="7"/>
  <c r="AE973" i="7"/>
  <c r="AD973" i="7"/>
  <c r="AC973" i="7"/>
  <c r="AB973" i="7"/>
  <c r="AA973" i="7"/>
  <c r="Z973" i="7"/>
  <c r="Y973" i="7"/>
  <c r="X973" i="7"/>
  <c r="K968" i="7"/>
  <c r="DJ968" i="7" s="1"/>
  <c r="J968" i="7"/>
  <c r="X221" i="15" s="1"/>
  <c r="Z221" i="15" s="1"/>
  <c r="W221" i="15" s="1"/>
  <c r="H968" i="7"/>
  <c r="K967" i="7"/>
  <c r="DJ967" i="7" s="1"/>
  <c r="J967" i="7"/>
  <c r="X220" i="15" s="1"/>
  <c r="Z220" i="15" s="1"/>
  <c r="W220" i="15" s="1"/>
  <c r="H967" i="7"/>
  <c r="DI966" i="7"/>
  <c r="DH966" i="7"/>
  <c r="DG966" i="7"/>
  <c r="AG966" i="7"/>
  <c r="AF966" i="7"/>
  <c r="AE966" i="7"/>
  <c r="AD966" i="7"/>
  <c r="AC966" i="7"/>
  <c r="AB966" i="7"/>
  <c r="AA966" i="7"/>
  <c r="Z966" i="7"/>
  <c r="Y966" i="7"/>
  <c r="X966" i="7"/>
  <c r="V964" i="7"/>
  <c r="E960" i="7"/>
  <c r="E959" i="7"/>
  <c r="V958" i="7"/>
  <c r="V957" i="7"/>
  <c r="V956" i="7"/>
  <c r="V955" i="7"/>
  <c r="V954" i="7"/>
  <c r="V953" i="7"/>
  <c r="X952" i="7"/>
  <c r="V952" i="7"/>
  <c r="F952" i="7"/>
  <c r="AF952" i="7" s="1"/>
  <c r="X951" i="7"/>
  <c r="V951" i="7"/>
  <c r="F951" i="7"/>
  <c r="AF951" i="7" s="1"/>
  <c r="X950" i="7"/>
  <c r="V950" i="7"/>
  <c r="X949" i="7"/>
  <c r="V949" i="7"/>
  <c r="F949" i="7"/>
  <c r="AF949" i="7" s="1"/>
  <c r="X948" i="7"/>
  <c r="V948" i="7"/>
  <c r="F948" i="7"/>
  <c r="AF948" i="7" s="1"/>
  <c r="X947" i="7"/>
  <c r="V947" i="7"/>
  <c r="X945" i="7"/>
  <c r="V946" i="7"/>
  <c r="AG941" i="7"/>
  <c r="AF941" i="7"/>
  <c r="AE941" i="7"/>
  <c r="AD941" i="7"/>
  <c r="AC941" i="7"/>
  <c r="AB941" i="7"/>
  <c r="AA941" i="7"/>
  <c r="Z941" i="7"/>
  <c r="Y941" i="7"/>
  <c r="X941" i="7"/>
  <c r="W941" i="7"/>
  <c r="J934" i="7"/>
  <c r="H934" i="7"/>
  <c r="K933" i="7"/>
  <c r="DJ933" i="7" s="1"/>
  <c r="J933" i="7"/>
  <c r="X219" i="15" s="1"/>
  <c r="H933" i="7"/>
  <c r="J932" i="7"/>
  <c r="Y218" i="15" s="1"/>
  <c r="H932" i="7"/>
  <c r="V931" i="7"/>
  <c r="V932" i="7" s="1"/>
  <c r="V933" i="7" s="1"/>
  <c r="V934" i="7" s="1"/>
  <c r="K931" i="7"/>
  <c r="DJ931" i="7" s="1"/>
  <c r="J931" i="7"/>
  <c r="X218" i="15" s="1"/>
  <c r="H931" i="7"/>
  <c r="DI930" i="7"/>
  <c r="DH930" i="7"/>
  <c r="DG930" i="7"/>
  <c r="AG930" i="7"/>
  <c r="AF930" i="7"/>
  <c r="AE930" i="7"/>
  <c r="AD930" i="7"/>
  <c r="AC930" i="7"/>
  <c r="AB930" i="7"/>
  <c r="AA930" i="7"/>
  <c r="Z930" i="7"/>
  <c r="Y930" i="7"/>
  <c r="X930" i="7"/>
  <c r="V928" i="7"/>
  <c r="V914" i="7"/>
  <c r="DI913" i="7"/>
  <c r="DH913" i="7"/>
  <c r="DG913" i="7"/>
  <c r="AG913" i="7"/>
  <c r="AF913" i="7"/>
  <c r="AE913" i="7"/>
  <c r="AD913" i="7"/>
  <c r="AC913" i="7"/>
  <c r="AB913" i="7"/>
  <c r="AA913" i="7"/>
  <c r="Z913" i="7"/>
  <c r="Y913" i="7"/>
  <c r="X913" i="7"/>
  <c r="V911" i="7"/>
  <c r="AS896" i="7"/>
  <c r="AR896" i="7"/>
  <c r="AQ896" i="7"/>
  <c r="AP896" i="7"/>
  <c r="AO896" i="7"/>
  <c r="AN896" i="7"/>
  <c r="AM896" i="7"/>
  <c r="AL896" i="7"/>
  <c r="AK896" i="7"/>
  <c r="AJ896" i="7"/>
  <c r="AI896" i="7"/>
  <c r="AS895" i="7"/>
  <c r="AR895" i="7"/>
  <c r="AQ895" i="7"/>
  <c r="AP895" i="7"/>
  <c r="AO895" i="7"/>
  <c r="AN895" i="7"/>
  <c r="AM895" i="7"/>
  <c r="AL895" i="7"/>
  <c r="AK895" i="7"/>
  <c r="AJ895" i="7"/>
  <c r="AI895" i="7"/>
  <c r="AG853" i="7"/>
  <c r="AF853" i="7"/>
  <c r="AE853" i="7"/>
  <c r="AD853" i="7"/>
  <c r="AC853" i="7"/>
  <c r="AB853" i="7"/>
  <c r="AA853" i="7"/>
  <c r="Z853" i="7"/>
  <c r="Y853" i="7"/>
  <c r="X853" i="7"/>
  <c r="W853" i="7"/>
  <c r="V852" i="7"/>
  <c r="V851" i="7"/>
  <c r="DH846" i="7"/>
  <c r="L846" i="7"/>
  <c r="K846" i="7"/>
  <c r="J846" i="7"/>
  <c r="H846" i="7"/>
  <c r="DH845" i="7"/>
  <c r="L845" i="7"/>
  <c r="J845" i="7"/>
  <c r="H845" i="7"/>
  <c r="DH844" i="7"/>
  <c r="L844" i="7"/>
  <c r="J844" i="7"/>
  <c r="H844" i="7"/>
  <c r="DH843" i="7"/>
  <c r="L843" i="7"/>
  <c r="K843" i="7"/>
  <c r="J843" i="7"/>
  <c r="H843" i="7"/>
  <c r="DH842" i="7"/>
  <c r="L842" i="7"/>
  <c r="K842" i="7"/>
  <c r="J842" i="7"/>
  <c r="H842" i="7"/>
  <c r="DH840" i="7"/>
  <c r="L840" i="7"/>
  <c r="K840" i="7"/>
  <c r="J840" i="7"/>
  <c r="H840" i="7"/>
  <c r="DH839" i="7"/>
  <c r="L839" i="7"/>
  <c r="K839" i="7"/>
  <c r="J839" i="7"/>
  <c r="H839" i="7"/>
  <c r="DH838" i="7"/>
  <c r="L838" i="7"/>
  <c r="F838" i="7" s="1"/>
  <c r="J838" i="7"/>
  <c r="H838" i="7"/>
  <c r="DH837" i="7"/>
  <c r="V837" i="7"/>
  <c r="V838" i="7" s="1"/>
  <c r="V839" i="7" s="1"/>
  <c r="V840" i="7" s="1"/>
  <c r="V841" i="7" s="1"/>
  <c r="V842" i="7" s="1"/>
  <c r="V843" i="7" s="1"/>
  <c r="V844" i="7" s="1"/>
  <c r="V845" i="7" s="1"/>
  <c r="V846" i="7" s="1"/>
  <c r="V847" i="7" s="1"/>
  <c r="V848" i="7" s="1"/>
  <c r="Q837" i="7"/>
  <c r="P837" i="7"/>
  <c r="DJ837" i="7" s="1"/>
  <c r="L837" i="7"/>
  <c r="F837" i="7" s="1"/>
  <c r="J837" i="7"/>
  <c r="H837" i="7"/>
  <c r="DI836" i="7"/>
  <c r="DH836" i="7"/>
  <c r="DG836" i="7"/>
  <c r="V833" i="7"/>
  <c r="V829" i="7"/>
  <c r="E828" i="7"/>
  <c r="E826" i="7"/>
  <c r="V825" i="7"/>
  <c r="V824" i="7"/>
  <c r="V823" i="7"/>
  <c r="X820" i="7"/>
  <c r="F820" i="7"/>
  <c r="F778" i="7" s="1"/>
  <c r="X819" i="7"/>
  <c r="F819" i="7"/>
  <c r="V817" i="7"/>
  <c r="V811" i="7"/>
  <c r="V810" i="7"/>
  <c r="V804" i="7"/>
  <c r="V803" i="7"/>
  <c r="V802" i="7"/>
  <c r="V801" i="7"/>
  <c r="V800" i="7"/>
  <c r="W798" i="7"/>
  <c r="W796" i="7"/>
  <c r="W794" i="7"/>
  <c r="V794" i="7"/>
  <c r="V793" i="7"/>
  <c r="AG792" i="7"/>
  <c r="AF792" i="7"/>
  <c r="AE792" i="7"/>
  <c r="AD792" i="7"/>
  <c r="AC792" i="7"/>
  <c r="AB792" i="7"/>
  <c r="AA792" i="7"/>
  <c r="Z792" i="7"/>
  <c r="Y792" i="7"/>
  <c r="X792" i="7"/>
  <c r="W792" i="7"/>
  <c r="V791" i="7"/>
  <c r="V790" i="7"/>
  <c r="V789" i="7"/>
  <c r="V788" i="7"/>
  <c r="V787" i="7"/>
  <c r="V786" i="7"/>
  <c r="V785" i="7"/>
  <c r="J782" i="7"/>
  <c r="DH782" i="7" s="1"/>
  <c r="DI782" i="7" s="1"/>
  <c r="AF203" i="15" s="1"/>
  <c r="H782" i="7"/>
  <c r="I782" i="7" s="1"/>
  <c r="R203" i="15" s="1"/>
  <c r="J781" i="7"/>
  <c r="H781" i="7"/>
  <c r="J780" i="7"/>
  <c r="DH780" i="7" s="1"/>
  <c r="DI780" i="7" s="1"/>
  <c r="AF202" i="15" s="1"/>
  <c r="H780" i="7"/>
  <c r="I780" i="7" s="1"/>
  <c r="R202" i="15" s="1"/>
  <c r="J779" i="7"/>
  <c r="X202" i="15" s="1"/>
  <c r="Z202" i="15" s="1"/>
  <c r="W202" i="15" s="1"/>
  <c r="H779" i="7"/>
  <c r="J778" i="7"/>
  <c r="DH778" i="7" s="1"/>
  <c r="H778" i="7"/>
  <c r="J777" i="7"/>
  <c r="X201" i="15" s="1"/>
  <c r="Z201" i="15" s="1"/>
  <c r="W201" i="15" s="1"/>
  <c r="H777" i="7"/>
  <c r="J776" i="7"/>
  <c r="DH776" i="7" s="1"/>
  <c r="H776" i="7"/>
  <c r="J775" i="7"/>
  <c r="H775" i="7"/>
  <c r="J774" i="7"/>
  <c r="DH774" i="7" s="1"/>
  <c r="H774" i="7"/>
  <c r="J773" i="7"/>
  <c r="H773" i="7"/>
  <c r="J772" i="7"/>
  <c r="DH772" i="7" s="1"/>
  <c r="H772" i="7"/>
  <c r="V771" i="7"/>
  <c r="V772" i="7" s="1"/>
  <c r="V773" i="7" s="1"/>
  <c r="V774" i="7" s="1"/>
  <c r="V775" i="7" s="1"/>
  <c r="V776" i="7" s="1"/>
  <c r="V777" i="7" s="1"/>
  <c r="V778" i="7" s="1"/>
  <c r="V779" i="7" s="1"/>
  <c r="V780" i="7" s="1"/>
  <c r="V781" i="7" s="1"/>
  <c r="V782" i="7" s="1"/>
  <c r="J771" i="7"/>
  <c r="X198" i="15" s="1"/>
  <c r="Z198" i="15" s="1"/>
  <c r="W198" i="15" s="1"/>
  <c r="H771" i="7"/>
  <c r="DI770" i="7"/>
  <c r="DH770" i="7"/>
  <c r="DG770" i="7"/>
  <c r="AG770" i="7"/>
  <c r="AF770" i="7"/>
  <c r="AE770" i="7"/>
  <c r="AD770" i="7"/>
  <c r="AC770" i="7"/>
  <c r="AB770" i="7"/>
  <c r="AA770" i="7"/>
  <c r="Z770" i="7"/>
  <c r="Y770" i="7"/>
  <c r="X770" i="7"/>
  <c r="W770" i="7"/>
  <c r="V768" i="7"/>
  <c r="V763" i="7"/>
  <c r="V762" i="7"/>
  <c r="V761" i="7"/>
  <c r="V760" i="7"/>
  <c r="V759" i="7"/>
  <c r="V758" i="7"/>
  <c r="V757" i="7"/>
  <c r="V756" i="7"/>
  <c r="V755" i="7"/>
  <c r="V754" i="7"/>
  <c r="W753" i="7"/>
  <c r="V753" i="7"/>
  <c r="X752" i="7"/>
  <c r="W752" i="7"/>
  <c r="V752" i="7"/>
  <c r="F752" i="7"/>
  <c r="AF752" i="7" s="1"/>
  <c r="V751" i="7"/>
  <c r="X750" i="7"/>
  <c r="W750" i="7"/>
  <c r="V750" i="7"/>
  <c r="AG749" i="7"/>
  <c r="AF749" i="7"/>
  <c r="AE749" i="7"/>
  <c r="AD749" i="7"/>
  <c r="AC749" i="7"/>
  <c r="AB749" i="7"/>
  <c r="AA749" i="7"/>
  <c r="Z749" i="7"/>
  <c r="Y749" i="7"/>
  <c r="X749" i="7"/>
  <c r="W749" i="7"/>
  <c r="K744" i="7"/>
  <c r="DJ744" i="7" s="1"/>
  <c r="J744" i="7"/>
  <c r="X197" i="15" s="1"/>
  <c r="Z197" i="15" s="1"/>
  <c r="W197" i="15" s="1"/>
  <c r="H744" i="7"/>
  <c r="K743" i="7"/>
  <c r="DJ743" i="7" s="1"/>
  <c r="J743" i="7"/>
  <c r="X196" i="15" s="1"/>
  <c r="Z196" i="15" s="1"/>
  <c r="W196" i="15" s="1"/>
  <c r="H743" i="7"/>
  <c r="V743" i="7"/>
  <c r="V744" i="7" s="1"/>
  <c r="DI742" i="7"/>
  <c r="DH742" i="7"/>
  <c r="DG742" i="7"/>
  <c r="AG742" i="7"/>
  <c r="AF742" i="7"/>
  <c r="AE742" i="7"/>
  <c r="AD742" i="7"/>
  <c r="AC742" i="7"/>
  <c r="AB742" i="7"/>
  <c r="AA742" i="7"/>
  <c r="Z742" i="7"/>
  <c r="Y742" i="7"/>
  <c r="X742" i="7"/>
  <c r="W742" i="7"/>
  <c r="V740" i="7"/>
  <c r="V731" i="7"/>
  <c r="V730" i="7"/>
  <c r="V729" i="7"/>
  <c r="V728" i="7"/>
  <c r="V727" i="7"/>
  <c r="V726" i="7"/>
  <c r="V725" i="7"/>
  <c r="V723" i="7"/>
  <c r="V722" i="7"/>
  <c r="V721" i="7"/>
  <c r="V719" i="7"/>
  <c r="V718" i="7"/>
  <c r="V717" i="7"/>
  <c r="V716" i="7"/>
  <c r="X715" i="7"/>
  <c r="X717" i="7" s="1"/>
  <c r="V715" i="7"/>
  <c r="AG713" i="7"/>
  <c r="AF713" i="7"/>
  <c r="AE713" i="7"/>
  <c r="AD713" i="7"/>
  <c r="AC713" i="7"/>
  <c r="AB713" i="7"/>
  <c r="AA713" i="7"/>
  <c r="Z713" i="7"/>
  <c r="Y713" i="7"/>
  <c r="X713" i="7"/>
  <c r="W713" i="7"/>
  <c r="K704" i="7"/>
  <c r="H704" i="7"/>
  <c r="K703" i="7"/>
  <c r="H703" i="7"/>
  <c r="K702" i="7"/>
  <c r="X193" i="15" s="1"/>
  <c r="Z193" i="15" s="1"/>
  <c r="W193" i="15" s="1"/>
  <c r="I702" i="7"/>
  <c r="F702" i="7" s="1"/>
  <c r="H702" i="7"/>
  <c r="K701" i="7"/>
  <c r="X192" i="15" s="1"/>
  <c r="Z192" i="15" s="1"/>
  <c r="W192" i="15" s="1"/>
  <c r="I701" i="7"/>
  <c r="F701" i="7" s="1"/>
  <c r="H701" i="7"/>
  <c r="V701" i="7"/>
  <c r="V702" i="7" s="1"/>
  <c r="V703" i="7" s="1"/>
  <c r="V704" i="7" s="1"/>
  <c r="DI700" i="7"/>
  <c r="DH700" i="7"/>
  <c r="DG700" i="7"/>
  <c r="AG700" i="7"/>
  <c r="AF700" i="7"/>
  <c r="AE700" i="7"/>
  <c r="AD700" i="7"/>
  <c r="AC700" i="7"/>
  <c r="AB700" i="7"/>
  <c r="AA700" i="7"/>
  <c r="Z700" i="7"/>
  <c r="Y700" i="7"/>
  <c r="X700" i="7"/>
  <c r="W700" i="7"/>
  <c r="V698" i="7"/>
  <c r="AG641" i="7"/>
  <c r="AF641" i="7"/>
  <c r="AE641" i="7"/>
  <c r="AD641" i="7"/>
  <c r="AC641" i="7"/>
  <c r="AB641" i="7"/>
  <c r="AA641" i="7"/>
  <c r="Z641" i="7"/>
  <c r="Y641" i="7"/>
  <c r="X641" i="7"/>
  <c r="W641" i="7"/>
  <c r="L631" i="7"/>
  <c r="DJ631" i="7" s="1"/>
  <c r="K631" i="7"/>
  <c r="X189" i="15" s="1"/>
  <c r="Z189" i="15" s="1"/>
  <c r="W189" i="15" s="1"/>
  <c r="H631" i="7"/>
  <c r="L630" i="7"/>
  <c r="DJ630" i="7" s="1"/>
  <c r="K630" i="7"/>
  <c r="X188" i="15" s="1"/>
  <c r="Z188" i="15" s="1"/>
  <c r="W188" i="15" s="1"/>
  <c r="H630" i="7"/>
  <c r="V630" i="7"/>
  <c r="V631" i="7" s="1"/>
  <c r="DI629" i="7"/>
  <c r="DH629" i="7"/>
  <c r="DG629" i="7"/>
  <c r="AG629" i="7"/>
  <c r="AF629" i="7"/>
  <c r="AE629" i="7"/>
  <c r="AD629" i="7"/>
  <c r="AC629" i="7"/>
  <c r="AB629" i="7"/>
  <c r="AA629" i="7"/>
  <c r="Z629" i="7"/>
  <c r="Y629" i="7"/>
  <c r="X629" i="7"/>
  <c r="W629" i="7"/>
  <c r="V627" i="7"/>
  <c r="W614" i="7"/>
  <c r="AG612" i="7"/>
  <c r="AF612" i="7"/>
  <c r="AE612" i="7"/>
  <c r="AD612" i="7"/>
  <c r="AC612" i="7"/>
  <c r="AB612" i="7"/>
  <c r="AA612" i="7"/>
  <c r="Z612" i="7"/>
  <c r="Y612" i="7"/>
  <c r="X612" i="7"/>
  <c r="W612" i="7"/>
  <c r="DI604" i="7"/>
  <c r="DH604" i="7"/>
  <c r="DG604" i="7"/>
  <c r="AG604" i="7"/>
  <c r="AF604" i="7"/>
  <c r="AE604" i="7"/>
  <c r="AD604" i="7"/>
  <c r="AC604" i="7"/>
  <c r="AB604" i="7"/>
  <c r="AA604" i="7"/>
  <c r="Z604" i="7"/>
  <c r="Y604" i="7"/>
  <c r="X604" i="7"/>
  <c r="W604" i="7"/>
  <c r="V602" i="7"/>
  <c r="Y598" i="7"/>
  <c r="Y596" i="7"/>
  <c r="O555" i="7"/>
  <c r="DJ555" i="7" s="1"/>
  <c r="F579" i="7"/>
  <c r="F578" i="7"/>
  <c r="F577" i="7"/>
  <c r="F576" i="7"/>
  <c r="AG568" i="7"/>
  <c r="AF568" i="7"/>
  <c r="AE568" i="7"/>
  <c r="AD568" i="7"/>
  <c r="AC568" i="7"/>
  <c r="AB568" i="7"/>
  <c r="AA568" i="7"/>
  <c r="Z568" i="7"/>
  <c r="Y568" i="7"/>
  <c r="X568" i="7"/>
  <c r="W568" i="7"/>
  <c r="V558" i="7"/>
  <c r="O558" i="7"/>
  <c r="DJ558" i="7" s="1"/>
  <c r="N558" i="7"/>
  <c r="Y186" i="15" s="1"/>
  <c r="G558" i="7"/>
  <c r="V557" i="7"/>
  <c r="N557" i="7"/>
  <c r="X186" i="15" s="1"/>
  <c r="H557" i="7"/>
  <c r="V556" i="7"/>
  <c r="O556" i="7"/>
  <c r="DJ556" i="7" s="1"/>
  <c r="N556" i="7"/>
  <c r="Y185" i="15" s="1"/>
  <c r="G556" i="7"/>
  <c r="D185" i="15" s="1"/>
  <c r="V555" i="7"/>
  <c r="N555" i="7"/>
  <c r="H555" i="7"/>
  <c r="DI554" i="7"/>
  <c r="DH554" i="7"/>
  <c r="DG554" i="7"/>
  <c r="AG554" i="7"/>
  <c r="AF554" i="7"/>
  <c r="AE554" i="7"/>
  <c r="AD554" i="7"/>
  <c r="AC554" i="7"/>
  <c r="AB554" i="7"/>
  <c r="AA554" i="7"/>
  <c r="Z554" i="7"/>
  <c r="Y554" i="7"/>
  <c r="X554" i="7"/>
  <c r="W554" i="7"/>
  <c r="G549" i="7"/>
  <c r="V547" i="7"/>
  <c r="V546" i="7"/>
  <c r="V545" i="7"/>
  <c r="V544" i="7"/>
  <c r="V543" i="7"/>
  <c r="V537" i="7"/>
  <c r="W536" i="7"/>
  <c r="V536" i="7"/>
  <c r="V533" i="7"/>
  <c r="AG532" i="7"/>
  <c r="AF532" i="7"/>
  <c r="AE532" i="7"/>
  <c r="AD532" i="7"/>
  <c r="AC532" i="7"/>
  <c r="AB532" i="7"/>
  <c r="AA532" i="7"/>
  <c r="Z532" i="7"/>
  <c r="Y532" i="7"/>
  <c r="X532" i="7"/>
  <c r="W532" i="7"/>
  <c r="V525" i="7"/>
  <c r="L525" i="7"/>
  <c r="X184" i="15" s="1"/>
  <c r="Z184" i="15" s="1"/>
  <c r="I525" i="7"/>
  <c r="H525" i="7"/>
  <c r="V524" i="7"/>
  <c r="L524" i="7"/>
  <c r="I524" i="7"/>
  <c r="H524" i="7"/>
  <c r="V521" i="7"/>
  <c r="L521" i="7"/>
  <c r="X180" i="15" s="1"/>
  <c r="Z180" i="15" s="1"/>
  <c r="I521" i="7"/>
  <c r="H521" i="7"/>
  <c r="V520" i="7"/>
  <c r="L520" i="7"/>
  <c r="X179" i="15" s="1"/>
  <c r="Z179" i="15" s="1"/>
  <c r="J520" i="7"/>
  <c r="H520" i="7"/>
  <c r="DI519" i="7"/>
  <c r="DH519" i="7"/>
  <c r="DG519" i="7"/>
  <c r="AG519" i="7"/>
  <c r="AF519" i="7"/>
  <c r="AE519" i="7"/>
  <c r="AD519" i="7"/>
  <c r="AC519" i="7"/>
  <c r="AB519" i="7"/>
  <c r="AA519" i="7"/>
  <c r="Z519" i="7"/>
  <c r="Y519" i="7"/>
  <c r="X519" i="7"/>
  <c r="W519" i="7"/>
  <c r="V517" i="7"/>
  <c r="Y514" i="7"/>
  <c r="G514" i="7"/>
  <c r="V512" i="7"/>
  <c r="V511" i="7"/>
  <c r="V510" i="7"/>
  <c r="V509" i="7"/>
  <c r="V508" i="7"/>
  <c r="V507" i="7"/>
  <c r="V506" i="7"/>
  <c r="V505" i="7"/>
  <c r="V504" i="7"/>
  <c r="V503" i="7"/>
  <c r="V502" i="7"/>
  <c r="V501" i="7"/>
  <c r="V500" i="7"/>
  <c r="V499" i="7"/>
  <c r="V498" i="7"/>
  <c r="Y497" i="7"/>
  <c r="X497" i="7"/>
  <c r="V497" i="7"/>
  <c r="G497" i="7"/>
  <c r="Y496" i="7"/>
  <c r="X496" i="7"/>
  <c r="W496" i="7"/>
  <c r="V496" i="7"/>
  <c r="G496" i="7"/>
  <c r="V495" i="7"/>
  <c r="V494" i="7"/>
  <c r="AG493" i="7"/>
  <c r="AF493" i="7"/>
  <c r="AE493" i="7"/>
  <c r="AD493" i="7"/>
  <c r="AC493" i="7"/>
  <c r="AB493" i="7"/>
  <c r="AA493" i="7"/>
  <c r="Z493" i="7"/>
  <c r="Y493" i="7"/>
  <c r="X493" i="7"/>
  <c r="W493" i="7"/>
  <c r="V487" i="7"/>
  <c r="M487" i="7"/>
  <c r="X178" i="15" s="1"/>
  <c r="Z178" i="15" s="1"/>
  <c r="H487" i="7"/>
  <c r="V486" i="7"/>
  <c r="M486" i="7"/>
  <c r="H486" i="7"/>
  <c r="V485" i="7"/>
  <c r="M485" i="7"/>
  <c r="X176" i="15" s="1"/>
  <c r="Z176" i="15" s="1"/>
  <c r="H485" i="7"/>
  <c r="DI484" i="7"/>
  <c r="DH484" i="7"/>
  <c r="DG484" i="7"/>
  <c r="AG484" i="7"/>
  <c r="AF484" i="7"/>
  <c r="AE484" i="7"/>
  <c r="AD484" i="7"/>
  <c r="AC484" i="7"/>
  <c r="AB484" i="7"/>
  <c r="AA484" i="7"/>
  <c r="Z484" i="7"/>
  <c r="Y484" i="7"/>
  <c r="X484" i="7"/>
  <c r="W484" i="7"/>
  <c r="V482" i="7"/>
  <c r="V477" i="7"/>
  <c r="AG468" i="7"/>
  <c r="AF468" i="7"/>
  <c r="AE468" i="7"/>
  <c r="AD468" i="7"/>
  <c r="AC468" i="7"/>
  <c r="AB468" i="7"/>
  <c r="AA468" i="7"/>
  <c r="Z468" i="7"/>
  <c r="Y468" i="7"/>
  <c r="X468" i="7"/>
  <c r="W468" i="7"/>
  <c r="V458" i="7"/>
  <c r="M458" i="7"/>
  <c r="DJ458" i="7" s="1"/>
  <c r="L458" i="7"/>
  <c r="J458" i="7"/>
  <c r="H458" i="7"/>
  <c r="DI457" i="7"/>
  <c r="DH457" i="7"/>
  <c r="DG457" i="7"/>
  <c r="AG457" i="7"/>
  <c r="AF457" i="7"/>
  <c r="AE457" i="7"/>
  <c r="AD457" i="7"/>
  <c r="AC457" i="7"/>
  <c r="AB457" i="7"/>
  <c r="Z457" i="7"/>
  <c r="Y457" i="7"/>
  <c r="X457" i="7"/>
  <c r="W457" i="7"/>
  <c r="V455" i="7"/>
  <c r="F452" i="7"/>
  <c r="E452" i="7"/>
  <c r="E514" i="7" s="1"/>
  <c r="E549" i="7" s="1"/>
  <c r="D452" i="7"/>
  <c r="V452" i="7" s="1"/>
  <c r="E451" i="7"/>
  <c r="E478" i="7" s="1"/>
  <c r="E513" i="7" s="1"/>
  <c r="E548" i="7" s="1"/>
  <c r="E623" i="7" s="1"/>
  <c r="E659" i="7" s="1"/>
  <c r="E734" i="7" s="1"/>
  <c r="D451" i="7"/>
  <c r="V451" i="7" s="1"/>
  <c r="V450" i="7"/>
  <c r="V449" i="7"/>
  <c r="E448" i="7"/>
  <c r="E447" i="7"/>
  <c r="V446" i="7"/>
  <c r="E446" i="7"/>
  <c r="E445" i="7"/>
  <c r="E444" i="7"/>
  <c r="V443" i="7"/>
  <c r="E443" i="7"/>
  <c r="V441" i="7"/>
  <c r="E440" i="7"/>
  <c r="F439" i="7"/>
  <c r="E439" i="7"/>
  <c r="V438" i="7"/>
  <c r="E438" i="7"/>
  <c r="V437" i="7"/>
  <c r="W436" i="7"/>
  <c r="V436" i="7"/>
  <c r="V435" i="7"/>
  <c r="V433" i="7"/>
  <c r="AG432" i="7"/>
  <c r="AF432" i="7"/>
  <c r="AE432" i="7"/>
  <c r="AD432" i="7"/>
  <c r="AC432" i="7"/>
  <c r="AB432" i="7"/>
  <c r="AA432" i="7"/>
  <c r="Z432" i="7"/>
  <c r="Y432" i="7"/>
  <c r="X432" i="7"/>
  <c r="W432" i="7"/>
  <c r="V422" i="7"/>
  <c r="N422" i="7"/>
  <c r="L422" i="7"/>
  <c r="J422" i="7"/>
  <c r="H422" i="7"/>
  <c r="V421" i="7"/>
  <c r="N421" i="7"/>
  <c r="L421" i="7"/>
  <c r="J421" i="7"/>
  <c r="H421" i="7"/>
  <c r="V420" i="7"/>
  <c r="N420" i="7"/>
  <c r="L420" i="7"/>
  <c r="J420" i="7"/>
  <c r="H420" i="7"/>
  <c r="DI419" i="7"/>
  <c r="DH419" i="7"/>
  <c r="DG419" i="7"/>
  <c r="AG419" i="7"/>
  <c r="AF419" i="7"/>
  <c r="AE419" i="7"/>
  <c r="AD419" i="7"/>
  <c r="AC419" i="7"/>
  <c r="AB419" i="7"/>
  <c r="AA419" i="7"/>
  <c r="Z419" i="7"/>
  <c r="Y419" i="7"/>
  <c r="X419" i="7"/>
  <c r="W419" i="7"/>
  <c r="V417" i="7"/>
  <c r="F414" i="7"/>
  <c r="F413" i="7"/>
  <c r="F412" i="7"/>
  <c r="I411" i="7"/>
  <c r="F411" i="7"/>
  <c r="I410" i="7"/>
  <c r="F410" i="7"/>
  <c r="I409" i="7"/>
  <c r="F409" i="7"/>
  <c r="F408" i="7"/>
  <c r="F407" i="7"/>
  <c r="F406" i="7"/>
  <c r="I405" i="7"/>
  <c r="F405" i="7"/>
  <c r="I404" i="7"/>
  <c r="F404" i="7"/>
  <c r="I403" i="7"/>
  <c r="F403" i="7"/>
  <c r="F402" i="7"/>
  <c r="F401" i="7"/>
  <c r="F400" i="7"/>
  <c r="I399" i="7"/>
  <c r="F399" i="7"/>
  <c r="I398" i="7"/>
  <c r="M114" i="7"/>
  <c r="DJ114" i="7" s="1"/>
  <c r="I397" i="7"/>
  <c r="F397" i="7"/>
  <c r="F396" i="7"/>
  <c r="F395" i="7"/>
  <c r="F394" i="7"/>
  <c r="I393" i="7"/>
  <c r="F393" i="7"/>
  <c r="I392" i="7"/>
  <c r="F392" i="7"/>
  <c r="I391" i="7"/>
  <c r="F391" i="7"/>
  <c r="F390" i="7"/>
  <c r="F389" i="7"/>
  <c r="F388" i="7"/>
  <c r="I387" i="7"/>
  <c r="F387" i="7"/>
  <c r="I386" i="7"/>
  <c r="F386" i="7"/>
  <c r="I385" i="7"/>
  <c r="F385" i="7"/>
  <c r="V354" i="7"/>
  <c r="V324" i="7"/>
  <c r="V323" i="7"/>
  <c r="V322" i="7"/>
  <c r="V321" i="7"/>
  <c r="W320" i="7"/>
  <c r="W318" i="7"/>
  <c r="W314" i="7"/>
  <c r="W312" i="7"/>
  <c r="W308" i="7"/>
  <c r="W306" i="7"/>
  <c r="W302" i="7"/>
  <c r="W300" i="7"/>
  <c r="W296" i="7"/>
  <c r="W294" i="7"/>
  <c r="V291" i="7"/>
  <c r="W289" i="7"/>
  <c r="W319" i="7" s="1"/>
  <c r="W286" i="7"/>
  <c r="W283" i="7"/>
  <c r="W313" i="7" s="1"/>
  <c r="W280" i="7"/>
  <c r="W277" i="7"/>
  <c r="W307" i="7" s="1"/>
  <c r="W274" i="7"/>
  <c r="W271" i="7"/>
  <c r="W301" i="7" s="1"/>
  <c r="W268" i="7"/>
  <c r="W265" i="7"/>
  <c r="W295" i="7" s="1"/>
  <c r="W262" i="7"/>
  <c r="V261" i="7"/>
  <c r="V259" i="7"/>
  <c r="V258" i="7"/>
  <c r="V257" i="7"/>
  <c r="W253" i="7"/>
  <c r="W317" i="7" s="1"/>
  <c r="W252" i="7"/>
  <c r="W251" i="7"/>
  <c r="W315" i="7" s="1"/>
  <c r="W247" i="7"/>
  <c r="W311" i="7" s="1"/>
  <c r="W246" i="7"/>
  <c r="W245" i="7"/>
  <c r="W309" i="7" s="1"/>
  <c r="W241" i="7"/>
  <c r="W305" i="7" s="1"/>
  <c r="W240" i="7"/>
  <c r="W239" i="7"/>
  <c r="W303" i="7" s="1"/>
  <c r="W235" i="7"/>
  <c r="W299" i="7" s="1"/>
  <c r="W234" i="7"/>
  <c r="W233" i="7"/>
  <c r="W297" i="7" s="1"/>
  <c r="W229" i="7"/>
  <c r="W293" i="7" s="1"/>
  <c r="W228" i="7"/>
  <c r="W227" i="7"/>
  <c r="W291" i="7" s="1"/>
  <c r="V227" i="7"/>
  <c r="V197" i="7"/>
  <c r="V167" i="7"/>
  <c r="V137" i="7"/>
  <c r="AG136" i="7"/>
  <c r="AF136" i="7"/>
  <c r="AE136" i="7"/>
  <c r="AD136" i="7"/>
  <c r="AC136" i="7"/>
  <c r="AB136" i="7"/>
  <c r="AA136" i="7"/>
  <c r="Z136" i="7"/>
  <c r="Y136" i="7"/>
  <c r="X136" i="7"/>
  <c r="W136" i="7"/>
  <c r="V130" i="7"/>
  <c r="N130" i="7"/>
  <c r="L130" i="7"/>
  <c r="H130" i="7"/>
  <c r="V129" i="7"/>
  <c r="N129" i="7"/>
  <c r="L129" i="7"/>
  <c r="H129" i="7"/>
  <c r="V128" i="7"/>
  <c r="N128" i="7"/>
  <c r="L128" i="7"/>
  <c r="H128" i="7"/>
  <c r="V127" i="7"/>
  <c r="N127" i="7"/>
  <c r="L127" i="7"/>
  <c r="X165" i="15" s="1"/>
  <c r="Z165" i="15" s="1"/>
  <c r="H127" i="7"/>
  <c r="V126" i="7"/>
  <c r="N126" i="7"/>
  <c r="L126" i="7"/>
  <c r="X164" i="15" s="1"/>
  <c r="Z164" i="15" s="1"/>
  <c r="H126" i="7"/>
  <c r="V125" i="7"/>
  <c r="N125" i="7"/>
  <c r="L125" i="7"/>
  <c r="X163" i="15" s="1"/>
  <c r="Z163" i="15" s="1"/>
  <c r="H125" i="7"/>
  <c r="V124" i="7"/>
  <c r="N124" i="7"/>
  <c r="L124" i="7"/>
  <c r="X162" i="15" s="1"/>
  <c r="Z162" i="15" s="1"/>
  <c r="H124" i="7"/>
  <c r="V123" i="7"/>
  <c r="N123" i="7"/>
  <c r="L123" i="7"/>
  <c r="H123" i="7"/>
  <c r="V122" i="7"/>
  <c r="N122" i="7"/>
  <c r="L122" i="7"/>
  <c r="H122" i="7"/>
  <c r="V121" i="7"/>
  <c r="N121" i="7"/>
  <c r="L121" i="7"/>
  <c r="X159" i="15" s="1"/>
  <c r="Z159" i="15" s="1"/>
  <c r="H121" i="7"/>
  <c r="V120" i="7"/>
  <c r="N120" i="7"/>
  <c r="L120" i="7"/>
  <c r="X158" i="15" s="1"/>
  <c r="Z158" i="15" s="1"/>
  <c r="H120" i="7"/>
  <c r="V119" i="7"/>
  <c r="N119" i="7"/>
  <c r="L119" i="7"/>
  <c r="X157" i="15" s="1"/>
  <c r="Z157" i="15" s="1"/>
  <c r="H119" i="7"/>
  <c r="V118" i="7"/>
  <c r="N118" i="7"/>
  <c r="L118" i="7"/>
  <c r="H118" i="7"/>
  <c r="V117" i="7"/>
  <c r="N117" i="7"/>
  <c r="L117" i="7"/>
  <c r="H117" i="7"/>
  <c r="V116" i="7"/>
  <c r="N116" i="7"/>
  <c r="L116" i="7"/>
  <c r="H116" i="7"/>
  <c r="V115" i="7"/>
  <c r="N115" i="7"/>
  <c r="L115" i="7"/>
  <c r="H115" i="7"/>
  <c r="V114" i="7"/>
  <c r="N114" i="7"/>
  <c r="L114" i="7"/>
  <c r="H114" i="7"/>
  <c r="V113" i="7"/>
  <c r="N113" i="7"/>
  <c r="L113" i="7"/>
  <c r="H113" i="7"/>
  <c r="V112" i="7"/>
  <c r="N112" i="7"/>
  <c r="L112" i="7"/>
  <c r="H112" i="7"/>
  <c r="V111" i="7"/>
  <c r="N111" i="7"/>
  <c r="L111" i="7"/>
  <c r="X149" i="15" s="1"/>
  <c r="Z149" i="15" s="1"/>
  <c r="H111" i="7"/>
  <c r="V110" i="7"/>
  <c r="N110" i="7"/>
  <c r="L110" i="7"/>
  <c r="H110" i="7"/>
  <c r="V109" i="7"/>
  <c r="N109" i="7"/>
  <c r="L109" i="7"/>
  <c r="X147" i="15" s="1"/>
  <c r="Z147" i="15" s="1"/>
  <c r="H109" i="7"/>
  <c r="V108" i="7"/>
  <c r="N108" i="7"/>
  <c r="L108" i="7"/>
  <c r="H108" i="7"/>
  <c r="V107" i="7"/>
  <c r="N107" i="7"/>
  <c r="L107" i="7"/>
  <c r="X145" i="15" s="1"/>
  <c r="Z145" i="15" s="1"/>
  <c r="H107" i="7"/>
  <c r="V106" i="7"/>
  <c r="N106" i="7"/>
  <c r="L106" i="7"/>
  <c r="H106" i="7"/>
  <c r="V105" i="7"/>
  <c r="N105" i="7"/>
  <c r="L105" i="7"/>
  <c r="X143" i="15" s="1"/>
  <c r="Z143" i="15" s="1"/>
  <c r="H105" i="7"/>
  <c r="V104" i="7"/>
  <c r="N104" i="7"/>
  <c r="L104" i="7"/>
  <c r="X142" i="15" s="1"/>
  <c r="Z142" i="15" s="1"/>
  <c r="H104" i="7"/>
  <c r="V103" i="7"/>
  <c r="N103" i="7"/>
  <c r="L103" i="7"/>
  <c r="H103" i="7"/>
  <c r="V102" i="7"/>
  <c r="N102" i="7"/>
  <c r="L102" i="7"/>
  <c r="H102" i="7"/>
  <c r="V101" i="7"/>
  <c r="N101" i="7"/>
  <c r="L101" i="7"/>
  <c r="X139" i="15" s="1"/>
  <c r="Z139" i="15" s="1"/>
  <c r="H101" i="7"/>
  <c r="DI100" i="7"/>
  <c r="DH100" i="7"/>
  <c r="DG100" i="7"/>
  <c r="AG100" i="7"/>
  <c r="AF100" i="7"/>
  <c r="AE100" i="7"/>
  <c r="AD100" i="7"/>
  <c r="AC100" i="7"/>
  <c r="AB100" i="7"/>
  <c r="AA100" i="7"/>
  <c r="Z100" i="7"/>
  <c r="Y100" i="7"/>
  <c r="X100" i="7"/>
  <c r="W100" i="7"/>
  <c r="V98" i="7"/>
  <c r="F95" i="7"/>
  <c r="AF95" i="7" s="1"/>
  <c r="F94" i="7"/>
  <c r="AF94" i="7" s="1"/>
  <c r="F93" i="7"/>
  <c r="AF93" i="7" s="1"/>
  <c r="F92" i="7"/>
  <c r="AF92" i="7" s="1"/>
  <c r="F91" i="7"/>
  <c r="AF91" i="7" s="1"/>
  <c r="F90" i="7"/>
  <c r="AF90" i="7" s="1"/>
  <c r="F88" i="7"/>
  <c r="AF88" i="7" s="1"/>
  <c r="F87" i="7"/>
  <c r="AF87" i="7" s="1"/>
  <c r="D87" i="7"/>
  <c r="V87" i="7" s="1"/>
  <c r="D86" i="7"/>
  <c r="V86" i="7" s="1"/>
  <c r="V85" i="7"/>
  <c r="V84" i="7"/>
  <c r="F73" i="7"/>
  <c r="F70" i="7"/>
  <c r="V66" i="7"/>
  <c r="W63" i="7"/>
  <c r="W497" i="7" s="1"/>
  <c r="W58" i="7"/>
  <c r="W57" i="7"/>
  <c r="V57" i="7"/>
  <c r="E56" i="7"/>
  <c r="E65" i="7" s="1"/>
  <c r="E74" i="7" s="1"/>
  <c r="E55" i="7"/>
  <c r="E64" i="7" s="1"/>
  <c r="E73" i="7" s="1"/>
  <c r="E54" i="7"/>
  <c r="E63" i="7" s="1"/>
  <c r="E72" i="7" s="1"/>
  <c r="E81" i="7" s="1"/>
  <c r="E53" i="7"/>
  <c r="E62" i="7" s="1"/>
  <c r="E71" i="7" s="1"/>
  <c r="E52" i="7"/>
  <c r="E61" i="7" s="1"/>
  <c r="E70" i="7" s="1"/>
  <c r="E51" i="7"/>
  <c r="E60" i="7" s="1"/>
  <c r="E69" i="7" s="1"/>
  <c r="E49" i="7"/>
  <c r="E58" i="7" s="1"/>
  <c r="E67" i="7" s="1"/>
  <c r="V48" i="7"/>
  <c r="E48" i="7"/>
  <c r="E57" i="7" s="1"/>
  <c r="E66" i="7" s="1"/>
  <c r="AG47" i="7"/>
  <c r="AF47" i="7"/>
  <c r="AE47" i="7"/>
  <c r="AD47" i="7"/>
  <c r="AC47" i="7"/>
  <c r="AB47" i="7"/>
  <c r="AA47" i="7"/>
  <c r="Y47" i="7"/>
  <c r="X47" i="7"/>
  <c r="W47" i="7"/>
  <c r="N41" i="7"/>
  <c r="M41" i="7"/>
  <c r="DJ41" i="7" s="1"/>
  <c r="L41" i="7"/>
  <c r="X138" i="15" s="1"/>
  <c r="Z138" i="15" s="1"/>
  <c r="I41" i="7"/>
  <c r="H41" i="7"/>
  <c r="N40" i="7"/>
  <c r="M40" i="7"/>
  <c r="DJ40" i="7" s="1"/>
  <c r="L40" i="7"/>
  <c r="I40" i="7"/>
  <c r="H40" i="7"/>
  <c r="N39" i="7"/>
  <c r="M39" i="7"/>
  <c r="DJ39" i="7" s="1"/>
  <c r="L39" i="7"/>
  <c r="J39" i="7"/>
  <c r="I39" i="7"/>
  <c r="H39" i="7"/>
  <c r="N38" i="7"/>
  <c r="M38" i="7"/>
  <c r="DJ38" i="7" s="1"/>
  <c r="L38" i="7"/>
  <c r="J38" i="7"/>
  <c r="I38" i="7"/>
  <c r="H38" i="7"/>
  <c r="N37" i="7"/>
  <c r="M37" i="7"/>
  <c r="DJ37" i="7" s="1"/>
  <c r="L37" i="7"/>
  <c r="X134" i="15" s="1"/>
  <c r="Z134" i="15" s="1"/>
  <c r="I37" i="7"/>
  <c r="H37" i="7"/>
  <c r="N36" i="7"/>
  <c r="M36" i="7"/>
  <c r="DJ36" i="7" s="1"/>
  <c r="L36" i="7"/>
  <c r="X133" i="15" s="1"/>
  <c r="Z133" i="15" s="1"/>
  <c r="J36" i="7"/>
  <c r="H36" i="7"/>
  <c r="N34" i="7"/>
  <c r="M34" i="7"/>
  <c r="DJ34" i="7" s="1"/>
  <c r="L34" i="7"/>
  <c r="J34" i="7"/>
  <c r="I34" i="7"/>
  <c r="H34" i="7"/>
  <c r="V33" i="7"/>
  <c r="N33" i="7"/>
  <c r="M33" i="7"/>
  <c r="DJ33" i="7" s="1"/>
  <c r="L33" i="7"/>
  <c r="J33" i="7"/>
  <c r="I33" i="7"/>
  <c r="H33" i="7"/>
  <c r="DI32" i="7"/>
  <c r="DH32" i="7"/>
  <c r="DG32" i="7"/>
  <c r="AG32" i="7"/>
  <c r="AF32" i="7"/>
  <c r="AE32" i="7"/>
  <c r="AD32" i="7"/>
  <c r="AC32" i="7"/>
  <c r="AB32" i="7"/>
  <c r="AA32" i="7"/>
  <c r="Z32" i="7"/>
  <c r="Y32" i="7"/>
  <c r="X32" i="7"/>
  <c r="W32" i="7"/>
  <c r="V30" i="7"/>
  <c r="F25" i="7"/>
  <c r="D24" i="7"/>
  <c r="D384" i="7" s="1"/>
  <c r="V384" i="7" s="1"/>
  <c r="V23" i="7"/>
  <c r="Y21" i="7"/>
  <c r="X21" i="7"/>
  <c r="G21" i="7"/>
  <c r="AF21" i="7" s="1"/>
  <c r="V17" i="7"/>
  <c r="V16" i="7"/>
  <c r="AG15" i="7"/>
  <c r="AF15" i="7"/>
  <c r="AE15" i="7"/>
  <c r="AD15" i="7"/>
  <c r="AC15" i="7"/>
  <c r="AB15" i="7"/>
  <c r="AA15" i="7"/>
  <c r="Z15" i="7"/>
  <c r="Y15" i="7"/>
  <c r="X15" i="7"/>
  <c r="W15" i="7"/>
  <c r="K7" i="7"/>
  <c r="DJ7" i="7" s="1"/>
  <c r="J7" i="7"/>
  <c r="H7" i="7"/>
  <c r="V4" i="7"/>
  <c r="X1285" i="6"/>
  <c r="X1283" i="6"/>
  <c r="X1282" i="6"/>
  <c r="X1281" i="6"/>
  <c r="X1278" i="6"/>
  <c r="X1277" i="6"/>
  <c r="X1275" i="6"/>
  <c r="X1274" i="6"/>
  <c r="X1273" i="6"/>
  <c r="X1270" i="6"/>
  <c r="X1269" i="6"/>
  <c r="X925" i="6"/>
  <c r="X923" i="6"/>
  <c r="X922" i="6"/>
  <c r="X921" i="6"/>
  <c r="X918" i="6"/>
  <c r="X917" i="6"/>
  <c r="X915" i="6"/>
  <c r="X914" i="6"/>
  <c r="X913" i="6"/>
  <c r="X910" i="6"/>
  <c r="X909" i="6"/>
  <c r="AG908" i="6"/>
  <c r="AF908" i="6"/>
  <c r="AE908" i="6"/>
  <c r="AD908" i="6"/>
  <c r="AC908" i="6"/>
  <c r="AA908" i="6"/>
  <c r="Z908" i="6"/>
  <c r="Y908" i="6"/>
  <c r="X908" i="6"/>
  <c r="DJ708" i="6"/>
  <c r="DI708" i="6"/>
  <c r="DH708" i="6"/>
  <c r="DG708" i="6"/>
  <c r="V706" i="6"/>
  <c r="F701" i="6"/>
  <c r="F700" i="6"/>
  <c r="F699" i="6"/>
  <c r="F698" i="6"/>
  <c r="F697" i="6"/>
  <c r="F696" i="6"/>
  <c r="F695" i="6"/>
  <c r="F694" i="6"/>
  <c r="F693" i="6"/>
  <c r="F692" i="6"/>
  <c r="F691" i="6"/>
  <c r="F690" i="6"/>
  <c r="F687" i="6"/>
  <c r="F686" i="6"/>
  <c r="F685" i="6"/>
  <c r="F684" i="6"/>
  <c r="F683" i="6"/>
  <c r="F682" i="6"/>
  <c r="F681" i="6"/>
  <c r="F680" i="6"/>
  <c r="F679" i="6"/>
  <c r="F678" i="6"/>
  <c r="F677" i="6"/>
  <c r="F676" i="6"/>
  <c r="F672" i="6"/>
  <c r="F670" i="6"/>
  <c r="F669" i="6"/>
  <c r="F668" i="6"/>
  <c r="F667" i="6"/>
  <c r="F656" i="6"/>
  <c r="F654" i="6"/>
  <c r="F653" i="6"/>
  <c r="F652" i="6"/>
  <c r="F651" i="6"/>
  <c r="X648" i="6"/>
  <c r="F648" i="6"/>
  <c r="X646" i="6"/>
  <c r="F646" i="6"/>
  <c r="X645" i="6"/>
  <c r="F645" i="6"/>
  <c r="X644" i="6"/>
  <c r="F644" i="6"/>
  <c r="X643" i="6"/>
  <c r="F643" i="6"/>
  <c r="Y640" i="6"/>
  <c r="W640" i="6"/>
  <c r="Y639" i="6"/>
  <c r="W639" i="6"/>
  <c r="Y637" i="6"/>
  <c r="W637" i="6"/>
  <c r="Y636" i="6"/>
  <c r="W636" i="6"/>
  <c r="Y635" i="6"/>
  <c r="W635" i="6"/>
  <c r="Y616" i="6"/>
  <c r="Y648" i="6" s="1"/>
  <c r="X616" i="6"/>
  <c r="Y615" i="6"/>
  <c r="Y646" i="6" s="1"/>
  <c r="X615" i="6"/>
  <c r="Y611" i="6"/>
  <c r="Y645" i="6" s="1"/>
  <c r="X611" i="6"/>
  <c r="Y613" i="6"/>
  <c r="Y644" i="6" s="1"/>
  <c r="X613" i="6"/>
  <c r="Y612" i="6"/>
  <c r="Y643" i="6" s="1"/>
  <c r="X612" i="6"/>
  <c r="AG610" i="6"/>
  <c r="AF610" i="6"/>
  <c r="AE610" i="6"/>
  <c r="AD610" i="6"/>
  <c r="AC610" i="6"/>
  <c r="AB610" i="6"/>
  <c r="AA610" i="6"/>
  <c r="Z610" i="6"/>
  <c r="Y610" i="6"/>
  <c r="X610" i="6"/>
  <c r="DH586" i="6"/>
  <c r="H586" i="6"/>
  <c r="DH585" i="6"/>
  <c r="DI585" i="6" s="1"/>
  <c r="H585" i="6"/>
  <c r="DH584" i="6"/>
  <c r="H584" i="6"/>
  <c r="DH583" i="6"/>
  <c r="DI583" i="6" s="1"/>
  <c r="H583" i="6"/>
  <c r="DH582" i="6"/>
  <c r="H582" i="6"/>
  <c r="DH581" i="6"/>
  <c r="DI581" i="6" s="1"/>
  <c r="H581" i="6"/>
  <c r="DH580" i="6"/>
  <c r="H580" i="6"/>
  <c r="DH579" i="6"/>
  <c r="DI579" i="6" s="1"/>
  <c r="H579" i="6"/>
  <c r="DH578" i="6"/>
  <c r="DI578" i="6" s="1"/>
  <c r="H578" i="6"/>
  <c r="DH577" i="6"/>
  <c r="DI577" i="6" s="1"/>
  <c r="H577" i="6"/>
  <c r="DH576" i="6"/>
  <c r="DI576" i="6" s="1"/>
  <c r="H576" i="6"/>
  <c r="DH575" i="6"/>
  <c r="DI575" i="6" s="1"/>
  <c r="H575" i="6"/>
  <c r="DJ574" i="6"/>
  <c r="DI574" i="6"/>
  <c r="DH574" i="6"/>
  <c r="DG574" i="6"/>
  <c r="V572" i="6"/>
  <c r="K551" i="6"/>
  <c r="K550" i="6"/>
  <c r="K549" i="6"/>
  <c r="W549" i="6" s="1"/>
  <c r="K539" i="6"/>
  <c r="W539" i="6" s="1"/>
  <c r="F539" i="6"/>
  <c r="F566" i="6" s="1"/>
  <c r="K538" i="6"/>
  <c r="W538" i="6" s="1"/>
  <c r="F538" i="6"/>
  <c r="F562" i="6" s="1"/>
  <c r="F537" i="6"/>
  <c r="F567" i="6" s="1"/>
  <c r="AG535" i="6"/>
  <c r="AF535" i="6"/>
  <c r="AE535" i="6"/>
  <c r="AD535" i="6"/>
  <c r="AC535" i="6"/>
  <c r="AB535" i="6"/>
  <c r="AA535" i="6"/>
  <c r="Z535" i="6"/>
  <c r="Y535" i="6"/>
  <c r="X535" i="6"/>
  <c r="H515" i="6"/>
  <c r="F515" i="6"/>
  <c r="L47" i="15" s="1"/>
  <c r="J514" i="6"/>
  <c r="H514" i="6"/>
  <c r="F514" i="6"/>
  <c r="H513" i="6"/>
  <c r="F513" i="6"/>
  <c r="L46" i="15" s="1"/>
  <c r="J512" i="6"/>
  <c r="H512" i="6"/>
  <c r="F512" i="6"/>
  <c r="H511" i="6"/>
  <c r="F511" i="6"/>
  <c r="J510" i="6"/>
  <c r="X45" i="15" s="1"/>
  <c r="Z45" i="15" s="1"/>
  <c r="H510" i="6"/>
  <c r="K45" i="15"/>
  <c r="DJ509" i="6"/>
  <c r="DI509" i="6"/>
  <c r="DH509" i="6"/>
  <c r="DG509" i="6"/>
  <c r="V507" i="6"/>
  <c r="Y501" i="6"/>
  <c r="Y497" i="6"/>
  <c r="Y493" i="6"/>
  <c r="Y485" i="6"/>
  <c r="Y483" i="6"/>
  <c r="Y481" i="6"/>
  <c r="Y480" i="6"/>
  <c r="Y478" i="6"/>
  <c r="Y451" i="6"/>
  <c r="F451" i="6"/>
  <c r="F477" i="6" s="1"/>
  <c r="F502" i="6" s="1"/>
  <c r="F450" i="6"/>
  <c r="F476" i="6" s="1"/>
  <c r="F501" i="6" s="1"/>
  <c r="F449" i="6"/>
  <c r="F475" i="6" s="1"/>
  <c r="F500" i="6" s="1"/>
  <c r="F448" i="6"/>
  <c r="F474" i="6" s="1"/>
  <c r="F499" i="6" s="1"/>
  <c r="F447" i="6"/>
  <c r="F473" i="6" s="1"/>
  <c r="F498" i="6" s="1"/>
  <c r="F446" i="6"/>
  <c r="F472" i="6" s="1"/>
  <c r="F497" i="6" s="1"/>
  <c r="F443" i="6"/>
  <c r="F469" i="6" s="1"/>
  <c r="F494" i="6" s="1"/>
  <c r="F442" i="6"/>
  <c r="F468" i="6" s="1"/>
  <c r="F493" i="6" s="1"/>
  <c r="F437" i="6"/>
  <c r="F463" i="6" s="1"/>
  <c r="F488" i="6" s="1"/>
  <c r="F436" i="6"/>
  <c r="F462" i="6" s="1"/>
  <c r="F487" i="6" s="1"/>
  <c r="F435" i="6"/>
  <c r="F461" i="6" s="1"/>
  <c r="F486" i="6" s="1"/>
  <c r="F434" i="6"/>
  <c r="F460" i="6" s="1"/>
  <c r="F485" i="6" s="1"/>
  <c r="F433" i="6"/>
  <c r="F459" i="6" s="1"/>
  <c r="F484" i="6" s="1"/>
  <c r="F432" i="6"/>
  <c r="F458" i="6" s="1"/>
  <c r="F483" i="6" s="1"/>
  <c r="F431" i="6"/>
  <c r="F457" i="6" s="1"/>
  <c r="F482" i="6" s="1"/>
  <c r="F430" i="6"/>
  <c r="F456" i="6" s="1"/>
  <c r="F481" i="6" s="1"/>
  <c r="F429" i="6"/>
  <c r="F455" i="6" s="1"/>
  <c r="F480" i="6" s="1"/>
  <c r="F428" i="6"/>
  <c r="F454" i="6" s="1"/>
  <c r="F479" i="6" s="1"/>
  <c r="F427" i="6"/>
  <c r="F453" i="6" s="1"/>
  <c r="F478" i="6" s="1"/>
  <c r="X385" i="6"/>
  <c r="X497" i="6" s="1"/>
  <c r="X382" i="6"/>
  <c r="X493" i="6" s="1"/>
  <c r="X381" i="6"/>
  <c r="X485" i="6" s="1"/>
  <c r="X380" i="6"/>
  <c r="X379" i="6"/>
  <c r="X481" i="6" s="1"/>
  <c r="X378" i="6"/>
  <c r="X480" i="6" s="1"/>
  <c r="X377" i="6"/>
  <c r="X478" i="6" s="1"/>
  <c r="F336" i="6"/>
  <c r="F346" i="6" s="1"/>
  <c r="F356" i="6" s="1"/>
  <c r="F366" i="6" s="1"/>
  <c r="F376" i="6" s="1"/>
  <c r="F386" i="6" s="1"/>
  <c r="F396" i="6" s="1"/>
  <c r="F406" i="6" s="1"/>
  <c r="F416" i="6" s="1"/>
  <c r="F426" i="6" s="1"/>
  <c r="X335" i="6"/>
  <c r="F335" i="6"/>
  <c r="F345" i="6" s="1"/>
  <c r="F355" i="6" s="1"/>
  <c r="F365" i="6" s="1"/>
  <c r="F375" i="6" s="1"/>
  <c r="F385" i="6" s="1"/>
  <c r="F395" i="6" s="1"/>
  <c r="F405" i="6" s="1"/>
  <c r="F415" i="6" s="1"/>
  <c r="F425" i="6" s="1"/>
  <c r="X332" i="6"/>
  <c r="F332" i="6"/>
  <c r="F342" i="6" s="1"/>
  <c r="F352" i="6" s="1"/>
  <c r="F362" i="6" s="1"/>
  <c r="F372" i="6" s="1"/>
  <c r="F382" i="6" s="1"/>
  <c r="F392" i="6" s="1"/>
  <c r="F402" i="6" s="1"/>
  <c r="F412" i="6" s="1"/>
  <c r="F422" i="6" s="1"/>
  <c r="X331" i="6"/>
  <c r="F331" i="6"/>
  <c r="F341" i="6" s="1"/>
  <c r="F351" i="6" s="1"/>
  <c r="F361" i="6" s="1"/>
  <c r="F371" i="6" s="1"/>
  <c r="F381" i="6" s="1"/>
  <c r="F391" i="6" s="1"/>
  <c r="F401" i="6" s="1"/>
  <c r="F411" i="6" s="1"/>
  <c r="F421" i="6" s="1"/>
  <c r="X330" i="6"/>
  <c r="F330" i="6"/>
  <c r="F340" i="6" s="1"/>
  <c r="F350" i="6" s="1"/>
  <c r="F360" i="6" s="1"/>
  <c r="F370" i="6" s="1"/>
  <c r="F380" i="6" s="1"/>
  <c r="F390" i="6" s="1"/>
  <c r="F400" i="6" s="1"/>
  <c r="F410" i="6" s="1"/>
  <c r="F420" i="6" s="1"/>
  <c r="X329" i="6"/>
  <c r="F329" i="6"/>
  <c r="F339" i="6" s="1"/>
  <c r="F349" i="6" s="1"/>
  <c r="F359" i="6" s="1"/>
  <c r="F369" i="6" s="1"/>
  <c r="F379" i="6" s="1"/>
  <c r="F389" i="6" s="1"/>
  <c r="F399" i="6" s="1"/>
  <c r="F409" i="6" s="1"/>
  <c r="F419" i="6" s="1"/>
  <c r="F328" i="6"/>
  <c r="F338" i="6" s="1"/>
  <c r="F348" i="6" s="1"/>
  <c r="F358" i="6" s="1"/>
  <c r="F368" i="6" s="1"/>
  <c r="F378" i="6" s="1"/>
  <c r="F388" i="6" s="1"/>
  <c r="F398" i="6" s="1"/>
  <c r="F408" i="6" s="1"/>
  <c r="F418" i="6" s="1"/>
  <c r="F327" i="6"/>
  <c r="F337" i="6" s="1"/>
  <c r="F347" i="6" s="1"/>
  <c r="F357" i="6" s="1"/>
  <c r="F367" i="6" s="1"/>
  <c r="F377" i="6" s="1"/>
  <c r="F387" i="6" s="1"/>
  <c r="F397" i="6" s="1"/>
  <c r="F407" i="6" s="1"/>
  <c r="F417" i="6" s="1"/>
  <c r="AG326" i="6"/>
  <c r="AF326" i="6"/>
  <c r="AE326" i="6"/>
  <c r="AD326" i="6"/>
  <c r="AC326" i="6"/>
  <c r="AB326" i="6"/>
  <c r="AA326" i="6"/>
  <c r="Z326" i="6"/>
  <c r="Y326" i="6"/>
  <c r="X326" i="6"/>
  <c r="DH316" i="6"/>
  <c r="DI316" i="6" s="1"/>
  <c r="DH315" i="6"/>
  <c r="DI315" i="6" s="1"/>
  <c r="DH303" i="6"/>
  <c r="DI303" i="6" s="1"/>
  <c r="DH302" i="6"/>
  <c r="DI302" i="6" s="1"/>
  <c r="DH301" i="6"/>
  <c r="DI301" i="6" s="1"/>
  <c r="DH300" i="6"/>
  <c r="DI300" i="6" s="1"/>
  <c r="DH299" i="6"/>
  <c r="DI299" i="6" s="1"/>
  <c r="DH297" i="6"/>
  <c r="DI297" i="6" s="1"/>
  <c r="DH295" i="6"/>
  <c r="DI295" i="6" s="1"/>
  <c r="DH294" i="6"/>
  <c r="DI294" i="6" s="1"/>
  <c r="DJ292" i="6"/>
  <c r="DI292" i="6"/>
  <c r="DH292" i="6"/>
  <c r="DG292" i="6"/>
  <c r="V290" i="6"/>
  <c r="V453" i="6"/>
  <c r="X228" i="6"/>
  <c r="X227" i="6"/>
  <c r="X226" i="6"/>
  <c r="X223" i="6"/>
  <c r="X222" i="6"/>
  <c r="X221" i="6"/>
  <c r="X220" i="6"/>
  <c r="X219" i="6"/>
  <c r="X218" i="6"/>
  <c r="X182" i="6"/>
  <c r="X181" i="6"/>
  <c r="X180" i="6"/>
  <c r="X136" i="6"/>
  <c r="X135" i="6"/>
  <c r="X134" i="6"/>
  <c r="X131" i="6"/>
  <c r="X130" i="6"/>
  <c r="X129" i="6"/>
  <c r="X128" i="6"/>
  <c r="X127" i="6"/>
  <c r="X126" i="6"/>
  <c r="X113" i="6"/>
  <c r="X112" i="6"/>
  <c r="X111" i="6"/>
  <c r="X108" i="6"/>
  <c r="X107" i="6"/>
  <c r="X106" i="6"/>
  <c r="X105" i="6"/>
  <c r="X104" i="6"/>
  <c r="X103" i="6"/>
  <c r="AG102" i="6"/>
  <c r="AE102" i="6"/>
  <c r="AD102" i="6"/>
  <c r="AC102" i="6"/>
  <c r="AB102" i="6"/>
  <c r="AA102" i="6"/>
  <c r="Z102" i="6"/>
  <c r="Y102" i="6"/>
  <c r="X102" i="6"/>
  <c r="DH80" i="6"/>
  <c r="DH78" i="6"/>
  <c r="DH73" i="6"/>
  <c r="DH71" i="6"/>
  <c r="DJ69" i="6"/>
  <c r="DI69" i="6"/>
  <c r="DH69" i="6"/>
  <c r="DG69" i="6"/>
  <c r="V67" i="6"/>
  <c r="F64" i="6"/>
  <c r="F63" i="6"/>
  <c r="F62" i="6"/>
  <c r="F61" i="6"/>
  <c r="F60" i="6"/>
  <c r="F59" i="6"/>
  <c r="F58" i="6"/>
  <c r="F57" i="6"/>
  <c r="F56" i="6"/>
  <c r="F55" i="6"/>
  <c r="F54" i="6"/>
  <c r="F53" i="6"/>
  <c r="F52" i="6"/>
  <c r="F51" i="6"/>
  <c r="F50" i="6"/>
  <c r="F49" i="6"/>
  <c r="F47" i="6"/>
  <c r="F46" i="6"/>
  <c r="F45" i="6"/>
  <c r="F44" i="6"/>
  <c r="F43" i="6"/>
  <c r="F42" i="6"/>
  <c r="F41" i="6"/>
  <c r="F40" i="6"/>
  <c r="X31" i="6"/>
  <c r="F31" i="6"/>
  <c r="X30" i="6"/>
  <c r="F30" i="6"/>
  <c r="X29" i="6"/>
  <c r="F29" i="6"/>
  <c r="X28" i="6"/>
  <c r="F28" i="6"/>
  <c r="X27" i="6"/>
  <c r="F27" i="6"/>
  <c r="X26" i="6"/>
  <c r="F26" i="6"/>
  <c r="X25" i="6"/>
  <c r="F25" i="6"/>
  <c r="X24" i="6"/>
  <c r="F24" i="6"/>
  <c r="X20" i="6"/>
  <c r="F20" i="6"/>
  <c r="X19" i="6"/>
  <c r="F19" i="6"/>
  <c r="X16" i="6"/>
  <c r="F16" i="6"/>
  <c r="X15" i="6"/>
  <c r="F15" i="6"/>
  <c r="X14" i="6"/>
  <c r="F14" i="6"/>
  <c r="X13" i="6"/>
  <c r="F13" i="6"/>
  <c r="AG12" i="6"/>
  <c r="AF12" i="6"/>
  <c r="AE12" i="6"/>
  <c r="AD12" i="6"/>
  <c r="AC12" i="6"/>
  <c r="AB12" i="6"/>
  <c r="AA12" i="6"/>
  <c r="Z12" i="6"/>
  <c r="Y12" i="6"/>
  <c r="X12" i="6"/>
  <c r="AG37" i="5"/>
  <c r="AF37" i="5"/>
  <c r="AE37" i="5"/>
  <c r="AD37" i="5"/>
  <c r="AC37" i="5"/>
  <c r="AB37" i="5"/>
  <c r="AA37" i="5"/>
  <c r="Z37" i="5"/>
  <c r="Y37" i="5"/>
  <c r="X37" i="5"/>
  <c r="W37" i="5"/>
  <c r="DI30" i="5"/>
  <c r="DH30" i="5"/>
  <c r="DG30" i="5"/>
  <c r="AG30" i="5"/>
  <c r="AF30" i="5"/>
  <c r="AE30" i="5"/>
  <c r="AD30" i="5"/>
  <c r="AC30" i="5"/>
  <c r="AB30" i="5"/>
  <c r="AA30" i="5"/>
  <c r="Z30" i="5"/>
  <c r="Y30" i="5"/>
  <c r="X30" i="5"/>
  <c r="W30" i="5"/>
  <c r="V28" i="5"/>
  <c r="V26" i="5"/>
  <c r="V25" i="5"/>
  <c r="V24" i="5"/>
  <c r="V23" i="5"/>
  <c r="W22" i="5"/>
  <c r="V19" i="5"/>
  <c r="V18" i="5"/>
  <c r="V17" i="5"/>
  <c r="W16" i="5"/>
  <c r="AG15" i="5"/>
  <c r="AF15" i="5"/>
  <c r="AE15" i="5"/>
  <c r="AD15" i="5"/>
  <c r="AC15" i="5"/>
  <c r="AB15" i="5"/>
  <c r="AA15" i="5"/>
  <c r="Z15" i="5"/>
  <c r="Y15" i="5"/>
  <c r="X15" i="5"/>
  <c r="W15" i="5"/>
  <c r="J7" i="5"/>
  <c r="H7" i="5"/>
  <c r="V4" i="5"/>
  <c r="DH507" i="2"/>
  <c r="DI506" i="2"/>
  <c r="DH506" i="2"/>
  <c r="DG506" i="2"/>
  <c r="BE506" i="2"/>
  <c r="BD506" i="2"/>
  <c r="BC506" i="2"/>
  <c r="BB506" i="2"/>
  <c r="AZ506" i="2"/>
  <c r="AY506" i="2"/>
  <c r="AX506" i="2"/>
  <c r="AW506" i="2"/>
  <c r="AS506" i="2"/>
  <c r="AR506" i="2"/>
  <c r="AQ506" i="2"/>
  <c r="AP506" i="2"/>
  <c r="AO506" i="2"/>
  <c r="AL506" i="2"/>
  <c r="AK506" i="2"/>
  <c r="AG506" i="2"/>
  <c r="AF506" i="2"/>
  <c r="AE506" i="2"/>
  <c r="AD506" i="2"/>
  <c r="AC506" i="2"/>
  <c r="AA506" i="2"/>
  <c r="Z506" i="2"/>
  <c r="Y506" i="2"/>
  <c r="X506" i="2"/>
  <c r="W506" i="2"/>
  <c r="V504" i="2"/>
  <c r="E481" i="2"/>
  <c r="D481" i="2"/>
  <c r="DI470" i="2"/>
  <c r="DH470" i="2"/>
  <c r="DG470" i="2"/>
  <c r="BE470" i="2"/>
  <c r="BD470" i="2"/>
  <c r="BC470" i="2"/>
  <c r="BB470" i="2"/>
  <c r="AZ470" i="2"/>
  <c r="AY470" i="2"/>
  <c r="AX470" i="2"/>
  <c r="AW470" i="2"/>
  <c r="AS470" i="2"/>
  <c r="AR470" i="2"/>
  <c r="AQ470" i="2"/>
  <c r="AP470" i="2"/>
  <c r="AO470" i="2"/>
  <c r="AN470" i="2"/>
  <c r="AM470" i="2"/>
  <c r="AL470" i="2"/>
  <c r="AK470" i="2"/>
  <c r="AG470" i="2"/>
  <c r="AF470" i="2"/>
  <c r="AE470" i="2"/>
  <c r="AD470" i="2"/>
  <c r="AC470" i="2"/>
  <c r="AA470" i="2"/>
  <c r="Z470" i="2"/>
  <c r="Y470" i="2"/>
  <c r="X470" i="2"/>
  <c r="W470" i="2"/>
  <c r="V468" i="2"/>
  <c r="E465" i="2"/>
  <c r="D465" i="2"/>
  <c r="E464" i="2"/>
  <c r="D464" i="2"/>
  <c r="E463" i="2"/>
  <c r="D463" i="2"/>
  <c r="DI450" i="2"/>
  <c r="DH450" i="2"/>
  <c r="DG450" i="2"/>
  <c r="BE450" i="2"/>
  <c r="BD450" i="2"/>
  <c r="BC450" i="2"/>
  <c r="BB450" i="2"/>
  <c r="AZ450" i="2"/>
  <c r="AY450" i="2"/>
  <c r="AX450" i="2"/>
  <c r="AW450" i="2"/>
  <c r="AS450" i="2"/>
  <c r="AR450" i="2"/>
  <c r="AQ450" i="2"/>
  <c r="AP450" i="2"/>
  <c r="AO450" i="2"/>
  <c r="AN450" i="2"/>
  <c r="AM450" i="2"/>
  <c r="AL450" i="2"/>
  <c r="AK450" i="2"/>
  <c r="AG450" i="2"/>
  <c r="AF450" i="2"/>
  <c r="AE450" i="2"/>
  <c r="AD450" i="2"/>
  <c r="AC450" i="2"/>
  <c r="AA450" i="2"/>
  <c r="Z450" i="2"/>
  <c r="Y450" i="2"/>
  <c r="X450" i="2"/>
  <c r="W450" i="2"/>
  <c r="V448" i="2"/>
  <c r="DI434" i="2"/>
  <c r="DH434" i="2"/>
  <c r="DG434" i="2"/>
  <c r="BE434" i="2"/>
  <c r="BC434" i="2"/>
  <c r="BB434" i="2"/>
  <c r="AZ434" i="2"/>
  <c r="AY434" i="2"/>
  <c r="AX434" i="2"/>
  <c r="AW434" i="2"/>
  <c r="AS434" i="2"/>
  <c r="AR434" i="2"/>
  <c r="AQ434" i="2"/>
  <c r="AP434" i="2"/>
  <c r="AO434" i="2"/>
  <c r="AN434" i="2"/>
  <c r="AM434" i="2"/>
  <c r="AL434" i="2"/>
  <c r="AK434" i="2"/>
  <c r="AG434" i="2"/>
  <c r="AF434" i="2"/>
  <c r="AE434" i="2"/>
  <c r="AD434" i="2"/>
  <c r="AC434" i="2"/>
  <c r="AA434" i="2"/>
  <c r="Z434" i="2"/>
  <c r="Y434" i="2"/>
  <c r="X434" i="2"/>
  <c r="W434" i="2"/>
  <c r="V432" i="2"/>
  <c r="E427" i="2"/>
  <c r="D427" i="2"/>
  <c r="DH415" i="2"/>
  <c r="H415" i="2"/>
  <c r="F415" i="2"/>
  <c r="DI414" i="2"/>
  <c r="DH414" i="2"/>
  <c r="DG414" i="2"/>
  <c r="E411" i="2"/>
  <c r="D411" i="2"/>
  <c r="E410" i="2"/>
  <c r="D410" i="2"/>
  <c r="E409" i="2"/>
  <c r="D409" i="2"/>
  <c r="E408" i="2"/>
  <c r="D408" i="2"/>
  <c r="E407" i="2"/>
  <c r="D407" i="2"/>
  <c r="E406" i="2"/>
  <c r="D406" i="2"/>
  <c r="E405" i="2"/>
  <c r="D405" i="2"/>
  <c r="DH395" i="2"/>
  <c r="H395" i="2"/>
  <c r="F395" i="2"/>
  <c r="DH394" i="2"/>
  <c r="H394" i="2"/>
  <c r="F394" i="2"/>
  <c r="DH393" i="2"/>
  <c r="H393" i="2"/>
  <c r="F393" i="2"/>
  <c r="DH392" i="2"/>
  <c r="H392" i="2"/>
  <c r="F392" i="2"/>
  <c r="DH391" i="2"/>
  <c r="H391" i="2"/>
  <c r="F391" i="2"/>
  <c r="DH390" i="2"/>
  <c r="H390" i="2"/>
  <c r="F390" i="2"/>
  <c r="DH389" i="2"/>
  <c r="H389" i="2"/>
  <c r="I313" i="15"/>
  <c r="DI388" i="2"/>
  <c r="DH388" i="2"/>
  <c r="DG388" i="2"/>
  <c r="E385" i="2"/>
  <c r="D385" i="2"/>
  <c r="E384" i="2"/>
  <c r="D384" i="2"/>
  <c r="E383" i="2"/>
  <c r="D383" i="2"/>
  <c r="E382" i="2"/>
  <c r="D382" i="2"/>
  <c r="E381" i="2"/>
  <c r="D381" i="2"/>
  <c r="E380" i="2"/>
  <c r="D380" i="2"/>
  <c r="E379" i="2"/>
  <c r="D379" i="2"/>
  <c r="DH369" i="2"/>
  <c r="H369" i="2"/>
  <c r="F369" i="2"/>
  <c r="DH368" i="2"/>
  <c r="H368" i="2"/>
  <c r="F368" i="2"/>
  <c r="DH367" i="2"/>
  <c r="H367" i="2"/>
  <c r="F367" i="2"/>
  <c r="DH366" i="2"/>
  <c r="H366" i="2"/>
  <c r="F366" i="2"/>
  <c r="DH365" i="2"/>
  <c r="H365" i="2"/>
  <c r="F365" i="2"/>
  <c r="DH364" i="2"/>
  <c r="H364" i="2"/>
  <c r="F364" i="2"/>
  <c r="DH363" i="2"/>
  <c r="H363" i="2"/>
  <c r="F363" i="2"/>
  <c r="DI362" i="2"/>
  <c r="DH362" i="2"/>
  <c r="DG362" i="2"/>
  <c r="F342" i="2"/>
  <c r="AF342" i="2" s="1"/>
  <c r="E353" i="2"/>
  <c r="D353" i="2"/>
  <c r="DH342" i="2"/>
  <c r="H342" i="2"/>
  <c r="DI341" i="2"/>
  <c r="DH341" i="2"/>
  <c r="DG341" i="2"/>
  <c r="DH320" i="2"/>
  <c r="DH319" i="2"/>
  <c r="D309" i="2"/>
  <c r="E308" i="2"/>
  <c r="D308" i="2"/>
  <c r="E307" i="2"/>
  <c r="D307" i="2"/>
  <c r="E306" i="2"/>
  <c r="D306" i="2"/>
  <c r="E305" i="2"/>
  <c r="D305" i="2"/>
  <c r="DH295" i="2"/>
  <c r="H295" i="2"/>
  <c r="DH294" i="2"/>
  <c r="H294" i="2"/>
  <c r="DH293" i="2"/>
  <c r="H293" i="2"/>
  <c r="DH292" i="2"/>
  <c r="H292" i="2"/>
  <c r="DH291" i="2"/>
  <c r="H291" i="2"/>
  <c r="DI290" i="2"/>
  <c r="DH290" i="2"/>
  <c r="DG290" i="2"/>
  <c r="E287" i="2"/>
  <c r="D287" i="2"/>
  <c r="H261" i="2"/>
  <c r="F261" i="2"/>
  <c r="E255" i="2"/>
  <c r="D255" i="2"/>
  <c r="E254" i="2"/>
  <c r="D254" i="2"/>
  <c r="DH242" i="2"/>
  <c r="H242" i="2"/>
  <c r="F242" i="2"/>
  <c r="AF242" i="2" s="1"/>
  <c r="DH241" i="2"/>
  <c r="H241" i="2"/>
  <c r="F241" i="2"/>
  <c r="AF241" i="2" s="1"/>
  <c r="DI240" i="2"/>
  <c r="DH240" i="2"/>
  <c r="DG240" i="2"/>
  <c r="E237" i="2"/>
  <c r="D237" i="2"/>
  <c r="DH226" i="2"/>
  <c r="DI225" i="2"/>
  <c r="DH225" i="2"/>
  <c r="DG225" i="2"/>
  <c r="I220" i="2"/>
  <c r="E220" i="2"/>
  <c r="D220" i="2"/>
  <c r="E219" i="2"/>
  <c r="D219" i="2"/>
  <c r="I218" i="2"/>
  <c r="E218" i="2"/>
  <c r="D218" i="2"/>
  <c r="DH208" i="2"/>
  <c r="H208" i="2"/>
  <c r="DH207" i="2"/>
  <c r="H207" i="2"/>
  <c r="DH206" i="2"/>
  <c r="H206" i="2"/>
  <c r="DI205" i="2"/>
  <c r="DH205" i="2"/>
  <c r="DG205" i="2"/>
  <c r="G200" i="2"/>
  <c r="E200" i="2"/>
  <c r="D200" i="2"/>
  <c r="G199" i="2"/>
  <c r="E199" i="2"/>
  <c r="D199" i="2"/>
  <c r="G198" i="2"/>
  <c r="F198" i="2"/>
  <c r="E198" i="2"/>
  <c r="D198" i="2"/>
  <c r="G197" i="2"/>
  <c r="F197" i="2"/>
  <c r="E197" i="2"/>
  <c r="D197" i="2"/>
  <c r="DH186" i="2"/>
  <c r="H186" i="2"/>
  <c r="DH185" i="2"/>
  <c r="H185" i="2"/>
  <c r="DH184" i="2"/>
  <c r="H184" i="2"/>
  <c r="DH183" i="2"/>
  <c r="H183" i="2"/>
  <c r="DI182" i="2"/>
  <c r="DH182" i="2"/>
  <c r="DG182" i="2"/>
  <c r="E177" i="2"/>
  <c r="D177" i="2"/>
  <c r="DH167" i="2"/>
  <c r="K167" i="2"/>
  <c r="DJ167" i="2" s="1"/>
  <c r="H167" i="2"/>
  <c r="F167" i="2"/>
  <c r="DI166" i="2"/>
  <c r="DH166" i="2"/>
  <c r="DG166" i="2"/>
  <c r="BE166" i="2"/>
  <c r="BD166" i="2"/>
  <c r="BC166" i="2"/>
  <c r="BB166" i="2"/>
  <c r="AZ166" i="2"/>
  <c r="AY166" i="2"/>
  <c r="AX166" i="2"/>
  <c r="AW166" i="2"/>
  <c r="AS166" i="2"/>
  <c r="AR166" i="2"/>
  <c r="AQ166" i="2"/>
  <c r="AP166" i="2"/>
  <c r="AO166" i="2"/>
  <c r="AN166" i="2"/>
  <c r="AM166" i="2"/>
  <c r="AL166" i="2"/>
  <c r="AK166" i="2"/>
  <c r="AG166" i="2"/>
  <c r="AF166" i="2"/>
  <c r="AE166" i="2"/>
  <c r="AD166" i="2"/>
  <c r="AC166" i="2"/>
  <c r="AA166" i="2"/>
  <c r="Z166" i="2"/>
  <c r="Y166" i="2"/>
  <c r="X166" i="2"/>
  <c r="W166" i="2"/>
  <c r="V164" i="2"/>
  <c r="H159" i="2"/>
  <c r="N159" i="2" s="1"/>
  <c r="E159" i="2"/>
  <c r="D159" i="2"/>
  <c r="H158" i="2"/>
  <c r="N158" i="2" s="1"/>
  <c r="E158" i="2"/>
  <c r="D158" i="2"/>
  <c r="H157" i="2"/>
  <c r="N157" i="2" s="1"/>
  <c r="E157" i="2"/>
  <c r="D157" i="2"/>
  <c r="H156" i="2"/>
  <c r="N156" i="2" s="1"/>
  <c r="E156" i="2"/>
  <c r="D156" i="2"/>
  <c r="H155" i="2"/>
  <c r="N155" i="2" s="1"/>
  <c r="E155" i="2"/>
  <c r="D155" i="2"/>
  <c r="DH143" i="2"/>
  <c r="H143" i="2"/>
  <c r="DH142" i="2"/>
  <c r="H142" i="2"/>
  <c r="DH141" i="2"/>
  <c r="H141" i="2"/>
  <c r="DH140" i="2"/>
  <c r="H140" i="2"/>
  <c r="DH139" i="2"/>
  <c r="H139" i="2"/>
  <c r="DI138" i="2"/>
  <c r="DH138" i="2"/>
  <c r="DG138" i="2"/>
  <c r="BE138" i="2"/>
  <c r="BD138" i="2"/>
  <c r="BC138" i="2"/>
  <c r="BB138" i="2"/>
  <c r="AZ138" i="2"/>
  <c r="AY138" i="2"/>
  <c r="AX138" i="2"/>
  <c r="AW138" i="2"/>
  <c r="AS138" i="2"/>
  <c r="AR138" i="2"/>
  <c r="AQ138" i="2"/>
  <c r="AP138" i="2"/>
  <c r="AO138" i="2"/>
  <c r="AN138" i="2"/>
  <c r="AM138" i="2"/>
  <c r="AL138" i="2"/>
  <c r="AK138" i="2"/>
  <c r="AG138" i="2"/>
  <c r="AF138" i="2"/>
  <c r="AE138" i="2"/>
  <c r="AD138" i="2"/>
  <c r="AC138" i="2"/>
  <c r="AA138" i="2"/>
  <c r="Z138" i="2"/>
  <c r="Y138" i="2"/>
  <c r="X138" i="2"/>
  <c r="W138" i="2"/>
  <c r="V136" i="2"/>
  <c r="E133" i="2"/>
  <c r="E132" i="2"/>
  <c r="DH121" i="2"/>
  <c r="H121" i="2"/>
  <c r="F121" i="2"/>
  <c r="DH120" i="2"/>
  <c r="AU120" i="2"/>
  <c r="AU121" i="2" s="1"/>
  <c r="V120" i="2"/>
  <c r="V121" i="2" s="1"/>
  <c r="H120" i="2"/>
  <c r="F120" i="2"/>
  <c r="DI119" i="2"/>
  <c r="DH119" i="2"/>
  <c r="DG119" i="2"/>
  <c r="BE119" i="2"/>
  <c r="BD119" i="2"/>
  <c r="BC119" i="2"/>
  <c r="BB119" i="2"/>
  <c r="AZ119" i="2"/>
  <c r="AY119" i="2"/>
  <c r="AX119" i="2"/>
  <c r="AW119" i="2"/>
  <c r="AS119" i="2"/>
  <c r="AR119" i="2"/>
  <c r="AQ119" i="2"/>
  <c r="AP119" i="2"/>
  <c r="AO119" i="2"/>
  <c r="AN119" i="2"/>
  <c r="AM119" i="2"/>
  <c r="AL119" i="2"/>
  <c r="AK119" i="2"/>
  <c r="AG119" i="2"/>
  <c r="AF119" i="2"/>
  <c r="AE119" i="2"/>
  <c r="AD119" i="2"/>
  <c r="AC119" i="2"/>
  <c r="AA119" i="2"/>
  <c r="Z119" i="2"/>
  <c r="Y119" i="2"/>
  <c r="X119" i="2"/>
  <c r="W119" i="2"/>
  <c r="DH91" i="2"/>
  <c r="H91" i="2"/>
  <c r="I91" i="2" s="1"/>
  <c r="I265" i="15"/>
  <c r="DH89" i="2"/>
  <c r="H89" i="2"/>
  <c r="I89" i="2" s="1"/>
  <c r="I263" i="15"/>
  <c r="DH88" i="2"/>
  <c r="H88" i="2"/>
  <c r="I88" i="2" s="1"/>
  <c r="I262" i="15"/>
  <c r="DH87" i="2"/>
  <c r="H87" i="2"/>
  <c r="I261" i="15"/>
  <c r="DH86" i="2"/>
  <c r="H86" i="2"/>
  <c r="I260" i="15"/>
  <c r="DH85" i="2"/>
  <c r="H85" i="2"/>
  <c r="I259" i="15"/>
  <c r="DH84" i="2"/>
  <c r="H84" i="2"/>
  <c r="I258" i="15"/>
  <c r="DH83" i="2"/>
  <c r="H83" i="2"/>
  <c r="I257" i="15"/>
  <c r="DH82" i="2"/>
  <c r="H82" i="2"/>
  <c r="I256" i="15"/>
  <c r="DI81" i="2"/>
  <c r="DH81" i="2"/>
  <c r="DG81" i="2"/>
  <c r="BE81" i="2"/>
  <c r="BD81" i="2"/>
  <c r="BC81" i="2"/>
  <c r="BB81" i="2"/>
  <c r="AZ81" i="2"/>
  <c r="AY81" i="2"/>
  <c r="AX81" i="2"/>
  <c r="AW81" i="2"/>
  <c r="AS81" i="2"/>
  <c r="AR81" i="2"/>
  <c r="AQ81" i="2"/>
  <c r="AP81" i="2"/>
  <c r="AO81" i="2"/>
  <c r="AN81" i="2"/>
  <c r="AM81" i="2"/>
  <c r="AL81" i="2"/>
  <c r="AK81" i="2"/>
  <c r="AG81" i="2"/>
  <c r="AF81" i="2"/>
  <c r="AE81" i="2"/>
  <c r="AD81" i="2"/>
  <c r="AC81" i="2"/>
  <c r="AA81" i="2"/>
  <c r="Z81" i="2"/>
  <c r="Y81" i="2"/>
  <c r="X81" i="2"/>
  <c r="W81" i="2"/>
  <c r="V79" i="2"/>
  <c r="BQ73" i="2"/>
  <c r="BP73" i="2"/>
  <c r="BO73" i="2"/>
  <c r="BN73" i="2"/>
  <c r="BL73" i="2"/>
  <c r="BK73" i="2"/>
  <c r="BJ73" i="2"/>
  <c r="BI73" i="2"/>
  <c r="BH73" i="2"/>
  <c r="BE73" i="2"/>
  <c r="BD73" i="2"/>
  <c r="BC73" i="2"/>
  <c r="BB73" i="2"/>
  <c r="AZ73" i="2"/>
  <c r="AY73" i="2"/>
  <c r="AX73" i="2"/>
  <c r="AW73" i="2"/>
  <c r="AV73" i="2"/>
  <c r="AS73" i="2"/>
  <c r="AR73" i="2"/>
  <c r="AQ73" i="2"/>
  <c r="AP73" i="2"/>
  <c r="AO73" i="2"/>
  <c r="AN73" i="2"/>
  <c r="AM73" i="2"/>
  <c r="AL73" i="2"/>
  <c r="AK73" i="2"/>
  <c r="AJ73" i="2"/>
  <c r="AG73" i="2"/>
  <c r="AF73" i="2"/>
  <c r="AE73" i="2"/>
  <c r="AD73" i="2"/>
  <c r="AC73" i="2"/>
  <c r="AA73" i="2"/>
  <c r="Z73" i="2"/>
  <c r="Y73" i="2"/>
  <c r="X73" i="2"/>
  <c r="W73" i="2"/>
  <c r="DI59" i="2"/>
  <c r="DH59" i="2"/>
  <c r="DG59" i="2"/>
  <c r="AG59" i="2"/>
  <c r="AF59" i="2"/>
  <c r="AS59" i="2" s="1"/>
  <c r="AE59" i="2"/>
  <c r="BD59" i="2" s="1"/>
  <c r="AD59" i="2"/>
  <c r="BC59" i="2" s="1"/>
  <c r="AC59" i="2"/>
  <c r="BB59" i="2" s="1"/>
  <c r="AA59" i="2"/>
  <c r="AN59" i="2" s="1"/>
  <c r="Z59" i="2"/>
  <c r="AM59" i="2" s="1"/>
  <c r="Y59" i="2"/>
  <c r="AL59" i="2" s="1"/>
  <c r="X59" i="2"/>
  <c r="AK59" i="2" s="1"/>
  <c r="W59" i="2"/>
  <c r="AV59" i="2" s="1"/>
  <c r="D47" i="2"/>
  <c r="D46" i="2"/>
  <c r="D45" i="2"/>
  <c r="D44" i="2"/>
  <c r="D43" i="2"/>
  <c r="D42" i="2"/>
  <c r="D41" i="2"/>
  <c r="D40" i="2"/>
  <c r="E39" i="2"/>
  <c r="D39" i="2"/>
  <c r="DD38" i="2"/>
  <c r="DC38" i="2"/>
  <c r="DB38" i="2"/>
  <c r="DA38" i="2"/>
  <c r="CZ38" i="2"/>
  <c r="CX38" i="2"/>
  <c r="CW38" i="2"/>
  <c r="CV38" i="2"/>
  <c r="CU38" i="2"/>
  <c r="CT38" i="2"/>
  <c r="CQ38" i="2"/>
  <c r="CP38" i="2"/>
  <c r="CO38" i="2"/>
  <c r="CN38" i="2"/>
  <c r="CM38" i="2"/>
  <c r="CK38" i="2"/>
  <c r="CJ38" i="2"/>
  <c r="CI38" i="2"/>
  <c r="CH38" i="2"/>
  <c r="CG38" i="2"/>
  <c r="BQ38" i="2"/>
  <c r="BP38" i="2"/>
  <c r="BO38" i="2"/>
  <c r="BN38" i="2"/>
  <c r="BL38" i="2"/>
  <c r="BK38" i="2"/>
  <c r="BJ38" i="2"/>
  <c r="BI38" i="2"/>
  <c r="BH38" i="2"/>
  <c r="BE38" i="2"/>
  <c r="BD38" i="2"/>
  <c r="BC38" i="2"/>
  <c r="BB38" i="2"/>
  <c r="AZ38" i="2"/>
  <c r="AY38" i="2"/>
  <c r="AX38" i="2"/>
  <c r="AW38" i="2"/>
  <c r="AV38" i="2"/>
  <c r="AS38" i="2"/>
  <c r="AR38" i="2"/>
  <c r="AQ38" i="2"/>
  <c r="AP38" i="2"/>
  <c r="AN38" i="2"/>
  <c r="AM38" i="2"/>
  <c r="AL38" i="2"/>
  <c r="AK38" i="2"/>
  <c r="AJ38" i="2"/>
  <c r="AG38" i="2"/>
  <c r="AF38" i="2"/>
  <c r="AE38" i="2"/>
  <c r="AD38" i="2"/>
  <c r="AC38" i="2"/>
  <c r="AA38" i="2"/>
  <c r="Z38" i="2"/>
  <c r="Y38" i="2"/>
  <c r="X38" i="2"/>
  <c r="W38" i="2"/>
  <c r="DD37" i="2"/>
  <c r="CQ37" i="2"/>
  <c r="AG37" i="2"/>
  <c r="AF37" i="2"/>
  <c r="AE37" i="2"/>
  <c r="AD37" i="2"/>
  <c r="AC37" i="2"/>
  <c r="AA37" i="2"/>
  <c r="Z37" i="2"/>
  <c r="Y37" i="2"/>
  <c r="X37" i="2"/>
  <c r="W37" i="2"/>
  <c r="H17" i="2"/>
  <c r="H16" i="2"/>
  <c r="H15" i="2"/>
  <c r="H14" i="2"/>
  <c r="H13" i="2"/>
  <c r="H12" i="2"/>
  <c r="H11" i="2"/>
  <c r="H10" i="2"/>
  <c r="H9" i="2"/>
  <c r="BE8" i="2"/>
  <c r="BD8" i="2"/>
  <c r="BC8" i="2"/>
  <c r="BB8" i="2"/>
  <c r="AZ8" i="2"/>
  <c r="AY8" i="2"/>
  <c r="AX8" i="2"/>
  <c r="AW8" i="2"/>
  <c r="AV8" i="2"/>
  <c r="AS8" i="2"/>
  <c r="AR8" i="2"/>
  <c r="AQ8" i="2"/>
  <c r="AP8" i="2"/>
  <c r="AN8" i="2"/>
  <c r="AM8" i="2"/>
  <c r="AL8" i="2"/>
  <c r="AK8" i="2"/>
  <c r="AJ8" i="2"/>
  <c r="V6" i="2"/>
  <c r="V478" i="6"/>
  <c r="AO59" i="2"/>
  <c r="D984" i="7"/>
  <c r="V984" i="7" s="1"/>
  <c r="V959" i="7"/>
  <c r="F776" i="7" l="1"/>
  <c r="AF40" i="5"/>
  <c r="F31" i="5"/>
  <c r="M109" i="7"/>
  <c r="AF393" i="7"/>
  <c r="L201" i="15"/>
  <c r="AF820" i="7"/>
  <c r="M102" i="7"/>
  <c r="DJ102" i="7" s="1"/>
  <c r="AF386" i="7"/>
  <c r="M118" i="7"/>
  <c r="AF402" i="7"/>
  <c r="H558" i="7"/>
  <c r="D186" i="15"/>
  <c r="M104" i="7"/>
  <c r="DJ104" i="7" s="1"/>
  <c r="AF388" i="7"/>
  <c r="M113" i="7"/>
  <c r="AF397" i="7"/>
  <c r="M128" i="7"/>
  <c r="AF412" i="7"/>
  <c r="M105" i="7"/>
  <c r="AF389" i="7"/>
  <c r="M121" i="7"/>
  <c r="AF405" i="7"/>
  <c r="M129" i="7"/>
  <c r="AF413" i="7"/>
  <c r="N487" i="7"/>
  <c r="AF514" i="7"/>
  <c r="M106" i="7"/>
  <c r="AF390" i="7"/>
  <c r="M130" i="7"/>
  <c r="DJ130" i="7" s="1"/>
  <c r="AF414" i="7"/>
  <c r="M112" i="7"/>
  <c r="AF396" i="7"/>
  <c r="M115" i="7"/>
  <c r="DJ115" i="7" s="1"/>
  <c r="AF399" i="7"/>
  <c r="M108" i="7"/>
  <c r="DJ108" i="7" s="1"/>
  <c r="AF392" i="7"/>
  <c r="M124" i="7"/>
  <c r="DJ124" i="7" s="1"/>
  <c r="AF408" i="7"/>
  <c r="AF819" i="7"/>
  <c r="M117" i="7"/>
  <c r="AF401" i="7"/>
  <c r="M525" i="7"/>
  <c r="DJ525" i="7" s="1"/>
  <c r="AF549" i="7"/>
  <c r="M126" i="7"/>
  <c r="DJ126" i="7" s="1"/>
  <c r="AF410" i="7"/>
  <c r="M110" i="7"/>
  <c r="DJ110" i="7" s="1"/>
  <c r="AF394" i="7"/>
  <c r="M119" i="7"/>
  <c r="AF403" i="7"/>
  <c r="M103" i="7"/>
  <c r="DJ103" i="7" s="1"/>
  <c r="AF387" i="7"/>
  <c r="M111" i="7"/>
  <c r="AF395" i="7"/>
  <c r="M127" i="7"/>
  <c r="DJ127" i="7" s="1"/>
  <c r="AF411" i="7"/>
  <c r="M420" i="7"/>
  <c r="AF452" i="7"/>
  <c r="M120" i="7"/>
  <c r="AF404" i="7"/>
  <c r="M107" i="7"/>
  <c r="AF391" i="7"/>
  <c r="M122" i="7"/>
  <c r="DJ122" i="7" s="1"/>
  <c r="AF406" i="7"/>
  <c r="M123" i="7"/>
  <c r="AF407" i="7"/>
  <c r="M101" i="7"/>
  <c r="DJ101" i="7" s="1"/>
  <c r="AF385" i="7"/>
  <c r="M116" i="7"/>
  <c r="DJ116" i="7" s="1"/>
  <c r="AF400" i="7"/>
  <c r="M125" i="7"/>
  <c r="AF409" i="7"/>
  <c r="DI81" i="6"/>
  <c r="AE27" i="15" s="1"/>
  <c r="AC27" i="15" s="1"/>
  <c r="DI78" i="6"/>
  <c r="AE25" i="15" s="1"/>
  <c r="AC25" i="15" s="1"/>
  <c r="DI83" i="6"/>
  <c r="AE28" i="15" s="1"/>
  <c r="AC28" i="15" s="1"/>
  <c r="DI80" i="6"/>
  <c r="AE26" i="15" s="1"/>
  <c r="AC26" i="15" s="1"/>
  <c r="DI764" i="6"/>
  <c r="AF72" i="15" s="1"/>
  <c r="DI842" i="6"/>
  <c r="AF95" i="15" s="1"/>
  <c r="DI826" i="6"/>
  <c r="AF91" i="15" s="1"/>
  <c r="DI73" i="6"/>
  <c r="AE22" i="15" s="1"/>
  <c r="AC22" i="15" s="1"/>
  <c r="DI810" i="6"/>
  <c r="AF87" i="15" s="1"/>
  <c r="DI888" i="6"/>
  <c r="AF110" i="15" s="1"/>
  <c r="DI730" i="6"/>
  <c r="AF59" i="15" s="1"/>
  <c r="DI776" i="6"/>
  <c r="AF76" i="15" s="1"/>
  <c r="Z218" i="15"/>
  <c r="Z186" i="15"/>
  <c r="W186" i="15" s="1"/>
  <c r="V186" i="15" s="1"/>
  <c r="DH7" i="7"/>
  <c r="X127" i="15"/>
  <c r="Z127" i="15" s="1"/>
  <c r="W127" i="15" s="1"/>
  <c r="V127" i="15" s="1"/>
  <c r="AB127" i="15"/>
  <c r="DH33" i="7"/>
  <c r="X130" i="15"/>
  <c r="Z130" i="15" s="1"/>
  <c r="AB130" i="15"/>
  <c r="DH34" i="7"/>
  <c r="X131" i="15"/>
  <c r="Z131" i="15" s="1"/>
  <c r="AB131" i="15"/>
  <c r="AB133" i="15"/>
  <c r="AB134" i="15"/>
  <c r="DH38" i="7"/>
  <c r="X135" i="15"/>
  <c r="Z135" i="15" s="1"/>
  <c r="AB135" i="15"/>
  <c r="DH39" i="7"/>
  <c r="X136" i="15"/>
  <c r="Z136" i="15" s="1"/>
  <c r="AB136" i="15"/>
  <c r="DH40" i="7"/>
  <c r="X137" i="15"/>
  <c r="Z137" i="15" s="1"/>
  <c r="AB137" i="15"/>
  <c r="AB138" i="15"/>
  <c r="J37" i="7"/>
  <c r="F37" i="7" s="1"/>
  <c r="AF70" i="7"/>
  <c r="F74" i="7"/>
  <c r="AF73" i="7"/>
  <c r="DH102" i="7"/>
  <c r="X140" i="15"/>
  <c r="Z140" i="15" s="1"/>
  <c r="DH103" i="7"/>
  <c r="X141" i="15"/>
  <c r="Z141" i="15" s="1"/>
  <c r="DH106" i="7"/>
  <c r="X144" i="15"/>
  <c r="Z144" i="15" s="1"/>
  <c r="DH108" i="7"/>
  <c r="X146" i="15"/>
  <c r="Z146" i="15" s="1"/>
  <c r="DH110" i="7"/>
  <c r="X148" i="15"/>
  <c r="Z148" i="15" s="1"/>
  <c r="DH112" i="7"/>
  <c r="X150" i="15"/>
  <c r="Z150" i="15" s="1"/>
  <c r="DH113" i="7"/>
  <c r="X151" i="15"/>
  <c r="Z151" i="15" s="1"/>
  <c r="DH114" i="7"/>
  <c r="X152" i="15"/>
  <c r="Z152" i="15" s="1"/>
  <c r="DH115" i="7"/>
  <c r="X153" i="15"/>
  <c r="Z153" i="15" s="1"/>
  <c r="DH116" i="7"/>
  <c r="X154" i="15"/>
  <c r="Z154" i="15" s="1"/>
  <c r="DH117" i="7"/>
  <c r="X155" i="15"/>
  <c r="Z155" i="15" s="1"/>
  <c r="DH118" i="7"/>
  <c r="X156" i="15"/>
  <c r="Z156" i="15" s="1"/>
  <c r="DH122" i="7"/>
  <c r="X160" i="15"/>
  <c r="Z160" i="15" s="1"/>
  <c r="DH123" i="7"/>
  <c r="X161" i="15"/>
  <c r="Z161" i="15" s="1"/>
  <c r="DH128" i="7"/>
  <c r="X166" i="15"/>
  <c r="Z166" i="15" s="1"/>
  <c r="DH129" i="7"/>
  <c r="X167" i="15"/>
  <c r="Z167" i="15" s="1"/>
  <c r="DH130" i="7"/>
  <c r="X168" i="15"/>
  <c r="Z168" i="15" s="1"/>
  <c r="AB152" i="15"/>
  <c r="DH420" i="7"/>
  <c r="X169" i="15"/>
  <c r="Z169" i="15" s="1"/>
  <c r="DH421" i="7"/>
  <c r="X170" i="15"/>
  <c r="Z170" i="15" s="1"/>
  <c r="DH422" i="7"/>
  <c r="X171" i="15"/>
  <c r="Z171" i="15" s="1"/>
  <c r="I421" i="7"/>
  <c r="F421" i="7" s="1"/>
  <c r="AF439" i="7"/>
  <c r="DH458" i="7"/>
  <c r="X175" i="15"/>
  <c r="Z175" i="15" s="1"/>
  <c r="W175" i="15" s="1"/>
  <c r="V175" i="15" s="1"/>
  <c r="AB175" i="15"/>
  <c r="DH486" i="7"/>
  <c r="X177" i="15"/>
  <c r="Z177" i="15" s="1"/>
  <c r="K487" i="7"/>
  <c r="J487" i="7" s="1"/>
  <c r="AF496" i="7"/>
  <c r="I486" i="7"/>
  <c r="AF497" i="7"/>
  <c r="DH524" i="7"/>
  <c r="X183" i="15"/>
  <c r="Z183" i="15" s="1"/>
  <c r="DH555" i="7"/>
  <c r="X185" i="15"/>
  <c r="Z185" i="15" s="1"/>
  <c r="W185" i="15" s="1"/>
  <c r="V185" i="15" s="1"/>
  <c r="AB185" i="15"/>
  <c r="AB188" i="15"/>
  <c r="AB189" i="15"/>
  <c r="I192" i="15"/>
  <c r="AF701" i="7"/>
  <c r="I193" i="15"/>
  <c r="AF702" i="7"/>
  <c r="DH703" i="7"/>
  <c r="DI703" i="7" s="1"/>
  <c r="AE194" i="15" s="1"/>
  <c r="AC194" i="15" s="1"/>
  <c r="X194" i="15"/>
  <c r="Z194" i="15" s="1"/>
  <c r="W194" i="15" s="1"/>
  <c r="DH704" i="7"/>
  <c r="DI704" i="7" s="1"/>
  <c r="AE195" i="15" s="1"/>
  <c r="AC195" i="15" s="1"/>
  <c r="X195" i="15"/>
  <c r="Z195" i="15" s="1"/>
  <c r="W195" i="15" s="1"/>
  <c r="AB196" i="15"/>
  <c r="AB197" i="15"/>
  <c r="K198" i="15"/>
  <c r="AF771" i="7"/>
  <c r="L198" i="15"/>
  <c r="AF772" i="7"/>
  <c r="K199" i="15"/>
  <c r="AF773" i="7"/>
  <c r="DH773" i="7"/>
  <c r="DI773" i="7" s="1"/>
  <c r="AE199" i="15" s="1"/>
  <c r="X199" i="15"/>
  <c r="Z199" i="15" s="1"/>
  <c r="W199" i="15" s="1"/>
  <c r="L199" i="15"/>
  <c r="AF774" i="7"/>
  <c r="K200" i="15"/>
  <c r="AF775" i="7"/>
  <c r="DH775" i="7"/>
  <c r="DI775" i="7" s="1"/>
  <c r="AE200" i="15" s="1"/>
  <c r="X200" i="15"/>
  <c r="Z200" i="15" s="1"/>
  <c r="W200" i="15" s="1"/>
  <c r="K201" i="15"/>
  <c r="AF777" i="7"/>
  <c r="K202" i="15"/>
  <c r="I202" i="15" s="1"/>
  <c r="AF779" i="7"/>
  <c r="K203" i="15"/>
  <c r="I203" i="15" s="1"/>
  <c r="AF781" i="7"/>
  <c r="DH781" i="7"/>
  <c r="DI781" i="7" s="1"/>
  <c r="AE203" i="15" s="1"/>
  <c r="AC203" i="15" s="1"/>
  <c r="X203" i="15"/>
  <c r="Z203" i="15" s="1"/>
  <c r="W203" i="15" s="1"/>
  <c r="I204" i="15"/>
  <c r="AF837" i="7"/>
  <c r="AB204" i="15"/>
  <c r="I205" i="15"/>
  <c r="AF838" i="7"/>
  <c r="AB218" i="15"/>
  <c r="AB219" i="15"/>
  <c r="DH934" i="7"/>
  <c r="DI934" i="7" s="1"/>
  <c r="AG219" i="15" s="1"/>
  <c r="AD219" i="15" s="1"/>
  <c r="Y219" i="15"/>
  <c r="Z219" i="15" s="1"/>
  <c r="AB220" i="15"/>
  <c r="AB221" i="15"/>
  <c r="AB192" i="15"/>
  <c r="AB194" i="15"/>
  <c r="AB193" i="15"/>
  <c r="DH424" i="7"/>
  <c r="X173" i="15"/>
  <c r="Z173" i="15" s="1"/>
  <c r="DH425" i="7"/>
  <c r="X174" i="15"/>
  <c r="Z174" i="15" s="1"/>
  <c r="I425" i="7"/>
  <c r="AF434" i="7"/>
  <c r="AF907" i="7"/>
  <c r="AR907" i="7"/>
  <c r="I189" i="15"/>
  <c r="AF631" i="7"/>
  <c r="I188" i="15"/>
  <c r="AF630" i="7"/>
  <c r="I190" i="15"/>
  <c r="AF666" i="7"/>
  <c r="I191" i="15"/>
  <c r="AF667" i="7"/>
  <c r="AB191" i="15"/>
  <c r="AB190" i="15"/>
  <c r="AB217" i="15"/>
  <c r="AB195" i="15"/>
  <c r="F8" i="7"/>
  <c r="I8" i="7" s="1"/>
  <c r="Q128" i="15" s="1"/>
  <c r="O128" i="15" s="1"/>
  <c r="U128" i="15" s="1"/>
  <c r="AF20" i="7"/>
  <c r="AF621" i="7"/>
  <c r="AB187" i="15"/>
  <c r="AB129" i="15"/>
  <c r="AB128" i="15"/>
  <c r="I194" i="15"/>
  <c r="AF703" i="7"/>
  <c r="I195" i="15"/>
  <c r="AF704" i="7"/>
  <c r="AB132" i="15"/>
  <c r="DH35" i="7"/>
  <c r="X132" i="15"/>
  <c r="Z132" i="15" s="1"/>
  <c r="I132" i="15"/>
  <c r="AF35" i="7"/>
  <c r="K690" i="6"/>
  <c r="J690" i="6" s="1"/>
  <c r="K575" i="6" s="1"/>
  <c r="DJ575" i="6" s="1"/>
  <c r="K567" i="6"/>
  <c r="J567" i="6" s="1"/>
  <c r="AF567" i="6" s="1"/>
  <c r="AF92" i="16"/>
  <c r="I268" i="15"/>
  <c r="AF121" i="2"/>
  <c r="F183" i="2"/>
  <c r="AF183" i="2" s="1"/>
  <c r="AF197" i="2"/>
  <c r="BE197" i="2" s="1"/>
  <c r="I276" i="15"/>
  <c r="AF167" i="2"/>
  <c r="AF198" i="2"/>
  <c r="BE198" i="2" s="1"/>
  <c r="F184" i="2"/>
  <c r="AF184" i="2" s="1"/>
  <c r="I267" i="15"/>
  <c r="AF120" i="2"/>
  <c r="I308" i="15"/>
  <c r="AF365" i="2"/>
  <c r="I255" i="15"/>
  <c r="I309" i="15"/>
  <c r="AF366" i="2"/>
  <c r="I306" i="15"/>
  <c r="AF363" i="2"/>
  <c r="I310" i="15"/>
  <c r="AF367" i="2"/>
  <c r="I312" i="15"/>
  <c r="AF369" i="2"/>
  <c r="I307" i="15"/>
  <c r="AF364" i="2"/>
  <c r="I311" i="15"/>
  <c r="AF368" i="2"/>
  <c r="I290" i="15"/>
  <c r="AF261" i="2"/>
  <c r="I314" i="15"/>
  <c r="AF390" i="2"/>
  <c r="I318" i="15"/>
  <c r="AF394" i="2"/>
  <c r="I320" i="15"/>
  <c r="AF415" i="2"/>
  <c r="I315" i="15"/>
  <c r="AF391" i="2"/>
  <c r="I319" i="15"/>
  <c r="AF395" i="2"/>
  <c r="I316" i="15"/>
  <c r="AF392" i="2"/>
  <c r="F343" i="2"/>
  <c r="AF343" i="2" s="1"/>
  <c r="J354" i="2"/>
  <c r="K343" i="2" s="1"/>
  <c r="DJ343" i="2" s="1"/>
  <c r="K300" i="15"/>
  <c r="AS317" i="2"/>
  <c r="L301" i="15"/>
  <c r="BE318" i="2"/>
  <c r="K304" i="15"/>
  <c r="I304" i="15" s="1"/>
  <c r="K303" i="15"/>
  <c r="I303" i="15" s="1"/>
  <c r="AS320" i="2"/>
  <c r="I317" i="15"/>
  <c r="AF393" i="2"/>
  <c r="L300" i="15"/>
  <c r="BE317" i="2"/>
  <c r="K301" i="15"/>
  <c r="AS318" i="2"/>
  <c r="L302" i="15"/>
  <c r="BE319" i="2"/>
  <c r="K302" i="15"/>
  <c r="AS319" i="2"/>
  <c r="I288" i="15"/>
  <c r="I289" i="15"/>
  <c r="I286" i="15"/>
  <c r="I287" i="15"/>
  <c r="L284" i="15"/>
  <c r="K284" i="15"/>
  <c r="F186" i="2"/>
  <c r="AF186" i="2" s="1"/>
  <c r="F185" i="2"/>
  <c r="AF185" i="2" s="1"/>
  <c r="Z124" i="15"/>
  <c r="O32" i="15"/>
  <c r="W32" i="15" s="1"/>
  <c r="V32" i="15" s="1"/>
  <c r="U32" i="15" s="1"/>
  <c r="K47" i="15"/>
  <c r="I47" i="15" s="1"/>
  <c r="K614" i="6"/>
  <c r="K696" i="6" s="1"/>
  <c r="J696" i="6" s="1"/>
  <c r="AF614" i="6"/>
  <c r="F2112" i="6"/>
  <c r="L113" i="15" s="1"/>
  <c r="AF2164" i="6"/>
  <c r="F2144" i="6"/>
  <c r="L124" i="15" s="1"/>
  <c r="DH2125" i="6"/>
  <c r="X118" i="15"/>
  <c r="Z118" i="15" s="1"/>
  <c r="L45" i="15"/>
  <c r="I45" i="15" s="1"/>
  <c r="DH2113" i="6"/>
  <c r="X114" i="15"/>
  <c r="Z114" i="15" s="1"/>
  <c r="O30" i="15"/>
  <c r="W30" i="15" s="1"/>
  <c r="V30" i="15" s="1"/>
  <c r="U30" i="15" s="1"/>
  <c r="I73" i="6"/>
  <c r="Q22" i="15" s="1"/>
  <c r="O22" i="15" s="1"/>
  <c r="W22" i="15" s="1"/>
  <c r="V22" i="15" s="1"/>
  <c r="U22" i="15" s="1"/>
  <c r="K22" i="15"/>
  <c r="I22" i="15" s="1"/>
  <c r="AF73" i="6"/>
  <c r="DH2111" i="6"/>
  <c r="X113" i="15"/>
  <c r="Z113" i="15" s="1"/>
  <c r="K692" i="6"/>
  <c r="J692" i="6" s="1"/>
  <c r="K23" i="15"/>
  <c r="I23" i="15" s="1"/>
  <c r="AF75" i="6"/>
  <c r="DH2105" i="6"/>
  <c r="Y111" i="15"/>
  <c r="Z111" i="15" s="1"/>
  <c r="K46" i="15"/>
  <c r="I46" i="15" s="1"/>
  <c r="K24" i="15"/>
  <c r="I24" i="15" s="1"/>
  <c r="AF76" i="6"/>
  <c r="O34" i="15"/>
  <c r="W34" i="15" s="1"/>
  <c r="V34" i="15" s="1"/>
  <c r="U34" i="15" s="1"/>
  <c r="DH2115" i="6"/>
  <c r="X115" i="15"/>
  <c r="Z115" i="15" s="1"/>
  <c r="DH2127" i="6"/>
  <c r="X119" i="15"/>
  <c r="DH2129" i="6"/>
  <c r="Y119" i="15"/>
  <c r="K26" i="15"/>
  <c r="I26" i="15" s="1"/>
  <c r="AF80" i="6"/>
  <c r="DH2119" i="6"/>
  <c r="X116" i="15"/>
  <c r="Z116" i="15" s="1"/>
  <c r="AF24" i="6"/>
  <c r="DH2107" i="6"/>
  <c r="X112" i="15"/>
  <c r="Z112" i="15" s="1"/>
  <c r="K613" i="6"/>
  <c r="AF613" i="6"/>
  <c r="DH2137" i="6"/>
  <c r="X122" i="15"/>
  <c r="Z122" i="15" s="1"/>
  <c r="DH514" i="6"/>
  <c r="X47" i="15"/>
  <c r="Z47" i="15" s="1"/>
  <c r="Z123" i="15"/>
  <c r="K20" i="15"/>
  <c r="I20" i="15" s="1"/>
  <c r="AF70" i="6"/>
  <c r="K21" i="15"/>
  <c r="I21" i="15" s="1"/>
  <c r="AF72" i="6"/>
  <c r="J513" i="6"/>
  <c r="DH513" i="6" s="1"/>
  <c r="X46" i="15"/>
  <c r="Z46" i="15" s="1"/>
  <c r="K25" i="15"/>
  <c r="I25" i="15" s="1"/>
  <c r="AF78" i="6"/>
  <c r="DH2135" i="6"/>
  <c r="X121" i="15"/>
  <c r="Z121" i="15" s="1"/>
  <c r="Z120" i="15"/>
  <c r="I81" i="6"/>
  <c r="Q27" i="15" s="1"/>
  <c r="O27" i="15" s="1"/>
  <c r="W27" i="15" s="1"/>
  <c r="V27" i="15" s="1"/>
  <c r="U27" i="15" s="1"/>
  <c r="K27" i="15"/>
  <c r="I27" i="15" s="1"/>
  <c r="AF81" i="6"/>
  <c r="K28" i="15"/>
  <c r="I28" i="15" s="1"/>
  <c r="AF83" i="6"/>
  <c r="DH2123" i="6"/>
  <c r="X117" i="15"/>
  <c r="Z117" i="15" s="1"/>
  <c r="DH12" i="2"/>
  <c r="X241" i="15"/>
  <c r="Z241" i="15" s="1"/>
  <c r="W241" i="15" s="1"/>
  <c r="DH17" i="2"/>
  <c r="X246" i="15"/>
  <c r="Z246" i="15" s="1"/>
  <c r="W246" i="15" s="1"/>
  <c r="V246" i="15" s="1"/>
  <c r="DH11" i="2"/>
  <c r="X240" i="15"/>
  <c r="Z240" i="15" s="1"/>
  <c r="W240" i="15" s="1"/>
  <c r="DH16" i="2"/>
  <c r="X245" i="15"/>
  <c r="Z245" i="15" s="1"/>
  <c r="L314" i="2"/>
  <c r="Q297" i="15" s="1"/>
  <c r="O297" i="15" s="1"/>
  <c r="W297" i="15" s="1"/>
  <c r="V297" i="15" s="1"/>
  <c r="U297" i="15" s="1"/>
  <c r="K297" i="15"/>
  <c r="I297" i="15" s="1"/>
  <c r="AB276" i="15"/>
  <c r="AB287" i="15"/>
  <c r="AB16" i="15"/>
  <c r="DH60" i="16"/>
  <c r="DI60" i="16" s="1"/>
  <c r="AE16" i="15" s="1"/>
  <c r="X16" i="15"/>
  <c r="Z16" i="15" s="1"/>
  <c r="W16" i="15" s="1"/>
  <c r="AB15" i="15"/>
  <c r="AB14" i="15"/>
  <c r="DH56" i="16"/>
  <c r="DI56" i="16" s="1"/>
  <c r="AE14" i="15" s="1"/>
  <c r="X14" i="15"/>
  <c r="Z14" i="15" s="1"/>
  <c r="W14" i="15" s="1"/>
  <c r="AB13" i="15"/>
  <c r="AB12" i="15"/>
  <c r="AB11" i="15"/>
  <c r="DH50" i="16"/>
  <c r="DI50" i="16" s="1"/>
  <c r="AE11" i="15" s="1"/>
  <c r="X11" i="15"/>
  <c r="Z11" i="15" s="1"/>
  <c r="W11" i="15" s="1"/>
  <c r="DH48" i="16"/>
  <c r="DI48" i="16" s="1"/>
  <c r="AE10" i="15" s="1"/>
  <c r="X10" i="15"/>
  <c r="Z10" i="15" s="1"/>
  <c r="W10" i="15" s="1"/>
  <c r="AB9" i="15"/>
  <c r="DH7" i="16"/>
  <c r="X9" i="15"/>
  <c r="Z9" i="15" s="1"/>
  <c r="W9" i="15" s="1"/>
  <c r="I9" i="15"/>
  <c r="AF7" i="16"/>
  <c r="AB10" i="15"/>
  <c r="AB18" i="15"/>
  <c r="M837" i="7"/>
  <c r="O204" i="15" s="1"/>
  <c r="U204" i="15" s="1"/>
  <c r="F846" i="7"/>
  <c r="P847" i="7"/>
  <c r="DJ847" i="7" s="1"/>
  <c r="G907" i="7"/>
  <c r="Q847" i="7" s="1"/>
  <c r="M838" i="7"/>
  <c r="O205" i="15" s="1"/>
  <c r="U205" i="15" s="1"/>
  <c r="K493" i="6"/>
  <c r="K478" i="6"/>
  <c r="K497" i="6"/>
  <c r="K480" i="6"/>
  <c r="K495" i="6"/>
  <c r="K481" i="6"/>
  <c r="K483" i="6"/>
  <c r="K485" i="6"/>
  <c r="K489" i="6"/>
  <c r="BB71" i="15"/>
  <c r="BB73" i="15" s="1"/>
  <c r="BG73" i="15" s="1"/>
  <c r="F942" i="7"/>
  <c r="BA71" i="15"/>
  <c r="BF71" i="15" s="1"/>
  <c r="BD54" i="15"/>
  <c r="BD57" i="15" s="1"/>
  <c r="BI57" i="15" s="1"/>
  <c r="BB84" i="15"/>
  <c r="BG84" i="15" s="1"/>
  <c r="BA48" i="15"/>
  <c r="BF48" i="15" s="1"/>
  <c r="J618" i="6"/>
  <c r="AF618" i="6" s="1"/>
  <c r="J617" i="6"/>
  <c r="F584" i="6"/>
  <c r="DI584" i="6" s="1"/>
  <c r="F582" i="6"/>
  <c r="DI582" i="6" s="1"/>
  <c r="K1908" i="6"/>
  <c r="K1924" i="6"/>
  <c r="K1916" i="6"/>
  <c r="K725" i="6" s="1"/>
  <c r="BB72" i="15"/>
  <c r="BB74" i="15" s="1"/>
  <c r="BG74" i="15" s="1"/>
  <c r="BB70" i="15"/>
  <c r="BB95" i="15" s="1"/>
  <c r="BG95" i="15" s="1"/>
  <c r="BC72" i="15"/>
  <c r="BH72" i="15" s="1"/>
  <c r="F580" i="6"/>
  <c r="DI580" i="6" s="1"/>
  <c r="K616" i="6"/>
  <c r="K700" i="6" s="1"/>
  <c r="J700" i="6" s="1"/>
  <c r="F586" i="6"/>
  <c r="DI586" i="6" s="1"/>
  <c r="BC64" i="15"/>
  <c r="BD68" i="15"/>
  <c r="BD91" i="15" s="1"/>
  <c r="BI91" i="15" s="1"/>
  <c r="BB102" i="15"/>
  <c r="BB103" i="15" s="1"/>
  <c r="BG103" i="15" s="1"/>
  <c r="F100" i="16"/>
  <c r="F55" i="16" s="1"/>
  <c r="F102" i="16"/>
  <c r="F101" i="16"/>
  <c r="F57" i="16" s="1"/>
  <c r="F103" i="16"/>
  <c r="F61" i="16" s="1"/>
  <c r="F99" i="16"/>
  <c r="F98" i="16"/>
  <c r="AF98" i="16" s="1"/>
  <c r="F97" i="16"/>
  <c r="BD70" i="15"/>
  <c r="BD95" i="15" s="1"/>
  <c r="BI95" i="15" s="1"/>
  <c r="L316" i="6"/>
  <c r="AJ44" i="15" s="1"/>
  <c r="L293" i="6"/>
  <c r="AJ35" i="15" s="1"/>
  <c r="L296" i="6"/>
  <c r="AJ37" i="15" s="1"/>
  <c r="L298" i="6"/>
  <c r="AJ38" i="15" s="1"/>
  <c r="L308" i="6"/>
  <c r="AJ41" i="15" s="1"/>
  <c r="L295" i="6"/>
  <c r="AJ36" i="15" s="1"/>
  <c r="I76" i="6"/>
  <c r="Q24" i="15" s="1"/>
  <c r="O24" i="15" s="1"/>
  <c r="W24" i="15" s="1"/>
  <c r="V24" i="15" s="1"/>
  <c r="U24" i="15" s="1"/>
  <c r="I78" i="6"/>
  <c r="Q25" i="15" s="1"/>
  <c r="O25" i="15" s="1"/>
  <c r="W25" i="15" s="1"/>
  <c r="V25" i="15" s="1"/>
  <c r="U25" i="15" s="1"/>
  <c r="I80" i="6"/>
  <c r="Q26" i="15" s="1"/>
  <c r="I83" i="6"/>
  <c r="Q28" i="15" s="1"/>
  <c r="I72" i="6"/>
  <c r="Q21" i="15" s="1"/>
  <c r="I75" i="6"/>
  <c r="Q23" i="15" s="1"/>
  <c r="I70" i="6"/>
  <c r="Q20" i="15" s="1"/>
  <c r="O20" i="15" s="1"/>
  <c r="W20" i="15" s="1"/>
  <c r="V20" i="15" s="1"/>
  <c r="U20" i="15" s="1"/>
  <c r="BD59" i="15"/>
  <c r="BD62" i="15" s="1"/>
  <c r="BI62" i="15" s="1"/>
  <c r="BB54" i="15"/>
  <c r="BG54" i="15" s="1"/>
  <c r="BD84" i="15"/>
  <c r="BD85" i="15" s="1"/>
  <c r="BI85" i="15" s="1"/>
  <c r="BC102" i="15"/>
  <c r="BH102" i="15" s="1"/>
  <c r="BB80" i="15"/>
  <c r="BG80" i="15" s="1"/>
  <c r="BD102" i="15"/>
  <c r="BD103" i="15" s="1"/>
  <c r="BI103" i="15" s="1"/>
  <c r="BA69" i="15"/>
  <c r="BA94" i="15" s="1"/>
  <c r="BC67" i="15"/>
  <c r="BH67" i="15" s="1"/>
  <c r="F943" i="7"/>
  <c r="W316" i="7"/>
  <c r="J425" i="7"/>
  <c r="I424" i="7"/>
  <c r="M425" i="7"/>
  <c r="DJ425" i="7" s="1"/>
  <c r="M422" i="7"/>
  <c r="DJ422" i="7" s="1"/>
  <c r="F7" i="7"/>
  <c r="M424" i="7"/>
  <c r="DJ424" i="7" s="1"/>
  <c r="M423" i="7"/>
  <c r="DJ423" i="7" s="1"/>
  <c r="M421" i="7"/>
  <c r="DJ421" i="7" s="1"/>
  <c r="DH771" i="7"/>
  <c r="DI771" i="7" s="1"/>
  <c r="AE198" i="15" s="1"/>
  <c r="F2123" i="6"/>
  <c r="K117" i="15" s="1"/>
  <c r="F2103" i="6"/>
  <c r="K111" i="15" s="1"/>
  <c r="DJ914" i="7"/>
  <c r="L226" i="2"/>
  <c r="Q284" i="15" s="1"/>
  <c r="O284" i="15" s="1"/>
  <c r="U284" i="15" s="1"/>
  <c r="E85" i="16"/>
  <c r="F524" i="7"/>
  <c r="E84" i="16"/>
  <c r="BD67" i="15"/>
  <c r="BD90" i="15" s="1"/>
  <c r="BI90" i="15" s="1"/>
  <c r="BB98" i="15"/>
  <c r="BG98" i="15" s="1"/>
  <c r="BC75" i="15"/>
  <c r="BH75" i="15" s="1"/>
  <c r="BA76" i="15"/>
  <c r="BA79" i="15" s="1"/>
  <c r="BA98" i="15"/>
  <c r="BA99" i="15" s="1"/>
  <c r="BD98" i="15"/>
  <c r="BI98" i="15" s="1"/>
  <c r="AZ56" i="15"/>
  <c r="I48" i="16"/>
  <c r="Q10" i="15" s="1"/>
  <c r="E91" i="16"/>
  <c r="E117" i="16"/>
  <c r="E78" i="16"/>
  <c r="E105" i="16"/>
  <c r="BA68" i="15"/>
  <c r="BF68" i="15" s="1"/>
  <c r="BC43" i="15"/>
  <c r="BH43" i="15" s="1"/>
  <c r="BA67" i="15"/>
  <c r="BF67" i="15" s="1"/>
  <c r="BD72" i="15"/>
  <c r="BD74" i="15" s="1"/>
  <c r="BI74" i="15" s="1"/>
  <c r="BB66" i="15"/>
  <c r="BB87" i="15" s="1"/>
  <c r="BG87" i="15" s="1"/>
  <c r="BA66" i="15"/>
  <c r="BA87" i="15" s="1"/>
  <c r="BB43" i="15"/>
  <c r="BB38" i="15" s="1"/>
  <c r="BC76" i="15"/>
  <c r="BH76" i="15" s="1"/>
  <c r="BB92" i="15"/>
  <c r="BG92" i="15" s="1"/>
  <c r="BC87" i="15"/>
  <c r="BH66" i="15"/>
  <c r="BD42" i="15"/>
  <c r="BI42" i="15" s="1"/>
  <c r="BD40" i="15"/>
  <c r="BI40" i="15" s="1"/>
  <c r="BB69" i="15"/>
  <c r="BB40" i="15"/>
  <c r="BG40" i="15" s="1"/>
  <c r="BB42" i="15"/>
  <c r="BG42" i="15" s="1"/>
  <c r="BD69" i="15"/>
  <c r="BC70" i="15"/>
  <c r="BA65" i="15"/>
  <c r="BC82" i="15"/>
  <c r="BB76" i="15"/>
  <c r="BA39" i="15"/>
  <c r="BA41" i="15"/>
  <c r="BA72" i="15"/>
  <c r="BC41" i="15"/>
  <c r="BC39" i="15"/>
  <c r="BB77" i="15"/>
  <c r="BB68" i="15"/>
  <c r="BA36" i="15"/>
  <c r="BA35" i="15"/>
  <c r="BD43" i="15"/>
  <c r="BB67" i="15"/>
  <c r="BC35" i="15"/>
  <c r="BC36" i="15"/>
  <c r="BD77" i="15"/>
  <c r="BD82" i="15"/>
  <c r="BA70" i="15"/>
  <c r="BD76" i="15"/>
  <c r="BA82" i="15"/>
  <c r="BD66" i="15"/>
  <c r="BL66" i="15" s="1"/>
  <c r="BB59" i="15"/>
  <c r="BB39" i="15"/>
  <c r="BG39" i="15" s="1"/>
  <c r="BB41" i="15"/>
  <c r="BG41" i="15" s="1"/>
  <c r="BD41" i="15"/>
  <c r="BI41" i="15" s="1"/>
  <c r="BD39" i="15"/>
  <c r="BI39" i="15" s="1"/>
  <c r="BB82" i="15"/>
  <c r="BB48" i="15"/>
  <c r="BA30" i="15"/>
  <c r="BA29" i="15"/>
  <c r="BA32" i="15"/>
  <c r="BA31" i="15"/>
  <c r="BA34" i="15"/>
  <c r="BA33" i="15"/>
  <c r="AH59" i="15"/>
  <c r="DL314" i="2"/>
  <c r="E122" i="16"/>
  <c r="E90" i="16"/>
  <c r="DL317" i="2"/>
  <c r="DL318" i="2"/>
  <c r="DL319" i="2"/>
  <c r="DL320" i="2"/>
  <c r="I54" i="16"/>
  <c r="Q13" i="15" s="1"/>
  <c r="E123" i="16"/>
  <c r="E110" i="16"/>
  <c r="E83" i="16"/>
  <c r="E111" i="16"/>
  <c r="AF40" i="15"/>
  <c r="BD101" i="15"/>
  <c r="BA105" i="15"/>
  <c r="BD105" i="15"/>
  <c r="BA89" i="15"/>
  <c r="BB89" i="15"/>
  <c r="BA93" i="15"/>
  <c r="BC97" i="15"/>
  <c r="BB97" i="15"/>
  <c r="BC101" i="15"/>
  <c r="M157" i="2"/>
  <c r="F141" i="2" s="1"/>
  <c r="AF141" i="2" s="1"/>
  <c r="AQ59" i="2"/>
  <c r="DH21" i="2"/>
  <c r="DH15" i="2"/>
  <c r="D125" i="16"/>
  <c r="V125" i="16" s="1"/>
  <c r="DH7" i="5"/>
  <c r="DH41" i="7"/>
  <c r="AY59" i="2"/>
  <c r="I82" i="2"/>
  <c r="O256" i="15" s="1"/>
  <c r="V256" i="15" s="1"/>
  <c r="U256" i="15" s="1"/>
  <c r="O263" i="15"/>
  <c r="V263" i="15" s="1"/>
  <c r="U263" i="15" s="1"/>
  <c r="I395" i="2"/>
  <c r="O319" i="15" s="1"/>
  <c r="W319" i="15" s="1"/>
  <c r="V319" i="15" s="1"/>
  <c r="U319" i="15" s="1"/>
  <c r="AW59" i="2"/>
  <c r="I391" i="2"/>
  <c r="O315" i="15" s="1"/>
  <c r="W315" i="15" s="1"/>
  <c r="V315" i="15" s="1"/>
  <c r="U315" i="15" s="1"/>
  <c r="I415" i="2"/>
  <c r="O320" i="15" s="1"/>
  <c r="V320" i="15" s="1"/>
  <c r="U320" i="15" s="1"/>
  <c r="I369" i="2"/>
  <c r="O312" i="15" s="1"/>
  <c r="V312" i="15" s="1"/>
  <c r="U312" i="15" s="1"/>
  <c r="I367" i="2"/>
  <c r="O310" i="15" s="1"/>
  <c r="V310" i="15" s="1"/>
  <c r="U310" i="15" s="1"/>
  <c r="M158" i="2"/>
  <c r="F142" i="2" s="1"/>
  <c r="AF142" i="2" s="1"/>
  <c r="I363" i="2"/>
  <c r="O306" i="15" s="1"/>
  <c r="V306" i="15" s="1"/>
  <c r="U306" i="15" s="1"/>
  <c r="DH19" i="2"/>
  <c r="F207" i="2"/>
  <c r="F840" i="7"/>
  <c r="F458" i="7"/>
  <c r="I337" i="6"/>
  <c r="I347" i="6" s="1"/>
  <c r="I468" i="6"/>
  <c r="I493" i="6" s="1"/>
  <c r="I465" i="6"/>
  <c r="I490" i="6" s="1"/>
  <c r="I338" i="6"/>
  <c r="I348" i="6" s="1"/>
  <c r="I469" i="6"/>
  <c r="I494" i="6" s="1"/>
  <c r="I466" i="6"/>
  <c r="I339" i="6"/>
  <c r="I349" i="6" s="1"/>
  <c r="I472" i="6"/>
  <c r="I497" i="6" s="1"/>
  <c r="I467" i="6"/>
  <c r="I492" i="6" s="1"/>
  <c r="I340" i="6"/>
  <c r="I350" i="6" s="1"/>
  <c r="I454" i="6"/>
  <c r="I479" i="6" s="1"/>
  <c r="I473" i="6"/>
  <c r="I498" i="6" s="1"/>
  <c r="I341" i="6"/>
  <c r="I351" i="6" s="1"/>
  <c r="I455" i="6"/>
  <c r="I480" i="6" s="1"/>
  <c r="I474" i="6"/>
  <c r="I499" i="6" s="1"/>
  <c r="I462" i="6"/>
  <c r="I487" i="6" s="1"/>
  <c r="I342" i="6"/>
  <c r="I352" i="6" s="1"/>
  <c r="I456" i="6"/>
  <c r="I481" i="6" s="1"/>
  <c r="I475" i="6"/>
  <c r="I500" i="6" s="1"/>
  <c r="I345" i="6"/>
  <c r="I355" i="6" s="1"/>
  <c r="I457" i="6"/>
  <c r="I482" i="6" s="1"/>
  <c r="I476" i="6"/>
  <c r="I501" i="6" s="1"/>
  <c r="I464" i="6"/>
  <c r="I489" i="6" s="1"/>
  <c r="I346" i="6"/>
  <c r="I356" i="6" s="1"/>
  <c r="I458" i="6"/>
  <c r="I483" i="6" s="1"/>
  <c r="I477" i="6"/>
  <c r="I502" i="6" s="1"/>
  <c r="I459" i="6"/>
  <c r="I484" i="6" s="1"/>
  <c r="I344" i="6"/>
  <c r="I471" i="6"/>
  <c r="I496" i="6" s="1"/>
  <c r="I460" i="6"/>
  <c r="I485" i="6" s="1"/>
  <c r="I470" i="6"/>
  <c r="I495" i="6" s="1"/>
  <c r="I343" i="6"/>
  <c r="I353" i="6" s="1"/>
  <c r="I453" i="6"/>
  <c r="I478" i="6" s="1"/>
  <c r="I461" i="6"/>
  <c r="I486" i="6" s="1"/>
  <c r="I463" i="6"/>
  <c r="I488" i="6" s="1"/>
  <c r="DH314" i="6"/>
  <c r="AH43" i="15"/>
  <c r="DH298" i="6"/>
  <c r="AG39" i="15"/>
  <c r="DH521" i="7"/>
  <c r="AF37" i="15"/>
  <c r="DH52" i="16"/>
  <c r="DI52" i="16" s="1"/>
  <c r="AE12" i="15" s="1"/>
  <c r="I293" i="2"/>
  <c r="Q293" i="15" s="1"/>
  <c r="O293" i="15" s="1"/>
  <c r="W293" i="15" s="1"/>
  <c r="V293" i="15" s="1"/>
  <c r="U293" i="15" s="1"/>
  <c r="I366" i="2"/>
  <c r="O309" i="15" s="1"/>
  <c r="V309" i="15" s="1"/>
  <c r="U309" i="15" s="1"/>
  <c r="I85" i="2"/>
  <c r="O259" i="15" s="1"/>
  <c r="V259" i="15" s="1"/>
  <c r="U259" i="15" s="1"/>
  <c r="AJ59" i="2"/>
  <c r="F206" i="2"/>
  <c r="AZ72" i="2"/>
  <c r="I292" i="2"/>
  <c r="Q292" i="15" s="1"/>
  <c r="O292" i="15" s="1"/>
  <c r="W292" i="15" s="1"/>
  <c r="V292" i="15" s="1"/>
  <c r="U292" i="15" s="1"/>
  <c r="DH23" i="2"/>
  <c r="I393" i="2"/>
  <c r="O317" i="15" s="1"/>
  <c r="W317" i="15" s="1"/>
  <c r="V317" i="15" s="1"/>
  <c r="U317" i="15" s="1"/>
  <c r="I390" i="2"/>
  <c r="O314" i="15" s="1"/>
  <c r="W314" i="15" s="1"/>
  <c r="V314" i="15" s="1"/>
  <c r="U314" i="15" s="1"/>
  <c r="I394" i="2"/>
  <c r="O318" i="15" s="1"/>
  <c r="W318" i="15" s="1"/>
  <c r="V318" i="15" s="1"/>
  <c r="U318" i="15" s="1"/>
  <c r="I365" i="2"/>
  <c r="O308" i="15" s="1"/>
  <c r="V308" i="15" s="1"/>
  <c r="U308" i="15" s="1"/>
  <c r="I121" i="2"/>
  <c r="O268" i="15" s="1"/>
  <c r="V268" i="15" s="1"/>
  <c r="U268" i="15" s="1"/>
  <c r="M156" i="2"/>
  <c r="F140" i="2" s="1"/>
  <c r="AF140" i="2" s="1"/>
  <c r="DH10" i="2"/>
  <c r="I295" i="2"/>
  <c r="Q295" i="15" s="1"/>
  <c r="O295" i="15" s="1"/>
  <c r="W295" i="15" s="1"/>
  <c r="V295" i="15" s="1"/>
  <c r="U295" i="15" s="1"/>
  <c r="L320" i="2"/>
  <c r="Q303" i="15" s="1"/>
  <c r="O303" i="15" s="1"/>
  <c r="W303" i="15" s="1"/>
  <c r="V303" i="15" s="1"/>
  <c r="U303" i="15" s="1"/>
  <c r="I167" i="2"/>
  <c r="O276" i="15" s="1"/>
  <c r="V276" i="15" s="1"/>
  <c r="U276" i="15" s="1"/>
  <c r="I242" i="2"/>
  <c r="O287" i="15" s="1"/>
  <c r="W287" i="15" s="1"/>
  <c r="V287" i="15" s="1"/>
  <c r="U287" i="15" s="1"/>
  <c r="DI295" i="2"/>
  <c r="AE295" i="15" s="1"/>
  <c r="AC295" i="15" s="1"/>
  <c r="I364" i="2"/>
  <c r="O307" i="15" s="1"/>
  <c r="V307" i="15" s="1"/>
  <c r="U307" i="15" s="1"/>
  <c r="I368" i="2"/>
  <c r="O311" i="15" s="1"/>
  <c r="V311" i="15" s="1"/>
  <c r="U311" i="15" s="1"/>
  <c r="M159" i="2"/>
  <c r="F143" i="2" s="1"/>
  <c r="AF143" i="2" s="1"/>
  <c r="J630" i="7"/>
  <c r="O188" i="15" s="1"/>
  <c r="V188" i="15" s="1"/>
  <c r="U188" i="15" s="1"/>
  <c r="F845" i="7"/>
  <c r="E125" i="16"/>
  <c r="E89" i="16"/>
  <c r="D126" i="16"/>
  <c r="V126" i="16" s="1"/>
  <c r="V42" i="16"/>
  <c r="E88" i="16"/>
  <c r="I56" i="16"/>
  <c r="Q14" i="15" s="1"/>
  <c r="I50" i="16"/>
  <c r="Q11" i="15" s="1"/>
  <c r="AC103" i="16"/>
  <c r="I61" i="2"/>
  <c r="O255" i="15" s="1"/>
  <c r="V255" i="15" s="1"/>
  <c r="U255" i="15" s="1"/>
  <c r="I84" i="2"/>
  <c r="O258" i="15" s="1"/>
  <c r="V258" i="15" s="1"/>
  <c r="U258" i="15" s="1"/>
  <c r="I389" i="2"/>
  <c r="O313" i="15" s="1"/>
  <c r="W313" i="15" s="1"/>
  <c r="V313" i="15" s="1"/>
  <c r="U313" i="15" s="1"/>
  <c r="I244" i="2"/>
  <c r="O289" i="15" s="1"/>
  <c r="W289" i="15" s="1"/>
  <c r="V289" i="15" s="1"/>
  <c r="U289" i="15" s="1"/>
  <c r="O262" i="15"/>
  <c r="V262" i="15" s="1"/>
  <c r="U262" i="15" s="1"/>
  <c r="I243" i="2"/>
  <c r="O288" i="15" s="1"/>
  <c r="W288" i="15" s="1"/>
  <c r="V288" i="15" s="1"/>
  <c r="U288" i="15" s="1"/>
  <c r="BE59" i="2"/>
  <c r="M155" i="2"/>
  <c r="F139" i="2" s="1"/>
  <c r="AF139" i="2" s="1"/>
  <c r="I261" i="2"/>
  <c r="O290" i="15" s="1"/>
  <c r="W290" i="15" s="1"/>
  <c r="V290" i="15" s="1"/>
  <c r="U290" i="15" s="1"/>
  <c r="I86" i="2"/>
  <c r="O260" i="15" s="1"/>
  <c r="V260" i="15" s="1"/>
  <c r="U260" i="15" s="1"/>
  <c r="F208" i="2"/>
  <c r="AF208" i="2" s="1"/>
  <c r="I60" i="2"/>
  <c r="O254" i="15" s="1"/>
  <c r="V254" i="15" s="1"/>
  <c r="U254" i="15" s="1"/>
  <c r="DI435" i="2"/>
  <c r="AE323" i="15" s="1"/>
  <c r="AC323" i="15" s="1"/>
  <c r="F319" i="2"/>
  <c r="L319" i="2"/>
  <c r="Q302" i="15" s="1"/>
  <c r="O302" i="15" s="1"/>
  <c r="W302" i="15" s="1"/>
  <c r="V302" i="15" s="1"/>
  <c r="U302" i="15" s="1"/>
  <c r="DI241" i="2"/>
  <c r="AE286" i="15" s="1"/>
  <c r="AC286" i="15" s="1"/>
  <c r="I120" i="2"/>
  <c r="O267" i="15" s="1"/>
  <c r="V267" i="15" s="1"/>
  <c r="U267" i="15" s="1"/>
  <c r="DH9" i="2"/>
  <c r="AX59" i="2"/>
  <c r="AZ59" i="2"/>
  <c r="DI291" i="2"/>
  <c r="AE291" i="15" s="1"/>
  <c r="AC291" i="15" s="1"/>
  <c r="AP59" i="2"/>
  <c r="DI292" i="2"/>
  <c r="AE292" i="15" s="1"/>
  <c r="AC292" i="15" s="1"/>
  <c r="DI314" i="2"/>
  <c r="AE297" i="15" s="1"/>
  <c r="AC297" i="15" s="1"/>
  <c r="I342" i="2"/>
  <c r="Q304" i="15" s="1"/>
  <c r="O304" i="15" s="1"/>
  <c r="W304" i="15" s="1"/>
  <c r="V304" i="15" s="1"/>
  <c r="U304" i="15" s="1"/>
  <c r="BE72" i="2"/>
  <c r="I392" i="2"/>
  <c r="O316" i="15" s="1"/>
  <c r="W316" i="15" s="1"/>
  <c r="V316" i="15" s="1"/>
  <c r="U316" i="15" s="1"/>
  <c r="AP72" i="2"/>
  <c r="F7" i="5"/>
  <c r="F317" i="2"/>
  <c r="DI261" i="2"/>
  <c r="AE290" i="15" s="1"/>
  <c r="AC290" i="15" s="1"/>
  <c r="DI293" i="2"/>
  <c r="AE293" i="15" s="1"/>
  <c r="AC293" i="15" s="1"/>
  <c r="DI243" i="2"/>
  <c r="AE288" i="15" s="1"/>
  <c r="AC288" i="15" s="1"/>
  <c r="I294" i="2"/>
  <c r="Q294" i="15" s="1"/>
  <c r="O294" i="15" s="1"/>
  <c r="W294" i="15" s="1"/>
  <c r="V294" i="15" s="1"/>
  <c r="U294" i="15" s="1"/>
  <c r="DI244" i="2"/>
  <c r="AE289" i="15" s="1"/>
  <c r="AC289" i="15" s="1"/>
  <c r="I83" i="2"/>
  <c r="O257" i="15" s="1"/>
  <c r="V257" i="15" s="1"/>
  <c r="U257" i="15" s="1"/>
  <c r="I87" i="2"/>
  <c r="O261" i="15" s="1"/>
  <c r="V261" i="15" s="1"/>
  <c r="U261" i="15" s="1"/>
  <c r="DI294" i="2"/>
  <c r="AE294" i="15" s="1"/>
  <c r="AC294" i="15" s="1"/>
  <c r="DI167" i="2"/>
  <c r="AE276" i="15" s="1"/>
  <c r="AC276" i="15" s="1"/>
  <c r="I291" i="2"/>
  <c r="Q291" i="15" s="1"/>
  <c r="O291" i="15" s="1"/>
  <c r="W291" i="15" s="1"/>
  <c r="V291" i="15" s="1"/>
  <c r="U291" i="15" s="1"/>
  <c r="DI61" i="2"/>
  <c r="DI915" i="7"/>
  <c r="AE217" i="15" s="1"/>
  <c r="AC217" i="15" s="1"/>
  <c r="DI242" i="2"/>
  <c r="AE287" i="15" s="1"/>
  <c r="AC287" i="15" s="1"/>
  <c r="DI365" i="2"/>
  <c r="AE308" i="15" s="1"/>
  <c r="AC308" i="15" s="1"/>
  <c r="DI369" i="2"/>
  <c r="AE312" i="15" s="1"/>
  <c r="AC312" i="15" s="1"/>
  <c r="DI389" i="2"/>
  <c r="AE313" i="15" s="1"/>
  <c r="AC313" i="15" s="1"/>
  <c r="DI393" i="2"/>
  <c r="AE317" i="15" s="1"/>
  <c r="AC317" i="15" s="1"/>
  <c r="AL72" i="2"/>
  <c r="I241" i="2"/>
  <c r="O286" i="15" s="1"/>
  <c r="W286" i="15" s="1"/>
  <c r="V286" i="15" s="1"/>
  <c r="U286" i="15" s="1"/>
  <c r="DI82" i="2"/>
  <c r="AE256" i="15" s="1"/>
  <c r="AC256" i="15" s="1"/>
  <c r="DI85" i="2"/>
  <c r="AE259" i="15" s="1"/>
  <c r="AC259" i="15" s="1"/>
  <c r="DI89" i="2"/>
  <c r="AE263" i="15" s="1"/>
  <c r="AC263" i="15" s="1"/>
  <c r="F848" i="7"/>
  <c r="DH37" i="7"/>
  <c r="D479" i="7"/>
  <c r="V479" i="7" s="1"/>
  <c r="DH630" i="7"/>
  <c r="DI630" i="7" s="1"/>
  <c r="AE188" i="15" s="1"/>
  <c r="AC188" i="15" s="1"/>
  <c r="DH931" i="7"/>
  <c r="I60" i="16"/>
  <c r="Q16" i="15" s="1"/>
  <c r="W292" i="7"/>
  <c r="F33" i="7"/>
  <c r="E82" i="16"/>
  <c r="W298" i="7"/>
  <c r="E109" i="16"/>
  <c r="I58" i="16"/>
  <c r="Q15" i="15" s="1"/>
  <c r="AC99" i="16"/>
  <c r="M521" i="7"/>
  <c r="DJ521" i="7" s="1"/>
  <c r="E101" i="16"/>
  <c r="F118" i="7"/>
  <c r="I52" i="16"/>
  <c r="Q12" i="15" s="1"/>
  <c r="DH54" i="16"/>
  <c r="DI54" i="16" s="1"/>
  <c r="AE13" i="15" s="1"/>
  <c r="DH58" i="16"/>
  <c r="DI58" i="16" s="1"/>
  <c r="AE15" i="15" s="1"/>
  <c r="E81" i="16"/>
  <c r="AC98" i="16"/>
  <c r="F36" i="7"/>
  <c r="DH933" i="7"/>
  <c r="AC102" i="16"/>
  <c r="DH558" i="7"/>
  <c r="DH111" i="7"/>
  <c r="DH121" i="7"/>
  <c r="E100" i="16"/>
  <c r="W304" i="7"/>
  <c r="E120" i="16"/>
  <c r="F110" i="7"/>
  <c r="F121" i="7"/>
  <c r="F525" i="7"/>
  <c r="I781" i="7"/>
  <c r="Q203" i="15" s="1"/>
  <c r="O203" i="15" s="1"/>
  <c r="I774" i="7"/>
  <c r="R199" i="15" s="1"/>
  <c r="F844" i="7"/>
  <c r="J423" i="7"/>
  <c r="DH525" i="7"/>
  <c r="DH487" i="7"/>
  <c r="DH968" i="7"/>
  <c r="DI968" i="7" s="1"/>
  <c r="AE221" i="15" s="1"/>
  <c r="AC221" i="15" s="1"/>
  <c r="I423" i="7"/>
  <c r="D385" i="7"/>
  <c r="V385" i="7" s="1"/>
  <c r="F420" i="7"/>
  <c r="F841" i="7"/>
  <c r="DH744" i="7"/>
  <c r="J424" i="7"/>
  <c r="E86" i="16"/>
  <c r="E118" i="16"/>
  <c r="E98" i="16"/>
  <c r="E106" i="16"/>
  <c r="AC100" i="16"/>
  <c r="AC101" i="16"/>
  <c r="E99" i="16"/>
  <c r="E119" i="16"/>
  <c r="AC97" i="16"/>
  <c r="E107" i="16"/>
  <c r="E87" i="16"/>
  <c r="J701" i="7"/>
  <c r="O192" i="15" s="1"/>
  <c r="V192" i="15" s="1"/>
  <c r="U192" i="15" s="1"/>
  <c r="I968" i="7"/>
  <c r="Q221" i="15" s="1"/>
  <c r="O221" i="15" s="1"/>
  <c r="V221" i="15" s="1"/>
  <c r="U221" i="15" s="1"/>
  <c r="M520" i="7"/>
  <c r="DJ520" i="7" s="1"/>
  <c r="D478" i="7"/>
  <c r="D513" i="7" s="1"/>
  <c r="V513" i="7" s="1"/>
  <c r="F39" i="7"/>
  <c r="DH423" i="7"/>
  <c r="I775" i="7"/>
  <c r="Q200" i="15" s="1"/>
  <c r="N486" i="7"/>
  <c r="DJ486" i="7" s="1"/>
  <c r="N485" i="7"/>
  <c r="DJ485" i="7" s="1"/>
  <c r="I485" i="7"/>
  <c r="I967" i="7"/>
  <c r="Q220" i="15" s="1"/>
  <c r="O220" i="15" s="1"/>
  <c r="V220" i="15" s="1"/>
  <c r="U220" i="15" s="1"/>
  <c r="M523" i="7"/>
  <c r="DJ523" i="7" s="1"/>
  <c r="DH522" i="7"/>
  <c r="DH631" i="7"/>
  <c r="DI631" i="7" s="1"/>
  <c r="AE189" i="15" s="1"/>
  <c r="AC189" i="15" s="1"/>
  <c r="M522" i="7"/>
  <c r="DJ522" i="7" s="1"/>
  <c r="M524" i="7"/>
  <c r="DJ524" i="7" s="1"/>
  <c r="F556" i="7"/>
  <c r="F109" i="7"/>
  <c r="I777" i="7"/>
  <c r="Q201" i="15" s="1"/>
  <c r="DH702" i="7"/>
  <c r="DI702" i="7" s="1"/>
  <c r="AE193" i="15" s="1"/>
  <c r="AC193" i="15" s="1"/>
  <c r="DH556" i="7"/>
  <c r="H556" i="7"/>
  <c r="F847" i="7"/>
  <c r="J40" i="7"/>
  <c r="F40" i="7" s="1"/>
  <c r="F38" i="7"/>
  <c r="I779" i="7"/>
  <c r="Q202" i="15" s="1"/>
  <c r="O202" i="15" s="1"/>
  <c r="V202" i="15" s="1"/>
  <c r="U202" i="15" s="1"/>
  <c r="O557" i="7"/>
  <c r="DJ557" i="7" s="1"/>
  <c r="DH967" i="7"/>
  <c r="DI967" i="7" s="1"/>
  <c r="AE220" i="15" s="1"/>
  <c r="AC220" i="15" s="1"/>
  <c r="DH36" i="7"/>
  <c r="F34" i="7"/>
  <c r="F129" i="7"/>
  <c r="DH105" i="7"/>
  <c r="DH124" i="7"/>
  <c r="W310" i="7"/>
  <c r="DH932" i="7"/>
  <c r="DI932" i="7" s="1"/>
  <c r="AG218" i="15" s="1"/>
  <c r="AD218" i="15" s="1"/>
  <c r="F839" i="7"/>
  <c r="F127" i="7"/>
  <c r="J704" i="7"/>
  <c r="O195" i="15" s="1"/>
  <c r="DH523" i="7"/>
  <c r="F522" i="7"/>
  <c r="F108" i="7"/>
  <c r="F117" i="7"/>
  <c r="F558" i="7"/>
  <c r="E82" i="7"/>
  <c r="E94" i="7"/>
  <c r="I772" i="7"/>
  <c r="R198" i="15" s="1"/>
  <c r="F9" i="7"/>
  <c r="J703" i="7"/>
  <c r="O194" i="15" s="1"/>
  <c r="V24" i="7"/>
  <c r="F104" i="7"/>
  <c r="F111" i="7"/>
  <c r="F843" i="7"/>
  <c r="X942" i="7"/>
  <c r="F520" i="7"/>
  <c r="F523" i="7"/>
  <c r="DH557" i="7"/>
  <c r="DH101" i="7"/>
  <c r="DI774" i="7"/>
  <c r="AF199" i="15" s="1"/>
  <c r="F842" i="7"/>
  <c r="F106" i="7"/>
  <c r="DH127" i="7"/>
  <c r="DH120" i="7"/>
  <c r="F743" i="7"/>
  <c r="J702" i="7"/>
  <c r="O193" i="15" s="1"/>
  <c r="V193" i="15" s="1"/>
  <c r="U193" i="15" s="1"/>
  <c r="F113" i="7"/>
  <c r="F125" i="7"/>
  <c r="F105" i="7"/>
  <c r="I773" i="7"/>
  <c r="Q199" i="15" s="1"/>
  <c r="DH520" i="7"/>
  <c r="F126" i="7"/>
  <c r="F744" i="7"/>
  <c r="F521" i="7"/>
  <c r="F557" i="7"/>
  <c r="J486" i="7"/>
  <c r="F112" i="7"/>
  <c r="F555" i="7"/>
  <c r="F116" i="7"/>
  <c r="DH605" i="7"/>
  <c r="F422" i="7"/>
  <c r="DH126" i="7"/>
  <c r="F103" i="7"/>
  <c r="DH119" i="7"/>
  <c r="F115" i="7"/>
  <c r="DH109" i="7"/>
  <c r="F120" i="7"/>
  <c r="F119" i="7"/>
  <c r="F102" i="7"/>
  <c r="F123" i="7"/>
  <c r="F101" i="7"/>
  <c r="F114" i="7"/>
  <c r="I771" i="7"/>
  <c r="Q198" i="15" s="1"/>
  <c r="DH485" i="7"/>
  <c r="F605" i="7"/>
  <c r="DH107" i="7"/>
  <c r="DH667" i="7"/>
  <c r="DI667" i="7" s="1"/>
  <c r="AE191" i="15" s="1"/>
  <c r="AC191" i="15" s="1"/>
  <c r="DH8" i="7"/>
  <c r="J631" i="7"/>
  <c r="O189" i="15" s="1"/>
  <c r="V189" i="15" s="1"/>
  <c r="U189" i="15" s="1"/>
  <c r="J666" i="7"/>
  <c r="O190" i="15" s="1"/>
  <c r="V190" i="15" s="1"/>
  <c r="U190" i="15" s="1"/>
  <c r="DH779" i="7"/>
  <c r="DI779" i="7" s="1"/>
  <c r="AE202" i="15" s="1"/>
  <c r="AC202" i="15" s="1"/>
  <c r="DH9" i="7"/>
  <c r="DH743" i="7"/>
  <c r="AC615" i="7"/>
  <c r="E93" i="7"/>
  <c r="F130" i="7"/>
  <c r="DH701" i="7"/>
  <c r="DI701" i="7" s="1"/>
  <c r="AE192" i="15" s="1"/>
  <c r="AC192" i="15" s="1"/>
  <c r="DH104" i="7"/>
  <c r="DH125" i="7"/>
  <c r="J485" i="7"/>
  <c r="I487" i="7"/>
  <c r="DH777" i="7"/>
  <c r="DI777" i="7" s="1"/>
  <c r="AE201" i="15" s="1"/>
  <c r="F122" i="7"/>
  <c r="F124" i="7"/>
  <c r="DH666" i="7"/>
  <c r="DI666" i="7" s="1"/>
  <c r="AE190" i="15" s="1"/>
  <c r="AC190" i="15" s="1"/>
  <c r="F107" i="7"/>
  <c r="F128" i="7"/>
  <c r="DI778" i="7"/>
  <c r="AF201" i="15" s="1"/>
  <c r="AC621" i="7"/>
  <c r="X1908" i="6"/>
  <c r="AR59" i="2"/>
  <c r="DH14" i="2"/>
  <c r="DH13" i="2"/>
  <c r="F16" i="2"/>
  <c r="F17" i="2"/>
  <c r="I239" i="15"/>
  <c r="F85" i="6"/>
  <c r="DI85" i="6" s="1"/>
  <c r="F88" i="6"/>
  <c r="DI88" i="6" s="1"/>
  <c r="F91" i="6"/>
  <c r="DI91" i="6" s="1"/>
  <c r="K386" i="6"/>
  <c r="DH92" i="6"/>
  <c r="AE76" i="15"/>
  <c r="AE78" i="15"/>
  <c r="AE79" i="15"/>
  <c r="AE61" i="15"/>
  <c r="AE48" i="15"/>
  <c r="DH293" i="6"/>
  <c r="F320" i="2"/>
  <c r="AF320" i="2" s="1"/>
  <c r="AQ72" i="2"/>
  <c r="BC72" i="2"/>
  <c r="L318" i="2"/>
  <c r="Q301" i="15" s="1"/>
  <c r="O301" i="15" s="1"/>
  <c r="W301" i="15" s="1"/>
  <c r="V301" i="15" s="1"/>
  <c r="U301" i="15" s="1"/>
  <c r="F318" i="2"/>
  <c r="DI318" i="2"/>
  <c r="AE301" i="15" s="1"/>
  <c r="AC301" i="15" s="1"/>
  <c r="DI363" i="2"/>
  <c r="AE306" i="15" s="1"/>
  <c r="AC306" i="15" s="1"/>
  <c r="DI367" i="2"/>
  <c r="AE310" i="15" s="1"/>
  <c r="AC310" i="15" s="1"/>
  <c r="DI391" i="2"/>
  <c r="AE315" i="15" s="1"/>
  <c r="AC315" i="15" s="1"/>
  <c r="DI395" i="2"/>
  <c r="AE319" i="15" s="1"/>
  <c r="AC319" i="15" s="1"/>
  <c r="DI83" i="2"/>
  <c r="AE257" i="15" s="1"/>
  <c r="AC257" i="15" s="1"/>
  <c r="DI87" i="2"/>
  <c r="AE261" i="15" s="1"/>
  <c r="AC261" i="15" s="1"/>
  <c r="DI120" i="2"/>
  <c r="AE267" i="15" s="1"/>
  <c r="AC267" i="15" s="1"/>
  <c r="DI226" i="2"/>
  <c r="AE284" i="15" s="1"/>
  <c r="AC284" i="15" s="1"/>
  <c r="DI60" i="2"/>
  <c r="AE254" i="15" s="1"/>
  <c r="AC254" i="15" s="1"/>
  <c r="O265" i="15"/>
  <c r="V265" i="15" s="1"/>
  <c r="U265" i="15" s="1"/>
  <c r="DI84" i="2"/>
  <c r="AE258" i="15" s="1"/>
  <c r="AC258" i="15" s="1"/>
  <c r="DI88" i="2"/>
  <c r="AE262" i="15" s="1"/>
  <c r="AC262" i="15" s="1"/>
  <c r="DI121" i="2"/>
  <c r="AE268" i="15" s="1"/>
  <c r="AC268" i="15" s="1"/>
  <c r="DI415" i="2"/>
  <c r="AE320" i="15" s="1"/>
  <c r="AC320" i="15" s="1"/>
  <c r="DI364" i="2"/>
  <c r="AE307" i="15" s="1"/>
  <c r="AC307" i="15" s="1"/>
  <c r="DI368" i="2"/>
  <c r="AE311" i="15" s="1"/>
  <c r="AC311" i="15" s="1"/>
  <c r="DI392" i="2"/>
  <c r="AE316" i="15" s="1"/>
  <c r="AC316" i="15" s="1"/>
  <c r="DI317" i="2"/>
  <c r="AE300" i="15" s="1"/>
  <c r="AC300" i="15" s="1"/>
  <c r="AY72" i="2"/>
  <c r="AM72" i="2"/>
  <c r="L317" i="2"/>
  <c r="Q300" i="15" s="1"/>
  <c r="O300" i="15" s="1"/>
  <c r="W300" i="15" s="1"/>
  <c r="V300" i="15" s="1"/>
  <c r="U300" i="15" s="1"/>
  <c r="DI319" i="2"/>
  <c r="AE302" i="15" s="1"/>
  <c r="AC302" i="15" s="1"/>
  <c r="BD72" i="2"/>
  <c r="AW72" i="2"/>
  <c r="AK72" i="2"/>
  <c r="AJ72" i="2"/>
  <c r="AV72" i="2"/>
  <c r="F314" i="2"/>
  <c r="DI86" i="2"/>
  <c r="AE260" i="15" s="1"/>
  <c r="AC260" i="15" s="1"/>
  <c r="DI91" i="2"/>
  <c r="DI320" i="2"/>
  <c r="AE303" i="15" s="1"/>
  <c r="AC303" i="15" s="1"/>
  <c r="DI342" i="2"/>
  <c r="AE304" i="15" s="1"/>
  <c r="AC304" i="15" s="1"/>
  <c r="DI366" i="2"/>
  <c r="AE309" i="15" s="1"/>
  <c r="AC309" i="15" s="1"/>
  <c r="DI390" i="2"/>
  <c r="AE314" i="15" s="1"/>
  <c r="AC314" i="15" s="1"/>
  <c r="DI394" i="2"/>
  <c r="AE318" i="15" s="1"/>
  <c r="AC318" i="15" s="1"/>
  <c r="I435" i="2"/>
  <c r="O323" i="15" s="1"/>
  <c r="W323" i="15" s="1"/>
  <c r="V323" i="15" s="1"/>
  <c r="U323" i="15" s="1"/>
  <c r="F14" i="2"/>
  <c r="F19" i="2"/>
  <c r="I248" i="15" s="1"/>
  <c r="F15" i="2"/>
  <c r="BA43" i="15"/>
  <c r="AH91" i="15"/>
  <c r="AE66" i="15"/>
  <c r="BC48" i="15"/>
  <c r="F568" i="6"/>
  <c r="K568" i="6" s="1"/>
  <c r="J568" i="6" s="1"/>
  <c r="J515" i="6"/>
  <c r="DH515" i="6" s="1"/>
  <c r="DH90" i="6"/>
  <c r="DH89" i="6"/>
  <c r="AF38" i="15"/>
  <c r="BD80" i="15"/>
  <c r="I511" i="6"/>
  <c r="R45" i="15" s="1"/>
  <c r="AE39" i="15"/>
  <c r="I575" i="6"/>
  <c r="Q48" i="15" s="1"/>
  <c r="I578" i="6"/>
  <c r="R49" i="15" s="1"/>
  <c r="AF49" i="15"/>
  <c r="X549" i="6"/>
  <c r="L510" i="6"/>
  <c r="AJ45" i="15" s="1"/>
  <c r="DH879" i="6"/>
  <c r="DH887" i="6"/>
  <c r="F541" i="6"/>
  <c r="F565" i="6"/>
  <c r="I514" i="6"/>
  <c r="Q47" i="15" s="1"/>
  <c r="F559" i="6"/>
  <c r="F544" i="6"/>
  <c r="DH841" i="6"/>
  <c r="F553" i="6"/>
  <c r="F556" i="6"/>
  <c r="F2120" i="6"/>
  <c r="DI2120" i="6" s="1"/>
  <c r="F547" i="6"/>
  <c r="F550" i="6"/>
  <c r="AF39" i="15"/>
  <c r="AH39" i="15"/>
  <c r="BA80" i="15"/>
  <c r="DH70" i="6"/>
  <c r="DH709" i="6"/>
  <c r="AF53" i="15"/>
  <c r="DH74" i="6"/>
  <c r="DH735" i="6"/>
  <c r="AH72" i="15"/>
  <c r="E126" i="16"/>
  <c r="DH296" i="6"/>
  <c r="AF54" i="15"/>
  <c r="DH308" i="6"/>
  <c r="X483" i="6"/>
  <c r="AE31" i="15"/>
  <c r="AC31" i="15" s="1"/>
  <c r="AG35" i="15"/>
  <c r="AD35" i="15" s="1"/>
  <c r="I577" i="6"/>
  <c r="Q49" i="15" s="1"/>
  <c r="X501" i="6"/>
  <c r="AE49" i="15"/>
  <c r="AE108" i="15"/>
  <c r="DH77" i="6"/>
  <c r="DH84" i="6"/>
  <c r="BC71" i="15"/>
  <c r="AH87" i="15"/>
  <c r="AF41" i="15"/>
  <c r="AF57" i="15"/>
  <c r="I515" i="6"/>
  <c r="R47" i="15" s="1"/>
  <c r="AF106" i="15"/>
  <c r="AF108" i="15"/>
  <c r="AE67" i="15"/>
  <c r="AF63" i="15"/>
  <c r="DH733" i="6"/>
  <c r="DH2131" i="6"/>
  <c r="DH75" i="6"/>
  <c r="AF61" i="15"/>
  <c r="DH713" i="6"/>
  <c r="DH72" i="6"/>
  <c r="AE107" i="15"/>
  <c r="F558" i="6"/>
  <c r="F549" i="6"/>
  <c r="V552" i="7"/>
  <c r="F552" i="6"/>
  <c r="F561" i="6"/>
  <c r="F546" i="6"/>
  <c r="F2137" i="6"/>
  <c r="AF109" i="15"/>
  <c r="F555" i="6"/>
  <c r="DH715" i="6"/>
  <c r="F2149" i="6"/>
  <c r="K126" i="15" s="1"/>
  <c r="F564" i="6"/>
  <c r="AF62" i="15"/>
  <c r="F540" i="6"/>
  <c r="F543" i="6"/>
  <c r="AH95" i="15"/>
  <c r="DH741" i="6"/>
  <c r="F551" i="6"/>
  <c r="DH885" i="6"/>
  <c r="F563" i="6"/>
  <c r="F557" i="6"/>
  <c r="F542" i="6"/>
  <c r="F548" i="6"/>
  <c r="F545" i="6"/>
  <c r="F554" i="6"/>
  <c r="F569" i="6"/>
  <c r="K569" i="6" s="1"/>
  <c r="J569" i="6" s="1"/>
  <c r="DH76" i="6"/>
  <c r="DH310" i="6"/>
  <c r="DI310" i="6" s="1"/>
  <c r="I576" i="6"/>
  <c r="R48" i="15" s="1"/>
  <c r="AH76" i="15"/>
  <c r="F560" i="6"/>
  <c r="AF48" i="15"/>
  <c r="DH512" i="6"/>
  <c r="F2114" i="6"/>
  <c r="DI2114" i="6" s="1"/>
  <c r="AH53" i="15"/>
  <c r="F2128" i="6"/>
  <c r="DI2128" i="6" s="1"/>
  <c r="AF43" i="15"/>
  <c r="DH723" i="6"/>
  <c r="BD71" i="15"/>
  <c r="F2110" i="6"/>
  <c r="N112" i="15" s="1"/>
  <c r="DH86" i="6"/>
  <c r="AF60" i="15"/>
  <c r="AE74" i="15"/>
  <c r="K384" i="6"/>
  <c r="I512" i="6"/>
  <c r="Q46" i="15" s="1"/>
  <c r="F74" i="6"/>
  <c r="DH2121" i="6"/>
  <c r="BC84" i="15"/>
  <c r="BA102" i="15"/>
  <c r="L514" i="6"/>
  <c r="AJ47" i="15" s="1"/>
  <c r="W551" i="6"/>
  <c r="X551" i="6"/>
  <c r="DH787" i="6"/>
  <c r="DH825" i="6"/>
  <c r="J511" i="6"/>
  <c r="DH511" i="6" s="1"/>
  <c r="DH510" i="6"/>
  <c r="I513" i="6"/>
  <c r="R46" i="15" s="1"/>
  <c r="DH755" i="6"/>
  <c r="DH317" i="6"/>
  <c r="DI317" i="6" s="1"/>
  <c r="DH747" i="6"/>
  <c r="DH739" i="6"/>
  <c r="K615" i="6"/>
  <c r="DH2133" i="6"/>
  <c r="AE36" i="15"/>
  <c r="AC36" i="15" s="1"/>
  <c r="AE68" i="15"/>
  <c r="F71" i="6"/>
  <c r="DI71" i="6" s="1"/>
  <c r="F2121" i="6"/>
  <c r="F79" i="6"/>
  <c r="AF107" i="15"/>
  <c r="I510" i="6"/>
  <c r="Q45" i="15" s="1"/>
  <c r="BA45" i="15"/>
  <c r="BA75" i="15"/>
  <c r="F82" i="6"/>
  <c r="DI82" i="6" s="1"/>
  <c r="DH763" i="6"/>
  <c r="DH2109" i="6"/>
  <c r="DH745" i="6"/>
  <c r="DH837" i="6"/>
  <c r="DH855" i="6"/>
  <c r="DH863" i="6"/>
  <c r="DH835" i="6"/>
  <c r="DH827" i="6"/>
  <c r="DH719" i="6"/>
  <c r="DH79" i="6"/>
  <c r="X550" i="6"/>
  <c r="W550" i="6"/>
  <c r="L512" i="6"/>
  <c r="AJ46" i="15" s="1"/>
  <c r="F2106" i="6"/>
  <c r="DI2106" i="6" s="1"/>
  <c r="F2132" i="6"/>
  <c r="DI2132" i="6" s="1"/>
  <c r="AF68" i="15"/>
  <c r="K383" i="6"/>
  <c r="F2108" i="6"/>
  <c r="DI2108" i="6" s="1"/>
  <c r="F2146" i="6"/>
  <c r="DI2146" i="6" s="1"/>
  <c r="AH54" i="15"/>
  <c r="F2104" i="6"/>
  <c r="DI2104" i="6" s="1"/>
  <c r="F2134" i="6"/>
  <c r="DI2134" i="6" s="1"/>
  <c r="F2140" i="6"/>
  <c r="DI2140" i="6" s="1"/>
  <c r="AG53" i="15"/>
  <c r="F2126" i="6"/>
  <c r="DI2126" i="6" s="1"/>
  <c r="F2122" i="6"/>
  <c r="DI2122" i="6" s="1"/>
  <c r="F2138" i="6"/>
  <c r="DI2138" i="6" s="1"/>
  <c r="F2142" i="6"/>
  <c r="N123" i="15" s="1"/>
  <c r="DH2145" i="6"/>
  <c r="F2150" i="6"/>
  <c r="DI2150" i="6" s="1"/>
  <c r="F2130" i="6"/>
  <c r="N119" i="15" s="1"/>
  <c r="AH40" i="15"/>
  <c r="F2116" i="6"/>
  <c r="DI2116" i="6" s="1"/>
  <c r="F2118" i="6"/>
  <c r="DI2118" i="6" s="1"/>
  <c r="DH2139" i="6"/>
  <c r="AZ35" i="15"/>
  <c r="DH306" i="6"/>
  <c r="DI306" i="6" s="1"/>
  <c r="DH729" i="6"/>
  <c r="AH60" i="15"/>
  <c r="AH55" i="15"/>
  <c r="DH2147" i="6"/>
  <c r="F2111" i="6"/>
  <c r="DH2141" i="6"/>
  <c r="F2125" i="6"/>
  <c r="F2139" i="6"/>
  <c r="K123" i="15" s="1"/>
  <c r="F2109" i="6"/>
  <c r="M112" i="15" s="1"/>
  <c r="F2113" i="6"/>
  <c r="F2117" i="6"/>
  <c r="M115" i="15" s="1"/>
  <c r="F2143" i="6"/>
  <c r="K124" i="15" s="1"/>
  <c r="F2129" i="6"/>
  <c r="K2174" i="6"/>
  <c r="J2187" i="6" s="1"/>
  <c r="AF2187" i="6" s="1"/>
  <c r="F2141" i="6"/>
  <c r="M123" i="15" s="1"/>
  <c r="F2119" i="6"/>
  <c r="K116" i="15" s="1"/>
  <c r="F2147" i="6"/>
  <c r="K125" i="15" s="1"/>
  <c r="F2105" i="6"/>
  <c r="F2107" i="6"/>
  <c r="K112" i="15" s="1"/>
  <c r="F2131" i="6"/>
  <c r="K120" i="15" s="1"/>
  <c r="F2135" i="6"/>
  <c r="F2133" i="6"/>
  <c r="M120" i="15" s="1"/>
  <c r="F2145" i="6"/>
  <c r="M124" i="15" s="1"/>
  <c r="F2127" i="6"/>
  <c r="F2115" i="6"/>
  <c r="DH757" i="6"/>
  <c r="F77" i="6"/>
  <c r="AF70" i="15"/>
  <c r="F2124" i="6"/>
  <c r="AE56" i="15"/>
  <c r="AF78" i="15"/>
  <c r="AE87" i="15"/>
  <c r="AG59" i="15"/>
  <c r="AF77" i="15"/>
  <c r="AG88" i="15"/>
  <c r="AF79" i="15"/>
  <c r="F2136" i="6"/>
  <c r="L121" i="15" s="1"/>
  <c r="AF81" i="15"/>
  <c r="AF83" i="15"/>
  <c r="AF42" i="15"/>
  <c r="AG87" i="15"/>
  <c r="AE55" i="15"/>
  <c r="F2148" i="6"/>
  <c r="AG58" i="15"/>
  <c r="AE71" i="15"/>
  <c r="AE82" i="15"/>
  <c r="AH64" i="15"/>
  <c r="K2164" i="6"/>
  <c r="AF74" i="15"/>
  <c r="AG76" i="15"/>
  <c r="AH58" i="15"/>
  <c r="AF66" i="15"/>
  <c r="AG72" i="15"/>
  <c r="E76" i="7"/>
  <c r="E88" i="7"/>
  <c r="E95" i="7"/>
  <c r="E83" i="7"/>
  <c r="E75" i="7"/>
  <c r="E87" i="7"/>
  <c r="E90" i="7"/>
  <c r="E78" i="7"/>
  <c r="E79" i="7"/>
  <c r="E91" i="7"/>
  <c r="E80" i="7"/>
  <c r="E92" i="7"/>
  <c r="E89" i="7"/>
  <c r="E77" i="7"/>
  <c r="J667" i="7"/>
  <c r="O191" i="15" s="1"/>
  <c r="V191" i="15" s="1"/>
  <c r="U191" i="15" s="1"/>
  <c r="DI772" i="7"/>
  <c r="AF198" i="15" s="1"/>
  <c r="F606" i="7"/>
  <c r="AF58" i="15"/>
  <c r="AE86" i="15"/>
  <c r="AF93" i="15"/>
  <c r="AF101" i="15"/>
  <c r="AF103" i="15"/>
  <c r="AH80" i="15"/>
  <c r="AG82" i="15"/>
  <c r="AG84" i="15"/>
  <c r="AF86" i="15"/>
  <c r="AG89" i="15"/>
  <c r="AE90" i="15"/>
  <c r="AH96" i="15"/>
  <c r="AE97" i="15"/>
  <c r="AF71" i="15"/>
  <c r="AF97" i="15"/>
  <c r="AE99" i="15"/>
  <c r="AG101" i="15"/>
  <c r="AE102" i="15"/>
  <c r="AE104" i="15"/>
  <c r="AE75" i="15"/>
  <c r="AE81" i="15"/>
  <c r="AF90" i="15"/>
  <c r="AF94" i="15"/>
  <c r="AF99" i="15"/>
  <c r="AF102" i="15"/>
  <c r="AF104" i="15"/>
  <c r="AE105" i="15"/>
  <c r="AG71" i="15"/>
  <c r="AH82" i="15"/>
  <c r="AH84" i="15"/>
  <c r="AG86" i="15"/>
  <c r="AH89" i="15"/>
  <c r="AH93" i="15"/>
  <c r="AE98" i="15"/>
  <c r="AH101" i="15"/>
  <c r="AE64" i="15"/>
  <c r="AF75" i="15"/>
  <c r="AE88" i="15"/>
  <c r="AG90" i="15"/>
  <c r="AE92" i="15"/>
  <c r="AG97" i="15"/>
  <c r="AE100" i="15"/>
  <c r="AF56" i="15"/>
  <c r="AE58" i="15"/>
  <c r="AF64" i="15"/>
  <c r="AF69" i="15"/>
  <c r="AH77" i="15"/>
  <c r="AE83" i="15"/>
  <c r="AF88" i="15"/>
  <c r="AF92" i="15"/>
  <c r="AG94" i="15"/>
  <c r="AF98" i="15"/>
  <c r="AF100" i="15"/>
  <c r="AG102" i="15"/>
  <c r="AF55" i="15"/>
  <c r="AH71" i="15"/>
  <c r="AE73" i="15"/>
  <c r="AG75" i="15"/>
  <c r="AF80" i="15"/>
  <c r="AH86" i="15"/>
  <c r="AH90" i="15"/>
  <c r="AE96" i="15"/>
  <c r="AH97" i="15"/>
  <c r="AG105" i="15"/>
  <c r="AG95" i="15"/>
  <c r="AG92" i="15"/>
  <c r="AF96" i="15"/>
  <c r="AG100" i="15"/>
  <c r="AF73" i="15"/>
  <c r="AF85" i="15"/>
  <c r="AH94" i="15"/>
  <c r="AH102" i="15"/>
  <c r="AH105" i="15"/>
  <c r="AF67" i="15"/>
  <c r="AH75" i="15"/>
  <c r="AE77" i="15"/>
  <c r="AG80" i="15"/>
  <c r="AF82" i="15"/>
  <c r="AE84" i="15"/>
  <c r="AE89" i="15"/>
  <c r="AH92" i="15"/>
  <c r="AH100" i="15"/>
  <c r="AF65" i="15"/>
  <c r="AF84" i="15"/>
  <c r="AH88" i="15"/>
  <c r="AF89" i="15"/>
  <c r="AE93" i="15"/>
  <c r="AG96" i="15"/>
  <c r="AH98" i="15"/>
  <c r="AE103" i="15"/>
  <c r="AF105" i="15"/>
  <c r="AG77" i="15"/>
  <c r="AE85" i="15"/>
  <c r="DH304" i="6"/>
  <c r="DI304" i="6" s="1"/>
  <c r="DH2103" i="6"/>
  <c r="DH2149" i="6"/>
  <c r="DH2117" i="6"/>
  <c r="DH2143" i="6"/>
  <c r="AF317" i="2" l="1"/>
  <c r="V318" i="2"/>
  <c r="AF319" i="2"/>
  <c r="V320" i="2"/>
  <c r="AF314" i="2"/>
  <c r="V315" i="2"/>
  <c r="AF318" i="2"/>
  <c r="V319" i="2"/>
  <c r="AB163" i="15"/>
  <c r="DJ125" i="7"/>
  <c r="AB158" i="15"/>
  <c r="DJ120" i="7"/>
  <c r="AB157" i="15"/>
  <c r="DJ119" i="7"/>
  <c r="AB178" i="15"/>
  <c r="DJ487" i="7"/>
  <c r="AB151" i="15"/>
  <c r="DJ113" i="7"/>
  <c r="AB147" i="15"/>
  <c r="DJ109" i="7"/>
  <c r="AB169" i="15"/>
  <c r="DJ420" i="7"/>
  <c r="AB167" i="15"/>
  <c r="DJ129" i="7"/>
  <c r="AB159" i="15"/>
  <c r="DJ121" i="7"/>
  <c r="AB161" i="15"/>
  <c r="DJ123" i="7"/>
  <c r="AB149" i="15"/>
  <c r="DJ111" i="7"/>
  <c r="AB150" i="15"/>
  <c r="DJ112" i="7"/>
  <c r="AB143" i="15"/>
  <c r="DJ105" i="7"/>
  <c r="AB156" i="15"/>
  <c r="DJ118" i="7"/>
  <c r="AB155" i="15"/>
  <c r="DJ117" i="7"/>
  <c r="AB145" i="15"/>
  <c r="DJ107" i="7"/>
  <c r="AB144" i="15"/>
  <c r="DJ106" i="7"/>
  <c r="AB166" i="15"/>
  <c r="DJ128" i="7"/>
  <c r="F53" i="16"/>
  <c r="F49" i="16"/>
  <c r="F51" i="16"/>
  <c r="DI51" i="16" s="1"/>
  <c r="AF11" i="15" s="1"/>
  <c r="AC11" i="15" s="1"/>
  <c r="F59" i="16"/>
  <c r="I59" i="16" s="1"/>
  <c r="AF31" i="5"/>
  <c r="I31" i="5"/>
  <c r="O19" i="15" s="1"/>
  <c r="U19" i="15" s="1"/>
  <c r="I19" i="15"/>
  <c r="DI31" i="5"/>
  <c r="AB162" i="15"/>
  <c r="AB141" i="15"/>
  <c r="AB140" i="15"/>
  <c r="AB160" i="15"/>
  <c r="I778" i="7"/>
  <c r="R201" i="15" s="1"/>
  <c r="O201" i="15" s="1"/>
  <c r="V201" i="15" s="1"/>
  <c r="U201" i="15" s="1"/>
  <c r="AF778" i="7"/>
  <c r="AB142" i="15"/>
  <c r="AB168" i="15"/>
  <c r="AB154" i="15"/>
  <c r="AB165" i="15"/>
  <c r="AB164" i="15"/>
  <c r="AB146" i="15"/>
  <c r="AB184" i="15"/>
  <c r="AB139" i="15"/>
  <c r="AB148" i="15"/>
  <c r="AB153" i="15"/>
  <c r="AC93" i="15"/>
  <c r="V194" i="15"/>
  <c r="U194" i="15" s="1"/>
  <c r="DI2125" i="6"/>
  <c r="DI2149" i="6"/>
  <c r="DI2139" i="6"/>
  <c r="AE123" i="15" s="1"/>
  <c r="DI2119" i="6"/>
  <c r="AE116" i="15" s="1"/>
  <c r="DI2130" i="6"/>
  <c r="AH119" i="15" s="1"/>
  <c r="AG121" i="15"/>
  <c r="I277" i="15"/>
  <c r="DI8" i="7"/>
  <c r="AE128" i="15" s="1"/>
  <c r="AC128" i="15" s="1"/>
  <c r="DI2142" i="6"/>
  <c r="AH123" i="15" s="1"/>
  <c r="DI2137" i="6"/>
  <c r="DI2129" i="6"/>
  <c r="AG119" i="15" s="1"/>
  <c r="DI2144" i="6"/>
  <c r="AF124" i="15" s="1"/>
  <c r="DI2135" i="6"/>
  <c r="AE121" i="15" s="1"/>
  <c r="DI2127" i="6"/>
  <c r="AE119" i="15" s="1"/>
  <c r="V195" i="15"/>
  <c r="U195" i="15" s="1"/>
  <c r="DI2143" i="6"/>
  <c r="AE124" i="15" s="1"/>
  <c r="DI79" i="6"/>
  <c r="AG25" i="15" s="1"/>
  <c r="AD25" i="15" s="1"/>
  <c r="DI2111" i="6"/>
  <c r="AE113" i="15" s="1"/>
  <c r="DI2117" i="6"/>
  <c r="AG115" i="15" s="1"/>
  <c r="DI2109" i="6"/>
  <c r="AG112" i="15" s="1"/>
  <c r="AF690" i="6"/>
  <c r="DI2136" i="6"/>
  <c r="AF121" i="15" s="1"/>
  <c r="DI2141" i="6"/>
  <c r="AG123" i="15" s="1"/>
  <c r="DI2103" i="6"/>
  <c r="AE111" i="15" s="1"/>
  <c r="DI2133" i="6"/>
  <c r="AG120" i="15" s="1"/>
  <c r="V203" i="15"/>
  <c r="U203" i="15" s="1"/>
  <c r="I300" i="15"/>
  <c r="AC76" i="15"/>
  <c r="DI76" i="6"/>
  <c r="AE24" i="15" s="1"/>
  <c r="AC24" i="15" s="1"/>
  <c r="DI514" i="6"/>
  <c r="AE47" i="15" s="1"/>
  <c r="DI308" i="6"/>
  <c r="AE41" i="15" s="1"/>
  <c r="AC41" i="15" s="1"/>
  <c r="DI719" i="6"/>
  <c r="AG55" i="15" s="1"/>
  <c r="AD55" i="15" s="1"/>
  <c r="DI741" i="6"/>
  <c r="DG741" i="6" s="1"/>
  <c r="AA63" i="15" s="1"/>
  <c r="DI515" i="6"/>
  <c r="AF47" i="15" s="1"/>
  <c r="L117" i="15"/>
  <c r="I117" i="15" s="1"/>
  <c r="DI2124" i="6"/>
  <c r="AF117" i="15" s="1"/>
  <c r="DI755" i="6"/>
  <c r="AE69" i="15" s="1"/>
  <c r="AC69" i="15" s="1"/>
  <c r="DI827" i="6"/>
  <c r="AG91" i="15" s="1"/>
  <c r="AD91" i="15" s="1"/>
  <c r="DI763" i="6"/>
  <c r="AE72" i="15" s="1"/>
  <c r="AC72" i="15" s="1"/>
  <c r="DI314" i="6"/>
  <c r="AG43" i="15" s="1"/>
  <c r="AD43" i="15" s="1"/>
  <c r="AC87" i="15"/>
  <c r="DI84" i="6"/>
  <c r="AE29" i="15" s="1"/>
  <c r="AC29" i="15" s="1"/>
  <c r="DI92" i="6"/>
  <c r="AE34" i="15" s="1"/>
  <c r="AC34" i="15" s="1"/>
  <c r="L125" i="15"/>
  <c r="I125" i="15" s="1"/>
  <c r="DI2148" i="6"/>
  <c r="AF125" i="15" s="1"/>
  <c r="DI713" i="6"/>
  <c r="AE54" i="15" s="1"/>
  <c r="AC54" i="15" s="1"/>
  <c r="DI90" i="6"/>
  <c r="AE33" i="15" s="1"/>
  <c r="AC33" i="15" s="1"/>
  <c r="DI86" i="6"/>
  <c r="AE30" i="15" s="1"/>
  <c r="AC30" i="15" s="1"/>
  <c r="DI841" i="6"/>
  <c r="AE95" i="15" s="1"/>
  <c r="AC95" i="15" s="1"/>
  <c r="DI835" i="6"/>
  <c r="AG93" i="15" s="1"/>
  <c r="AD93" i="15" s="1"/>
  <c r="DI715" i="6"/>
  <c r="AG54" i="15" s="1"/>
  <c r="AD54" i="15" s="1"/>
  <c r="DI75" i="6"/>
  <c r="DG75" i="6" s="1"/>
  <c r="AA23" i="15" s="1"/>
  <c r="DI296" i="6"/>
  <c r="AE37" i="15" s="1"/>
  <c r="AC37" i="15" s="1"/>
  <c r="DI2113" i="6"/>
  <c r="AE114" i="15" s="1"/>
  <c r="DI863" i="6"/>
  <c r="AE101" i="15" s="1"/>
  <c r="AC101" i="15" s="1"/>
  <c r="DI2131" i="6"/>
  <c r="AE120" i="15" s="1"/>
  <c r="DI77" i="6"/>
  <c r="AG24" i="15" s="1"/>
  <c r="AD24" i="15" s="1"/>
  <c r="DI74" i="6"/>
  <c r="AG22" i="15" s="1"/>
  <c r="AD22" i="15" s="1"/>
  <c r="DI293" i="6"/>
  <c r="AE35" i="15" s="1"/>
  <c r="AC35" i="15" s="1"/>
  <c r="DI2110" i="6"/>
  <c r="AH112" i="15" s="1"/>
  <c r="DI757" i="6"/>
  <c r="AE70" i="15" s="1"/>
  <c r="AC70" i="15" s="1"/>
  <c r="DI855" i="6"/>
  <c r="AG98" i="15" s="1"/>
  <c r="AD98" i="15" s="1"/>
  <c r="DI510" i="6"/>
  <c r="AE45" i="15" s="1"/>
  <c r="DI513" i="6"/>
  <c r="AF46" i="15" s="1"/>
  <c r="DI2145" i="6"/>
  <c r="AG124" i="15" s="1"/>
  <c r="DI837" i="6"/>
  <c r="AE94" i="15" s="1"/>
  <c r="AC94" i="15" s="1"/>
  <c r="DI511" i="6"/>
  <c r="AF45" i="15" s="1"/>
  <c r="DI723" i="6"/>
  <c r="AE57" i="15" s="1"/>
  <c r="AC57" i="15" s="1"/>
  <c r="DI745" i="6"/>
  <c r="AG64" i="15" s="1"/>
  <c r="AD64" i="15" s="1"/>
  <c r="DI512" i="6"/>
  <c r="AE46" i="15" s="1"/>
  <c r="DI733" i="6"/>
  <c r="AE60" i="15" s="1"/>
  <c r="AC60" i="15" s="1"/>
  <c r="DI709" i="6"/>
  <c r="AE53" i="15" s="1"/>
  <c r="AC53" i="15" s="1"/>
  <c r="DI2115" i="6"/>
  <c r="AE115" i="15" s="1"/>
  <c r="DI2105" i="6"/>
  <c r="AG111" i="15" s="1"/>
  <c r="DI2112" i="6"/>
  <c r="AF113" i="15" s="1"/>
  <c r="DI2121" i="6"/>
  <c r="AG116" i="15" s="1"/>
  <c r="DI735" i="6"/>
  <c r="AG60" i="15" s="1"/>
  <c r="AD60" i="15" s="1"/>
  <c r="DI70" i="6"/>
  <c r="AE20" i="15" s="1"/>
  <c r="AC20" i="15" s="1"/>
  <c r="DI2147" i="6"/>
  <c r="AE125" i="15" s="1"/>
  <c r="DI825" i="6"/>
  <c r="AE91" i="15" s="1"/>
  <c r="AC91" i="15" s="1"/>
  <c r="DI2107" i="6"/>
  <c r="AE112" i="15" s="1"/>
  <c r="DI787" i="6"/>
  <c r="AE80" i="15" s="1"/>
  <c r="AC80" i="15" s="1"/>
  <c r="DI89" i="6"/>
  <c r="AE32" i="15" s="1"/>
  <c r="AC32" i="15" s="1"/>
  <c r="DI729" i="6"/>
  <c r="AE59" i="15" s="1"/>
  <c r="AC59" i="15" s="1"/>
  <c r="DI739" i="6"/>
  <c r="AE62" i="15" s="1"/>
  <c r="AC62" i="15" s="1"/>
  <c r="DI887" i="6"/>
  <c r="AE110" i="15" s="1"/>
  <c r="AC110" i="15" s="1"/>
  <c r="DI747" i="6"/>
  <c r="AE65" i="15" s="1"/>
  <c r="AC65" i="15" s="1"/>
  <c r="DI885" i="6"/>
  <c r="AE109" i="15" s="1"/>
  <c r="AC109" i="15" s="1"/>
  <c r="DI72" i="6"/>
  <c r="AE21" i="15" s="1"/>
  <c r="AC21" i="15" s="1"/>
  <c r="DI879" i="6"/>
  <c r="AE106" i="15" s="1"/>
  <c r="AC106" i="15" s="1"/>
  <c r="DI298" i="6"/>
  <c r="AE38" i="15" s="1"/>
  <c r="AC38" i="15" s="1"/>
  <c r="DI2123" i="6"/>
  <c r="AE117" i="15" s="1"/>
  <c r="K510" i="6"/>
  <c r="DJ510" i="6" s="1"/>
  <c r="O198" i="15"/>
  <c r="V198" i="15" s="1"/>
  <c r="U198" i="15" s="1"/>
  <c r="F425" i="7"/>
  <c r="I174" i="15" s="1"/>
  <c r="I198" i="15"/>
  <c r="O199" i="15"/>
  <c r="V199" i="15" s="1"/>
  <c r="U199" i="15" s="1"/>
  <c r="I199" i="15"/>
  <c r="F487" i="7"/>
  <c r="I178" i="15" s="1"/>
  <c r="F486" i="7"/>
  <c r="L486" i="7" s="1"/>
  <c r="O177" i="15" s="1"/>
  <c r="W177" i="15" s="1"/>
  <c r="V177" i="15" s="1"/>
  <c r="U177" i="15" s="1"/>
  <c r="I201" i="15"/>
  <c r="DI606" i="7"/>
  <c r="AF187" i="15" s="1"/>
  <c r="L187" i="15"/>
  <c r="AF606" i="7"/>
  <c r="I166" i="15"/>
  <c r="AF128" i="7"/>
  <c r="I145" i="15"/>
  <c r="AF107" i="7"/>
  <c r="I162" i="15"/>
  <c r="AF124" i="7"/>
  <c r="DI122" i="7"/>
  <c r="AE160" i="15" s="1"/>
  <c r="AC160" i="15" s="1"/>
  <c r="I160" i="15"/>
  <c r="AF122" i="7"/>
  <c r="I168" i="15"/>
  <c r="AF130" i="7"/>
  <c r="K187" i="15"/>
  <c r="AF605" i="7"/>
  <c r="DI114" i="7"/>
  <c r="AE152" i="15" s="1"/>
  <c r="AC152" i="15" s="1"/>
  <c r="I152" i="15"/>
  <c r="AF114" i="7"/>
  <c r="I139" i="15"/>
  <c r="AF101" i="7"/>
  <c r="I161" i="15"/>
  <c r="AF123" i="7"/>
  <c r="I140" i="15"/>
  <c r="AF102" i="7"/>
  <c r="I157" i="15"/>
  <c r="AF119" i="7"/>
  <c r="I158" i="15"/>
  <c r="AF120" i="7"/>
  <c r="DI115" i="7"/>
  <c r="AE153" i="15" s="1"/>
  <c r="AC153" i="15" s="1"/>
  <c r="I153" i="15"/>
  <c r="AF115" i="7"/>
  <c r="I141" i="15"/>
  <c r="AF103" i="7"/>
  <c r="DI422" i="7"/>
  <c r="AE171" i="15" s="1"/>
  <c r="AC171" i="15" s="1"/>
  <c r="I171" i="15"/>
  <c r="AF422" i="7"/>
  <c r="I154" i="15"/>
  <c r="AF116" i="7"/>
  <c r="I185" i="15"/>
  <c r="AF555" i="7"/>
  <c r="I150" i="15"/>
  <c r="AF112" i="7"/>
  <c r="M557" i="7"/>
  <c r="O186" i="15" s="1"/>
  <c r="U186" i="15" s="1"/>
  <c r="I186" i="15"/>
  <c r="AF557" i="7"/>
  <c r="I180" i="15"/>
  <c r="AF521" i="7"/>
  <c r="I197" i="15"/>
  <c r="AF744" i="7"/>
  <c r="I164" i="15"/>
  <c r="AF126" i="7"/>
  <c r="I143" i="15"/>
  <c r="AF105" i="7"/>
  <c r="K125" i="7"/>
  <c r="O163" i="15" s="1"/>
  <c r="W163" i="15" s="1"/>
  <c r="V163" i="15" s="1"/>
  <c r="U163" i="15" s="1"/>
  <c r="I163" i="15"/>
  <c r="AF125" i="7"/>
  <c r="K113" i="7"/>
  <c r="O151" i="15" s="1"/>
  <c r="W151" i="15" s="1"/>
  <c r="V151" i="15" s="1"/>
  <c r="U151" i="15" s="1"/>
  <c r="I151" i="15"/>
  <c r="AF113" i="7"/>
  <c r="I196" i="15"/>
  <c r="AF743" i="7"/>
  <c r="K106" i="7"/>
  <c r="O144" i="15" s="1"/>
  <c r="W144" i="15" s="1"/>
  <c r="V144" i="15" s="1"/>
  <c r="U144" i="15" s="1"/>
  <c r="I144" i="15"/>
  <c r="AF106" i="7"/>
  <c r="I209" i="15"/>
  <c r="AF842" i="7"/>
  <c r="I182" i="15"/>
  <c r="AF523" i="7"/>
  <c r="I179" i="15"/>
  <c r="AF520" i="7"/>
  <c r="I134" i="15"/>
  <c r="AF37" i="7"/>
  <c r="I210" i="15"/>
  <c r="AF843" i="7"/>
  <c r="I149" i="15"/>
  <c r="AF111" i="7"/>
  <c r="I142" i="15"/>
  <c r="AF104" i="7"/>
  <c r="I9" i="7"/>
  <c r="Q129" i="15" s="1"/>
  <c r="O129" i="15" s="1"/>
  <c r="U129" i="15" s="1"/>
  <c r="K129" i="15"/>
  <c r="I129" i="15" s="1"/>
  <c r="AF9" i="7"/>
  <c r="J186" i="15"/>
  <c r="AF558" i="7"/>
  <c r="K117" i="7"/>
  <c r="O155" i="15" s="1"/>
  <c r="W155" i="15" s="1"/>
  <c r="V155" i="15" s="1"/>
  <c r="U155" i="15" s="1"/>
  <c r="I155" i="15"/>
  <c r="AF117" i="7"/>
  <c r="I146" i="15"/>
  <c r="AF108" i="7"/>
  <c r="K522" i="7"/>
  <c r="O181" i="15" s="1"/>
  <c r="W181" i="15" s="1"/>
  <c r="V181" i="15" s="1"/>
  <c r="U181" i="15" s="1"/>
  <c r="I181" i="15"/>
  <c r="AF522" i="7"/>
  <c r="K127" i="7"/>
  <c r="O165" i="15" s="1"/>
  <c r="W165" i="15" s="1"/>
  <c r="V165" i="15" s="1"/>
  <c r="U165" i="15" s="1"/>
  <c r="I165" i="15"/>
  <c r="AF127" i="7"/>
  <c r="I206" i="15"/>
  <c r="AF839" i="7"/>
  <c r="I170" i="15"/>
  <c r="AF421" i="7"/>
  <c r="K129" i="7"/>
  <c r="O167" i="15" s="1"/>
  <c r="W167" i="15" s="1"/>
  <c r="V167" i="15" s="1"/>
  <c r="U167" i="15" s="1"/>
  <c r="I167" i="15"/>
  <c r="AF129" i="7"/>
  <c r="K34" i="7"/>
  <c r="O131" i="15" s="1"/>
  <c r="W131" i="15" s="1"/>
  <c r="V131" i="15" s="1"/>
  <c r="U131" i="15" s="1"/>
  <c r="I131" i="15"/>
  <c r="AF34" i="7"/>
  <c r="AB186" i="15"/>
  <c r="I135" i="15"/>
  <c r="AF38" i="7"/>
  <c r="I137" i="15"/>
  <c r="AF40" i="7"/>
  <c r="I214" i="15"/>
  <c r="AF847" i="7"/>
  <c r="K109" i="7"/>
  <c r="O147" i="15" s="1"/>
  <c r="W147" i="15" s="1"/>
  <c r="V147" i="15" s="1"/>
  <c r="U147" i="15" s="1"/>
  <c r="I147" i="15"/>
  <c r="AF109" i="7"/>
  <c r="J185" i="15"/>
  <c r="AF556" i="7"/>
  <c r="AB183" i="15"/>
  <c r="AB181" i="15"/>
  <c r="AB182" i="15"/>
  <c r="AB176" i="15"/>
  <c r="AB177" i="15"/>
  <c r="K39" i="7"/>
  <c r="O136" i="15" s="1"/>
  <c r="W136" i="15" s="1"/>
  <c r="V136" i="15" s="1"/>
  <c r="U136" i="15" s="1"/>
  <c r="I136" i="15"/>
  <c r="AF39" i="7"/>
  <c r="AB179" i="15"/>
  <c r="I208" i="15"/>
  <c r="AF841" i="7"/>
  <c r="I169" i="15"/>
  <c r="AF420" i="7"/>
  <c r="I211" i="15"/>
  <c r="AF844" i="7"/>
  <c r="I184" i="15"/>
  <c r="AF525" i="7"/>
  <c r="I159" i="15"/>
  <c r="AF121" i="7"/>
  <c r="I148" i="15"/>
  <c r="AF110" i="7"/>
  <c r="I133" i="15"/>
  <c r="AF36" i="7"/>
  <c r="I156" i="15"/>
  <c r="AF118" i="7"/>
  <c r="AB180" i="15"/>
  <c r="I130" i="15"/>
  <c r="AF33" i="7"/>
  <c r="I215" i="15"/>
  <c r="AF848" i="7"/>
  <c r="I212" i="15"/>
  <c r="AF845" i="7"/>
  <c r="I175" i="15"/>
  <c r="AF458" i="7"/>
  <c r="I207" i="15"/>
  <c r="AF840" i="7"/>
  <c r="DI524" i="7"/>
  <c r="AE183" i="15" s="1"/>
  <c r="AC183" i="15" s="1"/>
  <c r="I183" i="15"/>
  <c r="AF524" i="7"/>
  <c r="L200" i="15"/>
  <c r="I200" i="15" s="1"/>
  <c r="AF776" i="7"/>
  <c r="AB170" i="15"/>
  <c r="AB172" i="15"/>
  <c r="AB173" i="15"/>
  <c r="I7" i="7"/>
  <c r="Q127" i="15" s="1"/>
  <c r="O127" i="15" s="1"/>
  <c r="U127" i="15" s="1"/>
  <c r="K127" i="15"/>
  <c r="I127" i="15" s="1"/>
  <c r="AF7" i="7"/>
  <c r="AB171" i="15"/>
  <c r="AB174" i="15"/>
  <c r="F933" i="7"/>
  <c r="AF943" i="7"/>
  <c r="F931" i="7"/>
  <c r="AF942" i="7"/>
  <c r="AB214" i="15"/>
  <c r="I213" i="15"/>
  <c r="AF846" i="7"/>
  <c r="K128" i="15"/>
  <c r="I128" i="15" s="1"/>
  <c r="AF8" i="7"/>
  <c r="J41" i="7"/>
  <c r="F41" i="7" s="1"/>
  <c r="DI41" i="7" s="1"/>
  <c r="AE138" i="15" s="1"/>
  <c r="AC138" i="15" s="1"/>
  <c r="AF74" i="7"/>
  <c r="M489" i="6"/>
  <c r="AC103" i="15"/>
  <c r="M485" i="6"/>
  <c r="O48" i="15"/>
  <c r="W48" i="15" s="1"/>
  <c r="V48" i="15" s="1"/>
  <c r="U48" i="15" s="1"/>
  <c r="M478" i="6"/>
  <c r="I343" i="2"/>
  <c r="Q305" i="15" s="1"/>
  <c r="O305" i="15" s="1"/>
  <c r="W305" i="15" s="1"/>
  <c r="V305" i="15" s="1"/>
  <c r="U305" i="15" s="1"/>
  <c r="I280" i="15"/>
  <c r="I279" i="15"/>
  <c r="DI343" i="2"/>
  <c r="AE305" i="15" s="1"/>
  <c r="AC305" i="15" s="1"/>
  <c r="I301" i="15"/>
  <c r="I302" i="15"/>
  <c r="AF23" i="2"/>
  <c r="I245" i="15"/>
  <c r="AF16" i="2"/>
  <c r="AF21" i="2"/>
  <c r="I238" i="15"/>
  <c r="AF9" i="2"/>
  <c r="I246" i="15"/>
  <c r="AF17" i="2"/>
  <c r="AF19" i="2"/>
  <c r="I242" i="15"/>
  <c r="AF13" i="2"/>
  <c r="I243" i="15"/>
  <c r="AF14" i="2"/>
  <c r="I240" i="15"/>
  <c r="AF11" i="2"/>
  <c r="I244" i="15"/>
  <c r="AF15" i="2"/>
  <c r="I241" i="15"/>
  <c r="AF12" i="2"/>
  <c r="AC68" i="15"/>
  <c r="AD102" i="15"/>
  <c r="I278" i="15"/>
  <c r="BE343" i="2"/>
  <c r="AB305" i="15"/>
  <c r="K305" i="15"/>
  <c r="I305" i="15" s="1"/>
  <c r="I282" i="15"/>
  <c r="AF207" i="2"/>
  <c r="I284" i="15"/>
  <c r="I281" i="15"/>
  <c r="AF206" i="2"/>
  <c r="I273" i="15"/>
  <c r="I270" i="15"/>
  <c r="I272" i="15"/>
  <c r="I271" i="15"/>
  <c r="I269" i="15"/>
  <c r="AE265" i="15"/>
  <c r="AC265" i="15" s="1"/>
  <c r="DG91" i="2"/>
  <c r="AA265" i="15" s="1"/>
  <c r="AD87" i="15"/>
  <c r="I25" i="6"/>
  <c r="I26" i="6" s="1"/>
  <c r="BA49" i="15"/>
  <c r="BF49" i="15" s="1"/>
  <c r="O47" i="15"/>
  <c r="W47" i="15" s="1"/>
  <c r="V47" i="15" s="1"/>
  <c r="U47" i="15" s="1"/>
  <c r="AD76" i="15"/>
  <c r="BG71" i="15"/>
  <c r="BM71" i="15" s="1"/>
  <c r="Z119" i="15"/>
  <c r="AC82" i="15"/>
  <c r="AD59" i="15"/>
  <c r="AC81" i="15"/>
  <c r="AD53" i="15"/>
  <c r="BB85" i="15"/>
  <c r="BG85" i="15" s="1"/>
  <c r="AD101" i="15"/>
  <c r="O49" i="15"/>
  <c r="W49" i="15" s="1"/>
  <c r="V49" i="15" s="1"/>
  <c r="U49" i="15" s="1"/>
  <c r="J112" i="15"/>
  <c r="AC89" i="15"/>
  <c r="AC83" i="15"/>
  <c r="BI54" i="15"/>
  <c r="BK71" i="15"/>
  <c r="AD80" i="15"/>
  <c r="AD95" i="15"/>
  <c r="AD84" i="15"/>
  <c r="I124" i="15"/>
  <c r="I2112" i="6"/>
  <c r="R113" i="15" s="1"/>
  <c r="BA47" i="15"/>
  <c r="BF47" i="15" s="1"/>
  <c r="AD86" i="15"/>
  <c r="J123" i="15"/>
  <c r="AD75" i="15"/>
  <c r="BA46" i="15"/>
  <c r="BF46" i="15" s="1"/>
  <c r="AC77" i="15"/>
  <c r="O45" i="15"/>
  <c r="W45" i="15" s="1"/>
  <c r="V45" i="15" s="1"/>
  <c r="U45" i="15" s="1"/>
  <c r="O46" i="15"/>
  <c r="W46" i="15" s="1"/>
  <c r="V46" i="15" s="1"/>
  <c r="U46" i="15" s="1"/>
  <c r="AD97" i="15"/>
  <c r="BB45" i="15"/>
  <c r="BG45" i="15" s="1"/>
  <c r="AH113" i="15"/>
  <c r="AH121" i="15"/>
  <c r="I77" i="6"/>
  <c r="S24" i="15" s="1"/>
  <c r="P24" i="15" s="1"/>
  <c r="M24" i="15"/>
  <c r="J24" i="15" s="1"/>
  <c r="AF77" i="6"/>
  <c r="I2115" i="6"/>
  <c r="Q115" i="15" s="1"/>
  <c r="K115" i="15"/>
  <c r="K119" i="15"/>
  <c r="K121" i="15"/>
  <c r="I121" i="15" s="1"/>
  <c r="M111" i="15"/>
  <c r="M119" i="15"/>
  <c r="J119" i="15" s="1"/>
  <c r="K114" i="15"/>
  <c r="K118" i="15"/>
  <c r="BA116" i="15" s="1"/>
  <c r="K113" i="15"/>
  <c r="I113" i="15" s="1"/>
  <c r="AH115" i="15"/>
  <c r="N115" i="15"/>
  <c r="J115" i="15" s="1"/>
  <c r="I2116" i="6"/>
  <c r="R115" i="15" s="1"/>
  <c r="L115" i="15"/>
  <c r="I2150" i="6"/>
  <c r="L126" i="15"/>
  <c r="I126" i="15" s="1"/>
  <c r="I2138" i="6"/>
  <c r="L122" i="15"/>
  <c r="I2122" i="6"/>
  <c r="T116" i="15" s="1"/>
  <c r="N116" i="15"/>
  <c r="I2126" i="6"/>
  <c r="L118" i="15"/>
  <c r="AF123" i="15"/>
  <c r="L123" i="15"/>
  <c r="I123" i="15" s="1"/>
  <c r="AH120" i="15"/>
  <c r="N120" i="15"/>
  <c r="J120" i="15" s="1"/>
  <c r="AF111" i="15"/>
  <c r="L111" i="15"/>
  <c r="I111" i="15" s="1"/>
  <c r="AH124" i="15"/>
  <c r="N124" i="15"/>
  <c r="J124" i="15" s="1"/>
  <c r="AF112" i="15"/>
  <c r="L112" i="15"/>
  <c r="I112" i="15" s="1"/>
  <c r="AF120" i="15"/>
  <c r="L120" i="15"/>
  <c r="I120" i="15" s="1"/>
  <c r="I2106" i="6"/>
  <c r="T111" i="15" s="1"/>
  <c r="N111" i="15"/>
  <c r="BD111" i="15" s="1"/>
  <c r="M27" i="15"/>
  <c r="J27" i="15" s="1"/>
  <c r="AF82" i="6"/>
  <c r="M25" i="15"/>
  <c r="J25" i="15" s="1"/>
  <c r="AF79" i="6"/>
  <c r="I2121" i="6"/>
  <c r="S116" i="15" s="1"/>
  <c r="M116" i="15"/>
  <c r="M20" i="15"/>
  <c r="J20" i="15" s="1"/>
  <c r="AF71" i="6"/>
  <c r="I74" i="6"/>
  <c r="S22" i="15" s="1"/>
  <c r="P22" i="15" s="1"/>
  <c r="M22" i="15"/>
  <c r="J22" i="15" s="1"/>
  <c r="AF74" i="6"/>
  <c r="I2128" i="6"/>
  <c r="R119" i="15" s="1"/>
  <c r="L119" i="15"/>
  <c r="AF114" i="15"/>
  <c r="L114" i="15"/>
  <c r="BD112" i="15" s="1"/>
  <c r="AF569" i="6"/>
  <c r="K514" i="6"/>
  <c r="DJ514" i="6" s="1"/>
  <c r="I2137" i="6"/>
  <c r="K122" i="15"/>
  <c r="BA120" i="15" s="1"/>
  <c r="I2120" i="6"/>
  <c r="R116" i="15" s="1"/>
  <c r="L116" i="15"/>
  <c r="I116" i="15" s="1"/>
  <c r="AF568" i="6"/>
  <c r="K512" i="6"/>
  <c r="DJ512" i="6" s="1"/>
  <c r="M33" i="15"/>
  <c r="J33" i="15" s="1"/>
  <c r="AF91" i="6"/>
  <c r="I88" i="6"/>
  <c r="S31" i="15" s="1"/>
  <c r="P31" i="15" s="1"/>
  <c r="M31" i="15"/>
  <c r="J31" i="15" s="1"/>
  <c r="AF88" i="6"/>
  <c r="I85" i="6"/>
  <c r="S29" i="15" s="1"/>
  <c r="P29" i="15" s="1"/>
  <c r="M29" i="15"/>
  <c r="J29" i="15" s="1"/>
  <c r="AF85" i="6"/>
  <c r="O23" i="15"/>
  <c r="W23" i="15" s="1"/>
  <c r="V23" i="15" s="1"/>
  <c r="U23" i="15" s="1"/>
  <c r="O21" i="15"/>
  <c r="W21" i="15" s="1"/>
  <c r="V21" i="15" s="1"/>
  <c r="U21" i="15" s="1"/>
  <c r="O28" i="15"/>
  <c r="W28" i="15" s="1"/>
  <c r="V28" i="15" s="1"/>
  <c r="U28" i="15" s="1"/>
  <c r="O26" i="15"/>
  <c r="W26" i="15" s="1"/>
  <c r="V26" i="15" s="1"/>
  <c r="U26" i="15" s="1"/>
  <c r="L51" i="15"/>
  <c r="I51" i="15" s="1"/>
  <c r="AF586" i="6"/>
  <c r="N49" i="15"/>
  <c r="J49" i="15" s="1"/>
  <c r="AF580" i="6"/>
  <c r="DJ725" i="6"/>
  <c r="AF1916" i="6"/>
  <c r="K733" i="6"/>
  <c r="DJ733" i="6" s="1"/>
  <c r="AF1924" i="6"/>
  <c r="K717" i="6"/>
  <c r="DJ717" i="6" s="1"/>
  <c r="AF1908" i="6"/>
  <c r="L50" i="15"/>
  <c r="I50" i="15" s="1"/>
  <c r="AF582" i="6"/>
  <c r="N50" i="15"/>
  <c r="J50" i="15" s="1"/>
  <c r="AF584" i="6"/>
  <c r="K617" i="6"/>
  <c r="K702" i="6" s="1"/>
  <c r="J702" i="6" s="1"/>
  <c r="K587" i="6" s="1"/>
  <c r="DJ587" i="6" s="1"/>
  <c r="AF617" i="6"/>
  <c r="K581" i="6"/>
  <c r="DJ581" i="6" s="1"/>
  <c r="AF696" i="6"/>
  <c r="K585" i="6"/>
  <c r="DJ585" i="6" s="1"/>
  <c r="AF700" i="6"/>
  <c r="I14" i="6"/>
  <c r="AF13" i="6"/>
  <c r="K577" i="6"/>
  <c r="DJ577" i="6" s="1"/>
  <c r="AF692" i="6"/>
  <c r="DG575" i="6"/>
  <c r="AA48" i="15" s="1"/>
  <c r="AB48" i="15"/>
  <c r="DI208" i="2"/>
  <c r="AE283" i="15" s="1"/>
  <c r="AC283" i="15" s="1"/>
  <c r="I283" i="15"/>
  <c r="O12" i="15"/>
  <c r="V12" i="15" s="1"/>
  <c r="U12" i="15" s="1"/>
  <c r="O15" i="15"/>
  <c r="V15" i="15" s="1"/>
  <c r="U15" i="15" s="1"/>
  <c r="O16" i="15"/>
  <c r="V16" i="15" s="1"/>
  <c r="U16" i="15" s="1"/>
  <c r="O11" i="15"/>
  <c r="V11" i="15" s="1"/>
  <c r="U11" i="15" s="1"/>
  <c r="O14" i="15"/>
  <c r="V14" i="15" s="1"/>
  <c r="U14" i="15" s="1"/>
  <c r="O13" i="15"/>
  <c r="V13" i="15" s="1"/>
  <c r="U13" i="15" s="1"/>
  <c r="O10" i="15"/>
  <c r="V10" i="15" s="1"/>
  <c r="U10" i="15" s="1"/>
  <c r="AB216" i="15"/>
  <c r="AF97" i="16"/>
  <c r="AF99" i="16"/>
  <c r="DI61" i="16"/>
  <c r="AF16" i="15" s="1"/>
  <c r="AC16" i="15" s="1"/>
  <c r="AF103" i="16"/>
  <c r="AF101" i="16"/>
  <c r="AF102" i="16"/>
  <c r="DI55" i="16"/>
  <c r="AF13" i="15" s="1"/>
  <c r="AC13" i="15" s="1"/>
  <c r="AF100" i="16"/>
  <c r="AC199" i="15"/>
  <c r="AD92" i="15"/>
  <c r="AC49" i="15"/>
  <c r="AC64" i="15"/>
  <c r="AC66" i="15"/>
  <c r="AD77" i="15"/>
  <c r="AD39" i="15"/>
  <c r="AC90" i="15"/>
  <c r="AC73" i="15"/>
  <c r="AD100" i="15"/>
  <c r="AC71" i="15"/>
  <c r="AC105" i="15"/>
  <c r="AC86" i="15"/>
  <c r="AF7" i="5"/>
  <c r="I18" i="15"/>
  <c r="AD105" i="15"/>
  <c r="AC84" i="15"/>
  <c r="AD72" i="15"/>
  <c r="AC61" i="15"/>
  <c r="AC98" i="15"/>
  <c r="AD96" i="15"/>
  <c r="AC96" i="15"/>
  <c r="AD94" i="15"/>
  <c r="AC100" i="15"/>
  <c r="AC104" i="15"/>
  <c r="AC97" i="15"/>
  <c r="AC55" i="15"/>
  <c r="AD88" i="15"/>
  <c r="AC108" i="15"/>
  <c r="AC79" i="15"/>
  <c r="AC201" i="15"/>
  <c r="AC92" i="15"/>
  <c r="AC74" i="15"/>
  <c r="AD90" i="15"/>
  <c r="AC99" i="15"/>
  <c r="AD89" i="15"/>
  <c r="AC78" i="15"/>
  <c r="AC85" i="15"/>
  <c r="AC102" i="15"/>
  <c r="AC88" i="15"/>
  <c r="AD82" i="15"/>
  <c r="AC67" i="15"/>
  <c r="AD71" i="15"/>
  <c r="AC58" i="15"/>
  <c r="AC75" i="15"/>
  <c r="AC107" i="15"/>
  <c r="AC48" i="15"/>
  <c r="AC198" i="15"/>
  <c r="AC56" i="15"/>
  <c r="AD58" i="15"/>
  <c r="AC39" i="15"/>
  <c r="DG61" i="2"/>
  <c r="AA255" i="15" s="1"/>
  <c r="AE255" i="15"/>
  <c r="AC255" i="15" s="1"/>
  <c r="BA73" i="15"/>
  <c r="BF73" i="15" s="1"/>
  <c r="BM73" i="15" s="1"/>
  <c r="BG72" i="15"/>
  <c r="M846" i="7"/>
  <c r="O213" i="15" s="1"/>
  <c r="U213" i="15" s="1"/>
  <c r="M847" i="7"/>
  <c r="O214" i="15" s="1"/>
  <c r="U214" i="15" s="1"/>
  <c r="M843" i="7"/>
  <c r="O210" i="15" s="1"/>
  <c r="U210" i="15" s="1"/>
  <c r="M844" i="7"/>
  <c r="O211" i="15" s="1"/>
  <c r="U211" i="15" s="1"/>
  <c r="M840" i="7"/>
  <c r="O207" i="15" s="1"/>
  <c r="U207" i="15" s="1"/>
  <c r="M842" i="7"/>
  <c r="O209" i="15" s="1"/>
  <c r="U209" i="15" s="1"/>
  <c r="M848" i="7"/>
  <c r="O215" i="15" s="1"/>
  <c r="U215" i="15" s="1"/>
  <c r="M839" i="7"/>
  <c r="O206" i="15" s="1"/>
  <c r="U206" i="15" s="1"/>
  <c r="M845" i="7"/>
  <c r="O212" i="15" s="1"/>
  <c r="U212" i="15" s="1"/>
  <c r="M841" i="7"/>
  <c r="O208" i="15" s="1"/>
  <c r="U208" i="15" s="1"/>
  <c r="K501" i="6"/>
  <c r="K420" i="7"/>
  <c r="O169" i="15" s="1"/>
  <c r="W169" i="15" s="1"/>
  <c r="V169" i="15" s="1"/>
  <c r="U169" i="15" s="1"/>
  <c r="K618" i="6"/>
  <c r="F590" i="6"/>
  <c r="F588" i="6"/>
  <c r="L52" i="15" s="1"/>
  <c r="I52" i="15" s="1"/>
  <c r="BC74" i="15"/>
  <c r="BH74" i="15" s="1"/>
  <c r="BN74" i="15" s="1"/>
  <c r="BG70" i="15"/>
  <c r="BI68" i="15"/>
  <c r="K81" i="6"/>
  <c r="DJ81" i="6" s="1"/>
  <c r="K78" i="6"/>
  <c r="DJ78" i="6" s="1"/>
  <c r="K76" i="6"/>
  <c r="DJ76" i="6" s="1"/>
  <c r="K70" i="6"/>
  <c r="DJ70" i="6" s="1"/>
  <c r="K73" i="6"/>
  <c r="DJ73" i="6" s="1"/>
  <c r="K87" i="6"/>
  <c r="DJ87" i="6" s="1"/>
  <c r="K84" i="6"/>
  <c r="DJ84" i="6" s="1"/>
  <c r="K90" i="6"/>
  <c r="DJ90" i="6" s="1"/>
  <c r="BG102" i="15"/>
  <c r="BI59" i="15"/>
  <c r="BI70" i="15"/>
  <c r="BA24" i="15"/>
  <c r="BF24" i="15" s="1"/>
  <c r="BM24" i="15" s="1"/>
  <c r="BC103" i="15"/>
  <c r="BL103" i="15" s="1"/>
  <c r="L304" i="6"/>
  <c r="AJ40" i="15" s="1"/>
  <c r="L310" i="6"/>
  <c r="AJ42" i="15" s="1"/>
  <c r="I79" i="6"/>
  <c r="S25" i="15" s="1"/>
  <c r="P25" i="15" s="1"/>
  <c r="AG20" i="15"/>
  <c r="AD20" i="15" s="1"/>
  <c r="I71" i="6"/>
  <c r="S20" i="15" s="1"/>
  <c r="P20" i="15" s="1"/>
  <c r="AG33" i="15"/>
  <c r="AD33" i="15" s="1"/>
  <c r="I91" i="6"/>
  <c r="S33" i="15" s="1"/>
  <c r="P33" i="15" s="1"/>
  <c r="BA20" i="15"/>
  <c r="BF20" i="15" s="1"/>
  <c r="BM20" i="15" s="1"/>
  <c r="BA21" i="15"/>
  <c r="BF21" i="15" s="1"/>
  <c r="BM21" i="15" s="1"/>
  <c r="BA26" i="15"/>
  <c r="BF26" i="15" s="1"/>
  <c r="BM26" i="15" s="1"/>
  <c r="I82" i="6"/>
  <c r="S27" i="15" s="1"/>
  <c r="P27" i="15" s="1"/>
  <c r="BA25" i="15"/>
  <c r="BF25" i="15" s="1"/>
  <c r="BM25" i="15" s="1"/>
  <c r="BI84" i="15"/>
  <c r="BB57" i="15"/>
  <c r="BG57" i="15" s="1"/>
  <c r="BI102" i="15"/>
  <c r="BN102" i="15" s="1"/>
  <c r="BL102" i="15"/>
  <c r="BB81" i="15"/>
  <c r="BG81" i="15" s="1"/>
  <c r="BK76" i="15"/>
  <c r="BK69" i="15"/>
  <c r="BF69" i="15"/>
  <c r="BD99" i="15"/>
  <c r="BI99" i="15" s="1"/>
  <c r="BA22" i="15"/>
  <c r="BK22" i="15" s="1"/>
  <c r="BA23" i="15"/>
  <c r="BF23" i="15" s="1"/>
  <c r="BM23" i="15" s="1"/>
  <c r="BA27" i="15"/>
  <c r="BK27" i="15" s="1"/>
  <c r="BA28" i="15"/>
  <c r="BF28" i="15" s="1"/>
  <c r="BM28" i="15" s="1"/>
  <c r="BD92" i="15"/>
  <c r="BI92" i="15" s="1"/>
  <c r="BF76" i="15"/>
  <c r="BC90" i="15"/>
  <c r="BL90" i="15" s="1"/>
  <c r="DI7" i="7"/>
  <c r="AE127" i="15" s="1"/>
  <c r="AC127" i="15" s="1"/>
  <c r="DI420" i="7"/>
  <c r="AE169" i="15" s="1"/>
  <c r="AC169" i="15" s="1"/>
  <c r="I993" i="7"/>
  <c r="O223" i="15" s="1"/>
  <c r="W223" i="15" s="1"/>
  <c r="V223" i="15" s="1"/>
  <c r="U223" i="15" s="1"/>
  <c r="DI993" i="7"/>
  <c r="I992" i="7"/>
  <c r="O222" i="15" s="1"/>
  <c r="W222" i="15" s="1"/>
  <c r="V222" i="15" s="1"/>
  <c r="U222" i="15" s="1"/>
  <c r="DI992" i="7"/>
  <c r="I995" i="7"/>
  <c r="O225" i="15" s="1"/>
  <c r="W225" i="15" s="1"/>
  <c r="V225" i="15" s="1"/>
  <c r="U225" i="15" s="1"/>
  <c r="DI995" i="7"/>
  <c r="I994" i="7"/>
  <c r="O224" i="15" s="1"/>
  <c r="W224" i="15" s="1"/>
  <c r="V224" i="15" s="1"/>
  <c r="U224" i="15" s="1"/>
  <c r="DI994" i="7"/>
  <c r="DI776" i="7"/>
  <c r="AF200" i="15" s="1"/>
  <c r="AC200" i="15" s="1"/>
  <c r="I2123" i="6"/>
  <c r="Q117" i="15" s="1"/>
  <c r="K112" i="7"/>
  <c r="O150" i="15" s="1"/>
  <c r="W150" i="15" s="1"/>
  <c r="V150" i="15" s="1"/>
  <c r="U150" i="15" s="1"/>
  <c r="DI112" i="7"/>
  <c r="AE150" i="15" s="1"/>
  <c r="AC150" i="15" s="1"/>
  <c r="BD88" i="15"/>
  <c r="BI88" i="15" s="1"/>
  <c r="K524" i="7"/>
  <c r="O183" i="15" s="1"/>
  <c r="W183" i="15" s="1"/>
  <c r="V183" i="15" s="1"/>
  <c r="U183" i="15" s="1"/>
  <c r="I776" i="7"/>
  <c r="R200" i="15" s="1"/>
  <c r="O200" i="15" s="1"/>
  <c r="V200" i="15" s="1"/>
  <c r="U200" i="15" s="1"/>
  <c r="DI17" i="2"/>
  <c r="AE246" i="15" s="1"/>
  <c r="AC246" i="15" s="1"/>
  <c r="DI12" i="2"/>
  <c r="DI16" i="2"/>
  <c r="I183" i="2"/>
  <c r="O277" i="15" s="1"/>
  <c r="V277" i="15" s="1"/>
  <c r="U277" i="15" s="1"/>
  <c r="I142" i="2"/>
  <c r="O272" i="15" s="1"/>
  <c r="W272" i="15" s="1"/>
  <c r="V272" i="15" s="1"/>
  <c r="U272" i="15" s="1"/>
  <c r="BD65" i="15"/>
  <c r="BD86" i="15" s="1"/>
  <c r="BI86" i="15" s="1"/>
  <c r="BC88" i="15"/>
  <c r="BB60" i="15"/>
  <c r="BG60" i="15" s="1"/>
  <c r="BL67" i="15"/>
  <c r="F424" i="7"/>
  <c r="DI108" i="7"/>
  <c r="BA88" i="15"/>
  <c r="BF88" i="15" s="1"/>
  <c r="BI67" i="15"/>
  <c r="BN67" i="15" s="1"/>
  <c r="BB99" i="15"/>
  <c r="BC79" i="15"/>
  <c r="BH79" i="15" s="1"/>
  <c r="AZ9" i="15"/>
  <c r="DI7" i="16"/>
  <c r="BC60" i="15"/>
  <c r="BC63" i="15" s="1"/>
  <c r="BL43" i="15"/>
  <c r="BA60" i="15"/>
  <c r="BA63" i="15" s="1"/>
  <c r="BA91" i="15"/>
  <c r="BF91" i="15" s="1"/>
  <c r="BI72" i="15"/>
  <c r="BN72" i="15" s="1"/>
  <c r="BC78" i="15"/>
  <c r="BH78" i="15" s="1"/>
  <c r="BF98" i="15"/>
  <c r="BM98" i="15" s="1"/>
  <c r="BK68" i="15"/>
  <c r="BL72" i="15"/>
  <c r="BF66" i="15"/>
  <c r="BK66" i="15"/>
  <c r="BK98" i="15"/>
  <c r="BG43" i="15"/>
  <c r="BA90" i="15"/>
  <c r="BF90" i="15" s="1"/>
  <c r="BC38" i="15"/>
  <c r="BB58" i="15"/>
  <c r="BB61" i="15" s="1"/>
  <c r="BG61" i="15" s="1"/>
  <c r="I57" i="16"/>
  <c r="DI57" i="16"/>
  <c r="AF14" i="15" s="1"/>
  <c r="AC14" i="15" s="1"/>
  <c r="DI7" i="5"/>
  <c r="BG66" i="15"/>
  <c r="BA84" i="15"/>
  <c r="BF84" i="15" s="1"/>
  <c r="BM84" i="15" s="1"/>
  <c r="BL76" i="15"/>
  <c r="BA64" i="15"/>
  <c r="BF64" i="15" s="1"/>
  <c r="BB101" i="15"/>
  <c r="BB109" i="15" s="1"/>
  <c r="BG109" i="15" s="1"/>
  <c r="BC105" i="15"/>
  <c r="BL105" i="15" s="1"/>
  <c r="BC55" i="15"/>
  <c r="BH55" i="15" s="1"/>
  <c r="BA97" i="15"/>
  <c r="BK97" i="15" s="1"/>
  <c r="BA101" i="15"/>
  <c r="BA109" i="15" s="1"/>
  <c r="BG89" i="15"/>
  <c r="BB106" i="15"/>
  <c r="BG106" i="15" s="1"/>
  <c r="BC109" i="15"/>
  <c r="BL101" i="15"/>
  <c r="BH101" i="15"/>
  <c r="BA106" i="15"/>
  <c r="BF89" i="15"/>
  <c r="BK89" i="15"/>
  <c r="BD110" i="15"/>
  <c r="BI110" i="15" s="1"/>
  <c r="BI105" i="15"/>
  <c r="BF80" i="15"/>
  <c r="BM80" i="15" s="1"/>
  <c r="BA81" i="15"/>
  <c r="BK80" i="15"/>
  <c r="BA107" i="15"/>
  <c r="BF93" i="15"/>
  <c r="BC108" i="15"/>
  <c r="BH97" i="15"/>
  <c r="BC85" i="15"/>
  <c r="BH84" i="15"/>
  <c r="BL84" i="15"/>
  <c r="BC89" i="15"/>
  <c r="BF79" i="15"/>
  <c r="BA96" i="15"/>
  <c r="BC59" i="15"/>
  <c r="BC80" i="15"/>
  <c r="BK82" i="15"/>
  <c r="BA83" i="15"/>
  <c r="BF82" i="15"/>
  <c r="BD75" i="15"/>
  <c r="BI77" i="15"/>
  <c r="BD104" i="15"/>
  <c r="BI104" i="15" s="1"/>
  <c r="BD81" i="15"/>
  <c r="BI81" i="15" s="1"/>
  <c r="BI80" i="15"/>
  <c r="BK35" i="15"/>
  <c r="BF35" i="15"/>
  <c r="BM35" i="15" s="1"/>
  <c r="BB65" i="15"/>
  <c r="BK65" i="15" s="1"/>
  <c r="BD55" i="15"/>
  <c r="BB47" i="15"/>
  <c r="BC58" i="15"/>
  <c r="BB53" i="15"/>
  <c r="BA54" i="15"/>
  <c r="BC93" i="15"/>
  <c r="BD79" i="15"/>
  <c r="BI79" i="15" s="1"/>
  <c r="BI76" i="15"/>
  <c r="BN76" i="15" s="1"/>
  <c r="BF36" i="15"/>
  <c r="BM36" i="15" s="1"/>
  <c r="BK36" i="15"/>
  <c r="BC83" i="15"/>
  <c r="BH82" i="15"/>
  <c r="BL82" i="15"/>
  <c r="BH87" i="15"/>
  <c r="BD58" i="15"/>
  <c r="BA74" i="15"/>
  <c r="BK72" i="15"/>
  <c r="BF72" i="15"/>
  <c r="BL70" i="15"/>
  <c r="BC95" i="15"/>
  <c r="BH70" i="15"/>
  <c r="BA100" i="15"/>
  <c r="BD83" i="15"/>
  <c r="BI83" i="15" s="1"/>
  <c r="BI82" i="15"/>
  <c r="BK43" i="15"/>
  <c r="BF43" i="15"/>
  <c r="BA38" i="15"/>
  <c r="BC53" i="15"/>
  <c r="BA92" i="15"/>
  <c r="BB105" i="15"/>
  <c r="BK105" i="15" s="1"/>
  <c r="BH36" i="15"/>
  <c r="BN36" i="15" s="1"/>
  <c r="BL36" i="15"/>
  <c r="BF99" i="15"/>
  <c r="BD100" i="15"/>
  <c r="BI100" i="15" s="1"/>
  <c r="BB75" i="15"/>
  <c r="BB55" i="15"/>
  <c r="BK102" i="15"/>
  <c r="BA103" i="15"/>
  <c r="BF102" i="15"/>
  <c r="BD96" i="15"/>
  <c r="BI96" i="15" s="1"/>
  <c r="BC50" i="15"/>
  <c r="BC51" i="15" s="1"/>
  <c r="BC52" i="15" s="1"/>
  <c r="BB83" i="15"/>
  <c r="BG83" i="15" s="1"/>
  <c r="BG82" i="15"/>
  <c r="BD89" i="15"/>
  <c r="BB93" i="15"/>
  <c r="BK93" i="15" s="1"/>
  <c r="BI66" i="15"/>
  <c r="BN66" i="15" s="1"/>
  <c r="BD87" i="15"/>
  <c r="BI87" i="15" s="1"/>
  <c r="BB79" i="15"/>
  <c r="BG79" i="15" s="1"/>
  <c r="BG76" i="15"/>
  <c r="BF45" i="15"/>
  <c r="BD53" i="15"/>
  <c r="BA53" i="15"/>
  <c r="BF87" i="15"/>
  <c r="BM87" i="15" s="1"/>
  <c r="BK87" i="15"/>
  <c r="BA77" i="15"/>
  <c r="BC68" i="15"/>
  <c r="BC54" i="15"/>
  <c r="BD109" i="15"/>
  <c r="BI109" i="15" s="1"/>
  <c r="BI101" i="15"/>
  <c r="BC65" i="15"/>
  <c r="BH39" i="15"/>
  <c r="BN39" i="15" s="1"/>
  <c r="BL39" i="15"/>
  <c r="BF41" i="15"/>
  <c r="BM41" i="15" s="1"/>
  <c r="BK41" i="15"/>
  <c r="BA58" i="15"/>
  <c r="BF39" i="15"/>
  <c r="BM39" i="15" s="1"/>
  <c r="BK39" i="15"/>
  <c r="BC69" i="15"/>
  <c r="BD73" i="15"/>
  <c r="BI73" i="15" s="1"/>
  <c r="BI71" i="15"/>
  <c r="BL71" i="15"/>
  <c r="BC73" i="15"/>
  <c r="BH71" i="15"/>
  <c r="BB37" i="15"/>
  <c r="BG37" i="15" s="1"/>
  <c r="BG38" i="15"/>
  <c r="BH64" i="15"/>
  <c r="BB46" i="15"/>
  <c r="BG59" i="15"/>
  <c r="BB62" i="15"/>
  <c r="BG62" i="15" s="1"/>
  <c r="BG67" i="15"/>
  <c r="BM67" i="15" s="1"/>
  <c r="BB90" i="15"/>
  <c r="BG90" i="15" s="1"/>
  <c r="BD38" i="15"/>
  <c r="BI43" i="15"/>
  <c r="BN43" i="15" s="1"/>
  <c r="BC100" i="15"/>
  <c r="BK67" i="15"/>
  <c r="BC96" i="15"/>
  <c r="BB96" i="15"/>
  <c r="BG96" i="15" s="1"/>
  <c r="BH35" i="15"/>
  <c r="BN35" i="15" s="1"/>
  <c r="BL35" i="15"/>
  <c r="BB108" i="15"/>
  <c r="BG108" i="15" s="1"/>
  <c r="BG97" i="15"/>
  <c r="BD93" i="15"/>
  <c r="BF105" i="15"/>
  <c r="BA110" i="15"/>
  <c r="BD94" i="15"/>
  <c r="BI94" i="15" s="1"/>
  <c r="BI69" i="15"/>
  <c r="BD60" i="15"/>
  <c r="BB104" i="15"/>
  <c r="BG104" i="15" s="1"/>
  <c r="BG77" i="15"/>
  <c r="BF75" i="15"/>
  <c r="BA78" i="15"/>
  <c r="BB94" i="15"/>
  <c r="BG94" i="15" s="1"/>
  <c r="BG69" i="15"/>
  <c r="BA95" i="15"/>
  <c r="BF70" i="15"/>
  <c r="BK70" i="15"/>
  <c r="BH41" i="15"/>
  <c r="BN41" i="15" s="1"/>
  <c r="BL41" i="15"/>
  <c r="BA86" i="15"/>
  <c r="BF65" i="15"/>
  <c r="BC98" i="15"/>
  <c r="BA55" i="15"/>
  <c r="BD97" i="15"/>
  <c r="BL97" i="15" s="1"/>
  <c r="BC77" i="15"/>
  <c r="BA59" i="15"/>
  <c r="BB100" i="15"/>
  <c r="BG100" i="15" s="1"/>
  <c r="BB91" i="15"/>
  <c r="BG91" i="15" s="1"/>
  <c r="BG68" i="15"/>
  <c r="BM68" i="15" s="1"/>
  <c r="BF94" i="15"/>
  <c r="BA50" i="15"/>
  <c r="BG48" i="15"/>
  <c r="BM48" i="15" s="1"/>
  <c r="BB49" i="15"/>
  <c r="BG49" i="15" s="1"/>
  <c r="BH48" i="15"/>
  <c r="BC49" i="15"/>
  <c r="BK48" i="15"/>
  <c r="BF33" i="15"/>
  <c r="BM33" i="15" s="1"/>
  <c r="BK33" i="15"/>
  <c r="BF34" i="15"/>
  <c r="BM34" i="15" s="1"/>
  <c r="BK34" i="15"/>
  <c r="BF31" i="15"/>
  <c r="BM31" i="15" s="1"/>
  <c r="BK31" i="15"/>
  <c r="BF29" i="15"/>
  <c r="BM29" i="15" s="1"/>
  <c r="BK29" i="15"/>
  <c r="BF32" i="15"/>
  <c r="BM32" i="15" s="1"/>
  <c r="BK32" i="15"/>
  <c r="BF30" i="15"/>
  <c r="BM30" i="15" s="1"/>
  <c r="BK30" i="15"/>
  <c r="DI39" i="7"/>
  <c r="DI117" i="7"/>
  <c r="DI38" i="7"/>
  <c r="AE135" i="15" s="1"/>
  <c r="AC135" i="15" s="1"/>
  <c r="DI121" i="7"/>
  <c r="K525" i="7"/>
  <c r="O184" i="15" s="1"/>
  <c r="W184" i="15" s="1"/>
  <c r="V184" i="15" s="1"/>
  <c r="U184" i="15" s="1"/>
  <c r="DI840" i="7"/>
  <c r="AE207" i="15" s="1"/>
  <c r="AC207" i="15" s="1"/>
  <c r="DI525" i="7"/>
  <c r="AE184" i="15" s="1"/>
  <c r="AC184" i="15" s="1"/>
  <c r="DI207" i="2"/>
  <c r="AE282" i="15" s="1"/>
  <c r="AC282" i="15" s="1"/>
  <c r="DI206" i="2"/>
  <c r="AE281" i="15" s="1"/>
  <c r="AC281" i="15" s="1"/>
  <c r="DI142" i="2"/>
  <c r="AE272" i="15" s="1"/>
  <c r="AC272" i="15" s="1"/>
  <c r="DI185" i="2"/>
  <c r="I207" i="2"/>
  <c r="O282" i="15" s="1"/>
  <c r="V282" i="15" s="1"/>
  <c r="U282" i="15" s="1"/>
  <c r="DI186" i="2"/>
  <c r="I186" i="2"/>
  <c r="O280" i="15" s="1"/>
  <c r="V280" i="15" s="1"/>
  <c r="U280" i="15" s="1"/>
  <c r="DI846" i="7"/>
  <c r="AE213" i="15" s="1"/>
  <c r="AC213" i="15" s="1"/>
  <c r="DI843" i="7"/>
  <c r="AE210" i="15" s="1"/>
  <c r="AC210" i="15" s="1"/>
  <c r="DI839" i="7"/>
  <c r="AE206" i="15" s="1"/>
  <c r="AC206" i="15" s="1"/>
  <c r="DI141" i="2"/>
  <c r="AE271" i="15" s="1"/>
  <c r="AC271" i="15" s="1"/>
  <c r="I206" i="2"/>
  <c r="O281" i="15" s="1"/>
  <c r="V281" i="15" s="1"/>
  <c r="U281" i="15" s="1"/>
  <c r="I141" i="2"/>
  <c r="O271" i="15" s="1"/>
  <c r="W271" i="15" s="1"/>
  <c r="V271" i="15" s="1"/>
  <c r="U271" i="15" s="1"/>
  <c r="DG241" i="2"/>
  <c r="AA286" i="15" s="1"/>
  <c r="DG314" i="2"/>
  <c r="AA297" i="15" s="1"/>
  <c r="AH111" i="15"/>
  <c r="DI458" i="7"/>
  <c r="AE175" i="15" s="1"/>
  <c r="AC175" i="15" s="1"/>
  <c r="K458" i="7"/>
  <c r="O175" i="15" s="1"/>
  <c r="U175" i="15" s="1"/>
  <c r="DI119" i="7"/>
  <c r="DI743" i="7"/>
  <c r="I354" i="6"/>
  <c r="I364" i="6" s="1"/>
  <c r="AF119" i="15"/>
  <c r="I491" i="6"/>
  <c r="AG44" i="15"/>
  <c r="AD44" i="15" s="1"/>
  <c r="AE44" i="15"/>
  <c r="AC44" i="15" s="1"/>
  <c r="AF116" i="15"/>
  <c r="I2130" i="6"/>
  <c r="T119" i="15" s="1"/>
  <c r="I360" i="6"/>
  <c r="I366" i="6"/>
  <c r="I359" i="6"/>
  <c r="I363" i="6"/>
  <c r="I361" i="6"/>
  <c r="I365" i="6"/>
  <c r="I358" i="6"/>
  <c r="I357" i="6"/>
  <c r="I362" i="6"/>
  <c r="AE42" i="15"/>
  <c r="AC42" i="15" s="1"/>
  <c r="K110" i="7"/>
  <c r="O148" i="15" s="1"/>
  <c r="W148" i="15" s="1"/>
  <c r="V148" i="15" s="1"/>
  <c r="U148" i="15" s="1"/>
  <c r="DI845" i="7"/>
  <c r="AE212" i="15" s="1"/>
  <c r="AC212" i="15" s="1"/>
  <c r="DI110" i="7"/>
  <c r="K38" i="7"/>
  <c r="O135" i="15" s="1"/>
  <c r="W135" i="15" s="1"/>
  <c r="V135" i="15" s="1"/>
  <c r="U135" i="15" s="1"/>
  <c r="AF115" i="15"/>
  <c r="I915" i="7"/>
  <c r="O217" i="15" s="1"/>
  <c r="V217" i="15" s="1"/>
  <c r="U217" i="15" s="1"/>
  <c r="DI140" i="2"/>
  <c r="I140" i="2"/>
  <c r="O270" i="15" s="1"/>
  <c r="W270" i="15" s="1"/>
  <c r="V270" i="15" s="1"/>
  <c r="U270" i="15" s="1"/>
  <c r="I184" i="2"/>
  <c r="O278" i="15" s="1"/>
  <c r="V278" i="15" s="1"/>
  <c r="U278" i="15" s="1"/>
  <c r="DI183" i="2"/>
  <c r="DI184" i="2"/>
  <c r="AE278" i="15" s="1"/>
  <c r="AC278" i="15" s="1"/>
  <c r="I139" i="2"/>
  <c r="O269" i="15" s="1"/>
  <c r="W269" i="15" s="1"/>
  <c r="V269" i="15" s="1"/>
  <c r="U269" i="15" s="1"/>
  <c r="DI139" i="2"/>
  <c r="AE269" i="15" s="1"/>
  <c r="AC269" i="15" s="1"/>
  <c r="I143" i="2"/>
  <c r="O273" i="15" s="1"/>
  <c r="W273" i="15" s="1"/>
  <c r="V273" i="15" s="1"/>
  <c r="U273" i="15" s="1"/>
  <c r="DI143" i="2"/>
  <c r="AE273" i="15" s="1"/>
  <c r="AC273" i="15" s="1"/>
  <c r="DG295" i="2"/>
  <c r="AA295" i="15" s="1"/>
  <c r="K118" i="7"/>
  <c r="O156" i="15" s="1"/>
  <c r="W156" i="15" s="1"/>
  <c r="V156" i="15" s="1"/>
  <c r="U156" i="15" s="1"/>
  <c r="DI9" i="7"/>
  <c r="DI914" i="7"/>
  <c r="AE216" i="15" s="1"/>
  <c r="AC216" i="15" s="1"/>
  <c r="DI111" i="7"/>
  <c r="DI113" i="7"/>
  <c r="AE151" i="15" s="1"/>
  <c r="AC151" i="15" s="1"/>
  <c r="DI129" i="7"/>
  <c r="AE167" i="15" s="1"/>
  <c r="AC167" i="15" s="1"/>
  <c r="DI838" i="7"/>
  <c r="AE205" i="15" s="1"/>
  <c r="AC205" i="15" s="1"/>
  <c r="DI848" i="7"/>
  <c r="AE215" i="15" s="1"/>
  <c r="AC215" i="15" s="1"/>
  <c r="DI744" i="7"/>
  <c r="K7" i="5"/>
  <c r="O18" i="15" s="1"/>
  <c r="U18" i="15" s="1"/>
  <c r="M7" i="16"/>
  <c r="O9" i="15" s="1"/>
  <c r="V9" i="15" s="1"/>
  <c r="U9" i="15" s="1"/>
  <c r="DI14" i="2"/>
  <c r="DG435" i="2"/>
  <c r="AA323" i="15" s="1"/>
  <c r="I208" i="2"/>
  <c r="O283" i="15" s="1"/>
  <c r="V283" i="15" s="1"/>
  <c r="U283" i="15" s="1"/>
  <c r="I185" i="2"/>
  <c r="O279" i="15" s="1"/>
  <c r="V279" i="15" s="1"/>
  <c r="U279" i="15" s="1"/>
  <c r="DG242" i="2"/>
  <c r="AA287" i="15" s="1"/>
  <c r="DG291" i="2"/>
  <c r="AA291" i="15" s="1"/>
  <c r="DI9" i="2"/>
  <c r="DG292" i="2"/>
  <c r="AA292" i="15" s="1"/>
  <c r="AF51" i="15"/>
  <c r="I586" i="6"/>
  <c r="R51" i="15" s="1"/>
  <c r="DG89" i="2"/>
  <c r="AA263" i="15" s="1"/>
  <c r="DG243" i="2"/>
  <c r="AA288" i="15" s="1"/>
  <c r="DI35" i="7"/>
  <c r="AE132" i="15" s="1"/>
  <c r="AC132" i="15" s="1"/>
  <c r="DG85" i="2"/>
  <c r="AA259" i="15" s="1"/>
  <c r="DG294" i="2"/>
  <c r="AA294" i="15" s="1"/>
  <c r="DG167" i="2"/>
  <c r="AA276" i="15" s="1"/>
  <c r="DG82" i="2"/>
  <c r="AA256" i="15" s="1"/>
  <c r="DG393" i="2"/>
  <c r="AA317" i="15" s="1"/>
  <c r="DI126" i="7"/>
  <c r="AE164" i="15" s="1"/>
  <c r="AC164" i="15" s="1"/>
  <c r="DG389" i="2"/>
  <c r="AA313" i="15" s="1"/>
  <c r="DG293" i="2"/>
  <c r="AA293" i="15" s="1"/>
  <c r="DG369" i="2"/>
  <c r="DG365" i="2"/>
  <c r="DI37" i="7"/>
  <c r="DG261" i="2"/>
  <c r="DG244" i="2"/>
  <c r="AA289" i="15" s="1"/>
  <c r="D514" i="7"/>
  <c r="D549" i="7" s="1"/>
  <c r="D596" i="7" s="1"/>
  <c r="DI124" i="7"/>
  <c r="AE162" i="15" s="1"/>
  <c r="AC162" i="15" s="1"/>
  <c r="DI521" i="7"/>
  <c r="AE180" i="15" s="1"/>
  <c r="AC180" i="15" s="1"/>
  <c r="K36" i="7"/>
  <c r="O133" i="15" s="1"/>
  <c r="W133" i="15" s="1"/>
  <c r="V133" i="15" s="1"/>
  <c r="U133" i="15" s="1"/>
  <c r="DI33" i="7"/>
  <c r="AE130" i="15" s="1"/>
  <c r="AC130" i="15" s="1"/>
  <c r="DI36" i="7"/>
  <c r="AE133" i="15" s="1"/>
  <c r="AC133" i="15" s="1"/>
  <c r="K33" i="7"/>
  <c r="O130" i="15" s="1"/>
  <c r="W130" i="15" s="1"/>
  <c r="V130" i="15" s="1"/>
  <c r="U130" i="15" s="1"/>
  <c r="K37" i="7"/>
  <c r="O134" i="15" s="1"/>
  <c r="W134" i="15" s="1"/>
  <c r="V134" i="15" s="1"/>
  <c r="U134" i="15" s="1"/>
  <c r="DG968" i="7"/>
  <c r="AA221" i="15" s="1"/>
  <c r="DI842" i="7"/>
  <c r="AE209" i="15" s="1"/>
  <c r="AC209" i="15" s="1"/>
  <c r="DI34" i="7"/>
  <c r="M556" i="7"/>
  <c r="P185" i="15" s="1"/>
  <c r="K121" i="7"/>
  <c r="O159" i="15" s="1"/>
  <c r="W159" i="15" s="1"/>
  <c r="V159" i="15" s="1"/>
  <c r="U159" i="15" s="1"/>
  <c r="DI105" i="7"/>
  <c r="K111" i="7"/>
  <c r="O149" i="15" s="1"/>
  <c r="W149" i="15" s="1"/>
  <c r="V149" i="15" s="1"/>
  <c r="U149" i="15" s="1"/>
  <c r="DI847" i="7"/>
  <c r="AE214" i="15" s="1"/>
  <c r="AC214" i="15" s="1"/>
  <c r="DI844" i="7"/>
  <c r="AE211" i="15" s="1"/>
  <c r="AC211" i="15" s="1"/>
  <c r="K104" i="7"/>
  <c r="O142" i="15" s="1"/>
  <c r="W142" i="15" s="1"/>
  <c r="V142" i="15" s="1"/>
  <c r="U142" i="15" s="1"/>
  <c r="DI127" i="7"/>
  <c r="DI104" i="7"/>
  <c r="DI118" i="7"/>
  <c r="AE156" i="15" s="1"/>
  <c r="AC156" i="15" s="1"/>
  <c r="F423" i="7"/>
  <c r="F485" i="7"/>
  <c r="K108" i="7"/>
  <c r="O146" i="15" s="1"/>
  <c r="W146" i="15" s="1"/>
  <c r="V146" i="15" s="1"/>
  <c r="U146" i="15" s="1"/>
  <c r="DI125" i="7"/>
  <c r="AE163" i="15" s="1"/>
  <c r="AC163" i="15" s="1"/>
  <c r="DG967" i="7"/>
  <c r="AA220" i="15" s="1"/>
  <c r="I914" i="7"/>
  <c r="O216" i="15" s="1"/>
  <c r="V216" i="15" s="1"/>
  <c r="U216" i="15" s="1"/>
  <c r="DI520" i="7"/>
  <c r="DI557" i="7"/>
  <c r="D548" i="7"/>
  <c r="V478" i="7"/>
  <c r="DI522" i="7"/>
  <c r="AE181" i="15" s="1"/>
  <c r="AC181" i="15" s="1"/>
  <c r="DI40" i="7"/>
  <c r="AE137" i="15" s="1"/>
  <c r="AC137" i="15" s="1"/>
  <c r="K40" i="7"/>
  <c r="O137" i="15" s="1"/>
  <c r="W137" i="15" s="1"/>
  <c r="V137" i="15" s="1"/>
  <c r="U137" i="15" s="1"/>
  <c r="DI421" i="7"/>
  <c r="AE170" i="15" s="1"/>
  <c r="AC170" i="15" s="1"/>
  <c r="K35" i="7"/>
  <c r="O132" i="15" s="1"/>
  <c r="W132" i="15" s="1"/>
  <c r="V132" i="15" s="1"/>
  <c r="U132" i="15" s="1"/>
  <c r="DI101" i="7"/>
  <c r="DI837" i="7"/>
  <c r="AE204" i="15" s="1"/>
  <c r="AC204" i="15" s="1"/>
  <c r="DI109" i="7"/>
  <c r="DI841" i="7"/>
  <c r="AE208" i="15" s="1"/>
  <c r="AC208" i="15" s="1"/>
  <c r="DI106" i="7"/>
  <c r="I934" i="7"/>
  <c r="P219" i="15" s="1"/>
  <c r="DI555" i="7"/>
  <c r="AE185" i="15" s="1"/>
  <c r="AC185" i="15" s="1"/>
  <c r="M555" i="7"/>
  <c r="O185" i="15" s="1"/>
  <c r="U185" i="15" s="1"/>
  <c r="DI605" i="7"/>
  <c r="AE187" i="15" s="1"/>
  <c r="K520" i="7"/>
  <c r="O179" i="15" s="1"/>
  <c r="W179" i="15" s="1"/>
  <c r="V179" i="15" s="1"/>
  <c r="U179" i="15" s="1"/>
  <c r="K103" i="7"/>
  <c r="O141" i="15" s="1"/>
  <c r="W141" i="15" s="1"/>
  <c r="V141" i="15" s="1"/>
  <c r="U141" i="15" s="1"/>
  <c r="M558" i="7"/>
  <c r="P186" i="15" s="1"/>
  <c r="K521" i="7"/>
  <c r="O180" i="15" s="1"/>
  <c r="W180" i="15" s="1"/>
  <c r="V180" i="15" s="1"/>
  <c r="U180" i="15" s="1"/>
  <c r="DI102" i="7"/>
  <c r="DI116" i="7"/>
  <c r="AE154" i="15" s="1"/>
  <c r="AC154" i="15" s="1"/>
  <c r="I743" i="7"/>
  <c r="O196" i="15" s="1"/>
  <c r="V196" i="15" s="1"/>
  <c r="U196" i="15" s="1"/>
  <c r="K102" i="7"/>
  <c r="O140" i="15" s="1"/>
  <c r="W140" i="15" s="1"/>
  <c r="V140" i="15" s="1"/>
  <c r="U140" i="15" s="1"/>
  <c r="DI107" i="7"/>
  <c r="K523" i="7"/>
  <c r="O182" i="15" s="1"/>
  <c r="W182" i="15" s="1"/>
  <c r="V182" i="15" s="1"/>
  <c r="U182" i="15" s="1"/>
  <c r="DI523" i="7"/>
  <c r="AE182" i="15" s="1"/>
  <c r="AC182" i="15" s="1"/>
  <c r="DG915" i="7"/>
  <c r="AA217" i="15" s="1"/>
  <c r="K126" i="7"/>
  <c r="O164" i="15" s="1"/>
  <c r="W164" i="15" s="1"/>
  <c r="V164" i="15" s="1"/>
  <c r="U164" i="15" s="1"/>
  <c r="DI130" i="7"/>
  <c r="AE168" i="15" s="1"/>
  <c r="AC168" i="15" s="1"/>
  <c r="DG704" i="7"/>
  <c r="AA195" i="15" s="1"/>
  <c r="K105" i="7"/>
  <c r="O143" i="15" s="1"/>
  <c r="W143" i="15" s="1"/>
  <c r="V143" i="15" s="1"/>
  <c r="U143" i="15" s="1"/>
  <c r="I744" i="7"/>
  <c r="O197" i="15" s="1"/>
  <c r="V197" i="15" s="1"/>
  <c r="U197" i="15" s="1"/>
  <c r="DG703" i="7"/>
  <c r="AA194" i="15" s="1"/>
  <c r="DG773" i="7"/>
  <c r="AA199" i="15" s="1"/>
  <c r="K116" i="7"/>
  <c r="O154" i="15" s="1"/>
  <c r="W154" i="15" s="1"/>
  <c r="V154" i="15" s="1"/>
  <c r="U154" i="15" s="1"/>
  <c r="DI103" i="7"/>
  <c r="AE141" i="15" s="1"/>
  <c r="AC141" i="15" s="1"/>
  <c r="K422" i="7"/>
  <c r="O171" i="15" s="1"/>
  <c r="W171" i="15" s="1"/>
  <c r="V171" i="15" s="1"/>
  <c r="U171" i="15" s="1"/>
  <c r="K421" i="7"/>
  <c r="O170" i="15" s="1"/>
  <c r="W170" i="15" s="1"/>
  <c r="V170" i="15" s="1"/>
  <c r="U170" i="15" s="1"/>
  <c r="K130" i="7"/>
  <c r="O168" i="15" s="1"/>
  <c r="W168" i="15" s="1"/>
  <c r="V168" i="15" s="1"/>
  <c r="U168" i="15" s="1"/>
  <c r="K120" i="7"/>
  <c r="O158" i="15" s="1"/>
  <c r="W158" i="15" s="1"/>
  <c r="V158" i="15" s="1"/>
  <c r="U158" i="15" s="1"/>
  <c r="K115" i="7"/>
  <c r="O153" i="15" s="1"/>
  <c r="W153" i="15" s="1"/>
  <c r="V153" i="15" s="1"/>
  <c r="U153" i="15" s="1"/>
  <c r="K101" i="7"/>
  <c r="O139" i="15" s="1"/>
  <c r="W139" i="15" s="1"/>
  <c r="V139" i="15" s="1"/>
  <c r="U139" i="15" s="1"/>
  <c r="K114" i="7"/>
  <c r="O152" i="15" s="1"/>
  <c r="W152" i="15" s="1"/>
  <c r="V152" i="15" s="1"/>
  <c r="U152" i="15" s="1"/>
  <c r="DI120" i="7"/>
  <c r="K123" i="7"/>
  <c r="O161" i="15" s="1"/>
  <c r="W161" i="15" s="1"/>
  <c r="V161" i="15" s="1"/>
  <c r="U161" i="15" s="1"/>
  <c r="DI123" i="7"/>
  <c r="AE161" i="15" s="1"/>
  <c r="AC161" i="15" s="1"/>
  <c r="K119" i="7"/>
  <c r="O157" i="15" s="1"/>
  <c r="W157" i="15" s="1"/>
  <c r="V157" i="15" s="1"/>
  <c r="U157" i="15" s="1"/>
  <c r="K128" i="7"/>
  <c r="O166" i="15" s="1"/>
  <c r="W166" i="15" s="1"/>
  <c r="V166" i="15" s="1"/>
  <c r="U166" i="15" s="1"/>
  <c r="DG630" i="7"/>
  <c r="AA188" i="15" s="1"/>
  <c r="DG779" i="7"/>
  <c r="AA202" i="15" s="1"/>
  <c r="K107" i="7"/>
  <c r="O145" i="15" s="1"/>
  <c r="W145" i="15" s="1"/>
  <c r="V145" i="15" s="1"/>
  <c r="U145" i="15" s="1"/>
  <c r="DG701" i="7"/>
  <c r="AA192" i="15" s="1"/>
  <c r="I605" i="7"/>
  <c r="Q187" i="15" s="1"/>
  <c r="AC605" i="7"/>
  <c r="DG702" i="7"/>
  <c r="AA193" i="15" s="1"/>
  <c r="DG666" i="7"/>
  <c r="AA190" i="15" s="1"/>
  <c r="K124" i="7"/>
  <c r="O162" i="15" s="1"/>
  <c r="W162" i="15" s="1"/>
  <c r="V162" i="15" s="1"/>
  <c r="U162" i="15" s="1"/>
  <c r="K122" i="7"/>
  <c r="O160" i="15" s="1"/>
  <c r="W160" i="15" s="1"/>
  <c r="V160" i="15" s="1"/>
  <c r="U160" i="15" s="1"/>
  <c r="DI128" i="7"/>
  <c r="AE166" i="15" s="1"/>
  <c r="AC166" i="15" s="1"/>
  <c r="DG631" i="7"/>
  <c r="AA189" i="15" s="1"/>
  <c r="DG777" i="7"/>
  <c r="AA201" i="15" s="1"/>
  <c r="DI11" i="2"/>
  <c r="DG83" i="6"/>
  <c r="AA28" i="15" s="1"/>
  <c r="I16" i="2"/>
  <c r="O245" i="15" s="1"/>
  <c r="W245" i="15" s="1"/>
  <c r="V245" i="15" s="1"/>
  <c r="U245" i="15" s="1"/>
  <c r="I11" i="2"/>
  <c r="O240" i="15" s="1"/>
  <c r="V240" i="15" s="1"/>
  <c r="U240" i="15" s="1"/>
  <c r="I15" i="2"/>
  <c r="O244" i="15" s="1"/>
  <c r="W244" i="15" s="1"/>
  <c r="V244" i="15" s="1"/>
  <c r="U244" i="15" s="1"/>
  <c r="I10" i="2"/>
  <c r="O239" i="15" s="1"/>
  <c r="V239" i="15" s="1"/>
  <c r="U239" i="15" s="1"/>
  <c r="I13" i="2"/>
  <c r="O242" i="15" s="1"/>
  <c r="V242" i="15" s="1"/>
  <c r="U242" i="15" s="1"/>
  <c r="DI21" i="2"/>
  <c r="AE250" i="15" s="1"/>
  <c r="AC250" i="15" s="1"/>
  <c r="DI19" i="2"/>
  <c r="AE248" i="15" s="1"/>
  <c r="AC248" i="15" s="1"/>
  <c r="I17" i="2"/>
  <c r="O246" i="15" s="1"/>
  <c r="U246" i="15" s="1"/>
  <c r="DI10" i="2"/>
  <c r="AE239" i="15" s="1"/>
  <c r="AC239" i="15" s="1"/>
  <c r="DI13" i="2"/>
  <c r="AE242" i="15" s="1"/>
  <c r="AC242" i="15" s="1"/>
  <c r="I12" i="2"/>
  <c r="O241" i="15" s="1"/>
  <c r="V241" i="15" s="1"/>
  <c r="U241" i="15" s="1"/>
  <c r="AG40" i="15"/>
  <c r="AD40" i="15" s="1"/>
  <c r="I579" i="6"/>
  <c r="S49" i="15" s="1"/>
  <c r="AG27" i="15"/>
  <c r="AD27" i="15" s="1"/>
  <c r="AH49" i="15"/>
  <c r="I580" i="6"/>
  <c r="T49" i="15" s="1"/>
  <c r="I2142" i="6"/>
  <c r="T123" i="15" s="1"/>
  <c r="AE51" i="15"/>
  <c r="AE43" i="15"/>
  <c r="AC43" i="15" s="1"/>
  <c r="I585" i="6"/>
  <c r="Q51" i="15" s="1"/>
  <c r="I19" i="2"/>
  <c r="O248" i="15" s="1"/>
  <c r="W248" i="15" s="1"/>
  <c r="V248" i="15" s="1"/>
  <c r="U248" i="15" s="1"/>
  <c r="DG121" i="2"/>
  <c r="AA268" i="15" s="1"/>
  <c r="DI15" i="2"/>
  <c r="AE244" i="15" s="1"/>
  <c r="AC244" i="15" s="1"/>
  <c r="DG395" i="2"/>
  <c r="AA319" i="15" s="1"/>
  <c r="I14" i="2"/>
  <c r="O243" i="15" s="1"/>
  <c r="W243" i="15" s="1"/>
  <c r="V243" i="15" s="1"/>
  <c r="U243" i="15" s="1"/>
  <c r="DG317" i="2"/>
  <c r="AA300" i="15" s="1"/>
  <c r="DG60" i="2"/>
  <c r="AA254" i="15" s="1"/>
  <c r="DG363" i="2"/>
  <c r="DI23" i="2"/>
  <c r="AE252" i="15" s="1"/>
  <c r="AC252" i="15" s="1"/>
  <c r="DG391" i="2"/>
  <c r="AA315" i="15" s="1"/>
  <c r="DG84" i="2"/>
  <c r="AA258" i="15" s="1"/>
  <c r="DG367" i="2"/>
  <c r="DG318" i="2"/>
  <c r="AA301" i="15" s="1"/>
  <c r="DG319" i="2"/>
  <c r="AA302" i="15" s="1"/>
  <c r="DG88" i="2"/>
  <c r="AA262" i="15" s="1"/>
  <c r="DG394" i="2"/>
  <c r="AA318" i="15" s="1"/>
  <c r="DG392" i="2"/>
  <c r="AA316" i="15" s="1"/>
  <c r="DG226" i="2"/>
  <c r="AA284" i="15" s="1"/>
  <c r="DG86" i="2"/>
  <c r="AA260" i="15" s="1"/>
  <c r="DG390" i="2"/>
  <c r="AA314" i="15" s="1"/>
  <c r="DG368" i="2"/>
  <c r="I9" i="2"/>
  <c r="O238" i="15" s="1"/>
  <c r="V238" i="15" s="1"/>
  <c r="U238" i="15" s="1"/>
  <c r="DG366" i="2"/>
  <c r="DG364" i="2"/>
  <c r="DG120" i="2"/>
  <c r="AA267" i="15" s="1"/>
  <c r="DG87" i="2"/>
  <c r="AA261" i="15" s="1"/>
  <c r="DG83" i="2"/>
  <c r="AA257" i="15" s="1"/>
  <c r="DG342" i="2"/>
  <c r="DG320" i="2"/>
  <c r="AA303" i="15" s="1"/>
  <c r="DG415" i="2"/>
  <c r="AA320" i="15" s="1"/>
  <c r="AH116" i="15"/>
  <c r="I2110" i="6"/>
  <c r="T112" i="15" s="1"/>
  <c r="AG49" i="15"/>
  <c r="AG50" i="15"/>
  <c r="I2119" i="6"/>
  <c r="Q116" i="15" s="1"/>
  <c r="AH50" i="15"/>
  <c r="X1900" i="6"/>
  <c r="I583" i="6"/>
  <c r="S50" i="15" s="1"/>
  <c r="DG737" i="6"/>
  <c r="AA61" i="15" s="1"/>
  <c r="AF50" i="15"/>
  <c r="W63" i="6"/>
  <c r="Z59" i="6"/>
  <c r="Y57" i="6"/>
  <c r="AA61" i="6"/>
  <c r="Y59" i="6"/>
  <c r="AA57" i="6"/>
  <c r="W59" i="6"/>
  <c r="Z61" i="6"/>
  <c r="W57" i="6"/>
  <c r="Z63" i="6"/>
  <c r="Z57" i="6"/>
  <c r="Y61" i="6"/>
  <c r="X63" i="6"/>
  <c r="AA63" i="6"/>
  <c r="X57" i="6"/>
  <c r="AA59" i="6"/>
  <c r="W61" i="6"/>
  <c r="X61" i="6"/>
  <c r="X59" i="6"/>
  <c r="Y63" i="6"/>
  <c r="BA124" i="15"/>
  <c r="BA126" i="15" s="1"/>
  <c r="I2149" i="6"/>
  <c r="I581" i="6"/>
  <c r="Q50" i="15" s="1"/>
  <c r="I584" i="6"/>
  <c r="T50" i="15" s="1"/>
  <c r="I582" i="6"/>
  <c r="R50" i="15" s="1"/>
  <c r="AE50" i="15"/>
  <c r="I2114" i="6"/>
  <c r="I2124" i="6"/>
  <c r="R117" i="15" s="1"/>
  <c r="AG31" i="15"/>
  <c r="AD31" i="15" s="1"/>
  <c r="I2143" i="6"/>
  <c r="Q124" i="15" s="1"/>
  <c r="I2139" i="6"/>
  <c r="Q123" i="15" s="1"/>
  <c r="I2140" i="6"/>
  <c r="R123" i="15" s="1"/>
  <c r="I2144" i="6"/>
  <c r="R124" i="15" s="1"/>
  <c r="I2134" i="6"/>
  <c r="T120" i="15" s="1"/>
  <c r="I2104" i="6"/>
  <c r="R111" i="15" s="1"/>
  <c r="AG29" i="15"/>
  <c r="AD29" i="15" s="1"/>
  <c r="I2132" i="6"/>
  <c r="R120" i="15" s="1"/>
  <c r="I2129" i="6"/>
  <c r="S119" i="15" s="1"/>
  <c r="I2146" i="6"/>
  <c r="T124" i="15" s="1"/>
  <c r="I2118" i="6"/>
  <c r="T115" i="15" s="1"/>
  <c r="I2108" i="6"/>
  <c r="R112" i="15" s="1"/>
  <c r="DG80" i="6"/>
  <c r="AA26" i="15" s="1"/>
  <c r="I2131" i="6"/>
  <c r="Q120" i="15" s="1"/>
  <c r="I2117" i="6"/>
  <c r="S115" i="15" s="1"/>
  <c r="BC115" i="15"/>
  <c r="I2107" i="6"/>
  <c r="Q112" i="15" s="1"/>
  <c r="I2113" i="6"/>
  <c r="I2109" i="6"/>
  <c r="S112" i="15" s="1"/>
  <c r="I2148" i="6"/>
  <c r="R125" i="15" s="1"/>
  <c r="I2105" i="6"/>
  <c r="S111" i="15" s="1"/>
  <c r="I2136" i="6"/>
  <c r="R121" i="15" s="1"/>
  <c r="BD119" i="15"/>
  <c r="I2127" i="6"/>
  <c r="Q119" i="15" s="1"/>
  <c r="BA123" i="15"/>
  <c r="I2147" i="6"/>
  <c r="Q125" i="15" s="1"/>
  <c r="I2111" i="6"/>
  <c r="Q113" i="15" s="1"/>
  <c r="I2145" i="6"/>
  <c r="S124" i="15" s="1"/>
  <c r="I2125" i="6"/>
  <c r="I2133" i="6"/>
  <c r="S120" i="15" s="1"/>
  <c r="I2141" i="6"/>
  <c r="S123" i="15" s="1"/>
  <c r="I2135" i="6"/>
  <c r="Q121" i="15" s="1"/>
  <c r="J2188" i="6"/>
  <c r="AF2188" i="6" s="1"/>
  <c r="L2113" i="6"/>
  <c r="AJ114" i="15" s="1"/>
  <c r="L2115" i="6"/>
  <c r="AJ115" i="15" s="1"/>
  <c r="L2125" i="6"/>
  <c r="AJ118" i="15" s="1"/>
  <c r="L2143" i="6"/>
  <c r="AJ124" i="15" s="1"/>
  <c r="L2131" i="6"/>
  <c r="AJ120" i="15" s="1"/>
  <c r="L2119" i="6"/>
  <c r="AJ116" i="15" s="1"/>
  <c r="L2107" i="6"/>
  <c r="AJ112" i="15" s="1"/>
  <c r="L2111" i="6"/>
  <c r="AJ113" i="15" s="1"/>
  <c r="L2103" i="6"/>
  <c r="AJ111" i="15" s="1"/>
  <c r="L2147" i="6"/>
  <c r="AJ125" i="15" s="1"/>
  <c r="L2139" i="6"/>
  <c r="AJ123" i="15" s="1"/>
  <c r="L2135" i="6"/>
  <c r="AJ121" i="15" s="1"/>
  <c r="L2149" i="6"/>
  <c r="AJ126" i="15" s="1"/>
  <c r="L2137" i="6"/>
  <c r="AJ122" i="15" s="1"/>
  <c r="L2123" i="6"/>
  <c r="AJ117" i="15" s="1"/>
  <c r="L2127" i="6"/>
  <c r="AJ119" i="15" s="1"/>
  <c r="I2103" i="6"/>
  <c r="Q111" i="15" s="1"/>
  <c r="DG781" i="7"/>
  <c r="AA203" i="15" s="1"/>
  <c r="DG771" i="7"/>
  <c r="AA198" i="15" s="1"/>
  <c r="I606" i="7"/>
  <c r="R187" i="15" s="1"/>
  <c r="AC606" i="7"/>
  <c r="DG667" i="7"/>
  <c r="AA191" i="15" s="1"/>
  <c r="DG721" i="6"/>
  <c r="AA56" i="15" s="1"/>
  <c r="AE40" i="15"/>
  <c r="AC40" i="15" s="1"/>
  <c r="DG31" i="5" l="1"/>
  <c r="AA19" i="15" s="1"/>
  <c r="AE19" i="15"/>
  <c r="AC19" i="15" s="1"/>
  <c r="D592" i="7"/>
  <c r="DI486" i="7"/>
  <c r="AE177" i="15" s="1"/>
  <c r="AC177" i="15" s="1"/>
  <c r="DG8" i="7"/>
  <c r="AA128" i="15" s="1"/>
  <c r="I177" i="15"/>
  <c r="K425" i="7"/>
  <c r="O174" i="15" s="1"/>
  <c r="W174" i="15" s="1"/>
  <c r="V174" i="15" s="1"/>
  <c r="U174" i="15" s="1"/>
  <c r="AF486" i="7"/>
  <c r="BH52" i="15"/>
  <c r="BK73" i="15"/>
  <c r="L487" i="7"/>
  <c r="O178" i="15" s="1"/>
  <c r="W178" i="15" s="1"/>
  <c r="V178" i="15" s="1"/>
  <c r="U178" i="15" s="1"/>
  <c r="DI487" i="7"/>
  <c r="AE178" i="15" s="1"/>
  <c r="AC178" i="15" s="1"/>
  <c r="AB45" i="15"/>
  <c r="DG72" i="6"/>
  <c r="AA21" i="15" s="1"/>
  <c r="DG510" i="6"/>
  <c r="AA45" i="15" s="1"/>
  <c r="AF41" i="7"/>
  <c r="DG994" i="7"/>
  <c r="AA224" i="15" s="1"/>
  <c r="AE224" i="15"/>
  <c r="AC224" i="15" s="1"/>
  <c r="DG995" i="7"/>
  <c r="AA225" i="15" s="1"/>
  <c r="AE225" i="15"/>
  <c r="AC225" i="15" s="1"/>
  <c r="DG992" i="7"/>
  <c r="AA222" i="15" s="1"/>
  <c r="AE222" i="15"/>
  <c r="AC222" i="15" s="1"/>
  <c r="DG993" i="7"/>
  <c r="AA223" i="15" s="1"/>
  <c r="AE223" i="15"/>
  <c r="AC223" i="15" s="1"/>
  <c r="AB52" i="15"/>
  <c r="AC47" i="15"/>
  <c r="BD123" i="15"/>
  <c r="BD125" i="15" s="1"/>
  <c r="AC46" i="15"/>
  <c r="AC45" i="15"/>
  <c r="AE63" i="15"/>
  <c r="AC63" i="15" s="1"/>
  <c r="AE23" i="15"/>
  <c r="AC23" i="15" s="1"/>
  <c r="DG86" i="6"/>
  <c r="AA30" i="15" s="1"/>
  <c r="BB115" i="15"/>
  <c r="BG115" i="15" s="1"/>
  <c r="AF588" i="6"/>
  <c r="DI588" i="6"/>
  <c r="AF52" i="15" s="1"/>
  <c r="AC52" i="15" s="1"/>
  <c r="AF590" i="6"/>
  <c r="DI590" i="6"/>
  <c r="AF702" i="6"/>
  <c r="DI425" i="7"/>
  <c r="AE174" i="15" s="1"/>
  <c r="AC174" i="15" s="1"/>
  <c r="AF425" i="7"/>
  <c r="DG114" i="7"/>
  <c r="AA152" i="15" s="1"/>
  <c r="DG422" i="7"/>
  <c r="AA171" i="15" s="1"/>
  <c r="I138" i="15"/>
  <c r="K41" i="7"/>
  <c r="O138" i="15" s="1"/>
  <c r="W138" i="15" s="1"/>
  <c r="V138" i="15" s="1"/>
  <c r="U138" i="15" s="1"/>
  <c r="AF487" i="7"/>
  <c r="AC187" i="15"/>
  <c r="DG524" i="7"/>
  <c r="AA183" i="15" s="1"/>
  <c r="DG122" i="7"/>
  <c r="AA160" i="15" s="1"/>
  <c r="O187" i="15"/>
  <c r="U187" i="15" s="1"/>
  <c r="DG115" i="7"/>
  <c r="AA153" i="15" s="1"/>
  <c r="I187" i="15"/>
  <c r="I176" i="15"/>
  <c r="AF485" i="7"/>
  <c r="I172" i="15"/>
  <c r="AF423" i="7"/>
  <c r="K424" i="7"/>
  <c r="O173" i="15" s="1"/>
  <c r="W173" i="15" s="1"/>
  <c r="V173" i="15" s="1"/>
  <c r="U173" i="15" s="1"/>
  <c r="I173" i="15"/>
  <c r="AF424" i="7"/>
  <c r="I218" i="15"/>
  <c r="AF931" i="7"/>
  <c r="I219" i="15"/>
  <c r="AF933" i="7"/>
  <c r="F2083" i="6"/>
  <c r="M2083" i="6" s="1"/>
  <c r="K2083" i="6" s="1"/>
  <c r="K1914" i="6" s="1"/>
  <c r="M2082" i="6"/>
  <c r="K2082" i="6" s="1"/>
  <c r="K1904" i="6" s="1"/>
  <c r="I114" i="15"/>
  <c r="F2085" i="6"/>
  <c r="M2085" i="6" s="1"/>
  <c r="K2085" i="6" s="1"/>
  <c r="K1930" i="6" s="1"/>
  <c r="F2084" i="6"/>
  <c r="M2084" i="6" s="1"/>
  <c r="K2084" i="6" s="1"/>
  <c r="AB33" i="15"/>
  <c r="P50" i="15"/>
  <c r="AB60" i="15"/>
  <c r="DG733" i="6"/>
  <c r="AA60" i="15" s="1"/>
  <c r="AB55" i="15"/>
  <c r="DG717" i="6"/>
  <c r="AA55" i="15" s="1"/>
  <c r="AB58" i="15"/>
  <c r="DG725" i="6"/>
  <c r="AA58" i="15" s="1"/>
  <c r="O112" i="15"/>
  <c r="W112" i="15" s="1"/>
  <c r="V112" i="15" s="1"/>
  <c r="U112" i="15" s="1"/>
  <c r="M497" i="6"/>
  <c r="AF25" i="6"/>
  <c r="P111" i="15"/>
  <c r="M501" i="6"/>
  <c r="DG343" i="2"/>
  <c r="AA305" i="15" s="1"/>
  <c r="AE9" i="15"/>
  <c r="AC9" i="15" s="1"/>
  <c r="AC119" i="15"/>
  <c r="AA304" i="15"/>
  <c r="AA290" i="15"/>
  <c r="AA311" i="15"/>
  <c r="AA308" i="15"/>
  <c r="AA310" i="15"/>
  <c r="AA312" i="15"/>
  <c r="AA307" i="15"/>
  <c r="AA309" i="15"/>
  <c r="AA306" i="15"/>
  <c r="DG208" i="2"/>
  <c r="AA283" i="15" s="1"/>
  <c r="AC120" i="15"/>
  <c r="AC51" i="15"/>
  <c r="AD123" i="15"/>
  <c r="AE118" i="15"/>
  <c r="I115" i="15"/>
  <c r="AC50" i="15"/>
  <c r="AH117" i="15"/>
  <c r="O117" i="15"/>
  <c r="W117" i="15" s="1"/>
  <c r="V117" i="15" s="1"/>
  <c r="U117" i="15" s="1"/>
  <c r="AC124" i="15"/>
  <c r="O121" i="15"/>
  <c r="W121" i="15" s="1"/>
  <c r="V121" i="15" s="1"/>
  <c r="U121" i="15" s="1"/>
  <c r="P124" i="15"/>
  <c r="P115" i="15"/>
  <c r="O113" i="15"/>
  <c r="W113" i="15" s="1"/>
  <c r="V113" i="15" s="1"/>
  <c r="U113" i="15" s="1"/>
  <c r="AC113" i="15"/>
  <c r="AD115" i="15"/>
  <c r="BB111" i="15"/>
  <c r="BG111" i="15" s="1"/>
  <c r="P116" i="15"/>
  <c r="AC121" i="15"/>
  <c r="AD50" i="15"/>
  <c r="J111" i="15"/>
  <c r="AC112" i="15"/>
  <c r="O120" i="15"/>
  <c r="W120" i="15" s="1"/>
  <c r="V120" i="15" s="1"/>
  <c r="U120" i="15" s="1"/>
  <c r="AD124" i="15"/>
  <c r="AC111" i="15"/>
  <c r="O125" i="15"/>
  <c r="W125" i="15" s="1"/>
  <c r="V125" i="15" s="1"/>
  <c r="U125" i="15" s="1"/>
  <c r="BD115" i="15"/>
  <c r="BL115" i="15" s="1"/>
  <c r="P49" i="15"/>
  <c r="O50" i="15"/>
  <c r="W50" i="15" s="1"/>
  <c r="V50" i="15" s="1"/>
  <c r="U50" i="15" s="1"/>
  <c r="AC123" i="15"/>
  <c r="O115" i="15"/>
  <c r="W115" i="15" s="1"/>
  <c r="V115" i="15" s="1"/>
  <c r="U115" i="15" s="1"/>
  <c r="AC114" i="15"/>
  <c r="O116" i="15"/>
  <c r="W116" i="15" s="1"/>
  <c r="V116" i="15" s="1"/>
  <c r="U116" i="15" s="1"/>
  <c r="BK45" i="15"/>
  <c r="BD48" i="15"/>
  <c r="P112" i="15"/>
  <c r="BC22" i="15"/>
  <c r="BH22" i="15" s="1"/>
  <c r="BN22" i="15" s="1"/>
  <c r="O123" i="15"/>
  <c r="W123" i="15" s="1"/>
  <c r="V123" i="15" s="1"/>
  <c r="U123" i="15" s="1"/>
  <c r="I122" i="15"/>
  <c r="O111" i="15"/>
  <c r="W111" i="15" s="1"/>
  <c r="V111" i="15" s="1"/>
  <c r="U111" i="15" s="1"/>
  <c r="BA115" i="15"/>
  <c r="BF115" i="15" s="1"/>
  <c r="O124" i="15"/>
  <c r="W124" i="15" s="1"/>
  <c r="V124" i="15" s="1"/>
  <c r="U124" i="15" s="1"/>
  <c r="BB50" i="15"/>
  <c r="BB51" i="15" s="1"/>
  <c r="I119" i="15"/>
  <c r="P123" i="15"/>
  <c r="BM72" i="15"/>
  <c r="BC25" i="15"/>
  <c r="BH25" i="15" s="1"/>
  <c r="BN25" i="15" s="1"/>
  <c r="P120" i="15"/>
  <c r="O119" i="15"/>
  <c r="W119" i="15" s="1"/>
  <c r="V119" i="15" s="1"/>
  <c r="U119" i="15" s="1"/>
  <c r="BD50" i="15"/>
  <c r="BI50" i="15" s="1"/>
  <c r="BM45" i="15"/>
  <c r="AD120" i="15"/>
  <c r="AD119" i="15"/>
  <c r="AD111" i="15"/>
  <c r="AD121" i="15"/>
  <c r="I118" i="15"/>
  <c r="P119" i="15"/>
  <c r="AH125" i="15"/>
  <c r="O51" i="15"/>
  <c r="W51" i="15" s="1"/>
  <c r="V51" i="15" s="1"/>
  <c r="U51" i="15" s="1"/>
  <c r="J116" i="15"/>
  <c r="S117" i="15"/>
  <c r="S125" i="15"/>
  <c r="S121" i="15"/>
  <c r="S113" i="15"/>
  <c r="T125" i="15"/>
  <c r="T117" i="15"/>
  <c r="T121" i="15"/>
  <c r="Q118" i="15"/>
  <c r="Q114" i="15"/>
  <c r="T113" i="15"/>
  <c r="R114" i="15"/>
  <c r="Q126" i="15"/>
  <c r="AB29" i="15"/>
  <c r="DG87" i="6"/>
  <c r="AA31" i="15" s="1"/>
  <c r="AB31" i="15"/>
  <c r="DG73" i="6"/>
  <c r="AA22" i="15" s="1"/>
  <c r="AB22" i="15"/>
  <c r="DG70" i="6"/>
  <c r="AA20" i="15" s="1"/>
  <c r="AB20" i="15"/>
  <c r="DG76" i="6"/>
  <c r="AA24" i="15" s="1"/>
  <c r="AB24" i="15"/>
  <c r="DG81" i="6"/>
  <c r="AA27" i="15" s="1"/>
  <c r="AB27" i="15"/>
  <c r="AB49" i="15"/>
  <c r="DG577" i="6"/>
  <c r="AA49" i="15" s="1"/>
  <c r="I15" i="6"/>
  <c r="I16" i="6" s="1"/>
  <c r="I17" i="6" s="1"/>
  <c r="AF14" i="6"/>
  <c r="AB51" i="15"/>
  <c r="DG585" i="6"/>
  <c r="AA51" i="15" s="1"/>
  <c r="AB50" i="15"/>
  <c r="DG581" i="6"/>
  <c r="AA50" i="15" s="1"/>
  <c r="DG512" i="6"/>
  <c r="AA46" i="15" s="1"/>
  <c r="AB46" i="15"/>
  <c r="Q122" i="15"/>
  <c r="DG514" i="6"/>
  <c r="AA47" i="15" s="1"/>
  <c r="AB47" i="15"/>
  <c r="I27" i="6"/>
  <c r="I28" i="6" s="1"/>
  <c r="AF26" i="6"/>
  <c r="R118" i="15"/>
  <c r="R122" i="15"/>
  <c r="R126" i="15"/>
  <c r="AB25" i="15"/>
  <c r="I51" i="16"/>
  <c r="L15" i="15"/>
  <c r="I15" i="15" s="1"/>
  <c r="AF59" i="16"/>
  <c r="L10" i="15"/>
  <c r="I10" i="15" s="1"/>
  <c r="AF49" i="16"/>
  <c r="L11" i="15"/>
  <c r="I11" i="15" s="1"/>
  <c r="AF51" i="16"/>
  <c r="I53" i="16"/>
  <c r="L12" i="15"/>
  <c r="I12" i="15" s="1"/>
  <c r="AF53" i="16"/>
  <c r="I55" i="16"/>
  <c r="L13" i="15"/>
  <c r="I13" i="15" s="1"/>
  <c r="AF55" i="16"/>
  <c r="L14" i="15"/>
  <c r="I14" i="15" s="1"/>
  <c r="AF57" i="16"/>
  <c r="I61" i="16"/>
  <c r="L16" i="15"/>
  <c r="I16" i="15" s="1"/>
  <c r="AF61" i="16"/>
  <c r="AC115" i="15"/>
  <c r="AC125" i="15"/>
  <c r="AD49" i="15"/>
  <c r="AC116" i="15"/>
  <c r="AC117" i="15"/>
  <c r="AD112" i="15"/>
  <c r="AD116" i="15"/>
  <c r="AG113" i="15"/>
  <c r="AD113" i="15" s="1"/>
  <c r="AG125" i="15"/>
  <c r="AG117" i="15"/>
  <c r="AF118" i="15"/>
  <c r="DG19" i="2"/>
  <c r="AA248" i="15" s="1"/>
  <c r="DG11" i="2"/>
  <c r="AA240" i="15" s="1"/>
  <c r="AE240" i="15"/>
  <c r="AC240" i="15" s="1"/>
  <c r="DG120" i="7"/>
  <c r="AA158" i="15" s="1"/>
  <c r="AE158" i="15"/>
  <c r="AC158" i="15" s="1"/>
  <c r="DG107" i="7"/>
  <c r="AA145" i="15" s="1"/>
  <c r="AE145" i="15"/>
  <c r="AC145" i="15" s="1"/>
  <c r="DG102" i="7"/>
  <c r="AA140" i="15" s="1"/>
  <c r="AE140" i="15"/>
  <c r="AC140" i="15" s="1"/>
  <c r="DG106" i="7"/>
  <c r="AA144" i="15" s="1"/>
  <c r="AE144" i="15"/>
  <c r="AC144" i="15" s="1"/>
  <c r="DG109" i="7"/>
  <c r="AA147" i="15" s="1"/>
  <c r="AE147" i="15"/>
  <c r="AC147" i="15" s="1"/>
  <c r="DG101" i="7"/>
  <c r="AA139" i="15" s="1"/>
  <c r="AE139" i="15"/>
  <c r="AC139" i="15" s="1"/>
  <c r="DG557" i="7"/>
  <c r="AA186" i="15" s="1"/>
  <c r="AE186" i="15"/>
  <c r="AC186" i="15" s="1"/>
  <c r="DG520" i="7"/>
  <c r="AA179" i="15" s="1"/>
  <c r="AE179" i="15"/>
  <c r="AC179" i="15" s="1"/>
  <c r="DG104" i="7"/>
  <c r="AA142" i="15" s="1"/>
  <c r="AE142" i="15"/>
  <c r="AC142" i="15" s="1"/>
  <c r="DG127" i="7"/>
  <c r="AA165" i="15" s="1"/>
  <c r="AE165" i="15"/>
  <c r="AC165" i="15" s="1"/>
  <c r="DG105" i="7"/>
  <c r="AA143" i="15" s="1"/>
  <c r="AE143" i="15"/>
  <c r="AC143" i="15" s="1"/>
  <c r="DG34" i="7"/>
  <c r="AA131" i="15" s="1"/>
  <c r="AE131" i="15"/>
  <c r="AC131" i="15" s="1"/>
  <c r="DG37" i="7"/>
  <c r="AA134" i="15" s="1"/>
  <c r="AE134" i="15"/>
  <c r="AC134" i="15" s="1"/>
  <c r="DG9" i="2"/>
  <c r="AE238" i="15"/>
  <c r="AC238" i="15" s="1"/>
  <c r="DG14" i="2"/>
  <c r="AA243" i="15" s="1"/>
  <c r="AE243" i="15"/>
  <c r="AC243" i="15" s="1"/>
  <c r="DG744" i="7"/>
  <c r="AA197" i="15" s="1"/>
  <c r="AE197" i="15"/>
  <c r="AC197" i="15" s="1"/>
  <c r="DG111" i="7"/>
  <c r="AA149" i="15" s="1"/>
  <c r="AE149" i="15"/>
  <c r="AC149" i="15" s="1"/>
  <c r="DG9" i="7"/>
  <c r="AA129" i="15" s="1"/>
  <c r="AE129" i="15"/>
  <c r="AC129" i="15" s="1"/>
  <c r="DG183" i="2"/>
  <c r="AA277" i="15" s="1"/>
  <c r="AE277" i="15"/>
  <c r="AC277" i="15" s="1"/>
  <c r="DG140" i="2"/>
  <c r="AA270" i="15" s="1"/>
  <c r="AE270" i="15"/>
  <c r="AC270" i="15" s="1"/>
  <c r="AE122" i="15"/>
  <c r="DG110" i="7"/>
  <c r="AA148" i="15" s="1"/>
  <c r="AE148" i="15"/>
  <c r="AC148" i="15" s="1"/>
  <c r="AF126" i="15"/>
  <c r="AF122" i="15"/>
  <c r="AE126" i="15"/>
  <c r="DG743" i="7"/>
  <c r="AA196" i="15" s="1"/>
  <c r="AE196" i="15"/>
  <c r="AC196" i="15" s="1"/>
  <c r="DG119" i="7"/>
  <c r="AA157" i="15" s="1"/>
  <c r="AE157" i="15"/>
  <c r="AC157" i="15" s="1"/>
  <c r="DG186" i="2"/>
  <c r="AA280" i="15" s="1"/>
  <c r="AE280" i="15"/>
  <c r="AC280" i="15" s="1"/>
  <c r="DG185" i="2"/>
  <c r="AA279" i="15" s="1"/>
  <c r="AE279" i="15"/>
  <c r="AC279" i="15" s="1"/>
  <c r="DG121" i="7"/>
  <c r="AA159" i="15" s="1"/>
  <c r="AE159" i="15"/>
  <c r="AC159" i="15" s="1"/>
  <c r="DG117" i="7"/>
  <c r="AA155" i="15" s="1"/>
  <c r="AE155" i="15"/>
  <c r="AC155" i="15" s="1"/>
  <c r="DG39" i="7"/>
  <c r="AA136" i="15" s="1"/>
  <c r="AE136" i="15"/>
  <c r="AC136" i="15" s="1"/>
  <c r="DG7" i="5"/>
  <c r="AA18" i="15" s="1"/>
  <c r="AE18" i="15"/>
  <c r="AC18" i="15" s="1"/>
  <c r="DG108" i="7"/>
  <c r="AA146" i="15" s="1"/>
  <c r="AE146" i="15"/>
  <c r="AC146" i="15" s="1"/>
  <c r="DG16" i="2"/>
  <c r="AA245" i="15" s="1"/>
  <c r="AE245" i="15"/>
  <c r="AC245" i="15" s="1"/>
  <c r="DG12" i="2"/>
  <c r="AA241" i="15" s="1"/>
  <c r="AE241" i="15"/>
  <c r="AC241" i="15" s="1"/>
  <c r="DG848" i="7"/>
  <c r="AA215" i="15" s="1"/>
  <c r="DG840" i="7"/>
  <c r="AA207" i="15" s="1"/>
  <c r="DG838" i="7"/>
  <c r="AA205" i="15" s="1"/>
  <c r="DG839" i="7"/>
  <c r="AA206" i="15" s="1"/>
  <c r="DG843" i="7"/>
  <c r="AA210" i="15" s="1"/>
  <c r="DG844" i="7"/>
  <c r="AA211" i="15" s="1"/>
  <c r="DG842" i="7"/>
  <c r="AA209" i="15" s="1"/>
  <c r="DG847" i="7"/>
  <c r="AA214" i="15" s="1"/>
  <c r="DG841" i="7"/>
  <c r="AA208" i="15" s="1"/>
  <c r="DG837" i="7"/>
  <c r="AA204" i="15" s="1"/>
  <c r="DG846" i="7"/>
  <c r="AA213" i="15" s="1"/>
  <c r="DG845" i="7"/>
  <c r="AA212" i="15" s="1"/>
  <c r="BL74" i="15"/>
  <c r="F2086" i="6"/>
  <c r="M2086" i="6" s="1"/>
  <c r="K2086" i="6" s="1"/>
  <c r="F2088" i="6"/>
  <c r="M2088" i="6" s="1"/>
  <c r="K2088" i="6" s="1"/>
  <c r="F2091" i="6"/>
  <c r="M2091" i="6" s="1"/>
  <c r="K2091" i="6" s="1"/>
  <c r="F2092" i="6"/>
  <c r="M2092" i="6" s="1"/>
  <c r="K2092" i="6" s="1"/>
  <c r="F2089" i="6"/>
  <c r="M2089" i="6" s="1"/>
  <c r="K2089" i="6" s="1"/>
  <c r="F2090" i="6"/>
  <c r="M2090" i="6" s="1"/>
  <c r="K2090" i="6" s="1"/>
  <c r="F2095" i="6"/>
  <c r="M2095" i="6" s="1"/>
  <c r="K2095" i="6" s="1"/>
  <c r="F2087" i="6"/>
  <c r="M2087" i="6" s="1"/>
  <c r="K2087" i="6" s="1"/>
  <c r="F2094" i="6"/>
  <c r="M2094" i="6" s="1"/>
  <c r="K2094" i="6" s="1"/>
  <c r="F2093" i="6"/>
  <c r="M2093" i="6" s="1"/>
  <c r="K2093" i="6" s="1"/>
  <c r="I588" i="6"/>
  <c r="R52" i="15" s="1"/>
  <c r="O52" i="15" s="1"/>
  <c r="I590" i="6"/>
  <c r="BM70" i="15"/>
  <c r="BH103" i="15"/>
  <c r="BN103" i="15" s="1"/>
  <c r="M2054" i="6"/>
  <c r="L2054" i="6" s="1"/>
  <c r="K2054" i="6" s="1"/>
  <c r="M2032" i="6"/>
  <c r="L2032" i="6" s="1"/>
  <c r="M2072" i="6"/>
  <c r="L2072" i="6" s="1"/>
  <c r="K2072" i="6" s="1"/>
  <c r="M1950" i="6"/>
  <c r="L1950" i="6" s="1"/>
  <c r="M1978" i="6"/>
  <c r="L1978" i="6" s="1"/>
  <c r="K1978" i="6" s="1"/>
  <c r="K787" i="6" s="1"/>
  <c r="M1944" i="6"/>
  <c r="L1944" i="6" s="1"/>
  <c r="M2036" i="6"/>
  <c r="L2036" i="6" s="1"/>
  <c r="M2024" i="6"/>
  <c r="L2024" i="6" s="1"/>
  <c r="K2024" i="6" s="1"/>
  <c r="M2020" i="6"/>
  <c r="L2020" i="6" s="1"/>
  <c r="M2080" i="6"/>
  <c r="L2080" i="6" s="1"/>
  <c r="K2080" i="6" s="1"/>
  <c r="M2058" i="6"/>
  <c r="L2058" i="6" s="1"/>
  <c r="K2058" i="6" s="1"/>
  <c r="M1934" i="6"/>
  <c r="L1934" i="6" s="1"/>
  <c r="M1966" i="6"/>
  <c r="L1966" i="6" s="1"/>
  <c r="M2000" i="6"/>
  <c r="L2000" i="6" s="1"/>
  <c r="M1948" i="6"/>
  <c r="L1948" i="6" s="1"/>
  <c r="M1988" i="6"/>
  <c r="L1988" i="6" s="1"/>
  <c r="K1988" i="6" s="1"/>
  <c r="AF1988" i="6" s="1"/>
  <c r="M2028" i="6"/>
  <c r="L2028" i="6" s="1"/>
  <c r="M1938" i="6"/>
  <c r="L1938" i="6" s="1"/>
  <c r="K1938" i="6" s="1"/>
  <c r="K747" i="6" s="1"/>
  <c r="M1942" i="6"/>
  <c r="L1942" i="6" s="1"/>
  <c r="K1942" i="6" s="1"/>
  <c r="K751" i="6" s="1"/>
  <c r="M1974" i="6"/>
  <c r="L1974" i="6" s="1"/>
  <c r="K1974" i="6" s="1"/>
  <c r="M2074" i="6"/>
  <c r="L2074" i="6" s="1"/>
  <c r="K2074" i="6" s="1"/>
  <c r="M2012" i="6"/>
  <c r="L2012" i="6" s="1"/>
  <c r="M2068" i="6"/>
  <c r="L2068" i="6" s="1"/>
  <c r="K2068" i="6" s="1"/>
  <c r="M1962" i="6"/>
  <c r="L1962" i="6" s="1"/>
  <c r="K1962" i="6" s="1"/>
  <c r="K771" i="6" s="1"/>
  <c r="M1940" i="6"/>
  <c r="L1940" i="6" s="1"/>
  <c r="M1996" i="6"/>
  <c r="L1996" i="6" s="1"/>
  <c r="M2044" i="6"/>
  <c r="L2044" i="6" s="1"/>
  <c r="K2044" i="6" s="1"/>
  <c r="M1984" i="6"/>
  <c r="L1984" i="6" s="1"/>
  <c r="K1984" i="6" s="1"/>
  <c r="AF1984" i="6" s="1"/>
  <c r="M1976" i="6"/>
  <c r="L1976" i="6" s="1"/>
  <c r="M2040" i="6"/>
  <c r="L2040" i="6" s="1"/>
  <c r="K2040" i="6" s="1"/>
  <c r="M1970" i="6"/>
  <c r="L1970" i="6" s="1"/>
  <c r="K1970" i="6" s="1"/>
  <c r="AF1970" i="6" s="1"/>
  <c r="M2048" i="6"/>
  <c r="L2048" i="6" s="1"/>
  <c r="K2048" i="6" s="1"/>
  <c r="AF2048" i="6" s="1"/>
  <c r="M2016" i="6"/>
  <c r="L2016" i="6" s="1"/>
  <c r="M2062" i="6"/>
  <c r="L2062" i="6" s="1"/>
  <c r="K2062" i="6" s="1"/>
  <c r="AF2062" i="6" s="1"/>
  <c r="M1990" i="6"/>
  <c r="L1990" i="6" s="1"/>
  <c r="K1990" i="6" s="1"/>
  <c r="AF1990" i="6" s="1"/>
  <c r="M2064" i="6"/>
  <c r="L2064" i="6" s="1"/>
  <c r="K2064" i="6" s="1"/>
  <c r="AF2064" i="6" s="1"/>
  <c r="M2004" i="6"/>
  <c r="L2004" i="6" s="1"/>
  <c r="M1958" i="6"/>
  <c r="L1958" i="6" s="1"/>
  <c r="K1958" i="6" s="1"/>
  <c r="AF1958" i="6" s="1"/>
  <c r="M2076" i="6"/>
  <c r="L2076" i="6" s="1"/>
  <c r="M1994" i="6"/>
  <c r="L1994" i="6" s="1"/>
  <c r="M2008" i="6"/>
  <c r="L2008" i="6" s="1"/>
  <c r="K2008" i="6" s="1"/>
  <c r="M1960" i="6"/>
  <c r="L1960" i="6" s="1"/>
  <c r="M1954" i="6"/>
  <c r="L1954" i="6" s="1"/>
  <c r="M2066" i="6"/>
  <c r="L2066" i="6" s="1"/>
  <c r="M1946" i="6"/>
  <c r="L1946" i="6" s="1"/>
  <c r="K1946" i="6" s="1"/>
  <c r="K755" i="6" s="1"/>
  <c r="M1982" i="6"/>
  <c r="L1982" i="6" s="1"/>
  <c r="K1982" i="6" s="1"/>
  <c r="AF1982" i="6" s="1"/>
  <c r="M2050" i="6"/>
  <c r="L2050" i="6" s="1"/>
  <c r="M2078" i="6"/>
  <c r="L2078" i="6" s="1"/>
  <c r="BM102" i="15"/>
  <c r="BN70" i="15"/>
  <c r="BK24" i="15"/>
  <c r="BK21" i="15"/>
  <c r="BC26" i="15"/>
  <c r="BH26" i="15" s="1"/>
  <c r="BN26" i="15" s="1"/>
  <c r="BK20" i="15"/>
  <c r="BK26" i="15"/>
  <c r="DI59" i="16"/>
  <c r="AF15" i="15" s="1"/>
  <c r="AC15" i="15" s="1"/>
  <c r="DI53" i="16"/>
  <c r="AF12" i="15" s="1"/>
  <c r="AC12" i="15" s="1"/>
  <c r="BK25" i="15"/>
  <c r="BC27" i="15"/>
  <c r="BH27" i="15" s="1"/>
  <c r="BN27" i="15" s="1"/>
  <c r="BC28" i="15"/>
  <c r="BH28" i="15" s="1"/>
  <c r="BN28" i="15" s="1"/>
  <c r="BN84" i="15"/>
  <c r="BF27" i="15"/>
  <c r="BM27" i="15" s="1"/>
  <c r="BC23" i="15"/>
  <c r="BH23" i="15" s="1"/>
  <c r="BN23" i="15" s="1"/>
  <c r="BK23" i="15"/>
  <c r="BK28" i="15"/>
  <c r="BM69" i="15"/>
  <c r="BA85" i="15"/>
  <c r="BK85" i="15" s="1"/>
  <c r="BF22" i="15"/>
  <c r="BM22" i="15" s="1"/>
  <c r="BK84" i="15"/>
  <c r="BM76" i="15"/>
  <c r="BH90" i="15"/>
  <c r="BN90" i="15" s="1"/>
  <c r="DG7" i="7"/>
  <c r="AA127" i="15" s="1"/>
  <c r="DI49" i="16"/>
  <c r="DG50" i="16"/>
  <c r="AA11" i="15" s="1"/>
  <c r="I49" i="16"/>
  <c r="DG775" i="7"/>
  <c r="AA200" i="15" s="1"/>
  <c r="DG112" i="7"/>
  <c r="AA150" i="15" s="1"/>
  <c r="DG54" i="16"/>
  <c r="AA13" i="15" s="1"/>
  <c r="BC37" i="15"/>
  <c r="BH37" i="15" s="1"/>
  <c r="BH38" i="15"/>
  <c r="BG99" i="15"/>
  <c r="BM99" i="15" s="1"/>
  <c r="BK99" i="15"/>
  <c r="DG38" i="7"/>
  <c r="AA135" i="15" s="1"/>
  <c r="DI424" i="7"/>
  <c r="AE173" i="15" s="1"/>
  <c r="AC173" i="15" s="1"/>
  <c r="BL88" i="15"/>
  <c r="K423" i="7"/>
  <c r="O172" i="15" s="1"/>
  <c r="W172" i="15" s="1"/>
  <c r="V172" i="15" s="1"/>
  <c r="U172" i="15" s="1"/>
  <c r="DG17" i="2"/>
  <c r="AA246" i="15" s="1"/>
  <c r="DG60" i="16"/>
  <c r="AA16" i="15" s="1"/>
  <c r="DG525" i="7"/>
  <c r="AA184" i="15" s="1"/>
  <c r="BB63" i="15"/>
  <c r="BI65" i="15"/>
  <c r="BM43" i="15"/>
  <c r="BH88" i="15"/>
  <c r="BN88" i="15" s="1"/>
  <c r="BC110" i="15"/>
  <c r="BH110" i="15" s="1"/>
  <c r="BN110" i="15" s="1"/>
  <c r="BK60" i="15"/>
  <c r="BF60" i="15"/>
  <c r="BM60" i="15" s="1"/>
  <c r="BG58" i="15"/>
  <c r="BM66" i="15"/>
  <c r="BH105" i="15"/>
  <c r="BN105" i="15" s="1"/>
  <c r="BL38" i="15"/>
  <c r="DG56" i="16"/>
  <c r="AA14" i="15" s="1"/>
  <c r="BH60" i="15"/>
  <c r="BK49" i="15"/>
  <c r="BM49" i="15"/>
  <c r="BF101" i="15"/>
  <c r="DG7" i="16"/>
  <c r="BN101" i="15"/>
  <c r="BK79" i="15"/>
  <c r="BF97" i="15"/>
  <c r="BM97" i="15" s="1"/>
  <c r="BG101" i="15"/>
  <c r="BK90" i="15"/>
  <c r="BM79" i="15"/>
  <c r="BK101" i="15"/>
  <c r="BB64" i="15"/>
  <c r="BG64" i="15" s="1"/>
  <c r="BM64" i="15" s="1"/>
  <c r="BA108" i="15"/>
  <c r="BK108" i="15" s="1"/>
  <c r="BM89" i="15"/>
  <c r="BM91" i="15"/>
  <c r="BK91" i="15"/>
  <c r="BF92" i="15"/>
  <c r="BM92" i="15" s="1"/>
  <c r="BK92" i="15"/>
  <c r="BA44" i="15"/>
  <c r="BF110" i="15"/>
  <c r="BF100" i="15"/>
  <c r="BM100" i="15" s="1"/>
  <c r="BK100" i="15"/>
  <c r="BL85" i="15"/>
  <c r="BH85" i="15"/>
  <c r="BN85" i="15" s="1"/>
  <c r="BC92" i="15"/>
  <c r="BL59" i="15"/>
  <c r="BH59" i="15"/>
  <c r="BN59" i="15" s="1"/>
  <c r="BC62" i="15"/>
  <c r="BB88" i="15"/>
  <c r="BD107" i="15"/>
  <c r="BI107" i="15" s="1"/>
  <c r="BI93" i="15"/>
  <c r="BL65" i="15"/>
  <c r="BC86" i="15"/>
  <c r="BH65" i="15"/>
  <c r="BC107" i="15"/>
  <c r="BH93" i="15"/>
  <c r="BL93" i="15"/>
  <c r="BK106" i="15"/>
  <c r="BF106" i="15"/>
  <c r="BM106" i="15" s="1"/>
  <c r="BF86" i="15"/>
  <c r="BH95" i="15"/>
  <c r="BN95" i="15" s="1"/>
  <c r="BL95" i="15"/>
  <c r="BK54" i="15"/>
  <c r="BA57" i="15"/>
  <c r="BF54" i="15"/>
  <c r="BM54" i="15" s="1"/>
  <c r="BH50" i="15"/>
  <c r="BK59" i="15"/>
  <c r="BF59" i="15"/>
  <c r="BM59" i="15" s="1"/>
  <c r="BA62" i="15"/>
  <c r="BD61" i="15"/>
  <c r="BI61" i="15" s="1"/>
  <c r="BI58" i="15"/>
  <c r="BB56" i="15"/>
  <c r="BG56" i="15" s="1"/>
  <c r="BG53" i="15"/>
  <c r="BC104" i="15"/>
  <c r="BH77" i="15"/>
  <c r="BN77" i="15" s="1"/>
  <c r="BL77" i="15"/>
  <c r="BN87" i="15"/>
  <c r="BL58" i="15"/>
  <c r="BC61" i="15"/>
  <c r="BH58" i="15"/>
  <c r="BD78" i="15"/>
  <c r="BI75" i="15"/>
  <c r="BN75" i="15" s="1"/>
  <c r="BL75" i="15"/>
  <c r="BH109" i="15"/>
  <c r="BN109" i="15" s="1"/>
  <c r="BL109" i="15"/>
  <c r="BD116" i="15"/>
  <c r="BD118" i="15" s="1"/>
  <c r="BI118" i="15" s="1"/>
  <c r="BK94" i="15"/>
  <c r="BL87" i="15"/>
  <c r="BG47" i="15"/>
  <c r="BM47" i="15" s="1"/>
  <c r="BK47" i="15"/>
  <c r="BF107" i="15"/>
  <c r="BL68" i="15"/>
  <c r="BH68" i="15"/>
  <c r="BN68" i="15" s="1"/>
  <c r="BC91" i="15"/>
  <c r="BL53" i="15"/>
  <c r="BH53" i="15"/>
  <c r="BC56" i="15"/>
  <c r="BL80" i="15"/>
  <c r="BC81" i="15"/>
  <c r="BH80" i="15"/>
  <c r="BN80" i="15" s="1"/>
  <c r="BM82" i="15"/>
  <c r="BC94" i="15"/>
  <c r="BL69" i="15"/>
  <c r="BH69" i="15"/>
  <c r="BN69" i="15" s="1"/>
  <c r="BH108" i="15"/>
  <c r="BD63" i="15"/>
  <c r="BI63" i="15" s="1"/>
  <c r="BI60" i="15"/>
  <c r="BD37" i="15"/>
  <c r="BI37" i="15" s="1"/>
  <c r="BI38" i="15"/>
  <c r="BB110" i="15"/>
  <c r="BG110" i="15" s="1"/>
  <c r="BG105" i="15"/>
  <c r="BM105" i="15" s="1"/>
  <c r="BN79" i="15"/>
  <c r="BG46" i="15"/>
  <c r="BM46" i="15" s="1"/>
  <c r="BK46" i="15"/>
  <c r="BK53" i="15"/>
  <c r="BF53" i="15"/>
  <c r="BA56" i="15"/>
  <c r="BH63" i="15"/>
  <c r="BI55" i="15"/>
  <c r="BN55" i="15" s="1"/>
  <c r="BD120" i="15"/>
  <c r="BI120" i="15" s="1"/>
  <c r="BL55" i="15"/>
  <c r="BL89" i="15"/>
  <c r="BC106" i="15"/>
  <c r="BH89" i="15"/>
  <c r="BB86" i="15"/>
  <c r="BG86" i="15" s="1"/>
  <c r="BG65" i="15"/>
  <c r="BM65" i="15" s="1"/>
  <c r="BG55" i="15"/>
  <c r="BK38" i="15"/>
  <c r="BA37" i="15"/>
  <c r="BF38" i="15"/>
  <c r="BM38" i="15" s="1"/>
  <c r="BB112" i="15"/>
  <c r="BG112" i="15" s="1"/>
  <c r="BK77" i="15"/>
  <c r="BA104" i="15"/>
  <c r="BF77" i="15"/>
  <c r="BM77" i="15" s="1"/>
  <c r="BF83" i="15"/>
  <c r="BM83" i="15" s="1"/>
  <c r="BK83" i="15"/>
  <c r="BA42" i="15"/>
  <c r="BA40" i="15"/>
  <c r="BM94" i="15"/>
  <c r="BF81" i="15"/>
  <c r="BM81" i="15" s="1"/>
  <c r="BK81" i="15"/>
  <c r="BH73" i="15"/>
  <c r="BN73" i="15" s="1"/>
  <c r="BL73" i="15"/>
  <c r="BF103" i="15"/>
  <c r="BM103" i="15" s="1"/>
  <c r="BK103" i="15"/>
  <c r="BF74" i="15"/>
  <c r="BM74" i="15" s="1"/>
  <c r="BK74" i="15"/>
  <c r="BK55" i="15"/>
  <c r="BF55" i="15"/>
  <c r="BN82" i="15"/>
  <c r="BD64" i="15"/>
  <c r="BH98" i="15"/>
  <c r="BN98" i="15" s="1"/>
  <c r="BC99" i="15"/>
  <c r="BL98" i="15"/>
  <c r="BG75" i="15"/>
  <c r="BM75" i="15" s="1"/>
  <c r="BB78" i="15"/>
  <c r="BG78" i="15" s="1"/>
  <c r="BK75" i="15"/>
  <c r="BH100" i="15"/>
  <c r="BN100" i="15" s="1"/>
  <c r="BL100" i="15"/>
  <c r="BF78" i="15"/>
  <c r="BB107" i="15"/>
  <c r="BG107" i="15" s="1"/>
  <c r="BG93" i="15"/>
  <c r="BM93" i="15" s="1"/>
  <c r="BC44" i="15"/>
  <c r="BF96" i="15"/>
  <c r="BM96" i="15" s="1"/>
  <c r="BK96" i="15"/>
  <c r="BD108" i="15"/>
  <c r="BI108" i="15" s="1"/>
  <c r="BI97" i="15"/>
  <c r="BN97" i="15" s="1"/>
  <c r="BF63" i="15"/>
  <c r="BL79" i="15"/>
  <c r="BL60" i="15"/>
  <c r="BC42" i="15"/>
  <c r="BC40" i="15"/>
  <c r="BF95" i="15"/>
  <c r="BM95" i="15" s="1"/>
  <c r="BK95" i="15"/>
  <c r="BN71" i="15"/>
  <c r="BI53" i="15"/>
  <c r="BD56" i="15"/>
  <c r="BI56" i="15" s="1"/>
  <c r="BH96" i="15"/>
  <c r="BN96" i="15" s="1"/>
  <c r="BL96" i="15"/>
  <c r="BA61" i="15"/>
  <c r="BF58" i="15"/>
  <c r="BK58" i="15"/>
  <c r="BC57" i="15"/>
  <c r="BL54" i="15"/>
  <c r="BH54" i="15"/>
  <c r="BN54" i="15" s="1"/>
  <c r="BD106" i="15"/>
  <c r="BI106" i="15" s="1"/>
  <c r="BI89" i="15"/>
  <c r="BM90" i="15"/>
  <c r="BH83" i="15"/>
  <c r="BN83" i="15" s="1"/>
  <c r="BL83" i="15"/>
  <c r="BF109" i="15"/>
  <c r="BM109" i="15" s="1"/>
  <c r="BK109" i="15"/>
  <c r="BH49" i="15"/>
  <c r="BF50" i="15"/>
  <c r="BA51" i="15"/>
  <c r="BA52" i="15" s="1"/>
  <c r="BH51" i="15"/>
  <c r="BF123" i="15"/>
  <c r="BA125" i="15"/>
  <c r="BD121" i="15"/>
  <c r="BI121" i="15" s="1"/>
  <c r="BI119" i="15"/>
  <c r="BF124" i="15"/>
  <c r="BA118" i="15"/>
  <c r="BF116" i="15"/>
  <c r="BB116" i="15"/>
  <c r="BD113" i="15"/>
  <c r="BI113" i="15" s="1"/>
  <c r="BI111" i="15"/>
  <c r="BA119" i="15"/>
  <c r="BC112" i="15"/>
  <c r="BD124" i="15"/>
  <c r="BB119" i="15"/>
  <c r="BB123" i="15"/>
  <c r="BK123" i="15" s="1"/>
  <c r="BH115" i="15"/>
  <c r="BC117" i="15"/>
  <c r="BD114" i="15"/>
  <c r="BI114" i="15" s="1"/>
  <c r="BI112" i="15"/>
  <c r="BA112" i="15"/>
  <c r="BC124" i="15"/>
  <c r="BC119" i="15"/>
  <c r="BC111" i="15"/>
  <c r="BC116" i="15"/>
  <c r="BC123" i="15"/>
  <c r="BF120" i="15"/>
  <c r="BA122" i="15"/>
  <c r="BC120" i="15"/>
  <c r="BA111" i="15"/>
  <c r="BF111" i="15" s="1"/>
  <c r="BB120" i="15"/>
  <c r="BK120" i="15" s="1"/>
  <c r="BB124" i="15"/>
  <c r="BC34" i="15"/>
  <c r="BC33" i="15"/>
  <c r="BC21" i="15"/>
  <c r="BC20" i="15"/>
  <c r="BC32" i="15"/>
  <c r="BC31" i="15"/>
  <c r="BC24" i="15"/>
  <c r="BC30" i="15"/>
  <c r="BC29" i="15"/>
  <c r="DG41" i="7"/>
  <c r="AA138" i="15" s="1"/>
  <c r="DG206" i="2"/>
  <c r="AA281" i="15" s="1"/>
  <c r="DG142" i="2"/>
  <c r="AA272" i="15" s="1"/>
  <c r="DG207" i="2"/>
  <c r="DG458" i="7"/>
  <c r="AA175" i="15" s="1"/>
  <c r="V514" i="7"/>
  <c r="DG141" i="2"/>
  <c r="AA271" i="15" s="1"/>
  <c r="DI931" i="7"/>
  <c r="AE218" i="15" s="1"/>
  <c r="AC218" i="15" s="1"/>
  <c r="DG914" i="7"/>
  <c r="I931" i="7"/>
  <c r="O218" i="15" s="1"/>
  <c r="W218" i="15" s="1"/>
  <c r="V218" i="15" s="1"/>
  <c r="U218" i="15" s="1"/>
  <c r="DG709" i="6"/>
  <c r="AA53" i="15" s="1"/>
  <c r="DG184" i="2"/>
  <c r="AA278" i="15" s="1"/>
  <c r="DG125" i="7"/>
  <c r="AA163" i="15" s="1"/>
  <c r="DI423" i="7"/>
  <c r="V548" i="7"/>
  <c r="V592" i="7" s="1"/>
  <c r="I932" i="7"/>
  <c r="P218" i="15" s="1"/>
  <c r="X2024" i="6"/>
  <c r="I373" i="6"/>
  <c r="I374" i="6"/>
  <c r="I370" i="6"/>
  <c r="I367" i="6"/>
  <c r="I376" i="6"/>
  <c r="I372" i="6"/>
  <c r="I368" i="6"/>
  <c r="I375" i="6"/>
  <c r="I371" i="6"/>
  <c r="I369" i="6"/>
  <c r="DG78" i="6"/>
  <c r="AA25" i="15" s="1"/>
  <c r="DG124" i="7"/>
  <c r="AA162" i="15" s="1"/>
  <c r="DG36" i="7"/>
  <c r="AA133" i="15" s="1"/>
  <c r="DG129" i="7"/>
  <c r="AA167" i="15" s="1"/>
  <c r="L485" i="7"/>
  <c r="O176" i="15" s="1"/>
  <c r="W176" i="15" s="1"/>
  <c r="V176" i="15" s="1"/>
  <c r="U176" i="15" s="1"/>
  <c r="DI485" i="7"/>
  <c r="AE176" i="15" s="1"/>
  <c r="AC176" i="15" s="1"/>
  <c r="DG33" i="7"/>
  <c r="AA130" i="15" s="1"/>
  <c r="DG139" i="2"/>
  <c r="AA269" i="15" s="1"/>
  <c r="DG143" i="2"/>
  <c r="AA273" i="15" s="1"/>
  <c r="DG421" i="7"/>
  <c r="AA170" i="15" s="1"/>
  <c r="DG126" i="7"/>
  <c r="AA164" i="15" s="1"/>
  <c r="DG40" i="7"/>
  <c r="AA137" i="15" s="1"/>
  <c r="DG113" i="7"/>
  <c r="AA151" i="15" s="1"/>
  <c r="DG522" i="7"/>
  <c r="AA181" i="15" s="1"/>
  <c r="DG116" i="7"/>
  <c r="AA154" i="15" s="1"/>
  <c r="DG35" i="7"/>
  <c r="AA132" i="15" s="1"/>
  <c r="DG118" i="7"/>
  <c r="AA156" i="15" s="1"/>
  <c r="DG130" i="7"/>
  <c r="AA168" i="15" s="1"/>
  <c r="DG521" i="7"/>
  <c r="AA180" i="15" s="1"/>
  <c r="DG605" i="7"/>
  <c r="AA187" i="15" s="1"/>
  <c r="DI933" i="7"/>
  <c r="AE219" i="15" s="1"/>
  <c r="AC219" i="15" s="1"/>
  <c r="I933" i="7"/>
  <c r="O219" i="15" s="1"/>
  <c r="W219" i="15" s="1"/>
  <c r="V219" i="15" s="1"/>
  <c r="U219" i="15" s="1"/>
  <c r="DG420" i="7"/>
  <c r="AA169" i="15" s="1"/>
  <c r="DG523" i="7"/>
  <c r="AA182" i="15" s="1"/>
  <c r="DG555" i="7"/>
  <c r="AA185" i="15" s="1"/>
  <c r="DG103" i="7"/>
  <c r="AA141" i="15" s="1"/>
  <c r="DG123" i="7"/>
  <c r="AA161" i="15" s="1"/>
  <c r="D659" i="7"/>
  <c r="V623" i="7"/>
  <c r="V549" i="7"/>
  <c r="V596" i="7" s="1"/>
  <c r="DG128" i="7"/>
  <c r="AA166" i="15" s="1"/>
  <c r="DG84" i="6"/>
  <c r="AA29" i="15" s="1"/>
  <c r="DG10" i="2"/>
  <c r="AA239" i="15" s="1"/>
  <c r="DG13" i="2"/>
  <c r="AA242" i="15" s="1"/>
  <c r="DG21" i="2"/>
  <c r="AA250" i="15" s="1"/>
  <c r="DG15" i="2"/>
  <c r="AA244" i="15" s="1"/>
  <c r="DG23" i="2"/>
  <c r="AA252" i="15" s="1"/>
  <c r="K2143" i="6"/>
  <c r="DJ2143" i="6" s="1"/>
  <c r="K2119" i="6"/>
  <c r="DJ2119" i="6" s="1"/>
  <c r="K2103" i="6"/>
  <c r="DJ2103" i="6" s="1"/>
  <c r="K2115" i="6"/>
  <c r="DJ2115" i="6" s="1"/>
  <c r="K2131" i="6"/>
  <c r="DJ2131" i="6" s="1"/>
  <c r="K2139" i="6"/>
  <c r="DJ2139" i="6" s="1"/>
  <c r="K2107" i="6"/>
  <c r="DJ2107" i="6" s="1"/>
  <c r="K2127" i="6"/>
  <c r="DJ2127" i="6" s="1"/>
  <c r="K2125" i="6"/>
  <c r="DJ2125" i="6" s="1"/>
  <c r="K2147" i="6"/>
  <c r="DJ2147" i="6" s="1"/>
  <c r="K2123" i="6"/>
  <c r="DJ2123" i="6" s="1"/>
  <c r="K2111" i="6"/>
  <c r="DJ2111" i="6" s="1"/>
  <c r="K2135" i="6"/>
  <c r="DJ2135" i="6" s="1"/>
  <c r="K2137" i="6"/>
  <c r="DJ2137" i="6" s="1"/>
  <c r="K2149" i="6"/>
  <c r="DJ2149" i="6" s="1"/>
  <c r="K2113" i="6"/>
  <c r="DJ2113" i="6" s="1"/>
  <c r="DG89" i="6"/>
  <c r="AA32" i="15" s="1"/>
  <c r="AF1938" i="6" l="1"/>
  <c r="AF1942" i="6"/>
  <c r="AF1946" i="6"/>
  <c r="AF1962" i="6"/>
  <c r="DJ771" i="6"/>
  <c r="AF1974" i="6"/>
  <c r="K783" i="6"/>
  <c r="DJ783" i="6" s="1"/>
  <c r="AF1978" i="6"/>
  <c r="DJ787" i="6"/>
  <c r="AF2008" i="6"/>
  <c r="K817" i="6"/>
  <c r="DJ817" i="6" s="1"/>
  <c r="AF2024" i="6"/>
  <c r="K833" i="6"/>
  <c r="DJ833" i="6" s="1"/>
  <c r="AF2040" i="6"/>
  <c r="K849" i="6"/>
  <c r="DJ849" i="6" s="1"/>
  <c r="AF2044" i="6"/>
  <c r="K853" i="6"/>
  <c r="DJ853" i="6" s="1"/>
  <c r="AF2054" i="6"/>
  <c r="K863" i="6"/>
  <c r="DJ863" i="6" s="1"/>
  <c r="AF2058" i="6"/>
  <c r="K867" i="6"/>
  <c r="DJ867" i="6" s="1"/>
  <c r="AF2068" i="6"/>
  <c r="K875" i="6"/>
  <c r="DJ875" i="6" s="1"/>
  <c r="AF2072" i="6"/>
  <c r="K879" i="6"/>
  <c r="DJ879" i="6" s="1"/>
  <c r="AF2074" i="6"/>
  <c r="K881" i="6"/>
  <c r="DJ881" i="6" s="1"/>
  <c r="AF2080" i="6"/>
  <c r="K887" i="6"/>
  <c r="DJ887" i="6" s="1"/>
  <c r="DG486" i="7"/>
  <c r="AA177" i="15" s="1"/>
  <c r="I18" i="6"/>
  <c r="AF17" i="6"/>
  <c r="W52" i="15"/>
  <c r="V52" i="15" s="1"/>
  <c r="U52" i="15" s="1"/>
  <c r="BF52" i="15"/>
  <c r="BG51" i="15"/>
  <c r="BB52" i="15"/>
  <c r="BG52" i="15" s="1"/>
  <c r="DG425" i="7"/>
  <c r="AA174" i="15" s="1"/>
  <c r="DG487" i="7"/>
  <c r="AA178" i="15" s="1"/>
  <c r="BI125" i="15"/>
  <c r="BI123" i="15"/>
  <c r="K1940" i="6"/>
  <c r="AF1940" i="6" s="1"/>
  <c r="BB117" i="15"/>
  <c r="BG117" i="15" s="1"/>
  <c r="K1948" i="6"/>
  <c r="AF1948" i="6" s="1"/>
  <c r="BL50" i="15"/>
  <c r="BD51" i="15"/>
  <c r="P121" i="15"/>
  <c r="BB113" i="15"/>
  <c r="BG113" i="15" s="1"/>
  <c r="K1954" i="6"/>
  <c r="AF1954" i="6" s="1"/>
  <c r="AA216" i="15"/>
  <c r="AF10" i="15"/>
  <c r="AC10" i="15" s="1"/>
  <c r="AA238" i="15"/>
  <c r="AA282" i="15"/>
  <c r="K2066" i="6"/>
  <c r="AF2066" i="6" s="1"/>
  <c r="AC118" i="15"/>
  <c r="BI115" i="15"/>
  <c r="BN115" i="15" s="1"/>
  <c r="BD117" i="15"/>
  <c r="BI117" i="15" s="1"/>
  <c r="O114" i="15"/>
  <c r="W114" i="15" s="1"/>
  <c r="V114" i="15" s="1"/>
  <c r="U114" i="15" s="1"/>
  <c r="AD117" i="15"/>
  <c r="K2032" i="6"/>
  <c r="AF2032" i="6" s="1"/>
  <c r="O122" i="15"/>
  <c r="W122" i="15" s="1"/>
  <c r="V122" i="15" s="1"/>
  <c r="U122" i="15" s="1"/>
  <c r="BN50" i="15"/>
  <c r="P125" i="15"/>
  <c r="BL22" i="15"/>
  <c r="AD125" i="15"/>
  <c r="BL25" i="15"/>
  <c r="O118" i="15"/>
  <c r="W118" i="15" s="1"/>
  <c r="V118" i="15" s="1"/>
  <c r="U118" i="15" s="1"/>
  <c r="P113" i="15"/>
  <c r="BL48" i="15"/>
  <c r="BD49" i="15"/>
  <c r="BI48" i="15"/>
  <c r="BN48" i="15" s="1"/>
  <c r="BA117" i="15"/>
  <c r="BF117" i="15" s="1"/>
  <c r="BK50" i="15"/>
  <c r="AF16" i="6"/>
  <c r="BK115" i="15"/>
  <c r="O126" i="15"/>
  <c r="W126" i="15" s="1"/>
  <c r="V126" i="15" s="1"/>
  <c r="U126" i="15" s="1"/>
  <c r="K2016" i="6"/>
  <c r="AF2016" i="6" s="1"/>
  <c r="K2000" i="6"/>
  <c r="AF2000" i="6" s="1"/>
  <c r="BG50" i="15"/>
  <c r="BM50" i="15" s="1"/>
  <c r="P117" i="15"/>
  <c r="AB114" i="15"/>
  <c r="DG2149" i="6"/>
  <c r="AA126" i="15" s="1"/>
  <c r="AB126" i="15"/>
  <c r="DG2137" i="6"/>
  <c r="AA122" i="15" s="1"/>
  <c r="AB122" i="15"/>
  <c r="AB121" i="15"/>
  <c r="DG2111" i="6"/>
  <c r="AA113" i="15" s="1"/>
  <c r="AB113" i="15"/>
  <c r="AB117" i="15"/>
  <c r="DG2147" i="6"/>
  <c r="AA125" i="15" s="1"/>
  <c r="AB125" i="15"/>
  <c r="DG2125" i="6"/>
  <c r="AA118" i="15" s="1"/>
  <c r="AB118" i="15"/>
  <c r="AB119" i="15"/>
  <c r="DG2107" i="6"/>
  <c r="AA112" i="15" s="1"/>
  <c r="AB112" i="15"/>
  <c r="DG2139" i="6"/>
  <c r="AA123" i="15" s="1"/>
  <c r="AB123" i="15"/>
  <c r="DG2131" i="6"/>
  <c r="AA120" i="15" s="1"/>
  <c r="AB120" i="15"/>
  <c r="DG2115" i="6"/>
  <c r="AA115" i="15" s="1"/>
  <c r="AB115" i="15"/>
  <c r="DG2103" i="6"/>
  <c r="AA111" i="15" s="1"/>
  <c r="AB111" i="15"/>
  <c r="DG2119" i="6"/>
  <c r="AA116" i="15" s="1"/>
  <c r="AB116" i="15"/>
  <c r="DG2143" i="6"/>
  <c r="AA124" i="15" s="1"/>
  <c r="AB124" i="15"/>
  <c r="K1920" i="6"/>
  <c r="AF1920" i="6" s="1"/>
  <c r="K739" i="6"/>
  <c r="DJ739" i="6" s="1"/>
  <c r="AF1930" i="6"/>
  <c r="K713" i="6"/>
  <c r="DJ713" i="6" s="1"/>
  <c r="AF1904" i="6"/>
  <c r="K723" i="6"/>
  <c r="DJ723" i="6" s="1"/>
  <c r="AF1914" i="6"/>
  <c r="AF27" i="6"/>
  <c r="AF15" i="6"/>
  <c r="AA9" i="15"/>
  <c r="AC126" i="15"/>
  <c r="AC122" i="15"/>
  <c r="DG423" i="7"/>
  <c r="AE172" i="15"/>
  <c r="AC172" i="15" s="1"/>
  <c r="DG931" i="7"/>
  <c r="AA218" i="15" s="1"/>
  <c r="K1944" i="6"/>
  <c r="AF1944" i="6" s="1"/>
  <c r="L493" i="6"/>
  <c r="J493" i="6" s="1"/>
  <c r="L495" i="6"/>
  <c r="J495" i="6" s="1"/>
  <c r="L481" i="6"/>
  <c r="J481" i="6" s="1"/>
  <c r="L478" i="6"/>
  <c r="J478" i="6" s="1"/>
  <c r="L483" i="6"/>
  <c r="J483" i="6" s="1"/>
  <c r="L497" i="6"/>
  <c r="J497" i="6" s="1"/>
  <c r="L501" i="6"/>
  <c r="J501" i="6" s="1"/>
  <c r="L485" i="6"/>
  <c r="J485" i="6" s="1"/>
  <c r="L489" i="6"/>
  <c r="J489" i="6" s="1"/>
  <c r="L480" i="6"/>
  <c r="J480" i="6" s="1"/>
  <c r="K1960" i="6"/>
  <c r="AF1960" i="6" s="1"/>
  <c r="K1966" i="6"/>
  <c r="K1976" i="6"/>
  <c r="AF1976" i="6" s="1"/>
  <c r="K767" i="6"/>
  <c r="DJ767" i="6" s="1"/>
  <c r="DJ747" i="6"/>
  <c r="K797" i="6"/>
  <c r="DJ797" i="6" s="1"/>
  <c r="K779" i="6"/>
  <c r="DJ779" i="6" s="1"/>
  <c r="DJ751" i="6"/>
  <c r="K799" i="6"/>
  <c r="DJ799" i="6" s="1"/>
  <c r="K871" i="6"/>
  <c r="DJ871" i="6" s="1"/>
  <c r="K873" i="6"/>
  <c r="DJ873" i="6" s="1"/>
  <c r="K857" i="6"/>
  <c r="DJ857" i="6" s="1"/>
  <c r="DJ755" i="6"/>
  <c r="K793" i="6"/>
  <c r="DJ793" i="6" s="1"/>
  <c r="K791" i="6"/>
  <c r="DJ791" i="6" s="1"/>
  <c r="DG48" i="16"/>
  <c r="DG58" i="16"/>
  <c r="AA15" i="15" s="1"/>
  <c r="DG587" i="6"/>
  <c r="AA52" i="15" s="1"/>
  <c r="K2078" i="6"/>
  <c r="K885" i="6" s="1"/>
  <c r="K1994" i="6"/>
  <c r="K2076" i="6"/>
  <c r="K883" i="6" s="1"/>
  <c r="K2050" i="6"/>
  <c r="K2004" i="6"/>
  <c r="K1996" i="6"/>
  <c r="AF1996" i="6" s="1"/>
  <c r="K2012" i="6"/>
  <c r="K2028" i="6"/>
  <c r="K837" i="6" s="1"/>
  <c r="K1934" i="6"/>
  <c r="K743" i="6" s="1"/>
  <c r="K2020" i="6"/>
  <c r="K2036" i="6"/>
  <c r="K1950" i="6"/>
  <c r="K759" i="6" s="1"/>
  <c r="BL28" i="15"/>
  <c r="BL26" i="15"/>
  <c r="DG52" i="16"/>
  <c r="AA12" i="15" s="1"/>
  <c r="BL27" i="15"/>
  <c r="BL23" i="15"/>
  <c r="BF85" i="15"/>
  <c r="BM85" i="15" s="1"/>
  <c r="DG424" i="7"/>
  <c r="AA173" i="15" s="1"/>
  <c r="BG63" i="15"/>
  <c r="BM63" i="15" s="1"/>
  <c r="BK63" i="15"/>
  <c r="BM58" i="15"/>
  <c r="BN38" i="15"/>
  <c r="BL110" i="15"/>
  <c r="BN65" i="15"/>
  <c r="BD122" i="15"/>
  <c r="BI122" i="15" s="1"/>
  <c r="BN60" i="15"/>
  <c r="BM101" i="15"/>
  <c r="BL63" i="15"/>
  <c r="BF108" i="15"/>
  <c r="BM108" i="15" s="1"/>
  <c r="BN63" i="15"/>
  <c r="BM115" i="15"/>
  <c r="BK64" i="15"/>
  <c r="BN89" i="15"/>
  <c r="BK111" i="15"/>
  <c r="BA113" i="15"/>
  <c r="BF113" i="15" s="1"/>
  <c r="BB114" i="15"/>
  <c r="BG114" i="15" s="1"/>
  <c r="BK78" i="15"/>
  <c r="BM78" i="15"/>
  <c r="BK107" i="15"/>
  <c r="BM107" i="15"/>
  <c r="BL37" i="15"/>
  <c r="BI116" i="15"/>
  <c r="BN37" i="15"/>
  <c r="BK86" i="15"/>
  <c r="BM111" i="15"/>
  <c r="BM86" i="15"/>
  <c r="BI64" i="15"/>
  <c r="BN64" i="15" s="1"/>
  <c r="BL64" i="15"/>
  <c r="BH104" i="15"/>
  <c r="BN104" i="15" s="1"/>
  <c r="BL104" i="15"/>
  <c r="BG88" i="15"/>
  <c r="BM88" i="15" s="1"/>
  <c r="BK88" i="15"/>
  <c r="BK110" i="15"/>
  <c r="BF62" i="15"/>
  <c r="BM62" i="15" s="1"/>
  <c r="BK62" i="15"/>
  <c r="BM110" i="15"/>
  <c r="BL44" i="15"/>
  <c r="BH44" i="15"/>
  <c r="BN44" i="15" s="1"/>
  <c r="BF40" i="15"/>
  <c r="BM40" i="15" s="1"/>
  <c r="BK40" i="15"/>
  <c r="BH99" i="15"/>
  <c r="BN99" i="15" s="1"/>
  <c r="BL99" i="15"/>
  <c r="BH92" i="15"/>
  <c r="BN92" i="15" s="1"/>
  <c r="BL92" i="15"/>
  <c r="BH40" i="15"/>
  <c r="BN40" i="15" s="1"/>
  <c r="BL40" i="15"/>
  <c r="BH56" i="15"/>
  <c r="BN56" i="15" s="1"/>
  <c r="BL56" i="15"/>
  <c r="BL42" i="15"/>
  <c r="BH42" i="15"/>
  <c r="BN42" i="15" s="1"/>
  <c r="BI78" i="15"/>
  <c r="BN78" i="15" s="1"/>
  <c r="BL78" i="15"/>
  <c r="BF104" i="15"/>
  <c r="BM104" i="15" s="1"/>
  <c r="BK104" i="15"/>
  <c r="BK56" i="15"/>
  <c r="BF56" i="15"/>
  <c r="BM56" i="15" s="1"/>
  <c r="BL108" i="15"/>
  <c r="BH91" i="15"/>
  <c r="BN91" i="15" s="1"/>
  <c r="BL91" i="15"/>
  <c r="BN58" i="15"/>
  <c r="BF42" i="15"/>
  <c r="BM42" i="15" s="1"/>
  <c r="BK42" i="15"/>
  <c r="BH94" i="15"/>
  <c r="BN94" i="15" s="1"/>
  <c r="BL94" i="15"/>
  <c r="BF37" i="15"/>
  <c r="BM37" i="15" s="1"/>
  <c r="BK37" i="15"/>
  <c r="BN93" i="15"/>
  <c r="BL107" i="15"/>
  <c r="BH107" i="15"/>
  <c r="BN107" i="15" s="1"/>
  <c r="BF44" i="15"/>
  <c r="BM44" i="15" s="1"/>
  <c r="BK44" i="15"/>
  <c r="BM55" i="15"/>
  <c r="BN53" i="15"/>
  <c r="BM53" i="15"/>
  <c r="BN108" i="15"/>
  <c r="BH61" i="15"/>
  <c r="BN61" i="15" s="1"/>
  <c r="BL61" i="15"/>
  <c r="BK61" i="15"/>
  <c r="BF61" i="15"/>
  <c r="BM61" i="15" s="1"/>
  <c r="BL106" i="15"/>
  <c r="BH106" i="15"/>
  <c r="BN106" i="15" s="1"/>
  <c r="BH62" i="15"/>
  <c r="BN62" i="15" s="1"/>
  <c r="BL62" i="15"/>
  <c r="BH81" i="15"/>
  <c r="BN81" i="15" s="1"/>
  <c r="BL81" i="15"/>
  <c r="BH86" i="15"/>
  <c r="BN86" i="15" s="1"/>
  <c r="BL86" i="15"/>
  <c r="BH57" i="15"/>
  <c r="BN57" i="15" s="1"/>
  <c r="BL57" i="15"/>
  <c r="BF57" i="15"/>
  <c r="BM57" i="15" s="1"/>
  <c r="BK57" i="15"/>
  <c r="BF51" i="15"/>
  <c r="BK51" i="15"/>
  <c r="BH123" i="15"/>
  <c r="BC125" i="15"/>
  <c r="BL123" i="15"/>
  <c r="BF112" i="15"/>
  <c r="BM112" i="15" s="1"/>
  <c r="BK112" i="15"/>
  <c r="BA114" i="15"/>
  <c r="BB121" i="15"/>
  <c r="BG121" i="15" s="1"/>
  <c r="BG119" i="15"/>
  <c r="BG116" i="15"/>
  <c r="BM116" i="15" s="1"/>
  <c r="BB118" i="15"/>
  <c r="BG118" i="15" s="1"/>
  <c r="BC126" i="15"/>
  <c r="BH124" i="15"/>
  <c r="BL124" i="15"/>
  <c r="BG124" i="15"/>
  <c r="BM124" i="15" s="1"/>
  <c r="BB126" i="15"/>
  <c r="BF118" i="15"/>
  <c r="BD126" i="15"/>
  <c r="BI124" i="15"/>
  <c r="BH117" i="15"/>
  <c r="BK116" i="15"/>
  <c r="BC114" i="15"/>
  <c r="BL112" i="15"/>
  <c r="BH112" i="15"/>
  <c r="BN112" i="15" s="1"/>
  <c r="BH116" i="15"/>
  <c r="BL116" i="15"/>
  <c r="BC118" i="15"/>
  <c r="BA121" i="15"/>
  <c r="BF119" i="15"/>
  <c r="BK119" i="15"/>
  <c r="BF125" i="15"/>
  <c r="BL111" i="15"/>
  <c r="BC113" i="15"/>
  <c r="BH111" i="15"/>
  <c r="BN111" i="15" s="1"/>
  <c r="BF122" i="15"/>
  <c r="BB122" i="15"/>
  <c r="BG122" i="15" s="1"/>
  <c r="BG120" i="15"/>
  <c r="BM120" i="15" s="1"/>
  <c r="BC122" i="15"/>
  <c r="BH120" i="15"/>
  <c r="BN120" i="15" s="1"/>
  <c r="BL120" i="15"/>
  <c r="BB125" i="15"/>
  <c r="BG123" i="15"/>
  <c r="BM123" i="15" s="1"/>
  <c r="BK124" i="15"/>
  <c r="BL119" i="15"/>
  <c r="BC121" i="15"/>
  <c r="BH119" i="15"/>
  <c r="BN119" i="15" s="1"/>
  <c r="BF126" i="15"/>
  <c r="BH29" i="15"/>
  <c r="BN29" i="15" s="1"/>
  <c r="BL29" i="15"/>
  <c r="BH32" i="15"/>
  <c r="BN32" i="15" s="1"/>
  <c r="BL32" i="15"/>
  <c r="BH30" i="15"/>
  <c r="BN30" i="15" s="1"/>
  <c r="BL30" i="15"/>
  <c r="BH20" i="15"/>
  <c r="BN20" i="15" s="1"/>
  <c r="BL20" i="15"/>
  <c r="BH24" i="15"/>
  <c r="BN24" i="15" s="1"/>
  <c r="BL24" i="15"/>
  <c r="BH21" i="15"/>
  <c r="BN21" i="15" s="1"/>
  <c r="BL21" i="15"/>
  <c r="BH33" i="15"/>
  <c r="BN33" i="15" s="1"/>
  <c r="BL33" i="15"/>
  <c r="BH34" i="15"/>
  <c r="BN34" i="15" s="1"/>
  <c r="BL34" i="15"/>
  <c r="BH31" i="15"/>
  <c r="BN31" i="15" s="1"/>
  <c r="BL31" i="15"/>
  <c r="DG485" i="7"/>
  <c r="AA176" i="15" s="1"/>
  <c r="I378" i="6"/>
  <c r="I380" i="6"/>
  <c r="I385" i="6"/>
  <c r="I382" i="6"/>
  <c r="I381" i="6"/>
  <c r="I386" i="6"/>
  <c r="I384" i="6"/>
  <c r="I379" i="6"/>
  <c r="I377" i="6"/>
  <c r="I383" i="6"/>
  <c r="DG933" i="7"/>
  <c r="AA219" i="15" s="1"/>
  <c r="D734" i="7"/>
  <c r="V659" i="7"/>
  <c r="DG90" i="6"/>
  <c r="AA33" i="15" s="1"/>
  <c r="DG2127" i="6"/>
  <c r="AA119" i="15" s="1"/>
  <c r="DG2135" i="6"/>
  <c r="AA121" i="15" s="1"/>
  <c r="DG2123" i="6"/>
  <c r="AA117" i="15" s="1"/>
  <c r="DG92" i="6"/>
  <c r="AA34" i="15" s="1"/>
  <c r="DG2113" i="6"/>
  <c r="AA114" i="15" s="1"/>
  <c r="AF2012" i="6" l="1"/>
  <c r="K821" i="6"/>
  <c r="DJ821" i="6" s="1"/>
  <c r="AF18" i="6"/>
  <c r="I19" i="6"/>
  <c r="I20" i="6" s="1"/>
  <c r="BM51" i="15"/>
  <c r="BM52" i="15"/>
  <c r="BK52" i="15"/>
  <c r="BI51" i="15"/>
  <c r="BN51" i="15" s="1"/>
  <c r="BD52" i="15"/>
  <c r="K749" i="6"/>
  <c r="K757" i="6"/>
  <c r="BN123" i="15"/>
  <c r="BI126" i="15"/>
  <c r="BG126" i="15"/>
  <c r="BM126" i="15" s="1"/>
  <c r="BG125" i="15"/>
  <c r="BM125" i="15" s="1"/>
  <c r="BM117" i="15"/>
  <c r="BM113" i="15"/>
  <c r="BL51" i="15"/>
  <c r="AB81" i="15"/>
  <c r="DG791" i="6"/>
  <c r="AA81" i="15" s="1"/>
  <c r="AB82" i="15"/>
  <c r="DG793" i="6"/>
  <c r="AA82" i="15" s="1"/>
  <c r="AB99" i="15"/>
  <c r="DG857" i="6"/>
  <c r="AA99" i="15" s="1"/>
  <c r="AB106" i="15"/>
  <c r="DG879" i="6"/>
  <c r="AA106" i="15" s="1"/>
  <c r="AB75" i="15"/>
  <c r="DG771" i="6"/>
  <c r="AA75" i="15" s="1"/>
  <c r="AB89" i="15"/>
  <c r="DG817" i="6"/>
  <c r="AA89" i="15" s="1"/>
  <c r="AB67" i="15"/>
  <c r="DG751" i="6"/>
  <c r="AA67" i="15" s="1"/>
  <c r="AB101" i="15"/>
  <c r="DG863" i="6"/>
  <c r="AA101" i="15" s="1"/>
  <c r="AB83" i="15"/>
  <c r="DG797" i="6"/>
  <c r="AA83" i="15" s="1"/>
  <c r="AB65" i="15"/>
  <c r="DG747" i="6"/>
  <c r="AA65" i="15" s="1"/>
  <c r="AB105" i="15"/>
  <c r="DG875" i="6"/>
  <c r="AA105" i="15" s="1"/>
  <c r="AB57" i="15"/>
  <c r="DG723" i="6"/>
  <c r="AA57" i="15" s="1"/>
  <c r="DG713" i="6"/>
  <c r="AA54" i="15" s="1"/>
  <c r="AB62" i="15"/>
  <c r="DG739" i="6"/>
  <c r="AA62" i="15" s="1"/>
  <c r="AA172" i="15"/>
  <c r="K769" i="6"/>
  <c r="BN117" i="15"/>
  <c r="BL117" i="15"/>
  <c r="AF501" i="6"/>
  <c r="AF495" i="6"/>
  <c r="BK117" i="15"/>
  <c r="K729" i="6"/>
  <c r="DJ729" i="6" s="1"/>
  <c r="AB54" i="15"/>
  <c r="BI49" i="15"/>
  <c r="BN49" i="15" s="1"/>
  <c r="BL49" i="15"/>
  <c r="K785" i="6"/>
  <c r="DJ785" i="6" s="1"/>
  <c r="K753" i="6"/>
  <c r="DJ753" i="6" s="1"/>
  <c r="DJ759" i="6"/>
  <c r="AF1950" i="6"/>
  <c r="K845" i="6"/>
  <c r="DJ845" i="6" s="1"/>
  <c r="AF2036" i="6"/>
  <c r="K829" i="6"/>
  <c r="DJ829" i="6" s="1"/>
  <c r="AF2020" i="6"/>
  <c r="DJ743" i="6"/>
  <c r="AF1934" i="6"/>
  <c r="DJ837" i="6"/>
  <c r="AF2028" i="6"/>
  <c r="K813" i="6"/>
  <c r="DJ813" i="6" s="1"/>
  <c r="AF2004" i="6"/>
  <c r="K859" i="6"/>
  <c r="DJ859" i="6" s="1"/>
  <c r="AF2050" i="6"/>
  <c r="DJ883" i="6"/>
  <c r="AF2076" i="6"/>
  <c r="K803" i="6"/>
  <c r="DJ803" i="6" s="1"/>
  <c r="AF1994" i="6"/>
  <c r="DJ885" i="6"/>
  <c r="AF2078" i="6"/>
  <c r="K775" i="6"/>
  <c r="DJ775" i="6" s="1"/>
  <c r="AF1966" i="6"/>
  <c r="AF480" i="6"/>
  <c r="K300" i="6"/>
  <c r="DJ300" i="6" s="1"/>
  <c r="AF485" i="6"/>
  <c r="K298" i="6"/>
  <c r="DJ298" i="6" s="1"/>
  <c r="AF483" i="6"/>
  <c r="K296" i="6"/>
  <c r="DJ296" i="6" s="1"/>
  <c r="AF481" i="6"/>
  <c r="K308" i="6"/>
  <c r="DJ308" i="6" s="1"/>
  <c r="AF493" i="6"/>
  <c r="DG887" i="6"/>
  <c r="AA110" i="15" s="1"/>
  <c r="AB110" i="15"/>
  <c r="DG833" i="6"/>
  <c r="AA93" i="15" s="1"/>
  <c r="AB93" i="15"/>
  <c r="DG787" i="6"/>
  <c r="AA80" i="15" s="1"/>
  <c r="AB80" i="15"/>
  <c r="DG755" i="6"/>
  <c r="AA69" i="15" s="1"/>
  <c r="AB69" i="15"/>
  <c r="AB104" i="15"/>
  <c r="DG849" i="6"/>
  <c r="AA97" i="15" s="1"/>
  <c r="AB97" i="15"/>
  <c r="DG871" i="6"/>
  <c r="AA103" i="15" s="1"/>
  <c r="AB103" i="15"/>
  <c r="DG799" i="6"/>
  <c r="AA84" i="15" s="1"/>
  <c r="AB84" i="15"/>
  <c r="DG783" i="6"/>
  <c r="AA78" i="15" s="1"/>
  <c r="AB78" i="15"/>
  <c r="DG881" i="6"/>
  <c r="AA107" i="15" s="1"/>
  <c r="AB107" i="15"/>
  <c r="DG779" i="6"/>
  <c r="AA77" i="15" s="1"/>
  <c r="AB77" i="15"/>
  <c r="DG867" i="6"/>
  <c r="AA102" i="15" s="1"/>
  <c r="AB102" i="15"/>
  <c r="DG767" i="6"/>
  <c r="AA73" i="15" s="1"/>
  <c r="AB73" i="15"/>
  <c r="AB98" i="15"/>
  <c r="K293" i="6"/>
  <c r="DJ293" i="6" s="1"/>
  <c r="AF478" i="6"/>
  <c r="K312" i="6"/>
  <c r="DJ312" i="6" s="1"/>
  <c r="AF497" i="6"/>
  <c r="AA10" i="15"/>
  <c r="K310" i="6"/>
  <c r="DJ310" i="6" s="1"/>
  <c r="K316" i="6"/>
  <c r="K763" i="6"/>
  <c r="DJ763" i="6" s="1"/>
  <c r="K825" i="6"/>
  <c r="DJ825" i="6" s="1"/>
  <c r="K809" i="6"/>
  <c r="DJ809" i="6" s="1"/>
  <c r="K841" i="6"/>
  <c r="DJ841" i="6" s="1"/>
  <c r="K805" i="6"/>
  <c r="DJ805" i="6" s="1"/>
  <c r="BM119" i="15"/>
  <c r="BK113" i="15"/>
  <c r="BK125" i="15"/>
  <c r="BK126" i="15"/>
  <c r="BN116" i="15"/>
  <c r="BH126" i="15"/>
  <c r="BL126" i="15"/>
  <c r="BH121" i="15"/>
  <c r="BN121" i="15" s="1"/>
  <c r="BL121" i="15"/>
  <c r="BK118" i="15"/>
  <c r="BM118" i="15"/>
  <c r="BK122" i="15"/>
  <c r="BF121" i="15"/>
  <c r="BM121" i="15" s="1"/>
  <c r="BK121" i="15"/>
  <c r="BN124" i="15"/>
  <c r="BH122" i="15"/>
  <c r="BN122" i="15" s="1"/>
  <c r="BL122" i="15"/>
  <c r="BH118" i="15"/>
  <c r="BN118" i="15" s="1"/>
  <c r="BL118" i="15"/>
  <c r="BH113" i="15"/>
  <c r="BN113" i="15" s="1"/>
  <c r="BL113" i="15"/>
  <c r="BK114" i="15"/>
  <c r="BF114" i="15"/>
  <c r="BM114" i="15" s="1"/>
  <c r="BM122" i="15"/>
  <c r="BH125" i="15"/>
  <c r="BN125" i="15" s="1"/>
  <c r="BL125" i="15"/>
  <c r="BH114" i="15"/>
  <c r="BN114" i="15" s="1"/>
  <c r="BL114" i="15"/>
  <c r="DG853" i="6"/>
  <c r="AA98" i="15" s="1"/>
  <c r="I391" i="6"/>
  <c r="I392" i="6"/>
  <c r="I394" i="6"/>
  <c r="I396" i="6"/>
  <c r="I393" i="6"/>
  <c r="I390" i="6"/>
  <c r="I389" i="6"/>
  <c r="I387" i="6"/>
  <c r="I388" i="6"/>
  <c r="I395" i="6"/>
  <c r="V734" i="7"/>
  <c r="D764" i="7"/>
  <c r="DG873" i="6"/>
  <c r="AA104" i="15" s="1"/>
  <c r="DJ316" i="6" l="1"/>
  <c r="DJ757" i="6"/>
  <c r="DG757" i="6" s="1"/>
  <c r="AA70" i="15" s="1"/>
  <c r="DJ749" i="6"/>
  <c r="DG749" i="6" s="1"/>
  <c r="AA66" i="15" s="1"/>
  <c r="DJ769" i="6"/>
  <c r="DG769" i="6" s="1"/>
  <c r="AA74" i="15" s="1"/>
  <c r="AB66" i="15"/>
  <c r="AB70" i="15"/>
  <c r="BI52" i="15"/>
  <c r="BN52" i="15" s="1"/>
  <c r="BL52" i="15"/>
  <c r="BN126" i="15"/>
  <c r="AB74" i="15"/>
  <c r="AB86" i="15"/>
  <c r="DG805" i="6"/>
  <c r="AA86" i="15" s="1"/>
  <c r="AB95" i="15"/>
  <c r="DG841" i="6"/>
  <c r="AA95" i="15" s="1"/>
  <c r="AB44" i="15"/>
  <c r="AB42" i="15"/>
  <c r="DG310" i="6"/>
  <c r="AA42" i="15" s="1"/>
  <c r="AB43" i="15"/>
  <c r="DG312" i="6"/>
  <c r="AA43" i="15" s="1"/>
  <c r="AB35" i="15"/>
  <c r="AB41" i="15"/>
  <c r="DG308" i="6"/>
  <c r="AA41" i="15" s="1"/>
  <c r="AB37" i="15"/>
  <c r="DG296" i="6"/>
  <c r="AA37" i="15" s="1"/>
  <c r="AB38" i="15"/>
  <c r="DG298" i="6"/>
  <c r="AA38" i="15" s="1"/>
  <c r="AB39" i="15"/>
  <c r="DG300" i="6"/>
  <c r="AA39" i="15" s="1"/>
  <c r="DG775" i="6"/>
  <c r="AA76" i="15" s="1"/>
  <c r="AB109" i="15"/>
  <c r="DG885" i="6"/>
  <c r="AA109" i="15" s="1"/>
  <c r="AB85" i="15"/>
  <c r="DG803" i="6"/>
  <c r="AA85" i="15" s="1"/>
  <c r="AB108" i="15"/>
  <c r="DG883" i="6"/>
  <c r="AA108" i="15" s="1"/>
  <c r="AB100" i="15"/>
  <c r="DG859" i="6"/>
  <c r="AA100" i="15" s="1"/>
  <c r="AB88" i="15"/>
  <c r="DG813" i="6"/>
  <c r="AA88" i="15" s="1"/>
  <c r="AB94" i="15"/>
  <c r="DG837" i="6"/>
  <c r="AA94" i="15" s="1"/>
  <c r="AB64" i="15"/>
  <c r="DG743" i="6"/>
  <c r="AA64" i="15" s="1"/>
  <c r="AB92" i="15"/>
  <c r="DG829" i="6"/>
  <c r="AA92" i="15" s="1"/>
  <c r="AB96" i="15"/>
  <c r="DG845" i="6"/>
  <c r="AA96" i="15" s="1"/>
  <c r="AB71" i="15"/>
  <c r="DG759" i="6"/>
  <c r="AA71" i="15" s="1"/>
  <c r="DG753" i="6"/>
  <c r="AA68" i="15" s="1"/>
  <c r="AB79" i="15"/>
  <c r="DG785" i="6"/>
  <c r="AA79" i="15" s="1"/>
  <c r="AB76" i="15"/>
  <c r="AB68" i="15"/>
  <c r="K295" i="6"/>
  <c r="DJ295" i="6" s="1"/>
  <c r="DG729" i="6"/>
  <c r="AA59" i="15" s="1"/>
  <c r="AB59" i="15"/>
  <c r="DG821" i="6"/>
  <c r="AA90" i="15" s="1"/>
  <c r="AB90" i="15"/>
  <c r="DG809" i="6"/>
  <c r="AA87" i="15" s="1"/>
  <c r="AB87" i="15"/>
  <c r="DG825" i="6"/>
  <c r="AA91" i="15" s="1"/>
  <c r="AB91" i="15"/>
  <c r="DG763" i="6"/>
  <c r="AA72" i="15" s="1"/>
  <c r="AB72" i="15"/>
  <c r="K304" i="6"/>
  <c r="DJ304" i="6" s="1"/>
  <c r="AF489" i="6"/>
  <c r="I403" i="6"/>
  <c r="I402" i="6"/>
  <c r="I400" i="6"/>
  <c r="I397" i="6"/>
  <c r="I401" i="6"/>
  <c r="I404" i="6"/>
  <c r="I406" i="6"/>
  <c r="I405" i="6"/>
  <c r="I398" i="6"/>
  <c r="I399" i="6"/>
  <c r="D826" i="7"/>
  <c r="V826" i="7" s="1"/>
  <c r="V764" i="7"/>
  <c r="DG293" i="6" l="1"/>
  <c r="AA35" i="15" s="1"/>
  <c r="AB40" i="15"/>
  <c r="AB36" i="15"/>
  <c r="DG295" i="6"/>
  <c r="AA36" i="15" s="1"/>
  <c r="I29" i="6"/>
  <c r="AF28" i="6"/>
  <c r="DG316" i="6"/>
  <c r="AA44" i="15" s="1"/>
  <c r="I407" i="6"/>
  <c r="I408" i="6"/>
  <c r="I413" i="6"/>
  <c r="I416" i="6"/>
  <c r="I414" i="6"/>
  <c r="I411" i="6"/>
  <c r="I410" i="6"/>
  <c r="I415" i="6"/>
  <c r="I409" i="6"/>
  <c r="I412" i="6"/>
  <c r="DG304" i="6" l="1"/>
  <c r="AA40" i="15" s="1"/>
  <c r="I30" i="6"/>
  <c r="AF29" i="6"/>
  <c r="I419" i="6"/>
  <c r="I420" i="6"/>
  <c r="I426" i="6"/>
  <c r="I421" i="6"/>
  <c r="I425" i="6"/>
  <c r="I423" i="6"/>
  <c r="I418" i="6"/>
  <c r="I422" i="6"/>
  <c r="I424" i="6"/>
  <c r="I417" i="6"/>
  <c r="AF20" i="6" l="1"/>
  <c r="AF19" i="6"/>
  <c r="I31" i="6"/>
  <c r="AF31" i="6" s="1"/>
  <c r="AF30" i="6"/>
  <c r="V897" i="7" l="1"/>
  <c r="D961" i="7"/>
  <c r="D985" i="7" l="1"/>
  <c r="V985" i="7" s="1"/>
  <c r="V96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tc={229520D7-7016-42E4-8C7A-C79132BFAEF2}</author>
  </authors>
  <commentList>
    <comment ref="B8" authorId="0" shapeId="0" xr:uid="{229520D7-7016-42E4-8C7A-C79132BFAEF2}">
      <text>
        <t>[Threaded comment]
Your version of Excel allows you to read this threaded comment; however, any edits to it will get removed if the file is opened in a newer version of Excel. Learn more: https://go.microsoft.com/fwlink/?linkid=870924
Comment:
    [Mention was removed] I would start over with Revision 1 for this filing</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tc={1F79EB30-40E6-4FEE-8081-264A0DD3316F}</author>
    <author>tc={4FD58C77-BC14-487C-A631-ECCF90B20D10}</author>
    <author>tc={032AEE45-646D-4A2E-93EE-ADA5B4D4ED52}</author>
    <author>tc={9A5B632C-620F-4DEF-870E-DEB9BAABB0E4}</author>
    <author>tc={6FA16D5E-F5F5-4EA9-95C4-3ACB1336652A}</author>
  </authors>
  <commentList>
    <comment ref="J8" authorId="0" shapeId="0" xr:uid="{00000000-0006-0000-0B00-000001000000}">
      <text>
        <r>
          <rPr>
            <b/>
            <sz val="9"/>
            <color indexed="81"/>
            <rFont val="Tahoma"/>
            <family val="2"/>
          </rPr>
          <t xml:space="preserve">Opinion Dynamics:
</t>
        </r>
        <r>
          <rPr>
            <sz val="9"/>
            <color indexed="81"/>
            <rFont val="Tahoma"/>
            <family val="2"/>
          </rPr>
          <t xml:space="preserve">EUL values updated to match TRC Memo, source of EUL values used in PY19 Evaluation; PY20 Evaluation will reflect values discussed during ongoing stakeholder collaborative meetings.
</t>
        </r>
      </text>
    </comment>
    <comment ref="Z8" authorId="0" shapeId="0" xr:uid="{00000000-0006-0000-0B00-000002000000}">
      <text>
        <r>
          <rPr>
            <b/>
            <sz val="9"/>
            <color indexed="81"/>
            <rFont val="Tahoma"/>
            <family val="2"/>
          </rPr>
          <t>11 Step updates</t>
        </r>
      </text>
    </comment>
    <comment ref="CA37" authorId="1" shapeId="0" xr:uid="{1F79EB30-40E6-4FEE-8081-264A0DD3316F}">
      <text>
        <t>[Threaded comment]
Your version of Excel allows you to read this threaded comment; however, any edits to it will get removed if the file is opened in a newer version of Excel. Learn more: https://go.microsoft.com/fwlink/?linkid=870924
Comment:
    New Parameter in 2022</t>
      </text>
    </comment>
    <comment ref="F38" authorId="0" shapeId="0" xr:uid="{00000000-0006-0000-0B00-000003000000}">
      <text>
        <r>
          <rPr>
            <sz val="9"/>
            <color indexed="81"/>
            <rFont val="Tahoma"/>
            <family val="2"/>
          </rPr>
          <t>Average wattage values based on program tracking data, unless otherwise noted; Updated with PY2022 tracking data</t>
        </r>
      </text>
    </comment>
    <comment ref="G38" authorId="0" shapeId="0" xr:uid="{00000000-0006-0000-0B00-000004000000}">
      <text>
        <r>
          <rPr>
            <sz val="9"/>
            <color indexed="81"/>
            <rFont val="Tahoma"/>
            <family val="2"/>
          </rPr>
          <t>Average wattage values based on program tracking data; Updated with PY2021 tracking data</t>
        </r>
      </text>
    </comment>
    <comment ref="H38" authorId="0" shapeId="0" xr:uid="{00000000-0006-0000-0B00-000005000000}">
      <text>
        <r>
          <rPr>
            <sz val="9"/>
            <color indexed="81"/>
            <rFont val="Tahoma"/>
            <family val="2"/>
          </rPr>
          <t>Average Hours values based on program tracking data; updated with PY2022 tracking data</t>
        </r>
      </text>
    </comment>
    <comment ref="I38" authorId="0" shapeId="0" xr:uid="{00000000-0006-0000-0B00-000006000000}">
      <text>
        <r>
          <rPr>
            <sz val="9"/>
            <color indexed="81"/>
            <rFont val="Tahoma"/>
            <family val="2"/>
          </rPr>
          <t xml:space="preserve">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 </t>
        </r>
      </text>
    </comment>
    <comment ref="J38" authorId="2" shapeId="0" xr:uid="{4FD58C77-BC14-487C-A631-ECCF90B20D10}">
      <text>
        <t>[Threaded comment]
Your version of Excel allows you to read this threaded comment; however, any edits to it will get removed if the file is opened in a newer version of Excel. Learn more: https://go.microsoft.com/fwlink/?linkid=870924
Comment:
    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
      </text>
    </comment>
    <comment ref="L38" authorId="0" shapeId="0" xr:uid="{00000000-0006-0000-0B00-000007000000}">
      <text>
        <r>
          <rPr>
            <b/>
            <sz val="9"/>
            <color indexed="81"/>
            <rFont val="Tahoma"/>
            <family val="2"/>
          </rPr>
          <t xml:space="preserve">Opinion Dynamics:
</t>
        </r>
        <r>
          <rPr>
            <sz val="9"/>
            <color indexed="81"/>
            <rFont val="Tahoma"/>
            <family val="2"/>
          </rPr>
          <t xml:space="preserve">EUL values updated to match EUL values developed through stakeholder process in 2020. EUL values are documented in 1/6/2021 Memo: Recommended EUL Values for Ameren Missouri Business Lighting Measures
</t>
        </r>
      </text>
    </comment>
    <comment ref="M38" authorId="0" shapeId="0" xr:uid="{00000000-0006-0000-0B00-000008000000}">
      <text>
        <r>
          <rPr>
            <b/>
            <sz val="9"/>
            <color indexed="81"/>
            <rFont val="Tahoma"/>
            <family val="2"/>
          </rPr>
          <t>Opinion Dynamics:</t>
        </r>
        <r>
          <rPr>
            <sz val="9"/>
            <color indexed="81"/>
            <rFont val="Tahoma"/>
            <family val="2"/>
          </rPr>
          <t xml:space="preserve">
Value is a weighted avaerage value across programs based on PY2019 EM&amp;V results including fixture/lamp kW and quantity adjustments.  This value applies only when new evaluation results are not conducted.
</t>
        </r>
      </text>
    </comment>
    <comment ref="F39" authorId="0" shapeId="0" xr:uid="{36DB1641-D377-4C70-8BD6-6663BF42A957}">
      <text>
        <r>
          <rPr>
            <sz val="9"/>
            <color indexed="81"/>
            <rFont val="Tahoma"/>
            <family val="2"/>
          </rPr>
          <t>2023 Update: EISA Backstop 45 lumen/watt based on EE wattage. Effective 8/1/23</t>
        </r>
      </text>
    </comment>
    <comment ref="F40" authorId="0" shapeId="0" xr:uid="{06C3012A-FB1C-4A79-BB9D-4F778A930100}">
      <text>
        <r>
          <rPr>
            <sz val="9"/>
            <color indexed="81"/>
            <rFont val="Tahoma"/>
            <family val="2"/>
          </rPr>
          <t>2023 Update: EISA Backstop 45 lumen/watt based on EE wattage. Effective 8/1/23</t>
        </r>
      </text>
    </comment>
    <comment ref="F41" authorId="0" shapeId="0" xr:uid="{A6380A4D-25F1-479A-99F0-6E14610A504C}">
      <text>
        <r>
          <rPr>
            <sz val="9"/>
            <color indexed="81"/>
            <rFont val="Tahoma"/>
            <family val="2"/>
          </rPr>
          <t>2023 Update: EISA Backstop 45 lumen/watt based on EE wattage. Effective 8/1/23</t>
        </r>
      </text>
    </comment>
    <comment ref="F42" authorId="0" shapeId="0" xr:uid="{A458249A-6C83-4C6F-A6FA-FB5CDF571173}">
      <text>
        <r>
          <rPr>
            <b/>
            <sz val="9"/>
            <color indexed="81"/>
            <rFont val="Tahoma"/>
            <family val="2"/>
          </rPr>
          <t>Author:</t>
        </r>
        <r>
          <rPr>
            <sz val="9"/>
            <color indexed="81"/>
            <rFont val="Tahoma"/>
            <family val="2"/>
          </rPr>
          <t xml:space="preserve">
MR-16 is exempt from the EISA backstop provision. Effective 8/1/23</t>
        </r>
      </text>
    </comment>
    <comment ref="F43" authorId="0" shapeId="0" xr:uid="{99D310B8-86EB-46F3-A647-26E63F06D5B0}">
      <text>
        <r>
          <rPr>
            <sz val="9"/>
            <color indexed="81"/>
            <rFont val="Tahoma"/>
            <family val="2"/>
          </rPr>
          <t>2023 Update: EISA Backstop 45 lumen/watt based on EE wattage. Effective 8/1/23</t>
        </r>
      </text>
    </comment>
    <comment ref="X50" authorId="0" shapeId="0" xr:uid="{B6429A5E-A45D-4C1C-B0EA-8AC528D017E3}">
      <text>
        <r>
          <rPr>
            <b/>
            <sz val="9"/>
            <color indexed="81"/>
            <rFont val="Tahoma"/>
            <family val="2"/>
          </rPr>
          <t>Average of measures 3023,3024,3025 from ADM</t>
        </r>
      </text>
    </comment>
    <comment ref="Y50" authorId="0" shapeId="0" xr:uid="{B2DBE6E5-E1BB-4004-9A86-EFF7952229FA}">
      <text>
        <r>
          <rPr>
            <b/>
            <sz val="9"/>
            <color indexed="81"/>
            <rFont val="Tahoma"/>
            <family val="2"/>
          </rPr>
          <t>Average of measures 3023,3024,3025 from ADM</t>
        </r>
      </text>
    </comment>
    <comment ref="F54" authorId="0" shapeId="0" xr:uid="{11AFC2B2-C185-40BB-9330-3E19777591E1}">
      <text>
        <r>
          <rPr>
            <sz val="9"/>
            <color indexed="81"/>
            <rFont val="Tahoma"/>
            <family val="2"/>
          </rPr>
          <t>2023 Update: EISA Backstop 45 lumen/watt based on EE wattage. Effective 8/1/23</t>
        </r>
      </text>
    </comment>
    <comment ref="C59" authorId="0" shapeId="0" xr:uid="{00000000-0006-0000-0B00-00000F000000}">
      <text>
        <r>
          <rPr>
            <b/>
            <sz val="9"/>
            <color indexed="81"/>
            <rFont val="Tahoma"/>
            <family val="2"/>
          </rPr>
          <t>Retired REF. IDS - June 2020:
801000
801050
801100
801150
801200</t>
        </r>
        <r>
          <rPr>
            <sz val="9"/>
            <color indexed="81"/>
            <rFont val="Tahoma"/>
            <family val="2"/>
          </rPr>
          <t xml:space="preserve">
Replaced with two New Measures 801110 &amp; 801120</t>
        </r>
      </text>
    </comment>
    <comment ref="K60" authorId="0" shapeId="0" xr:uid="{D14B57ED-1D53-4A61-9CA7-37447D256E07}">
      <text>
        <r>
          <rPr>
            <b/>
            <sz val="9"/>
            <color indexed="81"/>
            <rFont val="Tahoma"/>
            <family val="2"/>
          </rPr>
          <t>Author:</t>
        </r>
        <r>
          <rPr>
            <sz val="9"/>
            <color indexed="81"/>
            <rFont val="Tahoma"/>
            <family val="2"/>
          </rPr>
          <t xml:space="preserve">
TRC tracking data, 5 program years</t>
        </r>
      </text>
    </comment>
    <comment ref="K61" authorId="0" shapeId="0" xr:uid="{8E4FFA02-707B-4500-A8D4-CDC3E720F65E}">
      <text>
        <r>
          <rPr>
            <b/>
            <sz val="9"/>
            <color indexed="81"/>
            <rFont val="Tahoma"/>
            <family val="2"/>
          </rPr>
          <t>Author:</t>
        </r>
        <r>
          <rPr>
            <sz val="9"/>
            <color indexed="81"/>
            <rFont val="Tahoma"/>
            <family val="2"/>
          </rPr>
          <t xml:space="preserve">
TRC tracking data, 5 program years</t>
        </r>
      </text>
    </comment>
    <comment ref="CA72" authorId="3" shapeId="0" xr:uid="{032AEE45-646D-4A2E-93EE-ADA5B4D4ED52}">
      <text>
        <t>[Threaded comment]
Your version of Excel allows you to read this threaded comment; however, any edits to it will get removed if the file is opened in a newer version of Excel. Learn more: https://go.microsoft.com/fwlink/?linkid=870924
Comment:
    New Parameter in 2022</t>
      </text>
    </comment>
    <comment ref="F73" authorId="0" shapeId="0" xr:uid="{00000000-0006-0000-0B00-000010000000}">
      <text>
        <r>
          <rPr>
            <sz val="9"/>
            <color indexed="81"/>
            <rFont val="Tahoma"/>
            <family val="2"/>
          </rPr>
          <t>Lighting_Controls Tables</t>
        </r>
      </text>
    </comment>
    <comment ref="G73" authorId="0" shapeId="0" xr:uid="{00000000-0006-0000-0B00-000011000000}">
      <text>
        <r>
          <rPr>
            <sz val="9"/>
            <color indexed="81"/>
            <rFont val="Tahoma"/>
            <family val="2"/>
          </rPr>
          <t>Lighting Reference Table</t>
        </r>
      </text>
    </comment>
    <comment ref="H73" authorId="0" shapeId="0" xr:uid="{00000000-0006-0000-0B00-000012000000}">
      <text>
        <r>
          <rPr>
            <sz val="9"/>
            <color indexed="81"/>
            <rFont val="Tahoma"/>
            <family val="2"/>
          </rPr>
          <t>Lighting_Controls Tables</t>
        </r>
      </text>
    </comment>
    <comment ref="I73" authorId="0" shapeId="0" xr:uid="{00000000-0006-0000-0B00-000013000000}">
      <text>
        <r>
          <rPr>
            <sz val="9"/>
            <color indexed="81"/>
            <rFont val="Tahoma"/>
            <family val="2"/>
          </rPr>
          <t>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t>
        </r>
      </text>
    </comment>
    <comment ref="J73" authorId="4" shapeId="0" xr:uid="{9A5B632C-620F-4DEF-870E-DEB9BAABB0E4}">
      <text>
        <t>[Threaded comment]
Your version of Excel allows you to read this threaded comment; however, any edits to it will get removed if the file is opened in a newer version of Excel. Learn more: https://go.microsoft.com/fwlink/?linkid=870924
Comment:
    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
      </text>
    </comment>
    <comment ref="D76" authorId="0" shapeId="0" xr:uid="{00000000-0006-0000-0B00-000014000000}">
      <text>
        <r>
          <rPr>
            <b/>
            <sz val="9"/>
            <color indexed="81"/>
            <rFont val="Tahoma"/>
            <family val="2"/>
          </rPr>
          <t>Lawrence Berkeley National Laboratory. A Meta-Analysis of Energy Savings from Lighting Controls in Commercial Buildings. Page &amp; Associates Inc. 2011.</t>
        </r>
      </text>
    </comment>
    <comment ref="C90" authorId="0" shapeId="0" xr:uid="{29B301EF-1063-4E5A-9229-A2619C3C7175}">
      <text>
        <r>
          <rPr>
            <b/>
            <sz val="11"/>
            <color indexed="81"/>
            <rFont val="Tahoma"/>
            <family val="2"/>
          </rPr>
          <t>These are not in numerical order with measures above, but left this way to align with Appendix H tables order</t>
        </r>
      </text>
    </comment>
    <comment ref="F154" authorId="0" shapeId="0" xr:uid="{00000000-0006-0000-0B00-00001C000000}">
      <text>
        <r>
          <rPr>
            <sz val="9"/>
            <color indexed="81"/>
            <rFont val="Tahoma"/>
            <family val="2"/>
          </rPr>
          <t>Heat Pump Water Heater Tables</t>
        </r>
      </text>
    </comment>
    <comment ref="G154" authorId="5" shapeId="0" xr:uid="{6FA16D5E-F5F5-4EA9-95C4-3ACB1336652A}">
      <text>
        <t>[Threaded comment]
Your version of Excel allows you to read this threaded comment; however, any edits to it will get removed if the file is opened in a newer version of Excel. Learn more: https://go.microsoft.com/fwlink/?linkid=870924
Comment:
    AO Smith heat pump water heater eff</t>
      </text>
    </comment>
    <comment ref="H154" authorId="0" shapeId="0" xr:uid="{00000000-0006-0000-0B00-00001D000000}">
      <text>
        <r>
          <rPr>
            <sz val="9"/>
            <color indexed="81"/>
            <rFont val="Tahoma"/>
            <family val="2"/>
          </rPr>
          <t>Heat Pump Water Heater Tables</t>
        </r>
      </text>
    </comment>
    <comment ref="Q154" authorId="0" shapeId="0" xr:uid="{00000000-0006-0000-0B00-00001E000000}">
      <text>
        <r>
          <rPr>
            <sz val="9"/>
            <color indexed="81"/>
            <rFont val="Tahoma"/>
            <family val="2"/>
          </rPr>
          <t>Heat Pump Water Heater Tables</t>
        </r>
      </text>
    </comment>
    <comment ref="R154" authorId="0" shapeId="0" xr:uid="{00000000-0006-0000-0B00-00001F000000}">
      <text>
        <r>
          <rPr>
            <sz val="9"/>
            <color indexed="81"/>
            <rFont val="Tahoma"/>
            <family val="2"/>
          </rPr>
          <t>Heat Pump Water Heater Tables</t>
        </r>
      </text>
    </comment>
    <comment ref="S154" authorId="0" shapeId="0" xr:uid="{00000000-0006-0000-0B00-000020000000}">
      <text>
        <r>
          <rPr>
            <sz val="9"/>
            <color indexed="81"/>
            <rFont val="Tahoma"/>
            <family val="2"/>
          </rPr>
          <t>Heat Pump Water Heater Tables</t>
        </r>
      </text>
    </comment>
    <comment ref="I217" authorId="0" shapeId="0" xr:uid="{00000000-0006-0000-0B00-000023000000}">
      <text>
        <r>
          <rPr>
            <sz val="9"/>
            <color indexed="81"/>
            <rFont val="Tahoma"/>
            <family val="2"/>
          </rPr>
          <t>Stm Cooker &amp; Holding Cab Tables</t>
        </r>
      </text>
    </comment>
    <comment ref="G226" authorId="0" shapeId="0" xr:uid="{3102BAC9-680B-40BE-89F0-59A4D84B510A}">
      <text>
        <r>
          <rPr>
            <b/>
            <sz val="9"/>
            <color indexed="81"/>
            <rFont val="Tahoma"/>
            <family val="2"/>
          </rPr>
          <t>O kWh savings for thermostats per MEEIA 4 Stipulation (added "*0" in formula to retain formula structure and inputs)</t>
        </r>
        <r>
          <rPr>
            <sz val="9"/>
            <color indexed="81"/>
            <rFont val="Tahoma"/>
            <family val="2"/>
          </rPr>
          <t xml:space="preserve">
</t>
        </r>
      </text>
    </comment>
    <comment ref="H226" authorId="0" shapeId="0" xr:uid="{16D22946-4366-4924-93FC-50053FD50073}">
      <text>
        <r>
          <rPr>
            <b/>
            <sz val="9"/>
            <color indexed="81"/>
            <rFont val="Tahoma"/>
            <family val="2"/>
          </rPr>
          <t>O kWh savings for thermostats per MEEIA 4 Stipulation (added "*0" in formula to retain formula structure and inputs)</t>
        </r>
        <r>
          <rPr>
            <sz val="9"/>
            <color indexed="81"/>
            <rFont val="Tahoma"/>
            <family val="2"/>
          </rPr>
          <t xml:space="preserve">
</t>
        </r>
      </text>
    </comment>
    <comment ref="G227" authorId="0" shapeId="0" xr:uid="{EAF63104-A701-4DC5-B27A-286BC57515A0}">
      <text>
        <r>
          <rPr>
            <b/>
            <sz val="9"/>
            <color indexed="81"/>
            <rFont val="Tahoma"/>
            <family val="2"/>
          </rPr>
          <t>O kWh savings for thermostats per MEEIA 4 Stipulation (added "*0" in formula to retain formula structure and inputs)</t>
        </r>
      </text>
    </comment>
    <comment ref="E261" authorId="0" shapeId="0" xr:uid="{00000000-0006-0000-0B00-000029000000}">
      <text>
        <r>
          <rPr>
            <b/>
            <sz val="9"/>
            <color indexed="81"/>
            <rFont val="Tahoma"/>
            <family val="2"/>
          </rPr>
          <t>Jun- 2020 Removed 1-75HP and adjusted to allow measures &gt;= 1HP</t>
        </r>
      </text>
    </comment>
    <comment ref="I286" authorId="0" shapeId="0" xr:uid="{00000000-0006-0000-0B00-00002B000000}">
      <text>
        <r>
          <rPr>
            <sz val="9"/>
            <color indexed="81"/>
            <rFont val="Tahoma"/>
            <family val="2"/>
          </rPr>
          <t>VFD Supply_Return Fan Tables</t>
        </r>
      </text>
    </comment>
    <comment ref="J286" authorId="0" shapeId="0" xr:uid="{00000000-0006-0000-0B00-00002C000000}">
      <text>
        <r>
          <rPr>
            <sz val="9"/>
            <color indexed="81"/>
            <rFont val="Tahoma"/>
            <family val="2"/>
          </rPr>
          <t>VFD Supply_Return Fan Tables</t>
        </r>
      </text>
    </comment>
    <comment ref="K286" authorId="0" shapeId="0" xr:uid="{00000000-0006-0000-0B00-00002D000000}">
      <text>
        <r>
          <rPr>
            <sz val="9"/>
            <color indexed="81"/>
            <rFont val="Tahoma"/>
            <family val="2"/>
          </rPr>
          <t>VFD Supply_Return Fan Tables</t>
        </r>
      </text>
    </comment>
    <comment ref="H287" authorId="0" shapeId="0" xr:uid="{00000000-0006-0000-0B00-00002E000000}">
      <text>
        <r>
          <rPr>
            <sz val="9"/>
            <color indexed="81"/>
            <rFont val="Tahoma"/>
            <family val="2"/>
          </rPr>
          <t>Assumed 20HP ODP 4-pole 1800RPM</t>
        </r>
      </text>
    </comment>
    <comment ref="DG312" authorId="0" shapeId="0" xr:uid="{00000000-0006-0000-0B00-000031000000}">
      <text>
        <r>
          <rPr>
            <b/>
            <sz val="9"/>
            <color indexed="81"/>
            <rFont val="Tahoma"/>
            <family val="2"/>
          </rPr>
          <t xml:space="preserve">Opinion Dynamics: 
</t>
        </r>
        <r>
          <rPr>
            <sz val="9"/>
            <color indexed="81"/>
            <rFont val="Tahoma"/>
            <family val="2"/>
          </rPr>
          <t>Updated TRC calculation to include heating benefits</t>
        </r>
      </text>
    </comment>
    <comment ref="E313" authorId="0" shapeId="0" xr:uid="{032012F6-EC02-4776-B38C-76BDAEC6982A}">
      <text>
        <r>
          <rPr>
            <b/>
            <sz val="9"/>
            <color indexed="10"/>
            <rFont val="Tahoma"/>
            <family val="2"/>
          </rPr>
          <t>Combined prior measures 803500 &amp; 803550 (GSHP &lt;135kbtu; ≥17EER &amp; GSHP &lt;135kbtu; ≥19EER)</t>
        </r>
        <r>
          <rPr>
            <sz val="9"/>
            <color indexed="81"/>
            <rFont val="Tahoma"/>
            <family val="2"/>
          </rPr>
          <t xml:space="preserve">
</t>
        </r>
      </text>
    </comment>
    <comment ref="L330" authorId="0" shapeId="0" xr:uid="{44813BCC-1919-4939-B517-F61B9772ED5B}">
      <text>
        <r>
          <rPr>
            <b/>
            <sz val="9"/>
            <color indexed="81"/>
            <rFont val="Tahoma"/>
            <family val="2"/>
          </rPr>
          <t>Author:</t>
        </r>
        <r>
          <rPr>
            <sz val="9"/>
            <color indexed="81"/>
            <rFont val="Tahoma"/>
            <family val="2"/>
          </rPr>
          <t xml:space="preserve">
2015 IECC, GSHP - 50F entering water; ASHP - 17db / 15wb; effective 1/1/2024</t>
        </r>
      </text>
    </comment>
    <comment ref="R330" authorId="0" shapeId="0" xr:uid="{EBE3D46E-6DB2-4921-8607-4BFA8C3874E1}">
      <text>
        <r>
          <rPr>
            <b/>
            <sz val="9"/>
            <color indexed="81"/>
            <rFont val="Tahoma"/>
            <family val="2"/>
          </rPr>
          <t>Author:</t>
        </r>
        <r>
          <rPr>
            <sz val="9"/>
            <color indexed="81"/>
            <rFont val="Tahoma"/>
            <family val="2"/>
          </rPr>
          <t xml:space="preserve">
Incremental cost 104 per ton per IEER based on large unitary, adjusted for smaller units. Also adjusted for IEER not in the cost study, IEER 20 and 21
</t>
        </r>
      </text>
    </comment>
    <comment ref="K353" authorId="0" shapeId="0" xr:uid="{49806A04-4BEA-4390-B4C5-A56F2DAC9B42}">
      <text>
        <r>
          <rPr>
            <b/>
            <sz val="9"/>
            <color indexed="81"/>
            <rFont val="Tahoma"/>
            <family val="2"/>
          </rPr>
          <t>Author:</t>
        </r>
        <r>
          <rPr>
            <sz val="9"/>
            <color indexed="81"/>
            <rFont val="Tahoma"/>
            <family val="2"/>
          </rPr>
          <t xml:space="preserve">
Thisis the water cooled screw incremental cost from Appendix H applied to air, assumed it is a screw chiller</t>
        </r>
      </text>
    </comment>
    <comment ref="G426" authorId="0" shapeId="0" xr:uid="{ED5A01D5-229F-402B-88C6-39D807637BDF}">
      <text>
        <r>
          <rPr>
            <b/>
            <sz val="9"/>
            <color indexed="81"/>
            <rFont val="Tahoma"/>
            <family val="2"/>
          </rPr>
          <t>Author:</t>
        </r>
        <r>
          <rPr>
            <sz val="9"/>
            <color indexed="81"/>
            <rFont val="Tahoma"/>
            <family val="2"/>
          </rPr>
          <t xml:space="preserve">
Applies unknown weighted average Hours</t>
        </r>
      </text>
    </comment>
    <comment ref="H426" authorId="0" shapeId="0" xr:uid="{8E9F8020-8EE8-486A-9547-27FF0A8C774C}">
      <text>
        <r>
          <rPr>
            <b/>
            <sz val="9"/>
            <color indexed="81"/>
            <rFont val="Tahoma"/>
            <family val="2"/>
          </rPr>
          <t xml:space="preserve">Author:
</t>
        </r>
        <r>
          <rPr>
            <sz val="9"/>
            <color indexed="81"/>
            <rFont val="Tahoma"/>
            <family val="2"/>
          </rPr>
          <t xml:space="preserve">Assumes Modulating w/ Blowdown
</t>
        </r>
      </text>
    </comment>
    <comment ref="C434" authorId="0" shapeId="0" xr:uid="{00000000-0006-0000-0B00-000038000000}">
      <text>
        <r>
          <rPr>
            <b/>
            <sz val="9"/>
            <color indexed="81"/>
            <rFont val="Tahoma"/>
            <family val="2"/>
          </rPr>
          <t>Retired REF. IDS - June 2020:
805400</t>
        </r>
        <r>
          <rPr>
            <sz val="9"/>
            <color indexed="81"/>
            <rFont val="Tahoma"/>
            <family val="2"/>
          </rPr>
          <t xml:space="preserve">
Replaced with two New Measures 805405 &amp; 805410</t>
        </r>
      </text>
    </comment>
    <comment ref="G463" authorId="0" shapeId="0" xr:uid="{00000000-0006-0000-0B00-000039000000}">
      <text>
        <r>
          <rPr>
            <sz val="9"/>
            <color indexed="81"/>
            <rFont val="Tahoma"/>
            <family val="2"/>
          </rPr>
          <t>Average of Table</t>
        </r>
      </text>
    </comment>
    <comment ref="H463" authorId="0" shapeId="0" xr:uid="{00000000-0006-0000-0B00-00003A000000}">
      <text>
        <r>
          <rPr>
            <sz val="9"/>
            <color indexed="81"/>
            <rFont val="Tahoma"/>
            <family val="2"/>
          </rPr>
          <t>Average of Table</t>
        </r>
      </text>
    </comment>
    <comment ref="V484" authorId="0" shapeId="0" xr:uid="{00000000-0006-0000-0B00-00003B000000}">
      <text>
        <r>
          <rPr>
            <b/>
            <sz val="9"/>
            <color indexed="81"/>
            <rFont val="Tahoma"/>
            <family val="2"/>
          </rPr>
          <t>New measure addded June 2020</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Y6" authorId="0" shapeId="0" xr:uid="{00000000-0006-0000-0300-000001000000}">
      <text>
        <r>
          <rPr>
            <b/>
            <sz val="9"/>
            <color indexed="81"/>
            <rFont val="Tahoma"/>
            <family val="2"/>
          </rPr>
          <t>Author:</t>
        </r>
        <r>
          <rPr>
            <sz val="9"/>
            <color indexed="81"/>
            <rFont val="Tahoma"/>
            <family val="2"/>
          </rPr>
          <t xml:space="preserve">
PY18 EM&amp;V</t>
        </r>
      </text>
    </comment>
    <comment ref="Z6" authorId="0" shapeId="0" xr:uid="{00000000-0006-0000-0300-000002000000}">
      <text>
        <r>
          <rPr>
            <b/>
            <sz val="9"/>
            <color indexed="81"/>
            <rFont val="Tahoma"/>
            <family val="2"/>
          </rPr>
          <t>11 Step updates</t>
        </r>
      </text>
    </comment>
    <comment ref="W18" authorId="0" shapeId="0" xr:uid="{00000000-0006-0000-0300-000003000000}">
      <text>
        <r>
          <rPr>
            <b/>
            <sz val="9"/>
            <color indexed="81"/>
            <rFont val="Tahoma"/>
            <family val="2"/>
          </rPr>
          <t>Cadmus EM&amp;V 2016 value for gallons per day, 64, divided by people per household.  
Cadmus source for gallons per a day is 'DOE Federal Energy Management Program Energy Cost Calculator'</t>
        </r>
        <r>
          <rPr>
            <sz val="9"/>
            <color indexed="81"/>
            <rFont val="Tahoma"/>
            <family val="2"/>
          </rPr>
          <t xml:space="preserve">
</t>
        </r>
      </text>
    </comment>
    <comment ref="W22" authorId="0" shapeId="0" xr:uid="{00000000-0006-0000-0300-000004000000}">
      <text>
        <r>
          <rPr>
            <b/>
            <sz val="9"/>
            <color indexed="81"/>
            <rFont val="Tahoma"/>
            <family val="2"/>
          </rPr>
          <t>Ameren TRM</t>
        </r>
      </text>
    </comment>
    <comment ref="D27" authorId="0" shapeId="0" xr:uid="{00000000-0006-0000-0300-000005000000}">
      <text>
        <r>
          <rPr>
            <sz val="9"/>
            <color indexed="81"/>
            <rFont val="Tahoma"/>
            <family val="2"/>
          </rPr>
          <t xml:space="preserve">Changed these from descriptions to actual factors in the equation - just formating change no update to the values or how they were used
</t>
        </r>
      </text>
    </comment>
    <comment ref="W35" authorId="0" shapeId="0" xr:uid="{00000000-0006-0000-0300-000006000000}">
      <text>
        <r>
          <rPr>
            <b/>
            <sz val="9"/>
            <color indexed="81"/>
            <rFont val="Tahoma"/>
            <family val="2"/>
          </rPr>
          <t>Infiltration Factor Calculation Methodology by Bruce Harley, Senior Manager, Applied Building Science, CLEAResult 11/18/2015</t>
        </r>
      </text>
    </comment>
    <comment ref="X38" authorId="0" shapeId="0" xr:uid="{00000000-0006-0000-0300-000007000000}">
      <text>
        <r>
          <rPr>
            <b/>
            <sz val="9"/>
            <color indexed="81"/>
            <rFont val="Tahoma"/>
            <family val="2"/>
          </rPr>
          <t>PY16 Efficient Products Survey Results (customers with HPWH)</t>
        </r>
        <r>
          <rPr>
            <sz val="9"/>
            <color indexed="81"/>
            <rFont val="Tahoma"/>
            <family val="2"/>
          </rPr>
          <t xml:space="preserve">
</t>
        </r>
      </text>
    </comment>
    <comment ref="X39" authorId="0" shapeId="0" xr:uid="{00000000-0006-0000-0300-000008000000}">
      <text>
        <r>
          <rPr>
            <b/>
            <sz val="9"/>
            <color indexed="81"/>
            <rFont val="Tahoma"/>
            <family val="2"/>
          </rPr>
          <t>PY16 Efficient Products Survey Results (customers with HPWH)</t>
        </r>
        <r>
          <rPr>
            <sz val="9"/>
            <color indexed="81"/>
            <rFont val="Tahoma"/>
            <family val="2"/>
          </rPr>
          <t xml:space="preserve">
</t>
        </r>
      </text>
    </comment>
    <comment ref="F47" authorId="0" shapeId="0" xr:uid="{E6D74747-5DD7-462F-BC44-7E4917363997}">
      <text>
        <r>
          <rPr>
            <b/>
            <sz val="12"/>
            <color indexed="81"/>
            <rFont val="Tahoma"/>
            <family val="2"/>
          </rPr>
          <t xml:space="preserve">O kWh savings for thermostats per MEEIA 4 Stipulation (added "*0" in formula to retain formula structure and inputs)
</t>
        </r>
        <r>
          <rPr>
            <sz val="9"/>
            <color indexed="81"/>
            <rFont val="Tahoma"/>
            <family val="2"/>
          </rPr>
          <t xml:space="preserve">
</t>
        </r>
      </text>
    </comment>
    <comment ref="W78" authorId="0" shapeId="0" xr:uid="{00000000-0006-0000-0300-00000B000000}">
      <text>
        <r>
          <rPr>
            <b/>
            <sz val="9"/>
            <color indexed="81"/>
            <rFont val="Tahoma"/>
            <family val="2"/>
          </rPr>
          <t>St Louis - Heat Pump- MO TRM</t>
        </r>
        <r>
          <rPr>
            <sz val="9"/>
            <color indexed="81"/>
            <rFont val="Tahoma"/>
            <family val="2"/>
          </rPr>
          <t xml:space="preserve">
</t>
        </r>
      </text>
    </comment>
    <comment ref="X78" authorId="0" shapeId="0" xr:uid="{00000000-0006-0000-0300-00000C000000}">
      <text>
        <r>
          <rPr>
            <sz val="9"/>
            <color indexed="81"/>
            <rFont val="Tahoma"/>
            <family val="2"/>
          </rPr>
          <t xml:space="preserve">Filterd data on "Cooling"  for Heat Pump measures - took average
</t>
        </r>
      </text>
    </comment>
    <comment ref="Y78" authorId="0" shapeId="0" xr:uid="{00000000-0006-0000-0300-00000D000000}">
      <text>
        <r>
          <rPr>
            <sz val="9"/>
            <color indexed="81"/>
            <rFont val="Tahoma"/>
            <family val="2"/>
          </rPr>
          <t xml:space="preserve"> updated values by filtering thermostat data by heating/cooling type.</t>
        </r>
      </text>
    </comment>
    <comment ref="W80" authorId="0" shapeId="0" xr:uid="{00000000-0006-0000-0300-00000E000000}">
      <text>
        <r>
          <rPr>
            <b/>
            <sz val="9"/>
            <color indexed="81"/>
            <rFont val="Tahoma"/>
            <family val="2"/>
          </rPr>
          <t>St Louis - Resistance - MO TRM</t>
        </r>
        <r>
          <rPr>
            <sz val="9"/>
            <color indexed="81"/>
            <rFont val="Tahoma"/>
            <family val="2"/>
          </rPr>
          <t xml:space="preserve">
</t>
        </r>
      </text>
    </comment>
    <comment ref="W81" authorId="0" shapeId="0" xr:uid="{00000000-0006-0000-0300-00000F000000}">
      <text>
        <r>
          <rPr>
            <b/>
            <sz val="9"/>
            <color indexed="81"/>
            <rFont val="Tahoma"/>
            <family val="2"/>
          </rPr>
          <t xml:space="preserve">St Louis - Resistance - MO TRM
</t>
        </r>
        <r>
          <rPr>
            <sz val="9"/>
            <color indexed="81"/>
            <rFont val="Tahoma"/>
            <family val="2"/>
          </rPr>
          <t xml:space="preserve">
</t>
        </r>
      </text>
    </comment>
    <comment ref="X84" authorId="0" shapeId="0" xr:uid="{00000000-0006-0000-0300-000010000000}">
      <text>
        <r>
          <rPr>
            <sz val="9"/>
            <color indexed="81"/>
            <rFont val="Tahoma"/>
            <family val="2"/>
          </rPr>
          <t xml:space="preserve">If you exclude gas systems from Gas data, this average value is 12,382.71  Used this value as gas measures have own line item (set as "0")
</t>
        </r>
      </text>
    </comment>
    <comment ref="W92" authorId="0" shapeId="0" xr:uid="{00000000-0006-0000-0300-000011000000}">
      <text>
        <r>
          <rPr>
            <b/>
            <sz val="9"/>
            <color indexed="81"/>
            <rFont val="Tahoma"/>
            <family val="2"/>
          </rPr>
          <t>MO - TRM</t>
        </r>
      </text>
    </comment>
    <comment ref="X92" authorId="0" shapeId="0" xr:uid="{00000000-0006-0000-0300-000012000000}">
      <text>
        <r>
          <rPr>
            <sz val="9"/>
            <color indexed="81"/>
            <rFont val="Tahoma"/>
            <family val="2"/>
          </rPr>
          <t>This is a weighted average of the types shown in the Word TRM document
Frequency was 41,55,4</t>
        </r>
      </text>
    </comment>
    <comment ref="F114" authorId="0" shapeId="0" xr:uid="{00000000-0006-0000-0300-000016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Value is 24000 in most recent program data for MFMR
Reply:
    If this value is updated to 24000, the Household Factor (HF) should be updated to 100% for all measures. HF currently already accounts for the smaller capacity of MF units.</t>
        </r>
      </text>
    </comment>
    <comment ref="X114" authorId="0" shapeId="0" xr:uid="{00000000-0006-0000-0300-000017000000}">
      <text>
        <r>
          <rPr>
            <sz val="9"/>
            <color indexed="81"/>
            <rFont val="Tahoma"/>
            <family val="2"/>
          </rPr>
          <t>Used default value for MF (SF x 65%)</t>
        </r>
      </text>
    </comment>
    <comment ref="Y114" authorId="0" shapeId="0" xr:uid="{00000000-0006-0000-0300-000018000000}">
      <text>
        <r>
          <rPr>
            <sz val="9"/>
            <color indexed="81"/>
            <rFont val="Tahoma"/>
            <family val="2"/>
          </rPr>
          <t xml:space="preserve">Corrected  to match SF value - The 65% factor is being applied to adjust SF capacities &amp;  heating consumption downward for MF to calculate savings
</t>
        </r>
      </text>
    </comment>
    <comment ref="AC114" authorId="0" shapeId="0" xr:uid="{00000000-0006-0000-0300-000019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Value is 24000 in most recent program data for MFMR
Reply:
    If this value is updated to 24000, the Household Factor (HF) should be updated to 100% for all measures. HF currently already accounts for the smaller capacity of MF units.</t>
        </r>
      </text>
    </comment>
    <comment ref="W123" authorId="0" shapeId="0" xr:uid="{00000000-0006-0000-0300-00001A000000}">
      <text>
        <r>
          <rPr>
            <b/>
            <sz val="9"/>
            <color indexed="81"/>
            <rFont val="Tahoma"/>
            <family val="2"/>
          </rPr>
          <t>MO - TRM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Y6" authorId="0" shapeId="0" xr:uid="{00000000-0006-0000-0400-000001000000}">
      <text>
        <r>
          <rPr>
            <b/>
            <sz val="9"/>
            <color indexed="81"/>
            <rFont val="Tahoma"/>
            <family val="2"/>
          </rPr>
          <t>Author:</t>
        </r>
        <r>
          <rPr>
            <sz val="9"/>
            <color indexed="81"/>
            <rFont val="Tahoma"/>
            <family val="2"/>
          </rPr>
          <t xml:space="preserve">
PY18 EM&amp;V</t>
        </r>
      </text>
    </comment>
    <comment ref="Z6" authorId="0" shapeId="0" xr:uid="{00000000-0006-0000-0400-000002000000}">
      <text>
        <r>
          <rPr>
            <b/>
            <sz val="9"/>
            <color indexed="81"/>
            <rFont val="Tahoma"/>
            <family val="2"/>
          </rPr>
          <t>11 Step updates</t>
        </r>
      </text>
    </comment>
    <comment ref="X26" authorId="0" shapeId="0" xr:uid="{00000000-0006-0000-0400-000004000000}">
      <text>
        <r>
          <rPr>
            <b/>
            <sz val="9"/>
            <color indexed="81"/>
            <rFont val="Tahoma"/>
            <family val="2"/>
          </rPr>
          <t>In PY2017 this was included in the ISR rate but may need to be considered in future</t>
        </r>
        <r>
          <rPr>
            <sz val="9"/>
            <color indexed="81"/>
            <rFont val="Tahoma"/>
            <family val="2"/>
          </rPr>
          <t xml:space="preserve">
</t>
        </r>
      </text>
    </comment>
    <comment ref="AB40" authorId="0" shapeId="0" xr:uid="{00000000-0006-0000-0400-000007000000}">
      <text>
        <r>
          <rPr>
            <b/>
            <sz val="9"/>
            <color indexed="81"/>
            <rFont val="Tahoma"/>
            <family val="2"/>
          </rPr>
          <t>changed to take hours and days into account to match to formats of other deemed tables</t>
        </r>
      </text>
    </comment>
    <comment ref="W42" authorId="0" shapeId="0" xr:uid="{00000000-0006-0000-0400-000008000000}">
      <text>
        <r>
          <rPr>
            <b/>
            <sz val="9"/>
            <color indexed="81"/>
            <rFont val="Tahoma"/>
            <family val="2"/>
          </rPr>
          <t>PY16 Engineering Simulation Modeling adjusted for heating and cooling saturations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tc={964B95CF-B44E-481D-8797-EC09060FC94D}</author>
    <author>tc={F77C096A-F478-48D9-B3E2-408CC9EB5843}</author>
    <author>tc={D33F3C28-9C7D-4C8B-A43A-D5A62E829534}</author>
  </authors>
  <commentList>
    <comment ref="E21" authorId="0" shapeId="0" xr:uid="{00000000-0006-0000-0500-000004000000}">
      <text>
        <r>
          <rPr>
            <b/>
            <sz val="9"/>
            <color indexed="81"/>
            <rFont val="Tahoma"/>
            <family val="2"/>
          </rPr>
          <t>Added this row as this was not shown in inputs table previously but was just a number in the equation - just formating change no update to the values or how they were used and allows showing source for this value</t>
        </r>
        <r>
          <rPr>
            <sz val="9"/>
            <color indexed="81"/>
            <rFont val="Tahoma"/>
            <family val="2"/>
          </rPr>
          <t xml:space="preserve">
</t>
        </r>
      </text>
    </comment>
    <comment ref="Y21" authorId="0" shapeId="0" xr:uid="{00000000-0006-0000-0500-000005000000}">
      <text>
        <r>
          <rPr>
            <b/>
            <sz val="9"/>
            <color indexed="81"/>
            <rFont val="Tahoma"/>
            <family val="2"/>
          </rPr>
          <t>This value is not new just including it in the input table (previously only shown in the equation)</t>
        </r>
      </text>
    </comment>
    <comment ref="Y22" authorId="0" shapeId="0" xr:uid="{00000000-0006-0000-0500-000006000000}">
      <text>
        <r>
          <rPr>
            <b/>
            <sz val="9"/>
            <color indexed="81"/>
            <rFont val="Tahoma"/>
            <family val="2"/>
          </rPr>
          <t xml:space="preserve">This values should remain 2009 
The formula compares a ratio of the Wisconsin vs St. Louis values </t>
        </r>
        <r>
          <rPr>
            <sz val="9"/>
            <color indexed="81"/>
            <rFont val="Tahoma"/>
            <family val="2"/>
          </rPr>
          <t xml:space="preserve">
</t>
        </r>
      </text>
    </comment>
    <comment ref="Y32" authorId="0" shapeId="0" xr:uid="{00000000-0006-0000-0500-000007000000}">
      <text>
        <r>
          <rPr>
            <b/>
            <sz val="9"/>
            <color indexed="81"/>
            <rFont val="Tahoma"/>
            <family val="2"/>
          </rPr>
          <t>This value is not new just including it in the input table (previously only shown in the equation)</t>
        </r>
      </text>
    </comment>
    <comment ref="I33" authorId="0" shapeId="0" xr:uid="{00000000-0006-0000-0500-000008000000}">
      <text>
        <r>
          <rPr>
            <sz val="12"/>
            <color indexed="81"/>
            <rFont val="Tahoma"/>
            <family val="2"/>
          </rPr>
          <t xml:space="preserve">THIS VALUE SHOULD REMAIN 1215 
The formula compares uses a ratio of the Wisconsin vs St. Louis values </t>
        </r>
      </text>
    </comment>
    <comment ref="X33" authorId="0" shapeId="0" xr:uid="{00000000-0006-0000-0500-000009000000}">
      <text>
        <r>
          <rPr>
            <sz val="12"/>
            <color indexed="81"/>
            <rFont val="Tahoma"/>
            <family val="2"/>
          </rPr>
          <t xml:space="preserve">THIS VALUE SHOULD REMAIN 1215 
The formula compares uses a ratio of the Wisconsin vs St. Louis values </t>
        </r>
      </text>
    </comment>
    <comment ref="Y33" authorId="0" shapeId="0" xr:uid="{00000000-0006-0000-0500-00000A000000}">
      <text>
        <r>
          <rPr>
            <sz val="12"/>
            <color indexed="81"/>
            <rFont val="Tahoma"/>
            <family val="2"/>
          </rPr>
          <t xml:space="preserve">This values should remain 1215 
The formula compares a ratio of the Wisconsin vs St. Louis values </t>
        </r>
      </text>
    </comment>
    <comment ref="AF33" authorId="0" shapeId="0" xr:uid="{5E9C08CE-EFCD-4F66-8E72-5B4AD5E33914}">
      <text>
        <r>
          <rPr>
            <sz val="12"/>
            <color indexed="81"/>
            <rFont val="Tahoma"/>
            <family val="2"/>
          </rPr>
          <t xml:space="preserve">THIS VALUE SHOULD REMAIN 1215 
The formula compares uses a ratio of the Wisconsin vs St. Louis values </t>
        </r>
      </text>
    </comment>
    <comment ref="X109" authorId="0" shapeId="0" xr:uid="{00000000-0006-0000-0500-000016000000}">
      <text>
        <r>
          <rPr>
            <b/>
            <sz val="9"/>
            <color indexed="81"/>
            <rFont val="Tahoma"/>
            <family val="2"/>
          </rPr>
          <t>update from Community Savers - ADM</t>
        </r>
        <r>
          <rPr>
            <sz val="9"/>
            <color indexed="81"/>
            <rFont val="Tahoma"/>
            <family val="2"/>
          </rPr>
          <t xml:space="preserve">
</t>
        </r>
      </text>
    </comment>
    <comment ref="X110" authorId="0" shapeId="0" xr:uid="{00000000-0006-0000-0500-000017000000}">
      <text>
        <r>
          <rPr>
            <b/>
            <sz val="9"/>
            <color indexed="81"/>
            <rFont val="Tahoma"/>
            <family val="2"/>
          </rPr>
          <t>update from Community Savers - ADM</t>
        </r>
        <r>
          <rPr>
            <sz val="9"/>
            <color indexed="81"/>
            <rFont val="Tahoma"/>
            <family val="2"/>
          </rPr>
          <t xml:space="preserve">
</t>
        </r>
      </text>
    </comment>
    <comment ref="X132" authorId="0" shapeId="0" xr:uid="{00000000-0006-0000-0500-00001C000000}">
      <text>
        <r>
          <rPr>
            <b/>
            <sz val="9"/>
            <color indexed="81"/>
            <rFont val="Tahoma"/>
            <family val="2"/>
          </rPr>
          <t>update from Community Savers - ADM</t>
        </r>
        <r>
          <rPr>
            <sz val="9"/>
            <color indexed="81"/>
            <rFont val="Tahoma"/>
            <family val="2"/>
          </rPr>
          <t xml:space="preserve">
</t>
        </r>
      </text>
    </comment>
    <comment ref="X133" authorId="0" shapeId="0" xr:uid="{00000000-0006-0000-0500-00001D000000}">
      <text>
        <r>
          <rPr>
            <b/>
            <sz val="9"/>
            <color indexed="81"/>
            <rFont val="Tahoma"/>
            <family val="2"/>
          </rPr>
          <t>update from Community Savers - ADM</t>
        </r>
        <r>
          <rPr>
            <sz val="9"/>
            <color indexed="81"/>
            <rFont val="Tahoma"/>
            <family val="2"/>
          </rPr>
          <t xml:space="preserve">
</t>
        </r>
      </text>
    </comment>
    <comment ref="X175" authorId="0" shapeId="0" xr:uid="{00000000-0006-0000-0500-000022000000}">
      <text>
        <r>
          <rPr>
            <b/>
            <sz val="9"/>
            <color indexed="81"/>
            <rFont val="Tahoma"/>
            <family val="2"/>
          </rPr>
          <t>The 2017 measure is a CAC 16+ and MEEIA 3 currently separates these higher SEERS into separate buckets.  Program design could impact this value some in the future.</t>
        </r>
        <r>
          <rPr>
            <sz val="9"/>
            <color indexed="81"/>
            <rFont val="Tahoma"/>
            <family val="2"/>
          </rPr>
          <t xml:space="preserve">
</t>
        </r>
      </text>
    </comment>
    <comment ref="X178" authorId="0" shapeId="0" xr:uid="{00000000-0006-0000-0500-000023000000}">
      <text>
        <r>
          <rPr>
            <b/>
            <sz val="9"/>
            <color indexed="81"/>
            <rFont val="Tahoma"/>
            <family val="2"/>
          </rPr>
          <t>update from Community Savers - ADM</t>
        </r>
        <r>
          <rPr>
            <sz val="9"/>
            <color indexed="81"/>
            <rFont val="Tahoma"/>
            <family val="2"/>
          </rPr>
          <t xml:space="preserve">
</t>
        </r>
      </text>
    </comment>
    <comment ref="X179" authorId="0" shapeId="0" xr:uid="{00000000-0006-0000-0500-000024000000}">
      <text>
        <r>
          <rPr>
            <b/>
            <sz val="9"/>
            <color indexed="81"/>
            <rFont val="Tahoma"/>
            <family val="2"/>
          </rPr>
          <t>update from Community Savers - ADM</t>
        </r>
        <r>
          <rPr>
            <sz val="9"/>
            <color indexed="81"/>
            <rFont val="Tahoma"/>
            <family val="2"/>
          </rPr>
          <t xml:space="preserve">
</t>
        </r>
      </text>
    </comment>
    <comment ref="X224" authorId="0" shapeId="0" xr:uid="{00000000-0006-0000-0500-00002C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225" authorId="0" shapeId="0" xr:uid="{00000000-0006-0000-0500-00002D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F295" authorId="0" shapeId="0" xr:uid="{28EE2460-9B6D-413B-8EE8-FF43E55B5054}">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algorithm - previously referenced SEERexist instead of SEERbase</t>
        </r>
      </text>
    </comment>
    <comment ref="W349" authorId="0" shapeId="0" xr:uid="{00000000-0006-0000-0500-000038000000}">
      <text>
        <r>
          <rPr>
            <sz val="11"/>
            <color indexed="81"/>
            <rFont val="Tahoma"/>
            <family val="2"/>
          </rPr>
          <t>MO TRM includes 7.7 for manufacture dates prior to 1/2/2017 and 8.0 for manufacture dates after 1/1/2017</t>
        </r>
      </text>
    </comment>
    <comment ref="X349" authorId="0" shapeId="0" xr:uid="{00000000-0006-0000-0500-000039000000}">
      <text>
        <r>
          <rPr>
            <sz val="11"/>
            <color indexed="81"/>
            <rFont val="Tahoma"/>
            <family val="2"/>
          </rPr>
          <t>MO TRM includes 7.7 for manufacture dates prior to 1/2/2017 and 8.0 for manufacture dates after 1/1/2017</t>
        </r>
      </text>
    </comment>
    <comment ref="J353" authorId="1" shapeId="0" xr:uid="{964B95CF-B44E-481D-8797-EC09060FC94D}">
      <text>
        <t>[Threaded comment]
Your version of Excel allows you to read this threaded comment; however, any edits to it will get removed if the file is opened in a newer version of Excel. Learn more: https://go.microsoft.com/fwlink/?linkid=870924
Comment:
    In an effort to clean up and maintain consistency: When replacing a CAC with non-electric heating only cooling savings can be claimed. Therefore, HSPFbase for these measures is 0.</t>
      </text>
    </comment>
    <comment ref="J354" authorId="2" shapeId="0" xr:uid="{F77C096A-F478-48D9-B3E2-408CC9EB5843}">
      <text>
        <t xml:space="preserve">[Threaded comment]
Your version of Excel allows you to read this threaded comment; however, any edits to it will get removed if the file is opened in a newer version of Excel. Learn more: https://go.microsoft.com/fwlink/?linkid=870924
Comment:
    In an effort to clean up and maintain consistency: When replacing a CAC with non-electric heating only cooling savings can be claimed. Therefore, HSPFbase for these measures is 0.
</t>
      </text>
    </comment>
    <comment ref="W377" authorId="0" shapeId="0" xr:uid="{00000000-0006-0000-0500-00003A000000}">
      <text>
        <r>
          <rPr>
            <sz val="9"/>
            <color indexed="81"/>
            <rFont val="Tahoma"/>
            <family val="2"/>
          </rPr>
          <t>Assumed same size as similar ASHP</t>
        </r>
      </text>
    </comment>
    <comment ref="X377" authorId="0" shapeId="0" xr:uid="{00000000-0006-0000-0500-00003B000000}">
      <text>
        <r>
          <rPr>
            <sz val="11"/>
            <color indexed="81"/>
            <rFont val="Tahoma"/>
            <family val="2"/>
          </rPr>
          <t>CADMUS PROVIDED A SINGLE "Tonnage" value" used same for heating and cooling</t>
        </r>
        <r>
          <rPr>
            <sz val="9"/>
            <color indexed="81"/>
            <rFont val="Tahoma"/>
            <family val="2"/>
          </rPr>
          <t xml:space="preserve">
</t>
        </r>
      </text>
    </comment>
    <comment ref="W378" authorId="0" shapeId="0" xr:uid="{00000000-0006-0000-0500-00003C000000}">
      <text>
        <r>
          <rPr>
            <sz val="9"/>
            <color indexed="81"/>
            <rFont val="Tahoma"/>
            <family val="2"/>
          </rPr>
          <t xml:space="preserve">Assumed Same Size as similar ASHP
</t>
        </r>
      </text>
    </comment>
    <comment ref="W397" authorId="0" shapeId="0" xr:uid="{00000000-0006-0000-0500-00003D000000}">
      <text>
        <r>
          <rPr>
            <sz val="11"/>
            <color indexed="81"/>
            <rFont val="Tahoma"/>
            <family val="2"/>
          </rPr>
          <t>MO TRM includes 13 for manufacture dates prior to 1/2/2017 and 14 for manufacture dates after 1/1/2017</t>
        </r>
      </text>
    </comment>
    <comment ref="X397" authorId="0" shapeId="0" xr:uid="{00000000-0006-0000-0500-00003E000000}">
      <text>
        <r>
          <rPr>
            <sz val="11"/>
            <color indexed="81"/>
            <rFont val="Tahoma"/>
            <family val="2"/>
          </rPr>
          <t>MO TRM includes 13 for manufacture dates prior to 1/2/2017 and 14 for manufacture dates after 1/1/2017</t>
        </r>
      </text>
    </comment>
    <comment ref="X450" authorId="0" shapeId="0" xr:uid="{00000000-0006-0000-0500-00003F000000}">
      <text>
        <r>
          <rPr>
            <sz val="11"/>
            <color indexed="81"/>
            <rFont val="Tahoma"/>
            <family val="2"/>
          </rPr>
          <t>Used Cadmus data to update the tonnage of the units  but the updated tonnage was for SF only therfore left the application here to convert for MF</t>
        </r>
      </text>
    </comment>
    <comment ref="X478" authorId="0" shapeId="0" xr:uid="{00000000-0006-0000-0500-000041000000}">
      <text>
        <r>
          <rPr>
            <b/>
            <sz val="9"/>
            <color indexed="81"/>
            <rFont val="Tahoma"/>
            <family val="2"/>
          </rPr>
          <t>Capacity of units adjusted which impacts cost/ton calculation</t>
        </r>
      </text>
    </comment>
    <comment ref="Y478" authorId="0" shapeId="0" xr:uid="{00000000-0006-0000-0500-00004200000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Z478" authorId="0" shapeId="0" xr:uid="{00000000-0006-0000-0500-00004300000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AA478" authorId="0" shapeId="0" xr:uid="{00000000-0006-0000-0500-00004400000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X537" authorId="0" shapeId="0" xr:uid="{00000000-0006-0000-0500-000046000000}">
      <text>
        <r>
          <rPr>
            <sz val="11"/>
            <color indexed="81"/>
            <rFont val="Tahoma"/>
            <family val="2"/>
          </rPr>
          <t>Not a good comparison or enough data to update as the PY2017 summary from Cadmus has 15/16/18 SEER and the only SEER here are 19, 20,21.</t>
        </r>
        <r>
          <rPr>
            <sz val="9"/>
            <color indexed="81"/>
            <rFont val="Tahoma"/>
            <family val="2"/>
          </rPr>
          <t xml:space="preserve">
</t>
        </r>
      </text>
    </comment>
    <comment ref="X561" authorId="0" shapeId="0" xr:uid="{00000000-0006-0000-0500-000047000000}">
      <text>
        <r>
          <rPr>
            <sz val="14"/>
            <color indexed="81"/>
            <rFont val="Tahoma"/>
            <family val="2"/>
          </rPr>
          <t>Left these at 65% because  did not adjust the capacity based upon MF capacities above - If we obtain evaluation data on capacities of MF units this should then be adjusted to 100%</t>
        </r>
      </text>
    </comment>
    <comment ref="F575" authorId="0" shapeId="0" xr:uid="{F14D1796-8AD7-4066-A931-4ABD3B54A663}">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Cooling Capacity reference</t>
        </r>
      </text>
    </comment>
    <comment ref="F577" authorId="0" shapeId="0" xr:uid="{69062C6C-5E1D-4544-85AC-78173180DA7B}">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Cooling Capacity reference</t>
        </r>
      </text>
    </comment>
    <comment ref="F579" authorId="0" shapeId="0" xr:uid="{4D42A742-3299-4C65-B8A6-FB4C1B710451}">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Cooling Capacity reference</t>
        </r>
      </text>
    </comment>
    <comment ref="F611" authorId="0" shapeId="0" xr:uid="{00000000-0006-0000-0500-00004C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Rearranged order to align with above summary table and the order for other parameters.</t>
        </r>
      </text>
    </comment>
    <comment ref="F619" authorId="0" shapeId="0" xr:uid="{00000000-0006-0000-0500-00004D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Rearranged order to align with above summary table and the order for other parameters.</t>
        </r>
      </text>
    </comment>
    <comment ref="F627" authorId="0" shapeId="0" xr:uid="{00000000-0006-0000-0500-00004E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Rearranged order to align with above summary table and the order for other parameters.</t>
        </r>
      </text>
    </comment>
    <comment ref="X630" authorId="0" shapeId="0" xr:uid="{00000000-0006-0000-0500-00004F000000}">
      <text>
        <r>
          <rPr>
            <b/>
            <sz val="9"/>
            <color indexed="81"/>
            <rFont val="Tahoma"/>
            <family val="2"/>
          </rPr>
          <t>Added this line item - needs a separate base for ER1 vs ER2</t>
        </r>
      </text>
    </comment>
    <comment ref="Y635" authorId="0" shapeId="0" xr:uid="{00000000-0006-0000-0500-000050000000}">
      <text>
        <r>
          <rPr>
            <b/>
            <sz val="9"/>
            <color indexed="81"/>
            <rFont val="Tahoma"/>
            <family val="2"/>
          </rPr>
          <t>Author:</t>
        </r>
        <r>
          <rPr>
            <sz val="9"/>
            <color indexed="81"/>
            <rFont val="Tahoma"/>
            <family val="2"/>
          </rPr>
          <t xml:space="preserve">
COP of 4.44 from report table 15 *3.41
</t>
        </r>
      </text>
    </comment>
    <comment ref="Z635" authorId="0" shapeId="0" xr:uid="{00000000-0006-0000-0500-000051000000}">
      <text>
        <r>
          <rPr>
            <b/>
            <sz val="9"/>
            <color indexed="81"/>
            <rFont val="Tahoma"/>
            <family val="2"/>
          </rPr>
          <t>Author:</t>
        </r>
        <r>
          <rPr>
            <sz val="9"/>
            <color indexed="81"/>
            <rFont val="Tahoma"/>
            <family val="2"/>
          </rPr>
          <t xml:space="preserve">
COP of 4.44 from report table 15 *3.41
</t>
        </r>
      </text>
    </comment>
    <comment ref="AA635" authorId="0" shapeId="0" xr:uid="{00000000-0006-0000-0500-000052000000}">
      <text>
        <r>
          <rPr>
            <b/>
            <sz val="9"/>
            <color indexed="81"/>
            <rFont val="Tahoma"/>
            <family val="2"/>
          </rPr>
          <t>Author:</t>
        </r>
        <r>
          <rPr>
            <sz val="9"/>
            <color indexed="81"/>
            <rFont val="Tahoma"/>
            <family val="2"/>
          </rPr>
          <t xml:space="preserve">
COP of 4.44 from report table 15 *3.41
</t>
        </r>
      </text>
    </comment>
    <comment ref="X667" authorId="0" shapeId="0" xr:uid="{00000000-0006-0000-0500-000053000000}">
      <text>
        <r>
          <rPr>
            <b/>
            <sz val="9"/>
            <color indexed="81"/>
            <rFont val="Tahoma"/>
            <family val="2"/>
          </rPr>
          <t xml:space="preserve">Changed to EER rather than SEER in calc </t>
        </r>
        <r>
          <rPr>
            <sz val="9"/>
            <color indexed="81"/>
            <rFont val="Tahoma"/>
            <family val="2"/>
          </rPr>
          <t xml:space="preserve">
</t>
        </r>
      </text>
    </comment>
    <comment ref="C797" authorId="0" shapeId="0" xr:uid="{00000000-0006-0000-0500-000057000000}">
      <text>
        <r>
          <rPr>
            <b/>
            <sz val="9"/>
            <color indexed="81"/>
            <rFont val="Tahoma"/>
            <family val="2"/>
          </rPr>
          <t xml:space="preserve">353900 was a duplicate measure to this and was removed in PY2019 </t>
        </r>
      </text>
    </comment>
    <comment ref="W999" authorId="0" shapeId="0" xr:uid="{00000000-0006-0000-0500-000058000000}">
      <text>
        <r>
          <rPr>
            <b/>
            <sz val="9"/>
            <color indexed="81"/>
            <rFont val="Tahoma"/>
            <family val="2"/>
          </rPr>
          <t>MO TRM</t>
        </r>
        <r>
          <rPr>
            <sz val="9"/>
            <color indexed="81"/>
            <rFont val="Tahoma"/>
            <family val="2"/>
          </rPr>
          <t xml:space="preserve">
</t>
        </r>
      </text>
    </comment>
    <comment ref="X999" authorId="0" shapeId="0" xr:uid="{00000000-0006-0000-0500-000059000000}">
      <text>
        <r>
          <rPr>
            <b/>
            <sz val="9"/>
            <color indexed="81"/>
            <rFont val="Tahoma"/>
            <family val="2"/>
          </rPr>
          <t>2017 Cadmus EM&amp;V - 2016 -2017 AMR Data &amp; HP</t>
        </r>
        <r>
          <rPr>
            <sz val="9"/>
            <color indexed="81"/>
            <rFont val="Tahoma"/>
            <family val="2"/>
          </rPr>
          <t xml:space="preserve">
</t>
        </r>
      </text>
    </comment>
    <comment ref="X1547" authorId="0" shapeId="0" xr:uid="{00000000-0006-0000-0500-00005A000000}">
      <text>
        <r>
          <rPr>
            <b/>
            <sz val="16"/>
            <color indexed="81"/>
            <rFont val="Tahoma"/>
            <family val="2"/>
          </rPr>
          <t>EM&amp;V data was for 16+ measurses… did not update these values because these may overstate as there are higher SEER units in these tables (Cadmus data was 16.86 for this 16+ category</t>
        </r>
        <r>
          <rPr>
            <sz val="20"/>
            <color indexed="81"/>
            <rFont val="Tahoma"/>
            <family val="2"/>
          </rPr>
          <t xml:space="preserve">
</t>
        </r>
      </text>
    </comment>
    <comment ref="Y1547" authorId="0" shapeId="0" xr:uid="{00000000-0006-0000-0500-00005B00000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Z1547" authorId="0" shapeId="0" xr:uid="{00000000-0006-0000-0500-00005C00000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AA1547" authorId="0" shapeId="0" xr:uid="{00000000-0006-0000-0500-00005D00000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L1900" authorId="0" shapeId="0" xr:uid="{4DECB618-85EB-491E-9B84-D0530A69E823}">
      <text>
        <r>
          <rPr>
            <b/>
            <sz val="9"/>
            <color indexed="81"/>
            <rFont val="Tahoma"/>
            <family val="2"/>
          </rPr>
          <t>Author:</t>
        </r>
        <r>
          <rPr>
            <sz val="9"/>
            <color indexed="81"/>
            <rFont val="Tahoma"/>
            <family val="2"/>
          </rPr>
          <t xml:space="preserve">
Adjusted Capacity based upon HF Factor</t>
        </r>
      </text>
    </comment>
    <comment ref="Y1900" authorId="0" shapeId="0" xr:uid="{00000000-0006-0000-0500-000060000000}">
      <text>
        <r>
          <rPr>
            <b/>
            <sz val="14"/>
            <color indexed="81"/>
            <rFont val="Tahoma"/>
            <family val="2"/>
          </rPr>
          <t>Adjusted Formula so that it all calculations were driven off column J and not J&amp;K so that this could be copied over with each new TRM update 8/13/2019</t>
        </r>
      </text>
    </comment>
    <comment ref="Z1900" authorId="0" shapeId="0" xr:uid="{00000000-0006-0000-0500-000061000000}">
      <text>
        <r>
          <rPr>
            <b/>
            <sz val="14"/>
            <color indexed="81"/>
            <rFont val="Tahoma"/>
            <family val="2"/>
          </rPr>
          <t>Adjusted Formula so that it all calculations were driven off column J and not J&amp;K so that this could be copied over with each new TRM update 8/13/2019</t>
        </r>
      </text>
    </comment>
    <comment ref="AA1900" authorId="0" shapeId="0" xr:uid="{00000000-0006-0000-0500-000062000000}">
      <text>
        <r>
          <rPr>
            <b/>
            <sz val="14"/>
            <color indexed="81"/>
            <rFont val="Tahoma"/>
            <family val="2"/>
          </rPr>
          <t>Adjusted Formula so that it all calculations were driven off column J and not J&amp;K so that this could be copied over with each new TRM update 8/13/2019</t>
        </r>
      </text>
    </comment>
    <comment ref="AB1900" authorId="0" shapeId="0" xr:uid="{00000000-0006-0000-0500-00006300000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AC1900" authorId="0" shapeId="0" xr:uid="{00000000-0006-0000-0500-00006400000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AD1900" authorId="0" shapeId="0" xr:uid="{396144DB-1276-4943-A657-80AB24DBBDF1}">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AE1900" authorId="0" shapeId="0" xr:uid="{C65D107A-08C2-40E0-A837-67E3FEC4843D}">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L1904" authorId="0" shapeId="0" xr:uid="{D3C1AC68-D5DC-47BA-90CF-CECD0945C731}">
      <text>
        <r>
          <rPr>
            <b/>
            <sz val="9"/>
            <color indexed="81"/>
            <rFont val="Tahoma"/>
            <family val="2"/>
          </rPr>
          <t>Author:</t>
        </r>
        <r>
          <rPr>
            <sz val="9"/>
            <color indexed="81"/>
            <rFont val="Tahoma"/>
            <family val="2"/>
          </rPr>
          <t xml:space="preserve">
Adjusted Capacity based upon HF Factor</t>
        </r>
      </text>
    </comment>
    <comment ref="L1908" authorId="0" shapeId="0" xr:uid="{1A4C062D-DE8B-46AB-B21F-34E23F919E4D}">
      <text>
        <r>
          <rPr>
            <b/>
            <sz val="9"/>
            <color indexed="81"/>
            <rFont val="Tahoma"/>
            <family val="2"/>
          </rPr>
          <t>Author:</t>
        </r>
        <r>
          <rPr>
            <sz val="9"/>
            <color indexed="81"/>
            <rFont val="Tahoma"/>
            <family val="2"/>
          </rPr>
          <t xml:space="preserve">
Adjusted Capacity based upon HF Factor</t>
        </r>
      </text>
    </comment>
    <comment ref="L1912" authorId="0" shapeId="0" xr:uid="{067C99B4-D93E-437E-AAD7-DC41CC06B0BA}">
      <text>
        <r>
          <rPr>
            <b/>
            <sz val="9"/>
            <color indexed="81"/>
            <rFont val="Tahoma"/>
            <family val="2"/>
          </rPr>
          <t>Author:</t>
        </r>
        <r>
          <rPr>
            <sz val="9"/>
            <color indexed="81"/>
            <rFont val="Tahoma"/>
            <family val="2"/>
          </rPr>
          <t xml:space="preserve">
Adjusted Capacity based upon HF Factor</t>
        </r>
      </text>
    </comment>
    <comment ref="L1914" authorId="0" shapeId="0" xr:uid="{39E9AA5F-DF04-4DF7-AB23-EB6E63DD8E7A}">
      <text>
        <r>
          <rPr>
            <b/>
            <sz val="9"/>
            <color indexed="81"/>
            <rFont val="Tahoma"/>
            <family val="2"/>
          </rPr>
          <t>Author:</t>
        </r>
        <r>
          <rPr>
            <sz val="9"/>
            <color indexed="81"/>
            <rFont val="Tahoma"/>
            <family val="2"/>
          </rPr>
          <t xml:space="preserve">
Adjusted Capacity based upon HF Factor</t>
        </r>
      </text>
    </comment>
    <comment ref="L1916" authorId="0" shapeId="0" xr:uid="{4DDC54F9-751D-44B9-8A65-7FEC0B57AAD4}">
      <text>
        <r>
          <rPr>
            <b/>
            <sz val="9"/>
            <color indexed="81"/>
            <rFont val="Tahoma"/>
            <family val="2"/>
          </rPr>
          <t>Author:</t>
        </r>
        <r>
          <rPr>
            <sz val="9"/>
            <color indexed="81"/>
            <rFont val="Tahoma"/>
            <family val="2"/>
          </rPr>
          <t xml:space="preserve">
Adjusted Capacity based upon HF Factor</t>
        </r>
      </text>
    </comment>
    <comment ref="L1920" authorId="0" shapeId="0" xr:uid="{E686CA69-3318-45B0-AC60-C060AFF13B30}">
      <text>
        <r>
          <rPr>
            <b/>
            <sz val="9"/>
            <color indexed="81"/>
            <rFont val="Tahoma"/>
            <family val="2"/>
          </rPr>
          <t>Author:</t>
        </r>
        <r>
          <rPr>
            <sz val="9"/>
            <color indexed="81"/>
            <rFont val="Tahoma"/>
            <family val="2"/>
          </rPr>
          <t xml:space="preserve">
Adjusted Capacity based upon HF Factor</t>
        </r>
      </text>
    </comment>
    <comment ref="L1924" authorId="0" shapeId="0" xr:uid="{6D2CFA62-30CE-4C72-999A-FF374EEA3EDC}">
      <text>
        <r>
          <rPr>
            <b/>
            <sz val="9"/>
            <color indexed="81"/>
            <rFont val="Tahoma"/>
            <family val="2"/>
          </rPr>
          <t>Author:</t>
        </r>
        <r>
          <rPr>
            <sz val="9"/>
            <color indexed="81"/>
            <rFont val="Tahoma"/>
            <family val="2"/>
          </rPr>
          <t xml:space="preserve">
Adjusted Capacity based upon HF Factor</t>
        </r>
      </text>
    </comment>
    <comment ref="L1928" authorId="0" shapeId="0" xr:uid="{32BE7BE5-0DA2-4298-866C-E44432801391}">
      <text>
        <r>
          <rPr>
            <b/>
            <sz val="9"/>
            <color indexed="81"/>
            <rFont val="Tahoma"/>
            <family val="2"/>
          </rPr>
          <t>Author:</t>
        </r>
        <r>
          <rPr>
            <sz val="9"/>
            <color indexed="81"/>
            <rFont val="Tahoma"/>
            <family val="2"/>
          </rPr>
          <t xml:space="preserve">
Adjusted Capacity based upon HF Factor</t>
        </r>
      </text>
    </comment>
    <comment ref="L1930" authorId="0" shapeId="0" xr:uid="{C2F9C63A-4427-4F63-B181-29E9B5258CD0}">
      <text>
        <r>
          <rPr>
            <b/>
            <sz val="9"/>
            <color indexed="81"/>
            <rFont val="Tahoma"/>
            <family val="2"/>
          </rPr>
          <t>Author:</t>
        </r>
        <r>
          <rPr>
            <sz val="9"/>
            <color indexed="81"/>
            <rFont val="Tahoma"/>
            <family val="2"/>
          </rPr>
          <t xml:space="preserve">
Adjusted Capacity based upon HF Factor</t>
        </r>
      </text>
    </comment>
    <comment ref="L1932" authorId="0" shapeId="0" xr:uid="{36A03CBE-61D9-4D69-B5C9-61BCDE8BA9EF}">
      <text>
        <r>
          <rPr>
            <b/>
            <sz val="9"/>
            <color indexed="81"/>
            <rFont val="Tahoma"/>
            <family val="2"/>
          </rPr>
          <t>Author:</t>
        </r>
        <r>
          <rPr>
            <sz val="9"/>
            <color indexed="81"/>
            <rFont val="Tahoma"/>
            <family val="2"/>
          </rPr>
          <t xml:space="preserve">
Adjusted Capacity based upon HF Factor</t>
        </r>
      </text>
    </comment>
    <comment ref="L1934" authorId="0" shapeId="0" xr:uid="{174604AB-402C-4222-9854-559A7245AC76}">
      <text>
        <r>
          <rPr>
            <b/>
            <sz val="9"/>
            <color indexed="81"/>
            <rFont val="Tahoma"/>
            <family val="2"/>
          </rPr>
          <t>Author:</t>
        </r>
        <r>
          <rPr>
            <sz val="9"/>
            <color indexed="81"/>
            <rFont val="Tahoma"/>
            <family val="2"/>
          </rPr>
          <t xml:space="preserve">
Adjusted Capacity based upon HF Factor</t>
        </r>
      </text>
    </comment>
    <comment ref="L1938" authorId="0" shapeId="0" xr:uid="{9156A7C1-33BB-48F3-A22B-4B57AE468B7C}">
      <text>
        <r>
          <rPr>
            <b/>
            <sz val="9"/>
            <color indexed="81"/>
            <rFont val="Tahoma"/>
            <family val="2"/>
          </rPr>
          <t>Author:</t>
        </r>
        <r>
          <rPr>
            <sz val="9"/>
            <color indexed="81"/>
            <rFont val="Tahoma"/>
            <family val="2"/>
          </rPr>
          <t xml:space="preserve">
Adjusted Capacity based upon HF Factor</t>
        </r>
      </text>
    </comment>
    <comment ref="L1940" authorId="0" shapeId="0" xr:uid="{C59EE608-9429-49C4-9D99-55739ADDF720}">
      <text>
        <r>
          <rPr>
            <b/>
            <sz val="9"/>
            <color indexed="81"/>
            <rFont val="Tahoma"/>
            <family val="2"/>
          </rPr>
          <t>Author:</t>
        </r>
        <r>
          <rPr>
            <sz val="9"/>
            <color indexed="81"/>
            <rFont val="Tahoma"/>
            <family val="2"/>
          </rPr>
          <t xml:space="preserve">
Adjusted Capacity based upon HF Factor</t>
        </r>
      </text>
    </comment>
    <comment ref="L1942" authorId="0" shapeId="0" xr:uid="{8F8CF2B2-4FB6-4057-ACAD-38AFE164C8E9}">
      <text>
        <r>
          <rPr>
            <b/>
            <sz val="9"/>
            <color indexed="81"/>
            <rFont val="Tahoma"/>
            <family val="2"/>
          </rPr>
          <t>Author:</t>
        </r>
        <r>
          <rPr>
            <sz val="9"/>
            <color indexed="81"/>
            <rFont val="Tahoma"/>
            <family val="2"/>
          </rPr>
          <t xml:space="preserve">
Adjusted Capacity based upon HF Factor</t>
        </r>
      </text>
    </comment>
    <comment ref="L1944" authorId="0" shapeId="0" xr:uid="{B7AC179D-3CF1-4A89-BABB-BE079D125200}">
      <text>
        <r>
          <rPr>
            <b/>
            <sz val="9"/>
            <color indexed="81"/>
            <rFont val="Tahoma"/>
            <family val="2"/>
          </rPr>
          <t>Author:</t>
        </r>
        <r>
          <rPr>
            <sz val="9"/>
            <color indexed="81"/>
            <rFont val="Tahoma"/>
            <family val="2"/>
          </rPr>
          <t xml:space="preserve">
Adjusted Capacity based upon HF Factor</t>
        </r>
      </text>
    </comment>
    <comment ref="L1946" authorId="0" shapeId="0" xr:uid="{52B76436-5777-418A-9612-AFE99C8A59F4}">
      <text>
        <r>
          <rPr>
            <b/>
            <sz val="9"/>
            <color indexed="81"/>
            <rFont val="Tahoma"/>
            <family val="2"/>
          </rPr>
          <t>Author:</t>
        </r>
        <r>
          <rPr>
            <sz val="9"/>
            <color indexed="81"/>
            <rFont val="Tahoma"/>
            <family val="2"/>
          </rPr>
          <t xml:space="preserve">
Adjusted Capacity based upon HF Factor</t>
        </r>
      </text>
    </comment>
    <comment ref="L1948" authorId="0" shapeId="0" xr:uid="{DDF53841-D379-421B-9A07-9CAE9D993549}">
      <text>
        <r>
          <rPr>
            <b/>
            <sz val="9"/>
            <color indexed="81"/>
            <rFont val="Tahoma"/>
            <family val="2"/>
          </rPr>
          <t>Author:</t>
        </r>
        <r>
          <rPr>
            <sz val="9"/>
            <color indexed="81"/>
            <rFont val="Tahoma"/>
            <family val="2"/>
          </rPr>
          <t xml:space="preserve">
Adjusted Capacity based upon HF Factor</t>
        </r>
      </text>
    </comment>
    <comment ref="L1950" authorId="0" shapeId="0" xr:uid="{AAC303AF-61D1-4C68-9C60-CF4242264ACF}">
      <text>
        <r>
          <rPr>
            <b/>
            <sz val="9"/>
            <color indexed="81"/>
            <rFont val="Tahoma"/>
            <family val="2"/>
          </rPr>
          <t>Author:</t>
        </r>
        <r>
          <rPr>
            <sz val="9"/>
            <color indexed="81"/>
            <rFont val="Tahoma"/>
            <family val="2"/>
          </rPr>
          <t xml:space="preserve">
Adjusted Capacity based upon HF Factor</t>
        </r>
      </text>
    </comment>
    <comment ref="L1954" authorId="0" shapeId="0" xr:uid="{BE1A5A77-3777-49A2-9DA3-4C3E68E146C8}">
      <text>
        <r>
          <rPr>
            <b/>
            <sz val="9"/>
            <color indexed="81"/>
            <rFont val="Tahoma"/>
            <family val="2"/>
          </rPr>
          <t>Author:</t>
        </r>
        <r>
          <rPr>
            <sz val="9"/>
            <color indexed="81"/>
            <rFont val="Tahoma"/>
            <family val="2"/>
          </rPr>
          <t xml:space="preserve">
Adjusted Capacity based upon HF Factor</t>
        </r>
      </text>
    </comment>
    <comment ref="L1958" authorId="0" shapeId="0" xr:uid="{9EABC60B-E45A-4B36-8B04-3EB83C71649A}">
      <text>
        <r>
          <rPr>
            <b/>
            <sz val="9"/>
            <color indexed="81"/>
            <rFont val="Tahoma"/>
            <family val="2"/>
          </rPr>
          <t>Author:</t>
        </r>
        <r>
          <rPr>
            <sz val="9"/>
            <color indexed="81"/>
            <rFont val="Tahoma"/>
            <family val="2"/>
          </rPr>
          <t xml:space="preserve">
Adjusted Capacity based upon HF Factor</t>
        </r>
      </text>
    </comment>
    <comment ref="L1960" authorId="0" shapeId="0" xr:uid="{926D01FB-A5A4-4BF1-8719-72B45ABAE103}">
      <text>
        <r>
          <rPr>
            <b/>
            <sz val="9"/>
            <color indexed="81"/>
            <rFont val="Tahoma"/>
            <family val="2"/>
          </rPr>
          <t>Author:</t>
        </r>
        <r>
          <rPr>
            <sz val="9"/>
            <color indexed="81"/>
            <rFont val="Tahoma"/>
            <family val="2"/>
          </rPr>
          <t xml:space="preserve">
Adjusted Capacity based upon HF Factor</t>
        </r>
      </text>
    </comment>
    <comment ref="L1962" authorId="0" shapeId="0" xr:uid="{39AB86F9-B6C4-4571-AF02-95B9C681BACE}">
      <text>
        <r>
          <rPr>
            <b/>
            <sz val="9"/>
            <color indexed="81"/>
            <rFont val="Tahoma"/>
            <family val="2"/>
          </rPr>
          <t>Author:</t>
        </r>
        <r>
          <rPr>
            <sz val="9"/>
            <color indexed="81"/>
            <rFont val="Tahoma"/>
            <family val="2"/>
          </rPr>
          <t xml:space="preserve">
Adjusted Capacity based upon HF Factor</t>
        </r>
      </text>
    </comment>
    <comment ref="L1966" authorId="0" shapeId="0" xr:uid="{F780C312-3C44-4D12-B2D6-55E60455CAAB}">
      <text>
        <r>
          <rPr>
            <b/>
            <sz val="9"/>
            <color indexed="81"/>
            <rFont val="Tahoma"/>
            <family val="2"/>
          </rPr>
          <t>Author:</t>
        </r>
        <r>
          <rPr>
            <sz val="9"/>
            <color indexed="81"/>
            <rFont val="Tahoma"/>
            <family val="2"/>
          </rPr>
          <t xml:space="preserve">
Adjusted Capacity based upon HF Factor</t>
        </r>
      </text>
    </comment>
    <comment ref="L1970" authorId="0" shapeId="0" xr:uid="{2196F454-681A-4989-AC1C-3A1BB9975884}">
      <text>
        <r>
          <rPr>
            <b/>
            <sz val="9"/>
            <color indexed="81"/>
            <rFont val="Tahoma"/>
            <family val="2"/>
          </rPr>
          <t>Author:</t>
        </r>
        <r>
          <rPr>
            <sz val="9"/>
            <color indexed="81"/>
            <rFont val="Tahoma"/>
            <family val="2"/>
          </rPr>
          <t xml:space="preserve">
Adjusted Capacity based upon HF Factor</t>
        </r>
      </text>
    </comment>
    <comment ref="L1974" authorId="0" shapeId="0" xr:uid="{473FD859-15C3-47A6-87EE-4A5FC4D47D99}">
      <text>
        <r>
          <rPr>
            <b/>
            <sz val="9"/>
            <color indexed="81"/>
            <rFont val="Tahoma"/>
            <family val="2"/>
          </rPr>
          <t>Author:</t>
        </r>
        <r>
          <rPr>
            <sz val="9"/>
            <color indexed="81"/>
            <rFont val="Tahoma"/>
            <family val="2"/>
          </rPr>
          <t xml:space="preserve">
Adjusted Capacity based upon HF Factor</t>
        </r>
      </text>
    </comment>
    <comment ref="L1976" authorId="0" shapeId="0" xr:uid="{EC2BDD14-9998-4980-B836-898F131E4E31}">
      <text>
        <r>
          <rPr>
            <b/>
            <sz val="9"/>
            <color indexed="81"/>
            <rFont val="Tahoma"/>
            <family val="2"/>
          </rPr>
          <t>Author:</t>
        </r>
        <r>
          <rPr>
            <sz val="9"/>
            <color indexed="81"/>
            <rFont val="Tahoma"/>
            <family val="2"/>
          </rPr>
          <t xml:space="preserve">
Adjusted Capacity based upon HF Factor</t>
        </r>
      </text>
    </comment>
    <comment ref="L1978" authorId="0" shapeId="0" xr:uid="{FF7F1618-14FC-4FD2-B6E7-21BA8C7D7051}">
      <text>
        <r>
          <rPr>
            <b/>
            <sz val="9"/>
            <color indexed="81"/>
            <rFont val="Tahoma"/>
            <family val="2"/>
          </rPr>
          <t>Author:</t>
        </r>
        <r>
          <rPr>
            <sz val="9"/>
            <color indexed="81"/>
            <rFont val="Tahoma"/>
            <family val="2"/>
          </rPr>
          <t xml:space="preserve">
Adjusted Capacity based upon HF Factor</t>
        </r>
      </text>
    </comment>
    <comment ref="L1982" authorId="0" shapeId="0" xr:uid="{73DD1CC6-37C4-4EE8-8C30-AB44E3A6F044}">
      <text>
        <r>
          <rPr>
            <b/>
            <sz val="9"/>
            <color indexed="81"/>
            <rFont val="Tahoma"/>
            <family val="2"/>
          </rPr>
          <t>Author:</t>
        </r>
        <r>
          <rPr>
            <sz val="9"/>
            <color indexed="81"/>
            <rFont val="Tahoma"/>
            <family val="2"/>
          </rPr>
          <t xml:space="preserve">
Adjusted Capacity based upon HF Factor</t>
        </r>
      </text>
    </comment>
    <comment ref="L1984" authorId="0" shapeId="0" xr:uid="{2E4F4EC7-7E14-48CF-807D-7DC0D269E113}">
      <text>
        <r>
          <rPr>
            <b/>
            <sz val="9"/>
            <color indexed="81"/>
            <rFont val="Tahoma"/>
            <family val="2"/>
          </rPr>
          <t>Author:</t>
        </r>
        <r>
          <rPr>
            <sz val="9"/>
            <color indexed="81"/>
            <rFont val="Tahoma"/>
            <family val="2"/>
          </rPr>
          <t xml:space="preserve">
Adjusted Capacity based upon HF Factor</t>
        </r>
      </text>
    </comment>
    <comment ref="L1988" authorId="0" shapeId="0" xr:uid="{544558C6-44DF-4C5D-AD31-391AF36301BA}">
      <text>
        <r>
          <rPr>
            <b/>
            <sz val="9"/>
            <color indexed="81"/>
            <rFont val="Tahoma"/>
            <family val="2"/>
          </rPr>
          <t>Author:</t>
        </r>
        <r>
          <rPr>
            <sz val="9"/>
            <color indexed="81"/>
            <rFont val="Tahoma"/>
            <family val="2"/>
          </rPr>
          <t xml:space="preserve">
Adjusted Capacity based upon HF Factor</t>
        </r>
      </text>
    </comment>
    <comment ref="L1990" authorId="0" shapeId="0" xr:uid="{92833482-CC01-4D8E-A9F3-65629E16F53A}">
      <text>
        <r>
          <rPr>
            <b/>
            <sz val="9"/>
            <color indexed="81"/>
            <rFont val="Tahoma"/>
            <family val="2"/>
          </rPr>
          <t>Author:</t>
        </r>
        <r>
          <rPr>
            <sz val="9"/>
            <color indexed="81"/>
            <rFont val="Tahoma"/>
            <family val="2"/>
          </rPr>
          <t xml:space="preserve">
Adjusted Capacity based upon HF Factor</t>
        </r>
      </text>
    </comment>
    <comment ref="L1994" authorId="0" shapeId="0" xr:uid="{B1C655CE-58EB-46C0-A9C6-09861A020407}">
      <text>
        <r>
          <rPr>
            <b/>
            <sz val="9"/>
            <color indexed="81"/>
            <rFont val="Tahoma"/>
            <family val="2"/>
          </rPr>
          <t>Author:</t>
        </r>
        <r>
          <rPr>
            <sz val="9"/>
            <color indexed="81"/>
            <rFont val="Tahoma"/>
            <family val="2"/>
          </rPr>
          <t xml:space="preserve">
Adjusted Capacity based upon HF Factor</t>
        </r>
      </text>
    </comment>
    <comment ref="L1996" authorId="0" shapeId="0" xr:uid="{4720BF11-B8C1-4222-A781-822CFFE646A8}">
      <text>
        <r>
          <rPr>
            <b/>
            <sz val="9"/>
            <color indexed="81"/>
            <rFont val="Tahoma"/>
            <family val="2"/>
          </rPr>
          <t>Author:</t>
        </r>
        <r>
          <rPr>
            <sz val="9"/>
            <color indexed="81"/>
            <rFont val="Tahoma"/>
            <family val="2"/>
          </rPr>
          <t xml:space="preserve">
Adjusted Capacity based upon HF Factor</t>
        </r>
      </text>
    </comment>
    <comment ref="L2000" authorId="0" shapeId="0" xr:uid="{2F2F0EFF-F43D-4AEB-A851-266C6DC1760A}">
      <text>
        <r>
          <rPr>
            <b/>
            <sz val="9"/>
            <color indexed="81"/>
            <rFont val="Tahoma"/>
            <family val="2"/>
          </rPr>
          <t>Author:</t>
        </r>
        <r>
          <rPr>
            <sz val="9"/>
            <color indexed="81"/>
            <rFont val="Tahoma"/>
            <family val="2"/>
          </rPr>
          <t xml:space="preserve">
Adjusted Capacity based upon HF Factor</t>
        </r>
      </text>
    </comment>
    <comment ref="L2004" authorId="0" shapeId="0" xr:uid="{24EC4CDB-AE4A-4455-BCEE-9621DAFAE036}">
      <text>
        <r>
          <rPr>
            <b/>
            <sz val="9"/>
            <color indexed="81"/>
            <rFont val="Tahoma"/>
            <family val="2"/>
          </rPr>
          <t>Author:</t>
        </r>
        <r>
          <rPr>
            <sz val="9"/>
            <color indexed="81"/>
            <rFont val="Tahoma"/>
            <family val="2"/>
          </rPr>
          <t xml:space="preserve">
Adjusted Capacity based upon HF Factor</t>
        </r>
      </text>
    </comment>
    <comment ref="L2008" authorId="0" shapeId="0" xr:uid="{B372CA0C-1B1D-466B-BFC3-084E2B7E4B2D}">
      <text>
        <r>
          <rPr>
            <b/>
            <sz val="9"/>
            <color indexed="81"/>
            <rFont val="Tahoma"/>
            <family val="2"/>
          </rPr>
          <t>Author:</t>
        </r>
        <r>
          <rPr>
            <sz val="9"/>
            <color indexed="81"/>
            <rFont val="Tahoma"/>
            <family val="2"/>
          </rPr>
          <t xml:space="preserve">
Adjusted Capacity based upon HF Factor</t>
        </r>
      </text>
    </comment>
    <comment ref="X2008" authorId="0" shapeId="0" xr:uid="{00000000-0006-0000-0500-0000B5000000}">
      <text>
        <r>
          <rPr>
            <b/>
            <sz val="14"/>
            <color indexed="81"/>
            <rFont val="Tahoma"/>
            <family val="2"/>
          </rPr>
          <t xml:space="preserve">These highlighted "Green" include a corrections to the forumula. It was previously pointing to an incorrect cell reference
</t>
        </r>
      </text>
    </comment>
    <comment ref="L2012" authorId="0" shapeId="0" xr:uid="{58076026-7FA2-4C19-A520-1277FC20D73E}">
      <text>
        <r>
          <rPr>
            <b/>
            <sz val="9"/>
            <color indexed="81"/>
            <rFont val="Tahoma"/>
            <family val="2"/>
          </rPr>
          <t>Author:</t>
        </r>
        <r>
          <rPr>
            <sz val="9"/>
            <color indexed="81"/>
            <rFont val="Tahoma"/>
            <family val="2"/>
          </rPr>
          <t xml:space="preserve">
Adjusted Capacity based upon HF Factor</t>
        </r>
      </text>
    </comment>
    <comment ref="L2016" authorId="0" shapeId="0" xr:uid="{80F27549-EDAC-4C70-A7F7-B217FC1A9E84}">
      <text>
        <r>
          <rPr>
            <b/>
            <sz val="9"/>
            <color indexed="81"/>
            <rFont val="Tahoma"/>
            <family val="2"/>
          </rPr>
          <t>Author:</t>
        </r>
        <r>
          <rPr>
            <sz val="9"/>
            <color indexed="81"/>
            <rFont val="Tahoma"/>
            <family val="2"/>
          </rPr>
          <t xml:space="preserve">
Adjusted Capacity based upon HF Factor</t>
        </r>
      </text>
    </comment>
    <comment ref="L2020" authorId="0" shapeId="0" xr:uid="{5A572F74-59CD-435F-92ED-806D0CACDB14}">
      <text>
        <r>
          <rPr>
            <b/>
            <sz val="9"/>
            <color indexed="81"/>
            <rFont val="Tahoma"/>
            <family val="2"/>
          </rPr>
          <t>Author:</t>
        </r>
        <r>
          <rPr>
            <sz val="9"/>
            <color indexed="81"/>
            <rFont val="Tahoma"/>
            <family val="2"/>
          </rPr>
          <t xml:space="preserve">
Adjusted Capacity based upon HF Factor</t>
        </r>
      </text>
    </comment>
    <comment ref="L2024" authorId="0" shapeId="0" xr:uid="{3EA0D4E8-220B-4968-AD17-7C4E41026D47}">
      <text>
        <r>
          <rPr>
            <b/>
            <sz val="9"/>
            <color indexed="81"/>
            <rFont val="Tahoma"/>
            <family val="2"/>
          </rPr>
          <t>Author:</t>
        </r>
        <r>
          <rPr>
            <sz val="9"/>
            <color indexed="81"/>
            <rFont val="Tahoma"/>
            <family val="2"/>
          </rPr>
          <t xml:space="preserve">
Adjusted Capacity based upon HF Factor</t>
        </r>
      </text>
    </comment>
    <comment ref="L2028" authorId="0" shapeId="0" xr:uid="{F1B00362-C5B5-457F-BC2B-F1C41159162D}">
      <text>
        <r>
          <rPr>
            <b/>
            <sz val="9"/>
            <color indexed="81"/>
            <rFont val="Tahoma"/>
            <family val="2"/>
          </rPr>
          <t>Author:</t>
        </r>
        <r>
          <rPr>
            <sz val="9"/>
            <color indexed="81"/>
            <rFont val="Tahoma"/>
            <family val="2"/>
          </rPr>
          <t xml:space="preserve">
Adjusted Capacity based upon HF Factor</t>
        </r>
      </text>
    </comment>
    <comment ref="L2032" authorId="0" shapeId="0" xr:uid="{A558BE2E-1436-4985-900F-595E291EDED0}">
      <text>
        <r>
          <rPr>
            <b/>
            <sz val="9"/>
            <color indexed="81"/>
            <rFont val="Tahoma"/>
            <family val="2"/>
          </rPr>
          <t>Author:</t>
        </r>
        <r>
          <rPr>
            <sz val="9"/>
            <color indexed="81"/>
            <rFont val="Tahoma"/>
            <family val="2"/>
          </rPr>
          <t xml:space="preserve">
Adjusted Capacity based upon HF Factor</t>
        </r>
      </text>
    </comment>
    <comment ref="L2036" authorId="0" shapeId="0" xr:uid="{2BD271B7-2BC3-4ED8-8813-815D9B26A1F8}">
      <text>
        <r>
          <rPr>
            <b/>
            <sz val="9"/>
            <color indexed="81"/>
            <rFont val="Tahoma"/>
            <family val="2"/>
          </rPr>
          <t>Author:</t>
        </r>
        <r>
          <rPr>
            <sz val="9"/>
            <color indexed="81"/>
            <rFont val="Tahoma"/>
            <family val="2"/>
          </rPr>
          <t xml:space="preserve">
Adjusted Capacity based upon HF Factor</t>
        </r>
      </text>
    </comment>
    <comment ref="L2040" authorId="0" shapeId="0" xr:uid="{26026530-569D-44DB-93E7-9CB24B95A76E}">
      <text>
        <r>
          <rPr>
            <b/>
            <sz val="9"/>
            <color indexed="81"/>
            <rFont val="Tahoma"/>
            <family val="2"/>
          </rPr>
          <t>Author:</t>
        </r>
        <r>
          <rPr>
            <sz val="9"/>
            <color indexed="81"/>
            <rFont val="Tahoma"/>
            <family val="2"/>
          </rPr>
          <t xml:space="preserve">
Adjusted Capacity based upon HF Factor</t>
        </r>
      </text>
    </comment>
    <comment ref="L2044" authorId="0" shapeId="0" xr:uid="{3F159B5B-C105-4972-B888-A2884D2CAF50}">
      <text>
        <r>
          <rPr>
            <b/>
            <sz val="9"/>
            <color indexed="81"/>
            <rFont val="Tahoma"/>
            <family val="2"/>
          </rPr>
          <t>Author:</t>
        </r>
        <r>
          <rPr>
            <sz val="9"/>
            <color indexed="81"/>
            <rFont val="Tahoma"/>
            <family val="2"/>
          </rPr>
          <t xml:space="preserve">
Adjusted Capacity based upon HF Factor</t>
        </r>
      </text>
    </comment>
    <comment ref="L2048" authorId="0" shapeId="0" xr:uid="{29F70E47-5856-4868-A39B-5B346E12240F}">
      <text>
        <r>
          <rPr>
            <b/>
            <sz val="9"/>
            <color indexed="81"/>
            <rFont val="Tahoma"/>
            <family val="2"/>
          </rPr>
          <t>Author:</t>
        </r>
        <r>
          <rPr>
            <sz val="9"/>
            <color indexed="81"/>
            <rFont val="Tahoma"/>
            <family val="2"/>
          </rPr>
          <t xml:space="preserve">
Adjusted Capacity based upon HF Factor</t>
        </r>
      </text>
    </comment>
    <comment ref="L2050" authorId="0" shapeId="0" xr:uid="{68053E4B-4926-425D-92B2-F872E215F5B3}">
      <text>
        <r>
          <rPr>
            <b/>
            <sz val="9"/>
            <color indexed="81"/>
            <rFont val="Tahoma"/>
            <family val="2"/>
          </rPr>
          <t>Author:</t>
        </r>
        <r>
          <rPr>
            <sz val="9"/>
            <color indexed="81"/>
            <rFont val="Tahoma"/>
            <family val="2"/>
          </rPr>
          <t xml:space="preserve">
Adjusted Capacity based upon HF Factor</t>
        </r>
      </text>
    </comment>
    <comment ref="L2054" authorId="0" shapeId="0" xr:uid="{91E5FB7E-0B24-4172-ADF8-91A39ECFCFDA}">
      <text>
        <r>
          <rPr>
            <b/>
            <sz val="9"/>
            <color indexed="81"/>
            <rFont val="Tahoma"/>
            <family val="2"/>
          </rPr>
          <t>Author:</t>
        </r>
        <r>
          <rPr>
            <sz val="9"/>
            <color indexed="81"/>
            <rFont val="Tahoma"/>
            <family val="2"/>
          </rPr>
          <t xml:space="preserve">
Adjusted Capacity based upon HF Factor</t>
        </r>
      </text>
    </comment>
    <comment ref="L2058" authorId="0" shapeId="0" xr:uid="{635F437E-DB77-4FFB-97E4-D0512AEF7667}">
      <text>
        <r>
          <rPr>
            <b/>
            <sz val="9"/>
            <color indexed="81"/>
            <rFont val="Tahoma"/>
            <family val="2"/>
          </rPr>
          <t>Author:</t>
        </r>
        <r>
          <rPr>
            <sz val="9"/>
            <color indexed="81"/>
            <rFont val="Tahoma"/>
            <family val="2"/>
          </rPr>
          <t xml:space="preserve">
Adjusted Capacity based upon HF Factor</t>
        </r>
      </text>
    </comment>
    <comment ref="L2062" authorId="0" shapeId="0" xr:uid="{666D855D-EA9D-448C-8B29-D2EDDEFEB366}">
      <text>
        <r>
          <rPr>
            <b/>
            <sz val="9"/>
            <color indexed="81"/>
            <rFont val="Tahoma"/>
            <family val="2"/>
          </rPr>
          <t>Author:</t>
        </r>
        <r>
          <rPr>
            <sz val="9"/>
            <color indexed="81"/>
            <rFont val="Tahoma"/>
            <family val="2"/>
          </rPr>
          <t xml:space="preserve">
Adjusted Capacity based upon HF Factor</t>
        </r>
      </text>
    </comment>
    <comment ref="L2064" authorId="0" shapeId="0" xr:uid="{764A9CC4-7AF7-4538-9692-E9A51B6D2B24}">
      <text>
        <r>
          <rPr>
            <b/>
            <sz val="9"/>
            <color indexed="81"/>
            <rFont val="Tahoma"/>
            <family val="2"/>
          </rPr>
          <t>Author:</t>
        </r>
        <r>
          <rPr>
            <sz val="9"/>
            <color indexed="81"/>
            <rFont val="Tahoma"/>
            <family val="2"/>
          </rPr>
          <t xml:space="preserve">
Adjusted Capacity based upon HF Factor</t>
        </r>
      </text>
    </comment>
    <comment ref="L2066" authorId="0" shapeId="0" xr:uid="{26BB2831-86D0-4465-8325-D13A58E2A318}">
      <text>
        <r>
          <rPr>
            <b/>
            <sz val="9"/>
            <color indexed="81"/>
            <rFont val="Tahoma"/>
            <family val="2"/>
          </rPr>
          <t>Author:</t>
        </r>
        <r>
          <rPr>
            <sz val="9"/>
            <color indexed="81"/>
            <rFont val="Tahoma"/>
            <family val="2"/>
          </rPr>
          <t xml:space="preserve">
Adjusted Capacity based upon HF Factor</t>
        </r>
      </text>
    </comment>
    <comment ref="L2068" authorId="0" shapeId="0" xr:uid="{1FBA766F-F1A1-45BA-B800-B771C93495FC}">
      <text>
        <r>
          <rPr>
            <b/>
            <sz val="9"/>
            <color indexed="81"/>
            <rFont val="Tahoma"/>
            <family val="2"/>
          </rPr>
          <t>Author:</t>
        </r>
        <r>
          <rPr>
            <sz val="9"/>
            <color indexed="81"/>
            <rFont val="Tahoma"/>
            <family val="2"/>
          </rPr>
          <t xml:space="preserve">
Adjusted Capacity based upon HF Factor</t>
        </r>
      </text>
    </comment>
    <comment ref="L2072" authorId="0" shapeId="0" xr:uid="{5B36FE25-DE9D-4EF0-B01D-CE8302D1B813}">
      <text>
        <r>
          <rPr>
            <b/>
            <sz val="9"/>
            <color indexed="81"/>
            <rFont val="Tahoma"/>
            <family val="2"/>
          </rPr>
          <t>Author:</t>
        </r>
        <r>
          <rPr>
            <sz val="9"/>
            <color indexed="81"/>
            <rFont val="Tahoma"/>
            <family val="2"/>
          </rPr>
          <t xml:space="preserve">
Adjusted Capacity based upon HF Factor</t>
        </r>
      </text>
    </comment>
    <comment ref="L2074" authorId="0" shapeId="0" xr:uid="{07734040-B873-48E9-B443-AFC13F92AB2C}">
      <text>
        <r>
          <rPr>
            <b/>
            <sz val="9"/>
            <color indexed="81"/>
            <rFont val="Tahoma"/>
            <family val="2"/>
          </rPr>
          <t>Author:</t>
        </r>
        <r>
          <rPr>
            <sz val="9"/>
            <color indexed="81"/>
            <rFont val="Tahoma"/>
            <family val="2"/>
          </rPr>
          <t xml:space="preserve">
Adjusted Capacity based upon HF Factor</t>
        </r>
      </text>
    </comment>
    <comment ref="L2076" authorId="0" shapeId="0" xr:uid="{8C00027A-28DA-4183-AAD5-7AA43A2C2D08}">
      <text>
        <r>
          <rPr>
            <b/>
            <sz val="9"/>
            <color indexed="81"/>
            <rFont val="Tahoma"/>
            <family val="2"/>
          </rPr>
          <t>Author:</t>
        </r>
        <r>
          <rPr>
            <sz val="9"/>
            <color indexed="81"/>
            <rFont val="Tahoma"/>
            <family val="2"/>
          </rPr>
          <t xml:space="preserve">
Adjusted Capacity based upon HF Factor</t>
        </r>
      </text>
    </comment>
    <comment ref="L2078" authorId="0" shapeId="0" xr:uid="{D0406864-A6A9-4DE1-B823-D5B0C5C836AF}">
      <text>
        <r>
          <rPr>
            <b/>
            <sz val="9"/>
            <color indexed="81"/>
            <rFont val="Tahoma"/>
            <family val="2"/>
          </rPr>
          <t>Author:</t>
        </r>
        <r>
          <rPr>
            <sz val="9"/>
            <color indexed="81"/>
            <rFont val="Tahoma"/>
            <family val="2"/>
          </rPr>
          <t xml:space="preserve">
Adjusted Capacity based upon HF Factor</t>
        </r>
      </text>
    </comment>
    <comment ref="L2080" authorId="0" shapeId="0" xr:uid="{C707F575-02DC-40E9-AA53-4191D521B9E2}">
      <text>
        <r>
          <rPr>
            <b/>
            <sz val="9"/>
            <color indexed="81"/>
            <rFont val="Tahoma"/>
            <family val="2"/>
          </rPr>
          <t>Author:</t>
        </r>
        <r>
          <rPr>
            <sz val="9"/>
            <color indexed="81"/>
            <rFont val="Tahoma"/>
            <family val="2"/>
          </rPr>
          <t xml:space="preserve">
Adjusted Capacity based upon HF Factor</t>
        </r>
      </text>
    </comment>
    <comment ref="AD2102" authorId="3" shapeId="0" xr:uid="{D33F3C28-9C7D-4C8B-A43A-D5A62E829534}">
      <text>
        <t>[Threaded comment]
Your version of Excel allows you to read this threaded comment; however, any edits to it will get removed if the file is opened in a newer version of Excel. Learn more: https://go.microsoft.com/fwlink/?linkid=870924
Comment:
    New Measure in 2022</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tc={369C16B0-CF35-41B8-97CA-780A26286298}</author>
  </authors>
  <commentList>
    <comment ref="Y6" authorId="0" shapeId="0" xr:uid="{00000000-0006-0000-0600-000001000000}">
      <text>
        <r>
          <rPr>
            <b/>
            <sz val="9"/>
            <color indexed="81"/>
            <rFont val="Tahoma"/>
            <family val="2"/>
          </rPr>
          <t>Author:</t>
        </r>
        <r>
          <rPr>
            <sz val="9"/>
            <color indexed="81"/>
            <rFont val="Tahoma"/>
            <family val="2"/>
          </rPr>
          <t xml:space="preserve">
PY18 EM&amp;V</t>
        </r>
      </text>
    </comment>
    <comment ref="Z6" authorId="0" shapeId="0" xr:uid="{00000000-0006-0000-0600-000002000000}">
      <text>
        <r>
          <rPr>
            <b/>
            <sz val="9"/>
            <color indexed="81"/>
            <rFont val="Tahoma"/>
            <family val="2"/>
          </rPr>
          <t>11 Step updates</t>
        </r>
      </text>
    </comment>
    <comment ref="G16" authorId="0" shapeId="0" xr:uid="{00000000-0006-0000-0600-00000300000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W16" authorId="0" shapeId="0" xr:uid="{00000000-0006-0000-0600-00000400000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X16" authorId="0" shapeId="0" xr:uid="{00000000-0006-0000-0600-00000500000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W17" authorId="0" shapeId="0" xr:uid="{00000000-0006-0000-0600-00000600000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X17" authorId="0" shapeId="0" xr:uid="{00000000-0006-0000-0600-00000700000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W18" authorId="0" shapeId="0" xr:uid="{00000000-0006-0000-0600-000008000000}">
      <text>
        <r>
          <rPr>
            <b/>
            <sz val="9"/>
            <color indexed="81"/>
            <rFont val="Tahoma"/>
            <family val="2"/>
          </rPr>
          <t xml:space="preserve">SF capacity for same measure *0.65, per Ameren guidance.
</t>
        </r>
      </text>
    </comment>
    <comment ref="X18" authorId="0" shapeId="0" xr:uid="{00000000-0006-0000-0600-000009000000}">
      <text>
        <r>
          <rPr>
            <b/>
            <sz val="9"/>
            <color indexed="81"/>
            <rFont val="Tahoma"/>
            <family val="2"/>
          </rPr>
          <t xml:space="preserve">SF capacity for same measure *0.65, per Ameren guidance.
</t>
        </r>
      </text>
    </comment>
    <comment ref="W19" authorId="0" shapeId="0" xr:uid="{00000000-0006-0000-0600-00000E000000}">
      <text>
        <r>
          <rPr>
            <b/>
            <sz val="9"/>
            <color indexed="81"/>
            <rFont val="Tahoma"/>
            <family val="2"/>
          </rPr>
          <t>MO TRM</t>
        </r>
        <r>
          <rPr>
            <sz val="9"/>
            <color indexed="81"/>
            <rFont val="Tahoma"/>
            <family val="2"/>
          </rPr>
          <t xml:space="preserve">
</t>
        </r>
      </text>
    </comment>
    <comment ref="X19" authorId="0" shapeId="0" xr:uid="{00000000-0006-0000-0600-00000F000000}">
      <text>
        <r>
          <rPr>
            <b/>
            <sz val="9"/>
            <color indexed="81"/>
            <rFont val="Tahoma"/>
            <family val="2"/>
          </rPr>
          <t>MO TRM</t>
        </r>
        <r>
          <rPr>
            <sz val="9"/>
            <color indexed="81"/>
            <rFont val="Tahoma"/>
            <family val="2"/>
          </rPr>
          <t xml:space="preserve">
</t>
        </r>
      </text>
    </comment>
    <comment ref="W21" authorId="0" shapeId="0" xr:uid="{00000000-0006-0000-0600-00001A000000}">
      <text>
        <r>
          <rPr>
            <b/>
            <sz val="9"/>
            <color indexed="81"/>
            <rFont val="Tahoma"/>
            <family val="2"/>
          </rPr>
          <t>MO TRM</t>
        </r>
        <r>
          <rPr>
            <sz val="9"/>
            <color indexed="81"/>
            <rFont val="Tahoma"/>
            <family val="2"/>
          </rPr>
          <t xml:space="preserve">
Matches 2015 Heating and Cooling evaluation
</t>
        </r>
      </text>
    </comment>
    <comment ref="X21" authorId="0" shapeId="0" xr:uid="{00000000-0006-0000-0600-00001B000000}">
      <text>
        <r>
          <rPr>
            <b/>
            <sz val="9"/>
            <color indexed="81"/>
            <rFont val="Tahoma"/>
            <family val="2"/>
          </rPr>
          <t>MO TRM</t>
        </r>
        <r>
          <rPr>
            <sz val="9"/>
            <color indexed="81"/>
            <rFont val="Tahoma"/>
            <family val="2"/>
          </rPr>
          <t xml:space="preserve">
Matches 2015 Heating and Cooling evaluation
</t>
        </r>
      </text>
    </comment>
    <comment ref="Y32" authorId="0" shapeId="0" xr:uid="{00000000-0006-0000-0600-000022000000}">
      <text>
        <r>
          <rPr>
            <b/>
            <sz val="9"/>
            <color indexed="81"/>
            <rFont val="Tahoma"/>
            <family val="2"/>
          </rPr>
          <t>changed to a per square foot value rather than per average size home</t>
        </r>
      </text>
    </comment>
    <comment ref="Y57" authorId="0" shapeId="0" xr:uid="{00000000-0006-0000-0600-000023000000}">
      <text>
        <r>
          <rPr>
            <b/>
            <sz val="9"/>
            <color indexed="81"/>
            <rFont val="Tahoma"/>
            <family val="2"/>
          </rPr>
          <t xml:space="preserve">updated to per sq. ft. basis
</t>
        </r>
      </text>
    </comment>
    <comment ref="V75" authorId="0" shapeId="0" xr:uid="{00000000-0006-0000-0600-000024000000}">
      <text>
        <r>
          <rPr>
            <b/>
            <sz val="9"/>
            <color indexed="81"/>
            <rFont val="Tahoma"/>
            <family val="2"/>
          </rPr>
          <t xml:space="preserve">This table was originallly included in Volume 3 of the Ameren Missouri TRM and was added to the deemed savings tables during implementation. </t>
        </r>
      </text>
    </comment>
    <comment ref="Y87" authorId="0" shapeId="0" xr:uid="{00000000-0006-0000-0600-000025000000}">
      <text>
        <r>
          <rPr>
            <b/>
            <sz val="9"/>
            <color indexed="81"/>
            <rFont val="Tahoma"/>
            <family val="2"/>
          </rPr>
          <t>updated to per sq. ft. basis</t>
        </r>
        <r>
          <rPr>
            <sz val="9"/>
            <color indexed="81"/>
            <rFont val="Tahoma"/>
            <family val="2"/>
          </rPr>
          <t xml:space="preserve">
</t>
        </r>
      </text>
    </comment>
    <comment ref="Y100" authorId="0" shapeId="0" xr:uid="{00000000-0006-0000-0600-000026000000}">
      <text>
        <r>
          <rPr>
            <b/>
            <sz val="9"/>
            <color indexed="81"/>
            <rFont val="Tahoma"/>
            <family val="2"/>
          </rPr>
          <t>changed to a per square foot value rather than per average size home</t>
        </r>
      </text>
    </comment>
    <comment ref="Y227" authorId="0" shapeId="0" xr:uid="{00000000-0006-0000-0600-000027000000}">
      <text>
        <r>
          <rPr>
            <b/>
            <sz val="9"/>
            <color indexed="81"/>
            <rFont val="Tahoma"/>
            <family val="2"/>
          </rPr>
          <t>updated to per sq ft. basis</t>
        </r>
        <r>
          <rPr>
            <sz val="9"/>
            <color indexed="81"/>
            <rFont val="Tahoma"/>
            <family val="2"/>
          </rPr>
          <t xml:space="preserve">
</t>
        </r>
      </text>
    </comment>
    <comment ref="Y385" authorId="0" shapeId="0" xr:uid="{00000000-0006-0000-0600-000028000000}">
      <text>
        <r>
          <rPr>
            <b/>
            <sz val="9"/>
            <color indexed="81"/>
            <rFont val="Tahoma"/>
            <family val="2"/>
          </rPr>
          <t>based upon a per sq. ft basis</t>
        </r>
        <r>
          <rPr>
            <sz val="9"/>
            <color indexed="81"/>
            <rFont val="Tahoma"/>
            <family val="2"/>
          </rPr>
          <t xml:space="preserve">
</t>
        </r>
      </text>
    </comment>
    <comment ref="Y419" authorId="0" shapeId="0" xr:uid="{00000000-0006-0000-0600-000029000000}">
      <text>
        <r>
          <rPr>
            <b/>
            <sz val="9"/>
            <color indexed="81"/>
            <rFont val="Tahoma"/>
            <family val="2"/>
          </rPr>
          <t>changed to a per square foot value rather than per average size home</t>
        </r>
      </text>
    </comment>
    <comment ref="Y436" authorId="0" shapeId="0" xr:uid="{00000000-0006-0000-0600-00002A000000}">
      <text>
        <r>
          <rPr>
            <b/>
            <sz val="9"/>
            <color indexed="81"/>
            <rFont val="Tahoma"/>
            <family val="2"/>
          </rPr>
          <t>updated to per square ft. basis</t>
        </r>
        <r>
          <rPr>
            <sz val="9"/>
            <color indexed="81"/>
            <rFont val="Tahoma"/>
            <family val="2"/>
          </rPr>
          <t xml:space="preserve">
</t>
        </r>
      </text>
    </comment>
    <comment ref="Y452" authorId="0" shapeId="0" xr:uid="{00000000-0006-0000-0600-00002B000000}">
      <text>
        <r>
          <rPr>
            <b/>
            <sz val="9"/>
            <color indexed="81"/>
            <rFont val="Tahoma"/>
            <family val="2"/>
          </rPr>
          <t>updated to per square ft. basis</t>
        </r>
        <r>
          <rPr>
            <sz val="9"/>
            <color indexed="81"/>
            <rFont val="Tahoma"/>
            <family val="2"/>
          </rPr>
          <t xml:space="preserve">
</t>
        </r>
      </text>
    </comment>
    <comment ref="X469" authorId="0" shapeId="0" xr:uid="{00000000-0006-0000-0600-00002C000000}">
      <text>
        <r>
          <rPr>
            <b/>
            <sz val="9"/>
            <color indexed="81"/>
            <rFont val="Tahoma"/>
            <family val="2"/>
          </rPr>
          <t>The %AC and % Heating values were not used in the prior ADM calcs but applying them at 100% obtains the same value they reached.</t>
        </r>
        <r>
          <rPr>
            <sz val="9"/>
            <color indexed="81"/>
            <rFont val="Tahoma"/>
            <family val="2"/>
          </rPr>
          <t xml:space="preserve">
</t>
        </r>
      </text>
    </comment>
    <comment ref="X477" authorId="0" shapeId="0" xr:uid="{00000000-0006-0000-0600-00002D000000}">
      <text>
        <r>
          <rPr>
            <b/>
            <sz val="9"/>
            <color indexed="81"/>
            <rFont val="Tahoma"/>
            <family val="2"/>
          </rPr>
          <t>In PY2017 this was included in the ISR rate.</t>
        </r>
        <r>
          <rPr>
            <sz val="9"/>
            <color indexed="81"/>
            <rFont val="Tahoma"/>
            <family val="2"/>
          </rPr>
          <t xml:space="preserve">
</t>
        </r>
      </text>
    </comment>
    <comment ref="Y477" authorId="0" shapeId="0" xr:uid="{00000000-0006-0000-0600-00002E000000}">
      <text>
        <r>
          <rPr>
            <b/>
            <sz val="9"/>
            <color indexed="81"/>
            <rFont val="Tahoma"/>
            <family val="2"/>
          </rPr>
          <t xml:space="preserve"> included in the ISR rate.</t>
        </r>
        <r>
          <rPr>
            <sz val="9"/>
            <color indexed="81"/>
            <rFont val="Tahoma"/>
            <family val="2"/>
          </rPr>
          <t xml:space="preserve">
</t>
        </r>
      </text>
    </comment>
    <comment ref="Y514" authorId="0" shapeId="0" xr:uid="{00000000-0006-0000-0600-00002F000000}">
      <text>
        <r>
          <rPr>
            <b/>
            <sz val="9"/>
            <color indexed="81"/>
            <rFont val="Tahoma"/>
            <family val="2"/>
          </rPr>
          <t>updated to per foot basis</t>
        </r>
        <r>
          <rPr>
            <sz val="9"/>
            <color indexed="81"/>
            <rFont val="Tahoma"/>
            <family val="2"/>
          </rPr>
          <t xml:space="preserve">
</t>
        </r>
      </text>
    </comment>
    <comment ref="Y549" authorId="0" shapeId="0" xr:uid="{00000000-0006-0000-0600-000030000000}">
      <text>
        <r>
          <rPr>
            <b/>
            <sz val="9"/>
            <color indexed="81"/>
            <rFont val="Tahoma"/>
            <family val="2"/>
          </rPr>
          <t>updated to per square foot basis</t>
        </r>
      </text>
    </comment>
    <comment ref="Y573" authorId="0" shapeId="0" xr:uid="{00000000-0006-0000-0600-000032000000}">
      <text>
        <r>
          <rPr>
            <b/>
            <sz val="9"/>
            <color indexed="81"/>
            <rFont val="Tahoma"/>
            <family val="2"/>
          </rPr>
          <t>This value is not new just including it in the input table (previously only shown in the equation)</t>
        </r>
      </text>
    </comment>
    <comment ref="Y580" authorId="0" shapeId="0" xr:uid="{00000000-0006-0000-0600-000033000000}">
      <text>
        <r>
          <rPr>
            <b/>
            <sz val="9"/>
            <color indexed="81"/>
            <rFont val="Tahoma"/>
            <family val="2"/>
          </rPr>
          <t>This value is not new just including it in the input table (previously only shown in the equation)</t>
        </r>
      </text>
    </comment>
    <comment ref="Y583" authorId="0" shapeId="0" xr:uid="{00000000-0006-0000-0600-000034000000}">
      <text>
        <r>
          <rPr>
            <b/>
            <sz val="9"/>
            <color indexed="81"/>
            <rFont val="Tahoma"/>
            <family val="2"/>
          </rPr>
          <t>This value is not new just including it in the input table (previously only shown in the equation)</t>
        </r>
      </text>
    </comment>
    <comment ref="Y586" authorId="0" shapeId="0" xr:uid="{00000000-0006-0000-0600-000035000000}">
      <text>
        <r>
          <rPr>
            <b/>
            <sz val="9"/>
            <color indexed="81"/>
            <rFont val="Tahoma"/>
            <family val="2"/>
          </rPr>
          <t>This value is not new just including it in the input table (previously only shown in the equation)</t>
        </r>
      </text>
    </comment>
    <comment ref="X613" authorId="0" shapeId="0" xr:uid="{00000000-0006-0000-0600-00003D000000}">
      <text>
        <r>
          <rPr>
            <b/>
            <sz val="9"/>
            <color indexed="81"/>
            <rFont val="Tahoma"/>
            <family val="2"/>
          </rPr>
          <t>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t>
        </r>
      </text>
    </comment>
    <comment ref="E643" authorId="0" shapeId="0" xr:uid="{00000000-0006-0000-0600-00003E000000}">
      <text>
        <r>
          <rPr>
            <b/>
            <sz val="9"/>
            <color indexed="81"/>
            <rFont val="Tahoma"/>
            <family val="2"/>
          </rPr>
          <t>Author:</t>
        </r>
        <r>
          <rPr>
            <sz val="9"/>
            <color indexed="81"/>
            <rFont val="Tahoma"/>
            <family val="2"/>
          </rPr>
          <t xml:space="preserve">
changed "showerhead' to "aerator"</t>
        </r>
      </text>
    </comment>
    <comment ref="E645" authorId="0" shapeId="0" xr:uid="{00000000-0006-0000-0600-00003F000000}">
      <text>
        <r>
          <rPr>
            <b/>
            <sz val="9"/>
            <color indexed="81"/>
            <rFont val="Tahoma"/>
            <family val="2"/>
          </rPr>
          <t>Author:</t>
        </r>
        <r>
          <rPr>
            <sz val="9"/>
            <color indexed="81"/>
            <rFont val="Tahoma"/>
            <family val="2"/>
          </rPr>
          <t xml:space="preserve">
changed "showerhead' to "aerator"</t>
        </r>
      </text>
    </comment>
    <comment ref="W648" authorId="0" shapeId="0" xr:uid="{00000000-0006-0000-0600-000040000000}">
      <text>
        <r>
          <rPr>
            <b/>
            <sz val="9"/>
            <color indexed="81"/>
            <rFont val="Tahoma"/>
            <family val="2"/>
          </rPr>
          <t>Illinois Statewide Technical Reference Manual for Energy Efficiency Version 5.0. pp. 175. 2016. Available online: http://ilsagfiles.org/SAG_files/Technical_Reference_Manual/Version_5/Final/IL-TRM_Version_5.0_dated_February-11-2016_Final_Compiled_Volumes_1-4.pdf</t>
        </r>
      </text>
    </comment>
    <comment ref="X648" authorId="0" shapeId="0" xr:uid="{00000000-0006-0000-0600-000041000000}">
      <text>
        <r>
          <rPr>
            <b/>
            <sz val="9"/>
            <color indexed="81"/>
            <rFont val="Tahoma"/>
            <family val="2"/>
          </rPr>
          <t xml:space="preserve">No Drain factor included in PY2017 EM&amp;V results
</t>
        </r>
      </text>
    </comment>
    <comment ref="W650" authorId="0" shapeId="0" xr:uid="{00000000-0006-0000-0600-000042000000}">
      <text>
        <r>
          <rPr>
            <b/>
            <sz val="9"/>
            <color indexed="81"/>
            <rFont val="Tahoma"/>
            <family val="2"/>
          </rPr>
          <t xml:space="preserve">PY2016 Program Data, per Community Saves 2016 EM&amp;V report. </t>
        </r>
        <r>
          <rPr>
            <sz val="9"/>
            <color indexed="81"/>
            <rFont val="Tahoma"/>
            <family val="2"/>
          </rPr>
          <t xml:space="preserve">
</t>
        </r>
      </text>
    </comment>
    <comment ref="W658" authorId="0" shapeId="0" xr:uid="{00000000-0006-0000-0600-000044000000}">
      <text>
        <r>
          <rPr>
            <b/>
            <sz val="9"/>
            <color indexed="81"/>
            <rFont val="Tahoma"/>
            <family val="2"/>
          </rPr>
          <t>Missouri TRM</t>
        </r>
        <r>
          <rPr>
            <sz val="9"/>
            <color indexed="81"/>
            <rFont val="Tahoma"/>
            <family val="2"/>
          </rPr>
          <t xml:space="preserve">
</t>
        </r>
      </text>
    </comment>
    <comment ref="E678" authorId="0" shapeId="0" xr:uid="{00000000-0006-0000-0600-000045000000}">
      <text>
        <r>
          <rPr>
            <b/>
            <sz val="9"/>
            <color indexed="81"/>
            <rFont val="Tahoma"/>
            <family val="2"/>
          </rPr>
          <t>Author:</t>
        </r>
        <r>
          <rPr>
            <sz val="9"/>
            <color indexed="81"/>
            <rFont val="Tahoma"/>
            <family val="2"/>
          </rPr>
          <t xml:space="preserve">
changed "showerhead' to "aerator"</t>
        </r>
      </text>
    </comment>
    <comment ref="E680" authorId="0" shapeId="0" xr:uid="{00000000-0006-0000-0600-000046000000}">
      <text>
        <r>
          <rPr>
            <b/>
            <sz val="9"/>
            <color indexed="81"/>
            <rFont val="Tahoma"/>
            <family val="2"/>
          </rPr>
          <t>Author:</t>
        </r>
        <r>
          <rPr>
            <sz val="9"/>
            <color indexed="81"/>
            <rFont val="Tahoma"/>
            <family val="2"/>
          </rPr>
          <t xml:space="preserve">
changed "showerhead' to "aerator"</t>
        </r>
      </text>
    </comment>
    <comment ref="V715" authorId="0" shapeId="0" xr:uid="{00000000-0006-0000-0600-000047000000}">
      <text>
        <r>
          <rPr>
            <b/>
            <sz val="9"/>
            <color indexed="81"/>
            <rFont val="Tahoma"/>
            <family val="2"/>
          </rPr>
          <t>Illinois Statewide Technical Reference Manual for Energy Efficiency Version 5.0. pp. 184. 2016. Available Online: http://ilsagfiles.org/SAG_files/Technical_Reference
_Manual/Version_5/Final/IL-TRM_Version_5.0_dated_February-11-2016_Final_Compiled_Volumes_1-4.pdf</t>
        </r>
      </text>
    </comment>
    <comment ref="X715" authorId="0" shapeId="0" xr:uid="{00000000-0006-0000-0600-000048000000}">
      <text>
        <r>
          <rPr>
            <b/>
            <sz val="9"/>
            <color indexed="81"/>
            <rFont val="Tahoma"/>
            <family val="2"/>
          </rPr>
          <t>PY2017  Community Savers Site Visit Data and Ride Along Data (ADM only provided the delta GPM, not the base and efficient values)</t>
        </r>
        <r>
          <rPr>
            <sz val="9"/>
            <color indexed="81"/>
            <rFont val="Tahoma"/>
            <family val="2"/>
          </rPr>
          <t xml:space="preserve">
</t>
        </r>
      </text>
    </comment>
    <comment ref="V717" authorId="0" shapeId="0" xr:uid="{00000000-0006-0000-0600-00004A000000}">
      <text>
        <r>
          <rPr>
            <b/>
            <sz val="9"/>
            <color indexed="81"/>
            <rFont val="Tahoma"/>
            <family val="2"/>
          </rPr>
          <t>PY2016 Program Data, per Community Saves 2016 EM&amp;V report. </t>
        </r>
        <r>
          <rPr>
            <sz val="9"/>
            <color indexed="81"/>
            <rFont val="Tahoma"/>
            <family val="2"/>
          </rPr>
          <t xml:space="preserve">
</t>
        </r>
      </text>
    </comment>
    <comment ref="X717" authorId="0" shapeId="0" xr:uid="{00000000-0006-0000-0600-00004B000000}">
      <text>
        <r>
          <rPr>
            <b/>
            <sz val="9"/>
            <color indexed="81"/>
            <rFont val="Tahoma"/>
            <family val="2"/>
          </rPr>
          <t>PY2017  Community Savers Site Visit Data and Ride Along Data (ADM only provided the delta GPM, not the base and efficient values)</t>
        </r>
      </text>
    </comment>
    <comment ref="AF717" authorId="0" shapeId="0" xr:uid="{4EA9A3FE-00A6-414F-85CA-F3DBF41E9BC6}">
      <text>
        <r>
          <rPr>
            <b/>
            <sz val="9"/>
            <color indexed="81"/>
            <rFont val="Tahoma"/>
            <family val="2"/>
          </rPr>
          <t>Author:</t>
        </r>
        <r>
          <rPr>
            <sz val="9"/>
            <color indexed="81"/>
            <rFont val="Tahoma"/>
            <family val="2"/>
          </rPr>
          <t xml:space="preserve">
Showerhead pivot tab cell E428</t>
        </r>
      </text>
    </comment>
    <comment ref="AF719" authorId="0" shapeId="0" xr:uid="{D7268BC3-1F35-4592-B19C-2575FD770C3C}">
      <text>
        <r>
          <rPr>
            <b/>
            <sz val="9"/>
            <color indexed="81"/>
            <rFont val="Tahoma"/>
            <family val="2"/>
          </rPr>
          <t>Author:</t>
        </r>
        <r>
          <rPr>
            <sz val="9"/>
            <color indexed="81"/>
            <rFont val="Tahoma"/>
            <family val="2"/>
          </rPr>
          <t xml:space="preserve">
Showerhead pivot tab cell E428</t>
        </r>
      </text>
    </comment>
    <comment ref="W720" authorId="0" shapeId="0" xr:uid="{00000000-0006-0000-0600-00004F000000}">
      <text>
        <r>
          <rPr>
            <b/>
            <sz val="9"/>
            <color indexed="81"/>
            <rFont val="Tahoma"/>
            <family val="2"/>
          </rPr>
          <t>Missouri TRM</t>
        </r>
      </text>
    </comment>
    <comment ref="W724" authorId="0" shapeId="0" xr:uid="{00000000-0006-0000-0600-000050000000}">
      <text>
        <r>
          <rPr>
            <b/>
            <sz val="9"/>
            <color indexed="81"/>
            <rFont val="Tahoma"/>
            <family val="2"/>
          </rPr>
          <t>Ameren Missouri Efficient Products Impact and Process Evaluation: Planning Year 2015, provided by Cadmus.</t>
        </r>
        <r>
          <rPr>
            <sz val="9"/>
            <color indexed="81"/>
            <rFont val="Tahoma"/>
            <family val="2"/>
          </rPr>
          <t xml:space="preserve">
</t>
        </r>
      </text>
    </comment>
    <comment ref="AF730" authorId="1" shapeId="0" xr:uid="{369C16B0-CF35-41B8-97CA-780A26286298}">
      <text>
        <t>[Threaded comment]
Your version of Excel allows you to read this threaded comment; however, any edits to it will get removed if the file is opened in a newer version of Excel. Learn more: https://go.microsoft.com/fwlink/?linkid=870924
Comment:
    Small Typo found that used 3,413 instead of 3,412</t>
      </text>
    </comment>
    <comment ref="Y735" authorId="0" shapeId="0" xr:uid="{00000000-0006-0000-0600-000051000000}">
      <text>
        <r>
          <rPr>
            <b/>
            <sz val="9"/>
            <color indexed="81"/>
            <rFont val="Tahoma"/>
            <family val="2"/>
          </rPr>
          <t>PY19 Actual</t>
        </r>
        <r>
          <rPr>
            <sz val="9"/>
            <color indexed="81"/>
            <rFont val="Tahoma"/>
            <family val="2"/>
          </rPr>
          <t xml:space="preserve">
</t>
        </r>
      </text>
    </comment>
    <comment ref="Y736" authorId="0" shapeId="0" xr:uid="{00000000-0006-0000-0600-000052000000}">
      <text>
        <r>
          <rPr>
            <b/>
            <sz val="9"/>
            <color indexed="81"/>
            <rFont val="Tahoma"/>
            <family val="2"/>
          </rPr>
          <t>added handheld showerhead option</t>
        </r>
      </text>
    </comment>
    <comment ref="Y737" authorId="0" shapeId="0" xr:uid="{00000000-0006-0000-0600-000053000000}">
      <text>
        <r>
          <rPr>
            <b/>
            <sz val="9"/>
            <color indexed="81"/>
            <rFont val="Tahoma"/>
            <family val="2"/>
          </rPr>
          <t>combination of $7 from IL TRM and difference in actual DI costs</t>
        </r>
        <r>
          <rPr>
            <sz val="9"/>
            <color indexed="81"/>
            <rFont val="Tahoma"/>
            <family val="2"/>
          </rPr>
          <t xml:space="preserve">
</t>
        </r>
      </text>
    </comment>
    <comment ref="W755" authorId="0" shapeId="0" xr:uid="{00000000-0006-0000-0600-000054000000}">
      <text>
        <r>
          <rPr>
            <b/>
            <sz val="9"/>
            <color indexed="81"/>
            <rFont val="Tahoma"/>
            <family val="2"/>
          </rPr>
          <t>MO TRM - Assumes 125°F water leaving the hot water tank and average basement temperature of 65°F.
Cited in Ameren Missouri Low Income and Process Evaluation: program Year 2015. p.24</t>
        </r>
      </text>
    </comment>
    <comment ref="F770" authorId="0" shapeId="0" xr:uid="{FA6511B9-FBEA-4903-98B3-C3C8CA3199DC}">
      <text>
        <r>
          <rPr>
            <b/>
            <sz val="9"/>
            <color indexed="81"/>
            <rFont val="Tahoma"/>
            <family val="2"/>
          </rPr>
          <t>O kWh savings for thermostats per MEEIA 4 Stipulation (added "*0" in formula to retain formula structure and inputs)</t>
        </r>
      </text>
    </comment>
    <comment ref="X823" authorId="0" shapeId="0" xr:uid="{00000000-0006-0000-0600-000055000000}">
      <text>
        <r>
          <rPr>
            <b/>
            <sz val="9"/>
            <color indexed="81"/>
            <rFont val="Tahoma"/>
            <family val="2"/>
          </rPr>
          <t>MO TRM</t>
        </r>
      </text>
    </comment>
    <comment ref="X825" authorId="0" shapeId="0" xr:uid="{00000000-0006-0000-0600-000056000000}">
      <text>
        <r>
          <rPr>
            <b/>
            <sz val="9"/>
            <color indexed="81"/>
            <rFont val="Tahoma"/>
            <family val="2"/>
          </rPr>
          <t>no adjustment as these did not align in same manner with ADM formula</t>
        </r>
        <r>
          <rPr>
            <sz val="9"/>
            <color indexed="81"/>
            <rFont val="Tahoma"/>
            <family val="2"/>
          </rPr>
          <t xml:space="preserve">
</t>
        </r>
      </text>
    </comment>
    <comment ref="Y825" authorId="0" shapeId="0" xr:uid="{00000000-0006-0000-0600-000057000000}">
      <text>
        <r>
          <rPr>
            <b/>
            <sz val="9"/>
            <color indexed="81"/>
            <rFont val="Tahoma"/>
            <family val="2"/>
          </rPr>
          <t>no adjustment as these did not align in same manner with ADM formula</t>
        </r>
        <r>
          <rPr>
            <sz val="9"/>
            <color indexed="81"/>
            <rFont val="Tahoma"/>
            <family val="2"/>
          </rPr>
          <t xml:space="preserve">
</t>
        </r>
      </text>
    </comment>
    <comment ref="W854" authorId="0" shapeId="0" xr:uid="{00000000-0006-0000-0600-000058000000}">
      <text>
        <r>
          <rPr>
            <b/>
            <sz val="9"/>
            <color indexed="81"/>
            <rFont val="Tahoma"/>
            <family val="2"/>
          </rPr>
          <t xml:space="preserve">Bulb-type and lumen look-up in Energy Star database
</t>
        </r>
      </text>
    </comment>
    <comment ref="W856" authorId="0" shapeId="0" xr:uid="{00000000-0006-0000-0600-00005A000000}">
      <text>
        <r>
          <rPr>
            <b/>
            <sz val="9"/>
            <color indexed="81"/>
            <rFont val="Tahoma"/>
            <family val="2"/>
          </rPr>
          <t>Bulb-type and lumen look-up in Energy Star database</t>
        </r>
      </text>
    </comment>
    <comment ref="W859" authorId="0" shapeId="0" xr:uid="{00000000-0006-0000-0600-00005B000000}">
      <text>
        <r>
          <rPr>
            <b/>
            <sz val="9"/>
            <color indexed="81"/>
            <rFont val="Tahoma"/>
            <family val="2"/>
          </rPr>
          <t xml:space="preserve">Bulb-type and lumen look-up in Energy Star database
</t>
        </r>
        <r>
          <rPr>
            <sz val="9"/>
            <color indexed="81"/>
            <rFont val="Tahoma"/>
            <family val="2"/>
          </rPr>
          <t xml:space="preserve">
</t>
        </r>
      </text>
    </comment>
    <comment ref="W860" authorId="0" shapeId="0" xr:uid="{00000000-0006-0000-0600-00005C000000}">
      <text>
        <r>
          <rPr>
            <b/>
            <sz val="9"/>
            <color indexed="81"/>
            <rFont val="Tahoma"/>
            <family val="2"/>
          </rPr>
          <t>Bulb-type and lumen look-up in Energy Star database</t>
        </r>
      </text>
    </comment>
    <comment ref="W863" authorId="0" shapeId="0" xr:uid="{00000000-0006-0000-0600-00005D000000}">
      <text>
        <r>
          <rPr>
            <b/>
            <sz val="9"/>
            <color indexed="81"/>
            <rFont val="Tahoma"/>
            <family val="2"/>
          </rPr>
          <t xml:space="preserve">Bulb-type and lumen look-up in Energy Star database
</t>
        </r>
        <r>
          <rPr>
            <sz val="9"/>
            <color indexed="81"/>
            <rFont val="Tahoma"/>
            <family val="2"/>
          </rPr>
          <t xml:space="preserve">
</t>
        </r>
      </text>
    </comment>
    <comment ref="W866" authorId="0" shapeId="0" xr:uid="{00000000-0006-0000-0600-00005E000000}">
      <text>
        <r>
          <rPr>
            <b/>
            <sz val="9"/>
            <color indexed="81"/>
            <rFont val="Tahoma"/>
            <family val="2"/>
          </rPr>
          <t>Program Wattage</t>
        </r>
        <r>
          <rPr>
            <sz val="9"/>
            <color indexed="81"/>
            <rFont val="Tahoma"/>
            <family val="2"/>
          </rPr>
          <t xml:space="preserve">
</t>
        </r>
      </text>
    </comment>
    <comment ref="W867" authorId="0" shapeId="0" xr:uid="{00000000-0006-0000-0600-00005F000000}">
      <text>
        <r>
          <rPr>
            <b/>
            <sz val="9"/>
            <color indexed="81"/>
            <rFont val="Tahoma"/>
            <family val="2"/>
          </rPr>
          <t>Program Wattage</t>
        </r>
        <r>
          <rPr>
            <sz val="9"/>
            <color indexed="81"/>
            <rFont val="Tahoma"/>
            <family val="2"/>
          </rPr>
          <t xml:space="preserve">
</t>
        </r>
      </text>
    </comment>
    <comment ref="W868" authorId="0" shapeId="0" xr:uid="{00000000-0006-0000-0600-000061000000}">
      <text>
        <r>
          <rPr>
            <b/>
            <sz val="9"/>
            <color indexed="81"/>
            <rFont val="Tahoma"/>
            <family val="2"/>
          </rPr>
          <t>Program Wattage</t>
        </r>
        <r>
          <rPr>
            <sz val="9"/>
            <color indexed="81"/>
            <rFont val="Tahoma"/>
            <family val="2"/>
          </rPr>
          <t xml:space="preserve">
</t>
        </r>
      </text>
    </comment>
    <comment ref="W869" authorId="0" shapeId="0" xr:uid="{00000000-0006-0000-0600-000062000000}">
      <text>
        <r>
          <rPr>
            <b/>
            <sz val="9"/>
            <color indexed="81"/>
            <rFont val="Tahoma"/>
            <family val="2"/>
          </rPr>
          <t>Program Wattage</t>
        </r>
        <r>
          <rPr>
            <sz val="9"/>
            <color indexed="81"/>
            <rFont val="Tahoma"/>
            <family val="2"/>
          </rPr>
          <t xml:space="preserve">
</t>
        </r>
      </text>
    </comment>
    <comment ref="W871" authorId="0" shapeId="0" xr:uid="{00000000-0006-0000-0600-000063000000}">
      <text>
        <r>
          <rPr>
            <b/>
            <sz val="9"/>
            <color indexed="81"/>
            <rFont val="Tahoma"/>
            <family val="2"/>
          </rPr>
          <t>Program Wattage</t>
        </r>
        <r>
          <rPr>
            <sz val="9"/>
            <color indexed="81"/>
            <rFont val="Tahoma"/>
            <family val="2"/>
          </rPr>
          <t xml:space="preserve">
</t>
        </r>
      </text>
    </comment>
    <comment ref="W872" authorId="0" shapeId="0" xr:uid="{00000000-0006-0000-0600-000064000000}">
      <text>
        <r>
          <rPr>
            <b/>
            <sz val="9"/>
            <color indexed="81"/>
            <rFont val="Tahoma"/>
            <family val="2"/>
          </rPr>
          <t>Bulb-type and lumen look-up in Energy Star database</t>
        </r>
        <r>
          <rPr>
            <sz val="9"/>
            <color indexed="81"/>
            <rFont val="Tahoma"/>
            <family val="2"/>
          </rPr>
          <t xml:space="preserve">
</t>
        </r>
      </text>
    </comment>
    <comment ref="W873" authorId="0" shapeId="0" xr:uid="{00000000-0006-0000-0600-000065000000}">
      <text>
        <r>
          <rPr>
            <b/>
            <sz val="9"/>
            <color indexed="81"/>
            <rFont val="Tahoma"/>
            <family val="2"/>
          </rPr>
          <t>Bulb-type and lumen look-up in Energy Star database</t>
        </r>
        <r>
          <rPr>
            <sz val="9"/>
            <color indexed="81"/>
            <rFont val="Tahoma"/>
            <family val="2"/>
          </rPr>
          <t xml:space="preserve">
</t>
        </r>
      </text>
    </comment>
    <comment ref="W874" authorId="0" shapeId="0" xr:uid="{00000000-0006-0000-0600-000066000000}">
      <text>
        <r>
          <rPr>
            <b/>
            <sz val="9"/>
            <color indexed="81"/>
            <rFont val="Tahoma"/>
            <family val="2"/>
          </rPr>
          <t>Bulb-type and lumen look-up in Energy Star database</t>
        </r>
        <r>
          <rPr>
            <sz val="9"/>
            <color indexed="81"/>
            <rFont val="Tahoma"/>
            <family val="2"/>
          </rPr>
          <t xml:space="preserve">
</t>
        </r>
      </text>
    </comment>
    <comment ref="W875" authorId="0" shapeId="0" xr:uid="{00000000-0006-0000-0600-000068000000}">
      <text>
        <r>
          <rPr>
            <b/>
            <sz val="9"/>
            <color indexed="81"/>
            <rFont val="Tahoma"/>
            <family val="2"/>
          </rPr>
          <t>Bulb-type and lumen look-up in Energy Star database</t>
        </r>
        <r>
          <rPr>
            <sz val="9"/>
            <color indexed="81"/>
            <rFont val="Tahoma"/>
            <family val="2"/>
          </rPr>
          <t xml:space="preserve">
</t>
        </r>
      </text>
    </comment>
    <comment ref="W878" authorId="0" shapeId="0" xr:uid="{00000000-0006-0000-0600-000072000000}">
      <text>
        <r>
          <rPr>
            <b/>
            <sz val="9"/>
            <color indexed="81"/>
            <rFont val="Tahoma"/>
            <family val="2"/>
          </rPr>
          <t xml:space="preserve">Ameren Missouri Home Energy Analysis Program Impact and Process Evaluation: Program Year 2015 </t>
        </r>
        <r>
          <rPr>
            <sz val="9"/>
            <color indexed="81"/>
            <rFont val="Tahoma"/>
            <family val="2"/>
          </rPr>
          <t xml:space="preserve">
</t>
        </r>
      </text>
    </comment>
    <comment ref="X881" authorId="0" shapeId="0" xr:uid="{00000000-0006-0000-0600-000073000000}">
      <text>
        <r>
          <rPr>
            <b/>
            <sz val="9"/>
            <color indexed="81"/>
            <rFont val="Tahoma"/>
            <family val="2"/>
          </rPr>
          <t>Weighted HOU from ADM based upon program data</t>
        </r>
        <r>
          <rPr>
            <sz val="9"/>
            <color indexed="81"/>
            <rFont val="Tahoma"/>
            <family val="2"/>
          </rPr>
          <t xml:space="preserve">
</t>
        </r>
      </text>
    </comment>
    <comment ref="W884" authorId="0" shapeId="0" xr:uid="{00000000-0006-0000-0600-000074000000}">
      <text>
        <r>
          <rPr>
            <b/>
            <sz val="9"/>
            <color indexed="81"/>
            <rFont val="Tahoma"/>
            <family val="2"/>
          </rPr>
          <t xml:space="preserve">Illinois TRM v5.0, Lighting Reference Tables (Sec. 4.5.1), "Unknown" Building type, screw base lamp operating hours / 365 </t>
        </r>
        <r>
          <rPr>
            <sz val="9"/>
            <color indexed="81"/>
            <rFont val="Tahoma"/>
            <family val="2"/>
          </rPr>
          <t xml:space="preserve">
</t>
        </r>
      </text>
    </comment>
    <comment ref="X884" authorId="0" shapeId="0" xr:uid="{00000000-0006-0000-0600-000075000000}">
      <text>
        <r>
          <rPr>
            <b/>
            <sz val="9"/>
            <color indexed="81"/>
            <rFont val="Tahoma"/>
            <family val="2"/>
          </rPr>
          <t>Author:</t>
        </r>
        <r>
          <rPr>
            <sz val="9"/>
            <color indexed="81"/>
            <rFont val="Tahoma"/>
            <family val="2"/>
          </rPr>
          <t xml:space="preserve">
Weighted HOU from ADM based upon program data</t>
        </r>
      </text>
    </comment>
    <comment ref="Y930" authorId="0" shapeId="0" xr:uid="{00000000-0006-0000-0600-000077000000}">
      <text>
        <r>
          <rPr>
            <sz val="9"/>
            <color indexed="81"/>
            <rFont val="Tahoma"/>
            <family val="2"/>
          </rPr>
          <t xml:space="preserve">Use existing inputs to develop measure based on program design.
</t>
        </r>
      </text>
    </comment>
    <comment ref="Y943" authorId="0" shapeId="0" xr:uid="{00000000-0006-0000-0600-000078000000}">
      <text>
        <r>
          <rPr>
            <b/>
            <sz val="9"/>
            <color indexed="81"/>
            <rFont val="Tahoma"/>
            <family val="2"/>
          </rPr>
          <t>Added pre-1993 unit based upon existing inputs</t>
        </r>
        <r>
          <rPr>
            <sz val="9"/>
            <color indexed="81"/>
            <rFont val="Tahoma"/>
            <family val="2"/>
          </rPr>
          <t xml:space="preserve">
</t>
        </r>
      </text>
    </comment>
    <comment ref="Y966" authorId="0" shapeId="0" xr:uid="{00000000-0006-0000-0600-000079000000}">
      <text>
        <r>
          <rPr>
            <b/>
            <sz val="9"/>
            <color indexed="81"/>
            <rFont val="Tahoma"/>
            <family val="2"/>
          </rPr>
          <t>Added standard size units to provide more options for Implementation and based upon program design all replacements are primary units (not secondary)</t>
        </r>
      </text>
    </comment>
    <comment ref="W975" authorId="0" shapeId="0" xr:uid="{00000000-0006-0000-0600-00007C000000}">
      <text>
        <r>
          <rPr>
            <b/>
            <sz val="9"/>
            <color indexed="81"/>
            <rFont val="Tahoma"/>
            <family val="2"/>
          </rPr>
          <t>PY13 RebateSavers Database (average BTU)</t>
        </r>
        <r>
          <rPr>
            <sz val="9"/>
            <color indexed="81"/>
            <rFont val="Tahoma"/>
            <family val="2"/>
          </rPr>
          <t xml:space="preserve">
</t>
        </r>
      </text>
    </comment>
    <comment ref="W977" authorId="0" shapeId="0" xr:uid="{00000000-0006-0000-0600-00007D000000}">
      <text>
        <r>
          <rPr>
            <b/>
            <sz val="9"/>
            <color indexed="81"/>
            <rFont val="Tahoma"/>
            <family val="2"/>
          </rPr>
          <t>Federal minimum efficiency standard (updated from EER to CEER in March 2017)</t>
        </r>
        <r>
          <rPr>
            <sz val="9"/>
            <color indexed="81"/>
            <rFont val="Tahoma"/>
            <family val="2"/>
          </rPr>
          <t xml:space="preserve">
</t>
        </r>
      </text>
    </comment>
    <comment ref="X980" authorId="0" shapeId="0" xr:uid="{00000000-0006-0000-0600-00007E000000}">
      <text>
        <r>
          <rPr>
            <b/>
            <sz val="9"/>
            <color indexed="81"/>
            <rFont val="Tahoma"/>
            <family val="2"/>
          </rPr>
          <t>Cadmus did not identify secondary vs primary unit, therefore did not update these values</t>
        </r>
        <r>
          <rPr>
            <sz val="9"/>
            <color indexed="81"/>
            <rFont val="Tahoma"/>
            <family val="2"/>
          </rPr>
          <t xml:space="preserve">
</t>
        </r>
      </text>
    </comment>
    <comment ref="Y980" authorId="0" shapeId="0" xr:uid="{00000000-0006-0000-0600-00007F000000}">
      <text>
        <r>
          <rPr>
            <b/>
            <sz val="9"/>
            <color indexed="81"/>
            <rFont val="Tahoma"/>
            <family val="2"/>
          </rPr>
          <t>Cadmus did not identify secondary vs primary unit, therefore did not update these values</t>
        </r>
        <r>
          <rPr>
            <sz val="9"/>
            <color indexed="81"/>
            <rFont val="Tahoma"/>
            <family val="2"/>
          </rPr>
          <t xml:space="preserve">
</t>
        </r>
      </text>
    </comment>
    <comment ref="AJ981" authorId="0" shapeId="0" xr:uid="{00000000-0006-0000-0600-000080000000}">
      <text>
        <r>
          <rPr>
            <b/>
            <sz val="9"/>
            <color indexed="81"/>
            <rFont val="Tahoma"/>
            <family val="2"/>
          </rPr>
          <t>used EFLH that ADM used for all measures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Z6" authorId="0" shapeId="0" xr:uid="{00000000-0006-0000-0A00-000001000000}">
      <text>
        <r>
          <rPr>
            <b/>
            <sz val="9"/>
            <color indexed="81"/>
            <rFont val="Tahoma"/>
            <family val="2"/>
          </rPr>
          <t>11 Step updates</t>
        </r>
      </text>
    </comment>
    <comment ref="Z27" authorId="0" shapeId="0" xr:uid="{0A38782F-A221-4F11-9F5E-0A42725A1F46}">
      <text>
        <r>
          <rPr>
            <b/>
            <sz val="9"/>
            <color indexed="81"/>
            <rFont val="Tahoma"/>
            <family val="2"/>
          </rPr>
          <t>11 Step updates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I6" authorId="0" shapeId="0" xr:uid="{00000000-0006-0000-0C00-000001000000}">
      <text>
        <r>
          <rPr>
            <b/>
            <sz val="9"/>
            <color indexed="81"/>
            <rFont val="Tahoma"/>
            <family val="2"/>
          </rPr>
          <t xml:space="preserve">1st year savings
</t>
        </r>
      </text>
    </comment>
    <comment ref="J6" authorId="0" shapeId="0" xr:uid="{8D6631F5-EF2A-4461-A1F6-2393E475BAD4}">
      <text>
        <r>
          <rPr>
            <b/>
            <sz val="9"/>
            <color indexed="81"/>
            <rFont val="Tahoma"/>
            <family val="2"/>
          </rPr>
          <t>Last year savings</t>
        </r>
        <r>
          <rPr>
            <sz val="9"/>
            <color indexed="81"/>
            <rFont val="Tahoma"/>
            <family val="2"/>
          </rPr>
          <t xml:space="preserve">
</t>
        </r>
      </text>
    </comment>
    <comment ref="Q6" authorId="0" shapeId="0" xr:uid="{00000000-0006-0000-0C00-000006000000}">
      <text>
        <r>
          <rPr>
            <b/>
            <sz val="9"/>
            <color indexed="81"/>
            <rFont val="Tahoma"/>
            <family val="2"/>
          </rPr>
          <t xml:space="preserve">Author:
</t>
        </r>
      </text>
    </comment>
    <comment ref="AC6" authorId="0" shapeId="0" xr:uid="{00000000-0006-0000-0C00-000007000000}">
      <text>
        <r>
          <rPr>
            <b/>
            <sz val="9"/>
            <color indexed="81"/>
            <rFont val="Tahoma"/>
            <family val="2"/>
          </rPr>
          <t>These are the benefits that would be derived from measures installed in 2020 to adjust the program year, the benefits in the deemed tables (~column BD) would need to lookup from a different column in the avoided cost benefit tab</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21" authorId="0" shapeId="0" xr:uid="{B3A1CF24-84AF-48A8-93B5-A4721489C605}">
      <text>
        <r>
          <rPr>
            <b/>
            <sz val="9"/>
            <color indexed="81"/>
            <rFont val="Tahoma"/>
            <family val="2"/>
          </rPr>
          <t>Value was previously listed as 0.0001286107 , which was a static value for a single year (2035) rather than the average of (2016-2035) values, corrected to match appendix G has little or no impact.</t>
        </r>
        <r>
          <rPr>
            <sz val="9"/>
            <color indexed="81"/>
            <rFont val="Tahoma"/>
            <family val="2"/>
          </rPr>
          <t xml:space="preserve">
</t>
        </r>
      </text>
    </comment>
    <comment ref="B22" authorId="0" shapeId="0" xr:uid="{1EF67EBD-2735-4F9B-BBA5-E64ED51AEC41}">
      <text>
        <r>
          <rPr>
            <b/>
            <sz val="9"/>
            <color indexed="81"/>
            <rFont val="Tahoma"/>
            <family val="2"/>
          </rPr>
          <t>Value was previously listed as 0.0001286107 , which was a static value for a single year (2035) rather than the average of (2016-2035) values, corrected to match appendix G has little or no impact.</t>
        </r>
        <r>
          <rPr>
            <sz val="9"/>
            <color indexed="81"/>
            <rFont val="Tahoma"/>
            <family val="2"/>
          </rPr>
          <t xml:space="preserve">
</t>
        </r>
      </text>
    </comment>
  </commentList>
</comments>
</file>

<file path=xl/sharedStrings.xml><?xml version="1.0" encoding="utf-8"?>
<sst xmlns="http://schemas.openxmlformats.org/spreadsheetml/2006/main" count="12601" uniqueCount="3221">
  <si>
    <t>General Layout of the Deemed Savings Tables:</t>
  </si>
  <si>
    <t>Deemed Savings Tables and Inputs</t>
  </si>
  <si>
    <t xml:space="preserve">Current + Historical kWh Values and Inputs </t>
  </si>
  <si>
    <t>*TRC (Measure Level)</t>
  </si>
  <si>
    <t>"1"= Collapse all Inputs to Calculations</t>
  </si>
  <si>
    <t>"2" = Expand all Inputs to Calculations</t>
  </si>
  <si>
    <t>"-/+" = Collapse or Expand each Section</t>
  </si>
  <si>
    <t>Deemed Savings Table(s)</t>
  </si>
  <si>
    <t>Formula/Equation(s)</t>
  </si>
  <si>
    <t>Equation Inputs</t>
  </si>
  <si>
    <t>* TRC calculations use the avoided cost benefit tables from workpapers in the filed MEEIA 2025-2027 application (EO-2023-0136)</t>
  </si>
  <si>
    <t>In the Deemed Savings Tables, color coding is used to clarify the potential relevance of specified values to ex post EM&amp;V.</t>
  </si>
  <si>
    <t>Unit of measure (e.g., 1 foot): The value is applicable and will be used for both ex ante and ex post savings calculations, as it represents a general unit of measurement.</t>
  </si>
  <si>
    <t>This value is directly drawn from the Ameren Missouri TRM and it is anticipated that it will be consistently applied for ex post savings.</t>
  </si>
  <si>
    <t>It is ancitipated that this value will be used in the calculation of ex post savings unless, based on the EM&amp;V plan, an alternative custom value is determined (e.g., a custom in-service rate). It may also be adjusted if the measure's actual characteristics differ from those assumed in the Deemed Savings Table (e.g., the actual R-value of added pipe insulation is different from that specified in the Deemed Savings Table).</t>
  </si>
  <si>
    <t>The value is not found in the Ameren Missouri TRM and will not be used in ex post EM&amp;V if the EM&amp;V contractor, upon reviewing collected information, determines that another value is more applicable.</t>
  </si>
  <si>
    <t>The value is not relevant for any currently active Deemed Savings Table measure and will not be used in ex post savings calculations.</t>
  </si>
  <si>
    <t>Ameren Missouri Deemed Savings Table Revision Log</t>
  </si>
  <si>
    <t>Ameren Missouri Deemed Savings Table</t>
  </si>
  <si>
    <t>Date</t>
  </si>
  <si>
    <t>Ameren Missouri TRM</t>
  </si>
  <si>
    <t>Description</t>
  </si>
  <si>
    <t>Volume 1: Overview and User Guide</t>
  </si>
  <si>
    <t>Volume 2:           C&amp;I Measures</t>
  </si>
  <si>
    <t>Volume 3: Residential Measures</t>
  </si>
  <si>
    <t xml:space="preserve">Revision </t>
  </si>
  <si>
    <t>Initial version filed for Commission approval.</t>
  </si>
  <si>
    <t>Updated RES/BUS "Deemed Tables" with PY2017 Evaluation results per Stipulation and Agreement (File No. EO-2018-0211). This included updates to Volume 3 of the TRM.</t>
  </si>
  <si>
    <t>Updated "Deemed Tables" with PY2018 Evaluation results.   Also includes revisions to HVAC measures and multifamily measures, based on feedback from evaluation contractor. This includes updates to Volume 3 of the TRM.</t>
  </si>
  <si>
    <t>Updated "Deemed Tables" with updates for 11 step process/program updates and minor corrections found since prior TRM update.</t>
  </si>
  <si>
    <t>Updated Business Deemed Table in alignment with 11 step program changes to best meet goals under current market conditions.</t>
  </si>
  <si>
    <t>Updated “Deemed Tables” with PY19 Evaluation results and variations of existing measures such as "direct install" and other options.  Updated Appendix H &amp; I for consistency.</t>
  </si>
  <si>
    <t xml:space="preserve">Updated "Deemed Tables" with PY20 Evaluation results; variations of existing measures such as non-electric heat ASHP, Lighting, Water Chillers, Home Energy Report EUL, and updated Appendix G, H and I for consistency. </t>
  </si>
  <si>
    <t xml:space="preserve">Updated "Deemed Tables" with PY21 Evaluation results, variations of existing measures such as DMSHP replacing non-electric heat, Advanced Thermostats in Income Eligible, Handheld Showerhead in EE Products, and Lighting Redesign w/ Network Controls, a new PTHP measure, and updated Appendix G, H and I for consistency. </t>
  </si>
  <si>
    <t>Updated "Deemed Tables" with PY22 Evaluation results for Res HVAC and Bus Lighting. Updated Res and Bus lighting baselines to align with EISA policy of a 45 lumen/watt efficiency. Updated Res HVAC baselines to meet CFR standard efficiency under new M1 testing protocol. Added a Pay As You Save (PAYS) program deemed table tab. Updated commercial HVAC Chiller, ASHP, and Unitary equipment baselines to reflect IECC 2015 building codes. Added a new measure to VSD Air Compressor for units between 40 and 200-hp. Updated Appendices G, H, and I for consistency.</t>
  </si>
  <si>
    <t>Removed measures to align with approved measure list from Commission on 01/15/25.  Reviewed and updated all measures including source documentation and removed measures no longer applicable to programs offered.  Implement a color coding system to identify how inputs are intended to be reviewed through evaluation activities.  Updating avoided cost assumptions based on MEEIA 4 filing and 2023 IRP. Add or modify measures consistent with Appendix H &amp; I by updating items such as savings inputs, EULs,  and Incremental cost for many measures.</t>
  </si>
  <si>
    <t>BUSINESS PRESCRIPTIVE MEASURES</t>
  </si>
  <si>
    <t xml:space="preserve">The values in the cells highlighted in this color are values used in the planning process of the portfolio.  TRM allows delivery program design to use actual values for these cells, or a default value if actuals are not available. </t>
  </si>
  <si>
    <t>Cells highlighted in this color are calculated variables</t>
  </si>
  <si>
    <r>
      <rPr>
        <b/>
        <sz val="26"/>
        <rFont val="Calibri"/>
        <family val="2"/>
        <scheme val="minor"/>
      </rPr>
      <t xml:space="preserve">&lt;------ </t>
    </r>
    <r>
      <rPr>
        <b/>
        <sz val="16"/>
        <rFont val="Calibri"/>
        <family val="2"/>
        <scheme val="minor"/>
      </rPr>
      <t>Use the "Grouping" Features to expand or hide the formulas/input variables</t>
    </r>
  </si>
  <si>
    <t>PROGRAMS:  All</t>
  </si>
  <si>
    <t>Lighting</t>
  </si>
  <si>
    <t>Measure Reference No.</t>
  </si>
  <si>
    <t>Program/ Channel</t>
  </si>
  <si>
    <t>Measure</t>
  </si>
  <si>
    <t>kWh Annual Savings</t>
  </si>
  <si>
    <t>End Use</t>
  </si>
  <si>
    <t>kW Factor</t>
  </si>
  <si>
    <t>kW</t>
  </si>
  <si>
    <t>EUL</t>
  </si>
  <si>
    <t>Inc. Cost</t>
  </si>
  <si>
    <t>Units</t>
  </si>
  <si>
    <t>REVISION DATE</t>
  </si>
  <si>
    <t>-</t>
  </si>
  <si>
    <t>TRC (2025)</t>
  </si>
  <si>
    <t>Benefit Lookup</t>
  </si>
  <si>
    <t>Benefits (2025 $)</t>
  </si>
  <si>
    <t>Incremental Cost (2025 $)</t>
  </si>
  <si>
    <t>800050_2024_12_</t>
  </si>
  <si>
    <t>BSS/MFIE</t>
  </si>
  <si>
    <t>LED &lt;=11 Watt Lamp Replacing Interior Halogen A 28-52 Watt Lamp</t>
  </si>
  <si>
    <t>Lighting BUS</t>
  </si>
  <si>
    <t>per measure</t>
  </si>
  <si>
    <t>800100_2024_12_</t>
  </si>
  <si>
    <t>LED 7-20 Watt Lamp Replacing Interior Halogen 53-70 Watt Lamp</t>
  </si>
  <si>
    <t>800150_2024_12_</t>
  </si>
  <si>
    <t>LED &lt;=14 Watt Lamp Replacing Interior Halogen BR/R 45-65 Watt Lamp</t>
  </si>
  <si>
    <t>800200_2024_12_</t>
  </si>
  <si>
    <t>LED &lt;=13 Watt Lamp Replacing Interior Halogen MR-16 35-50 Watt Lamp</t>
  </si>
  <si>
    <t>800250_2024_12_</t>
  </si>
  <si>
    <t xml:space="preserve">LED &lt;=20 Watt Lamp Replacing Interior Halogen PAR 48-90 Watt Lamp  </t>
  </si>
  <si>
    <t>800300_2024_12_</t>
  </si>
  <si>
    <t>LED &lt;=80 Watt Lamp or Fixture Replacing Interior HID 100-175 Watt Lamp or Fixture</t>
  </si>
  <si>
    <t>800350_2024_12_</t>
  </si>
  <si>
    <t>LED 62 - 130 Watt Lamp or Fixture Replacing Interior HID 176-300 Watt Lamp or Fixture</t>
  </si>
  <si>
    <t>800400_2024_12_</t>
  </si>
  <si>
    <t>LED 85 - 225 Watt Lamp or Fixture Replacing Interior HID 301-500 Watt Lamp or Fixture</t>
  </si>
  <si>
    <t>800750_2024_12_</t>
  </si>
  <si>
    <t>LED or Electroluminescent Replacing Interior Incandescent/CFL Exit Sign</t>
  </si>
  <si>
    <t>800800_2024_12_</t>
  </si>
  <si>
    <t>BSS</t>
  </si>
  <si>
    <t xml:space="preserve">LED Replacing Interior T5 Fluorescent (Type A / Hybrid) </t>
  </si>
  <si>
    <t>800801_2024_12_</t>
  </si>
  <si>
    <t>LED Replacing Interior T5 Fluorescent (Type B, Kits, and Fixtures)</t>
  </si>
  <si>
    <t>800850_2024_12_</t>
  </si>
  <si>
    <t xml:space="preserve">LED Replacing Interior T8 Fluorescent (Type A / Hybrid) </t>
  </si>
  <si>
    <t>800851_2024_12_</t>
  </si>
  <si>
    <t>LED Replacting Interior T8 Fluorescent (Type B, Kits, and Fixtures)</t>
  </si>
  <si>
    <t>800900_2024_12_</t>
  </si>
  <si>
    <t xml:space="preserve">LED Replacing Interior T12 Fluorescent (Type A / Hybrid) </t>
  </si>
  <si>
    <t>800901_2024_12_</t>
  </si>
  <si>
    <t xml:space="preserve">LED Replacing Interior T12 Fluorescent (Type B, Kits, and Fixtures) </t>
  </si>
  <si>
    <t>800950_2024_12_</t>
  </si>
  <si>
    <t xml:space="preserve">LED Specialty Lamp </t>
  </si>
  <si>
    <t>TRM Section:</t>
  </si>
  <si>
    <t>2.6.1 -  2.6.4</t>
  </si>
  <si>
    <t>Evaluation Formula</t>
  </si>
  <si>
    <t xml:space="preserve">EMV Adjustment Factor for Lighting Measures </t>
  </si>
  <si>
    <t xml:space="preserve">Measure Category </t>
  </si>
  <si>
    <t>Watts Base</t>
  </si>
  <si>
    <t>Watts EE</t>
  </si>
  <si>
    <t>HOU</t>
  </si>
  <si>
    <t>WHFe + -IFkWh</t>
  </si>
  <si>
    <t>IFkW</t>
  </si>
  <si>
    <t>ISR</t>
  </si>
  <si>
    <t>EMV Adjustment (ADJ_EMV)</t>
  </si>
  <si>
    <t>Program</t>
  </si>
  <si>
    <t>ΔWatts Adjustment</t>
  </si>
  <si>
    <t>HOU Adjustment</t>
  </si>
  <si>
    <t>Total EMV Adjustment</t>
  </si>
  <si>
    <t>Weight</t>
  </si>
  <si>
    <t>Standard</t>
  </si>
  <si>
    <t>800050_2019_12_</t>
  </si>
  <si>
    <t>SBDI</t>
  </si>
  <si>
    <t>800100_2019_12_</t>
  </si>
  <si>
    <t>800150_2019_12_</t>
  </si>
  <si>
    <t>Weighted Average EM&amp;V Adjustment</t>
  </si>
  <si>
    <t>800200_2019_12_</t>
  </si>
  <si>
    <t>SOURCE: ΔWatts and HOU Adjustment factors are calculated based on desk review and on-site data collection during the PY2023 Impact Evaluation for Standard and PY2019 Evaluation for SBDI and BSS. Weights are based on PY2023 Final Ex Ante Gross Annual Lighting kWh for each program. These values should be updated/replaced if and when new EM&amp;V verification occurs; weights should be updated annually.</t>
  </si>
  <si>
    <t>800250_2019_12_</t>
  </si>
  <si>
    <t>800300_2019_12_</t>
  </si>
  <si>
    <t>800350_2019_12_</t>
  </si>
  <si>
    <t>800400_2019_12_</t>
  </si>
  <si>
    <t>800750_2019_12_</t>
  </si>
  <si>
    <t>800800_2020_12_</t>
  </si>
  <si>
    <t>800801_2020_12_</t>
  </si>
  <si>
    <t>800850_2020_12_</t>
  </si>
  <si>
    <t>800851_2020_12_</t>
  </si>
  <si>
    <t>800900_2020_12_</t>
  </si>
  <si>
    <t>800901_2020_12_</t>
  </si>
  <si>
    <t>800950_2019_12_</t>
  </si>
  <si>
    <t>Lighting Controls</t>
  </si>
  <si>
    <t>kWh Annual Savings per unit</t>
  </si>
  <si>
    <t>kW per unit</t>
  </si>
  <si>
    <t>801010_2024_12_</t>
  </si>
  <si>
    <t>Fixture Mounted Occupancy Sensor Controlling &gt; 60 Watts, &lt;200 Watts</t>
  </si>
  <si>
    <t>801020_2024_12_</t>
  </si>
  <si>
    <t>Remote Mounted Occupancy Sensor Controlling &gt; 150 Watts</t>
  </si>
  <si>
    <t>2.6.6</t>
  </si>
  <si>
    <t>kWControlled</t>
  </si>
  <si>
    <t>Hours</t>
  </si>
  <si>
    <t>ESF</t>
  </si>
  <si>
    <t>801010_2020_07</t>
  </si>
  <si>
    <t>801020_2020_07</t>
  </si>
  <si>
    <t>ESF =Energy Savings factor for fixture and remove controls (non NLC, LLLC),(represents the percentage reduction to the operating Hours from the non-controlled baseline lighting system). Determined on a site-specific basis or use 24% as default value</t>
  </si>
  <si>
    <t>Commercial Solid and Glass Door Refrigerators &amp; Freezers</t>
  </si>
  <si>
    <t>801250_2024_12_</t>
  </si>
  <si>
    <t>0 &lt; V &lt; 15 - Vertical Closed - Solid Door Refrigerator</t>
  </si>
  <si>
    <t>Refrigeration BUS</t>
  </si>
  <si>
    <t>801750_2024_12_</t>
  </si>
  <si>
    <t>15 ≤ V &lt; 30 - Vertical Closed - Solid Door Freezer</t>
  </si>
  <si>
    <t>801800_2024_12_</t>
  </si>
  <si>
    <t>30 ≤ V &lt; 50 - Vertical Closed - Solid Door Freezer</t>
  </si>
  <si>
    <t>801850_2024_12_</t>
  </si>
  <si>
    <t>V ≥ 50 - Vertical Closed - Solid Door Freezer</t>
  </si>
  <si>
    <t>801900_2024_12_</t>
  </si>
  <si>
    <t>0 &lt; V &lt; 15 - Vertical Closed - Glass Door Freezer</t>
  </si>
  <si>
    <t>801950_2024_12_</t>
  </si>
  <si>
    <t>15 ≤ V &lt; 30 - Vertical Closed - Glass Door Freezer</t>
  </si>
  <si>
    <t>802000_2024_12_</t>
  </si>
  <si>
    <t>30 ≤ V &lt; 50 - Vertical Closed - Glass Door Freezer</t>
  </si>
  <si>
    <t>802050_2024_12_</t>
  </si>
  <si>
    <t>V ≥ 50 - Vertical Closed - Glass Door Freezer</t>
  </si>
  <si>
    <t>801650_2024_12_</t>
  </si>
  <si>
    <t>Horizontal Closed - Solid Door Refrigerator  - All Volumes</t>
  </si>
  <si>
    <t>801655_2024_12_</t>
  </si>
  <si>
    <t>Horizontal Closed - Glass Door Refrigerator  - All Volumes</t>
  </si>
  <si>
    <t>802100_2024_12_</t>
  </si>
  <si>
    <t>Horizontal Closed - Solid Door Freezer  - All Volumes</t>
  </si>
  <si>
    <t>ENERGY STAR 5 Commercial Food Service Calculator, Commercial Refrigerators and Freezers, Horizontal units have zero incremental cost</t>
  </si>
  <si>
    <t>2.9.1</t>
  </si>
  <si>
    <t>FACTOR</t>
  </si>
  <si>
    <t>Equipment Type</t>
  </si>
  <si>
    <r>
      <t>Volume Range (ft</t>
    </r>
    <r>
      <rPr>
        <vertAlign val="superscript"/>
        <sz val="11"/>
        <rFont val="Calibri"/>
        <family val="2"/>
        <scheme val="minor"/>
      </rPr>
      <t>3</t>
    </r>
    <r>
      <rPr>
        <sz val="11"/>
        <rFont val="Calibri"/>
        <family val="2"/>
        <scheme val="minor"/>
      </rPr>
      <t>)</t>
    </r>
  </si>
  <si>
    <r>
      <t>ENERGY STAR Refrigerator average Volume (ft</t>
    </r>
    <r>
      <rPr>
        <vertAlign val="superscript"/>
        <sz val="11"/>
        <rFont val="Calibri"/>
        <family val="2"/>
        <scheme val="minor"/>
      </rPr>
      <t>3</t>
    </r>
    <r>
      <rPr>
        <sz val="11"/>
        <rFont val="Calibri"/>
        <family val="2"/>
        <scheme val="minor"/>
      </rPr>
      <t>)</t>
    </r>
  </si>
  <si>
    <t>Energy Star Certified Refrigerator Average kWh per day</t>
  </si>
  <si>
    <t>DOE Baseline Refrigerator</t>
  </si>
  <si>
    <r>
      <t>ENERGY STAR Freezer average Volume (ft</t>
    </r>
    <r>
      <rPr>
        <vertAlign val="superscript"/>
        <sz val="11"/>
        <rFont val="Calibri"/>
        <family val="2"/>
        <scheme val="minor"/>
      </rPr>
      <t>3</t>
    </r>
    <r>
      <rPr>
        <sz val="11"/>
        <rFont val="Calibri"/>
        <family val="2"/>
        <scheme val="minor"/>
      </rPr>
      <t>)</t>
    </r>
  </si>
  <si>
    <t>Energy Star Certified Freezer Average kWh per day</t>
  </si>
  <si>
    <t>DOE Baseline Freezer</t>
  </si>
  <si>
    <t>(A x V) + B</t>
  </si>
  <si>
    <t>(C x V) + D</t>
  </si>
  <si>
    <t>V</t>
  </si>
  <si>
    <t>kWh</t>
  </si>
  <si>
    <t>A</t>
  </si>
  <si>
    <t>B</t>
  </si>
  <si>
    <t>C</t>
  </si>
  <si>
    <t>D</t>
  </si>
  <si>
    <t>daily kWh</t>
  </si>
  <si>
    <t>Vertical Closed - Solid Door</t>
  </si>
  <si>
    <t>0 &lt; V &lt; 15</t>
  </si>
  <si>
    <t>Daily Energy Star kWh</t>
  </si>
  <si>
    <t>15 ≤ V &lt; 30</t>
  </si>
  <si>
    <t>30 ≤ V &lt; 50</t>
  </si>
  <si>
    <t>V ≥ 50</t>
  </si>
  <si>
    <t>Vertical Closed - Glass Door</t>
  </si>
  <si>
    <t>Horizontal Closed - Solid  Door</t>
  </si>
  <si>
    <t>All Volumes</t>
  </si>
  <si>
    <t>Horizontal Closed - Glass Door</t>
  </si>
  <si>
    <t>HN</t>
  </si>
  <si>
    <t>No ENERGY STAR certified Horizontal Glass Door Freezer</t>
  </si>
  <si>
    <t>2024 DOE Efficiency Standards as of 2017</t>
  </si>
  <si>
    <t>Refrigerators &amp; Freezers Controls</t>
  </si>
  <si>
    <t>kWh Annual Savings (per door)</t>
  </si>
  <si>
    <t>Inc. Cost (per door)</t>
  </si>
  <si>
    <t>802150_2024_12_</t>
  </si>
  <si>
    <t>Anti-Sweat Heater Controls Refrigerator</t>
  </si>
  <si>
    <t>per door</t>
  </si>
  <si>
    <t>802200_2024_12_</t>
  </si>
  <si>
    <t>Anti-Sweat Heater Controls Freezer</t>
  </si>
  <si>
    <t>2.9.3</t>
  </si>
  <si>
    <t>Ameren DSM Participants self report cost 2014 to 2024</t>
  </si>
  <si>
    <t>Power Drawn Per Door (kW)</t>
  </si>
  <si>
    <t>DOORS</t>
  </si>
  <si>
    <t>% ON</t>
  </si>
  <si>
    <t>Cooling Bonus Factor (Less Waste Heat to Cool)</t>
  </si>
  <si>
    <t>Base</t>
  </si>
  <si>
    <t>Non-Controlled Door</t>
  </si>
  <si>
    <t>Efficient Refrigerator</t>
  </si>
  <si>
    <t>Efficient Freezer</t>
  </si>
  <si>
    <t>Heat Pump Water Heaters</t>
  </si>
  <si>
    <t>802250_2024_12_</t>
  </si>
  <si>
    <t>Heat Pump Water Heater replacing 98% Efficiency 2.9-14.6 kW (10 to 50 MBH)</t>
  </si>
  <si>
    <t>Water Heating BUS</t>
  </si>
  <si>
    <t>802300_2024_12_</t>
  </si>
  <si>
    <t>Heat Pump Water Heater replacing 98% Efficiency 14.7-29.3 kW (50 to 100 MBH)</t>
  </si>
  <si>
    <t>802350_2024_12_</t>
  </si>
  <si>
    <t>Heat Pump Water Heater replacing 98% Efficiency 29.4-87.9 kW (100 to 300 MBH)</t>
  </si>
  <si>
    <t>802400_2024_12_</t>
  </si>
  <si>
    <t>Heat Pump Water Heater replacing 98% Efficiency 88-146.5 kW (300 to 500 MBH)</t>
  </si>
  <si>
    <t>802450_2024_12_</t>
  </si>
  <si>
    <t>Heat Pump Water Heater replacing 98% Efficiency &gt;146.6 kW (above 500 MBH)</t>
  </si>
  <si>
    <t>802455_2024_12_</t>
  </si>
  <si>
    <r>
      <t xml:space="preserve">Heat Pump Water Heater replacing 98% Efficiency, </t>
    </r>
    <r>
      <rPr>
        <sz val="11"/>
        <rFont val="Aptos Narrow"/>
        <family val="2"/>
      </rPr>
      <t>≤</t>
    </r>
    <r>
      <rPr>
        <sz val="11"/>
        <rFont val="Calibri"/>
        <family val="2"/>
      </rPr>
      <t>55 gal, medium draw</t>
    </r>
  </si>
  <si>
    <t>802460_2024_12_</t>
  </si>
  <si>
    <r>
      <t xml:space="preserve">Heat Pump Water Heater replacing 98% Efficiency, </t>
    </r>
    <r>
      <rPr>
        <sz val="11"/>
        <rFont val="Aptos Narrow"/>
        <family val="2"/>
      </rPr>
      <t>&gt;5</t>
    </r>
    <r>
      <rPr>
        <sz val="11"/>
        <rFont val="Calibri"/>
        <family val="2"/>
      </rPr>
      <t xml:space="preserve">5 gal and </t>
    </r>
    <r>
      <rPr>
        <sz val="11"/>
        <rFont val="Aptos Narrow"/>
        <family val="2"/>
      </rPr>
      <t>≤</t>
    </r>
    <r>
      <rPr>
        <sz val="11"/>
        <rFont val="Calibri"/>
        <family val="2"/>
      </rPr>
      <t xml:space="preserve"> 120 gal, medium draw</t>
    </r>
  </si>
  <si>
    <t>2.4.3</t>
  </si>
  <si>
    <t>EFBASE</t>
  </si>
  <si>
    <t>EFEfficient</t>
  </si>
  <si>
    <t>HotWaterUse (Gallon)</t>
  </si>
  <si>
    <t>Capacity (gal)</t>
  </si>
  <si>
    <t>γWater</t>
  </si>
  <si>
    <t>Tout</t>
  </si>
  <si>
    <t>TIn</t>
  </si>
  <si>
    <t>kWhCool</t>
  </si>
  <si>
    <t>kWhHeat</t>
  </si>
  <si>
    <t>COPCool</t>
  </si>
  <si>
    <t>COPHeat</t>
  </si>
  <si>
    <t>Location Factor   LF</t>
  </si>
  <si>
    <t>%Cool</t>
  </si>
  <si>
    <t>%ElectricHeat</t>
  </si>
  <si>
    <t>Electric resistance efficiency</t>
  </si>
  <si>
    <t>Manufacturer data</t>
  </si>
  <si>
    <t>Consumption per stored gallon x Capacity, CADMUS Study</t>
  </si>
  <si>
    <t>MO 40" ground temp</t>
  </si>
  <si>
    <t>SEER 13.4</t>
  </si>
  <si>
    <t>Assumed if electric HW heat, then electric heated building</t>
  </si>
  <si>
    <t>Conditioned space</t>
  </si>
  <si>
    <t>Pool Pump</t>
  </si>
  <si>
    <t>Note: energy savings (per HP) do not align to incremental costs (per measure). TRC may not reflect actual cost effectiveness.</t>
  </si>
  <si>
    <t>kWh Annual Savings (per HP)</t>
  </si>
  <si>
    <t>802600_2019_12_</t>
  </si>
  <si>
    <t>Pool Pump w/ Variable Frequency Drive per HP</t>
  </si>
  <si>
    <t>Motors BUS</t>
  </si>
  <si>
    <t>per HP</t>
  </si>
  <si>
    <t>2.8.2</t>
  </si>
  <si>
    <t>SCE metering study</t>
  </si>
  <si>
    <t>Horsepower</t>
  </si>
  <si>
    <t>Steam Cookers</t>
  </si>
  <si>
    <t>Idle_base</t>
  </si>
  <si>
    <t>Idle_EE</t>
  </si>
  <si>
    <t>Cooking_base</t>
  </si>
  <si>
    <t>Cooking_EE</t>
  </si>
  <si>
    <t>Preheat_base</t>
  </si>
  <si>
    <t>Preheat_EE</t>
  </si>
  <si>
    <t>EE</t>
  </si>
  <si>
    <t>kWh annual check</t>
  </si>
  <si>
    <t>802700_2024_12_</t>
  </si>
  <si>
    <t>3 Pan ENERGY STAR Steam Cooker</t>
  </si>
  <si>
    <t>Cooking BUS</t>
  </si>
  <si>
    <t>802750_2024_12_</t>
  </si>
  <si>
    <t>4 Pan ENERGY STAR Steam Cooker</t>
  </si>
  <si>
    <t>802800_2024_12_</t>
  </si>
  <si>
    <t>5 Pan ENERGY STAR Steam Cooker</t>
  </si>
  <si>
    <t>802850_2024_12_</t>
  </si>
  <si>
    <t>6 Pan ENERGY STAR Steam Cooker</t>
  </si>
  <si>
    <t>2.3.2</t>
  </si>
  <si>
    <t>average</t>
  </si>
  <si>
    <t>ENERGY STAR Commercial Kitchen Equipment Savings Calculator</t>
  </si>
  <si>
    <t>∆IdleEnergy</t>
  </si>
  <si>
    <t>∆CookingEnergy</t>
  </si>
  <si>
    <t>Days</t>
  </si>
  <si>
    <t>SteamMode</t>
  </si>
  <si>
    <t>IdleRateBase (W)</t>
  </si>
  <si>
    <t>IdleRateESTAR (W)</t>
  </si>
  <si>
    <t>ProductionBase (lb/hr)</t>
  </si>
  <si>
    <t>ProductionESTAR (lb/hr/pan)</t>
  </si>
  <si>
    <t>Pans</t>
  </si>
  <si>
    <t>EFOOD (Wh/lb)</t>
  </si>
  <si>
    <t>EffBase</t>
  </si>
  <si>
    <t>EffESTAR</t>
  </si>
  <si>
    <t>FoodCooked (lbs)</t>
  </si>
  <si>
    <t>∆PreHeat watthour</t>
  </si>
  <si>
    <t>Preheat Energy</t>
  </si>
  <si>
    <t>CFS Equipment Calculator</t>
  </si>
  <si>
    <t>Steam generator</t>
  </si>
  <si>
    <t xml:space="preserve"> </t>
  </si>
  <si>
    <t>Holding Cabinet</t>
  </si>
  <si>
    <t>802900_2024_12_</t>
  </si>
  <si>
    <t>ENERGY STAR Hot Holding Cabinet (0 &lt; V &lt;13)</t>
  </si>
  <si>
    <t>802950_2024_12_</t>
  </si>
  <si>
    <t>ENERGY STAR Hot Holding Cabinet (13 ≤ V &lt;28)</t>
  </si>
  <si>
    <t>803000_2024_12_</t>
  </si>
  <si>
    <t>ENERGY STAR Hot Holding Cabinet (28 ≤ V)</t>
  </si>
  <si>
    <t>2.3.7</t>
  </si>
  <si>
    <t xml:space="preserve">ENERGY STAR CFS Equipment calculator </t>
  </si>
  <si>
    <r>
      <t>Volume (ft</t>
    </r>
    <r>
      <rPr>
        <vertAlign val="superscript"/>
        <sz val="11"/>
        <rFont val="Calibri"/>
        <family val="2"/>
        <scheme val="minor"/>
      </rPr>
      <t>3</t>
    </r>
    <r>
      <rPr>
        <sz val="11"/>
        <rFont val="Calibri"/>
        <family val="2"/>
        <scheme val="minor"/>
      </rPr>
      <t>)</t>
    </r>
  </si>
  <si>
    <t>IdleRateBase</t>
  </si>
  <si>
    <t>IdleRateESTAR</t>
  </si>
  <si>
    <t>0 &lt; V &lt;13</t>
  </si>
  <si>
    <r>
      <t xml:space="preserve">13 </t>
    </r>
    <r>
      <rPr>
        <sz val="11"/>
        <rFont val="Calibri"/>
        <family val="2"/>
      </rPr>
      <t>≤ V &lt;28</t>
    </r>
  </si>
  <si>
    <t>28 ≤ V</t>
  </si>
  <si>
    <t>ENERGY STAR CFS Equipment calculator base is 30W per cubic ft</t>
  </si>
  <si>
    <t>HVAC</t>
  </si>
  <si>
    <t>Note: energy savings (per ton) do not align to incremental costs (per measure). TRC may not reflect actual cost effectiveness.</t>
  </si>
  <si>
    <t>Total kWh Annual Savings per ton</t>
  </si>
  <si>
    <t>Cooling kWh Annual Savings (per Ton)</t>
  </si>
  <si>
    <t>Heating kWh Annual Savings (per ton)</t>
  </si>
  <si>
    <t>803050_2024_12_</t>
  </si>
  <si>
    <t>BSS/Standard</t>
  </si>
  <si>
    <t>Learning Thermostat, cooling and electric heat, per ton</t>
  </si>
  <si>
    <t>Cooling BUS</t>
  </si>
  <si>
    <t>Heating BUS</t>
  </si>
  <si>
    <t>per ton</t>
  </si>
  <si>
    <t>803060_2024_12_</t>
  </si>
  <si>
    <t>Learning Thermostat, cooling , per ton</t>
  </si>
  <si>
    <t>2.5.1</t>
  </si>
  <si>
    <t>CADMUS residential smart thermostat analysis for two vendors</t>
  </si>
  <si>
    <t>Per Ton revised units</t>
  </si>
  <si>
    <t>Ameren MO DSM 2019 to 2024 self report, then set to per ton</t>
  </si>
  <si>
    <t>Eff (EER/SEER)</t>
  </si>
  <si>
    <t>EFLHCool</t>
  </si>
  <si>
    <t>BtuhCool</t>
  </si>
  <si>
    <t>ESFCool</t>
  </si>
  <si>
    <t>EFLHHEAT</t>
  </si>
  <si>
    <t>ηHEAT</t>
  </si>
  <si>
    <t>BtuhHEAT</t>
  </si>
  <si>
    <t>ESFHEAT</t>
  </si>
  <si>
    <t>Inc Cost per thermostat</t>
  </si>
  <si>
    <t>Under 65k BTUh federal standard</t>
  </si>
  <si>
    <t>St Louis all building types average</t>
  </si>
  <si>
    <t>Cadmus Study</t>
  </si>
  <si>
    <t>Electric resistance and Heat Pump avg</t>
  </si>
  <si>
    <t>Ameren MO DSM 2019 to 2024 self report</t>
  </si>
  <si>
    <t>Inc. Cost (per HP)</t>
  </si>
  <si>
    <t>803100_2024_12_</t>
  </si>
  <si>
    <t>VFD on Chilled Water Pump &gt;= 1HP, per Hp</t>
  </si>
  <si>
    <t>per Hp</t>
  </si>
  <si>
    <t>803150_2024_12_</t>
  </si>
  <si>
    <t>VFD on Hot Water Pump &gt;= 1HP</t>
  </si>
  <si>
    <t>HVAC BUS</t>
  </si>
  <si>
    <t>803155_2024_12_</t>
  </si>
  <si>
    <t>VFD on Condenser Water Pump &gt;= 1HP</t>
  </si>
  <si>
    <t>803160_2024_12_</t>
  </si>
  <si>
    <t>VFD on Cooling Tower Fan &gt;= 1HP</t>
  </si>
  <si>
    <t>2.8.4</t>
  </si>
  <si>
    <t>Ameren DSM self reported cost 2019 to 2024</t>
  </si>
  <si>
    <t>BHP</t>
  </si>
  <si>
    <t>EEFi</t>
  </si>
  <si>
    <t>Typical size for incremental cost</t>
  </si>
  <si>
    <t>TRM 2.8.5 table Annual Hours of Use for VFD Pumps and Fans, Non-residential average</t>
  </si>
  <si>
    <t>TRM 2.8.5 table ESF for VFD Pumps and Fans</t>
  </si>
  <si>
    <t>Incremental cost = 300x HP +$1500</t>
  </si>
  <si>
    <t>803200_2024_12_</t>
  </si>
  <si>
    <t xml:space="preserve"> VFD on HVAC Fans &gt;= 1HP </t>
  </si>
  <si>
    <t>2.8.5</t>
  </si>
  <si>
    <t xml:space="preserve">Incremental cost = 300x HP +$1500 </t>
  </si>
  <si>
    <t>Control Type Factors</t>
  </si>
  <si>
    <t>No Control or Bypass Damper</t>
  </si>
  <si>
    <t>Discharge Dampers</t>
  </si>
  <si>
    <t>Outlet Damper, BI &amp; Airfoil Fans</t>
  </si>
  <si>
    <t>Inlet Damper Box</t>
  </si>
  <si>
    <t>Inlet Guide Vane, BI &amp; Airfoil Fans</t>
  </si>
  <si>
    <t>Inlet Vane Dampers</t>
  </si>
  <si>
    <t>Outlet Damper, FC Fans</t>
  </si>
  <si>
    <t>Eddy Current Drives</t>
  </si>
  <si>
    <t>Inlet Guide Vane, FC Fans</t>
  </si>
  <si>
    <t>VFD with duct static pressure controls</t>
  </si>
  <si>
    <t>VFD with low/no duct static pressure</t>
  </si>
  <si>
    <t>HP</t>
  </si>
  <si>
    <t>LF</t>
  </si>
  <si>
    <t>ηmotor</t>
  </si>
  <si>
    <t>RHRSBase</t>
  </si>
  <si>
    <t>ControlTypeFactorBase</t>
  </si>
  <si>
    <t>ControlTypeFactorEff</t>
  </si>
  <si>
    <t>IEenergy</t>
  </si>
  <si>
    <t>kWh Annual Savings per ton</t>
  </si>
  <si>
    <t>803250_2024_12_</t>
  </si>
  <si>
    <t>Single Package or Split Sytem Unitary AC_DX 135 - 240kbtu</t>
  </si>
  <si>
    <t>803300_2024_12_</t>
  </si>
  <si>
    <t>Single Package or Split Sytem Unitary AC_DX 240 - 760kBTUh</t>
  </si>
  <si>
    <t>803350_2024_12_</t>
  </si>
  <si>
    <t>Single Package or Split Sytem Unitary AC_DX 65 -135kBTUh</t>
  </si>
  <si>
    <t>803400_2024_12_</t>
  </si>
  <si>
    <t>Single Package or Split Sytem Unitary AC_DX &gt;760kBTUh</t>
  </si>
  <si>
    <t>803450_2024_12_</t>
  </si>
  <si>
    <t>Single Package or Split Sytem Unitary AC_DX &lt;65kBTUh</t>
  </si>
  <si>
    <t>2.5.7</t>
  </si>
  <si>
    <t>$104 per ton per IEER/SEER above baseline</t>
  </si>
  <si>
    <t>&lt;65 kBtu/hr</t>
  </si>
  <si>
    <r>
      <rPr>
        <b/>
        <sz val="11"/>
        <rFont val="Calibri"/>
        <family val="2"/>
      </rPr>
      <t>≥</t>
    </r>
    <r>
      <rPr>
        <b/>
        <sz val="11"/>
        <rFont val="Calibri"/>
        <family val="2"/>
        <scheme val="minor"/>
      </rPr>
      <t>65 kBtu/hr</t>
    </r>
  </si>
  <si>
    <t>Effective 1/1/24</t>
  </si>
  <si>
    <t>kBtu/hrCool</t>
  </si>
  <si>
    <t>SEERBase/
IEERBase</t>
  </si>
  <si>
    <t>SEERee/
IEERee</t>
  </si>
  <si>
    <t>EFLH</t>
  </si>
  <si>
    <t>∆IEER/SEER</t>
  </si>
  <si>
    <t>SEERBase/IEERBase</t>
  </si>
  <si>
    <t>SEERee/IEERee</t>
  </si>
  <si>
    <t xml:space="preserve">Only 1 unit listed in AHRI above </t>
  </si>
  <si>
    <t>760 kBTUh</t>
  </si>
  <si>
    <t>2023 DOE Federal Efficiency Standards, assumed gas heat, air source</t>
  </si>
  <si>
    <t>&lt;65KBTUh certified Energy Star average 15.93 light commercial; AHRI directory weighted average for 240 to 760 KBTUh is IEER 15.94, 65 to 135 kBTUh is IEER 16.5, 135 to 240 kBTUH is IEER 16.1</t>
  </si>
  <si>
    <t>Cooling</t>
  </si>
  <si>
    <t>Heating</t>
  </si>
  <si>
    <t>Measure (Geothermal, Water Source &amp; Air Source Heat Pumps)</t>
  </si>
  <si>
    <t>Total kWh Annual Savings</t>
  </si>
  <si>
    <t>Cooling kWh Annual Savings (per ton)</t>
  </si>
  <si>
    <t>Inc. Cost     (per ton)</t>
  </si>
  <si>
    <t>803500_2024_12_</t>
  </si>
  <si>
    <t xml:space="preserve">GSHP  </t>
  </si>
  <si>
    <t xml:space="preserve">per ton   </t>
  </si>
  <si>
    <t>803570_2024_12_</t>
  </si>
  <si>
    <t>WSHP &lt;17 kBTUh per ton</t>
  </si>
  <si>
    <t>803575_2024_12_</t>
  </si>
  <si>
    <r>
      <t xml:space="preserve">WSHP </t>
    </r>
    <r>
      <rPr>
        <sz val="11"/>
        <rFont val="Aptos Narrow"/>
        <family val="2"/>
      </rPr>
      <t>≥</t>
    </r>
    <r>
      <rPr>
        <sz val="11"/>
        <rFont val="Calibri"/>
        <family val="2"/>
        <scheme val="minor"/>
      </rPr>
      <t>17 kBTUh and &lt;65 kBTUh per ton</t>
    </r>
  </si>
  <si>
    <t>803580_2024_12_</t>
  </si>
  <si>
    <r>
      <t xml:space="preserve">WSHP </t>
    </r>
    <r>
      <rPr>
        <sz val="11"/>
        <rFont val="Aptos Narrow"/>
        <family val="2"/>
      </rPr>
      <t>≥</t>
    </r>
    <r>
      <rPr>
        <sz val="11"/>
        <rFont val="Calibri"/>
        <family val="2"/>
        <scheme val="minor"/>
      </rPr>
      <t xml:space="preserve">65kBTUh and &lt;135 kBTUh per ton </t>
    </r>
  </si>
  <si>
    <t>803600_2024_12_</t>
  </si>
  <si>
    <r>
      <t xml:space="preserve">ASHP </t>
    </r>
    <r>
      <rPr>
        <sz val="11"/>
        <rFont val="Aptos Narrow"/>
        <family val="2"/>
      </rPr>
      <t>≥</t>
    </r>
    <r>
      <rPr>
        <sz val="11"/>
        <rFont val="Calibri"/>
        <family val="2"/>
        <scheme val="minor"/>
      </rPr>
      <t xml:space="preserve">65kBTUh and &lt;135 kBTUh per ton </t>
    </r>
  </si>
  <si>
    <t>803650_2024_12_</t>
  </si>
  <si>
    <r>
      <t xml:space="preserve">ASHP </t>
    </r>
    <r>
      <rPr>
        <sz val="11"/>
        <rFont val="Aptos Narrow"/>
        <family val="2"/>
      </rPr>
      <t>≥1</t>
    </r>
    <r>
      <rPr>
        <sz val="11"/>
        <rFont val="Calibri"/>
        <family val="2"/>
        <scheme val="minor"/>
      </rPr>
      <t xml:space="preserve">35kBTUh and &lt;240 kBTUh per ton </t>
    </r>
  </si>
  <si>
    <t>803700_2024_12_</t>
  </si>
  <si>
    <t>ASHP &gt;240kBTUh per ton</t>
  </si>
  <si>
    <t>803750_2024_12_</t>
  </si>
  <si>
    <t xml:space="preserve">ASHP &lt;65kBTUh per ton </t>
  </si>
  <si>
    <t>2.5.5</t>
  </si>
  <si>
    <r>
      <rPr>
        <b/>
        <sz val="10"/>
        <rFont val="Calibri"/>
        <family val="2"/>
      </rPr>
      <t>≥</t>
    </r>
    <r>
      <rPr>
        <b/>
        <sz val="10"/>
        <rFont val="Calibri"/>
        <family val="2"/>
        <scheme val="minor"/>
      </rPr>
      <t>65 kBtu/hr</t>
    </r>
  </si>
  <si>
    <t>EERBase</t>
  </si>
  <si>
    <t>EERee</t>
  </si>
  <si>
    <t>SEERbase/
IEERbase</t>
  </si>
  <si>
    <t>COPbase</t>
  </si>
  <si>
    <t>COPee</t>
  </si>
  <si>
    <t>HSPFBase</t>
  </si>
  <si>
    <t>HSPFee</t>
  </si>
  <si>
    <t>kBtu/hrHeat</t>
  </si>
  <si>
    <t>EFLHHeat</t>
  </si>
  <si>
    <t>Closed Loop Water to Air</t>
  </si>
  <si>
    <t>SEERbase/IEERbase</t>
  </si>
  <si>
    <t>2023 DOE Federal Standard</t>
  </si>
  <si>
    <t>2024 AHRI weighted average and 2024 ENERGY STAR</t>
  </si>
  <si>
    <t>kWh Annual Savings (per ton)</t>
  </si>
  <si>
    <t>Inc. Cost (per ton)</t>
  </si>
  <si>
    <t>803800_2024_12_</t>
  </si>
  <si>
    <t>Air Cooled Chiller</t>
  </si>
  <si>
    <t>803810_2024_12_</t>
  </si>
  <si>
    <t>Water Cooled Chiller</t>
  </si>
  <si>
    <t>2.5.4</t>
  </si>
  <si>
    <t>TONS</t>
  </si>
  <si>
    <t>IPLVbase (kW/ton)</t>
  </si>
  <si>
    <t>IPLVee (kW/Ton)</t>
  </si>
  <si>
    <t>∆IPLV</t>
  </si>
  <si>
    <t>Incremental cost per 0.01 IPLV per ton</t>
  </si>
  <si>
    <t>IPLV_base: AC Chiller Baseline IPLV assumes the 13.7 EER Minimum Requirement for &lt; 150 ton unit in IECC 2015; WC Chiller Baseline IPLV assumes the 0.54 kW/ton Minimum Requirement for 150-300 ton WC Chiller in IECC 2015</t>
  </si>
  <si>
    <t>IPLV_ee: WC Chiller Baseline IPLV assumes 20% improvement in chiller efficiency compared to baseline</t>
  </si>
  <si>
    <t>Compressed Air</t>
  </si>
  <si>
    <t>804300_2024_12_</t>
  </si>
  <si>
    <t>No Loss Condensate Drain (Reciprocating - On/off Control)</t>
  </si>
  <si>
    <t>Air Comp BUS</t>
  </si>
  <si>
    <t>804350_2024_12_</t>
  </si>
  <si>
    <t>No Loss Condensate Drain (Reciprocating - Load/Unload)</t>
  </si>
  <si>
    <t>804400_2024_12_</t>
  </si>
  <si>
    <t>No Loss Condensate Drain (Screw - Load/Unload)</t>
  </si>
  <si>
    <t>804450_2024_12_</t>
  </si>
  <si>
    <t>No Loss Condensate Drain (Screw - Inlet Modulation)</t>
  </si>
  <si>
    <t>804500_2024_12_</t>
  </si>
  <si>
    <t>No Loss Condensate Drain (Screw - Inlet Modulation w/ Unloading)</t>
  </si>
  <si>
    <t>804550_2024_12_</t>
  </si>
  <si>
    <t>No Loss Condensate Drain (Screw - Variable Displacement)</t>
  </si>
  <si>
    <t>804600_2024_12_</t>
  </si>
  <si>
    <t>No Loss Condensate Drain (Screw - VFD)</t>
  </si>
  <si>
    <t>2.2.1</t>
  </si>
  <si>
    <t>CFMreduced</t>
  </si>
  <si>
    <t>kWcfm</t>
  </si>
  <si>
    <t>804650_2024_12_</t>
  </si>
  <si>
    <t>Compressed Air Nozzle (Reciprocating - On/off Control)</t>
  </si>
  <si>
    <t>804700_2024_12_</t>
  </si>
  <si>
    <t>Compressed Air Nozzle (Reciprocating - Load/Unload)</t>
  </si>
  <si>
    <t>804750_2024_12_</t>
  </si>
  <si>
    <t>Compressed Air Nozzle (Screw - Load/Unload)</t>
  </si>
  <si>
    <t>804800_2024_12_</t>
  </si>
  <si>
    <t>Compressed Air Nozzle (Screw - Inlet Modulation)</t>
  </si>
  <si>
    <t>804850_2024_12_</t>
  </si>
  <si>
    <t>Compressed Air Nozzle (Screw - Inlet Modulation w/ blowdown)</t>
  </si>
  <si>
    <t>804900_2024_12_</t>
  </si>
  <si>
    <t>Compressed Air Nozzle (Screw - Variable Displacement)</t>
  </si>
  <si>
    <t>804950_2024_12_</t>
  </si>
  <si>
    <t>Compressed Air Nozzle (Screw - VFD)</t>
  </si>
  <si>
    <t>2.2.3</t>
  </si>
  <si>
    <t>1/4" nozzle</t>
  </si>
  <si>
    <t>SCFM</t>
  </si>
  <si>
    <t>SCFM%reduced</t>
  </si>
  <si>
    <t>kW/CFM(0.19)  x CCAF</t>
  </si>
  <si>
    <t>%Use</t>
  </si>
  <si>
    <t>CCAF</t>
  </si>
  <si>
    <t>Inc. Cost per HP</t>
  </si>
  <si>
    <t>805000_2024_12_</t>
  </si>
  <si>
    <t>VSD Air Compressor 5-40 HP</t>
  </si>
  <si>
    <t>"=(127*HPcomp)+1446"</t>
  </si>
  <si>
    <t>"=((127*HPcomp)+1446)*1.24"</t>
  </si>
  <si>
    <t>805001_2024_12_</t>
  </si>
  <si>
    <t>VSD Air Compressor &gt;40-&lt;50 HP</t>
  </si>
  <si>
    <t>805002_2024_12_</t>
  </si>
  <si>
    <t>VSD Air Compressor 50-200 HP</t>
  </si>
  <si>
    <t>2.2.4</t>
  </si>
  <si>
    <t>HP; assumption for TRC</t>
  </si>
  <si>
    <t>hpcompressor</t>
  </si>
  <si>
    <t>CFb</t>
  </si>
  <si>
    <t>Cfe</t>
  </si>
  <si>
    <t>HP for incremental cost</t>
  </si>
  <si>
    <t>Incremental cost per compressor</t>
  </si>
  <si>
    <r>
      <t xml:space="preserve">Incremental Cost ($) </t>
    </r>
    <r>
      <rPr>
        <i/>
        <sz val="12"/>
        <rFont val="Times New Roman"/>
        <family val="1"/>
      </rPr>
      <t>=</t>
    </r>
    <r>
      <rPr>
        <sz val="12"/>
        <rFont val="Times New Roman"/>
        <family val="1"/>
      </rPr>
      <t xml:space="preserve"> ((127 x hp</t>
    </r>
    <r>
      <rPr>
        <vertAlign val="subscript"/>
        <sz val="12"/>
        <rFont val="Times New Roman"/>
        <family val="1"/>
      </rPr>
      <t>compressor</t>
    </r>
    <r>
      <rPr>
        <sz val="12"/>
        <rFont val="Times New Roman"/>
        <family val="1"/>
      </rPr>
      <t>) + 1446) x 1.43</t>
    </r>
  </si>
  <si>
    <t>Note: Incremental cost is the actual cost. TRC is calculated on a project by project basis.</t>
  </si>
  <si>
    <t>Kitchen Demand Ventilation Controls</t>
  </si>
  <si>
    <t>Inc. Cost (per Hp)</t>
  </si>
  <si>
    <t>805405_2020_07_</t>
  </si>
  <si>
    <t>Kitchen Demand Ventilation Controls, Retrofit</t>
  </si>
  <si>
    <t>2.3.6</t>
  </si>
  <si>
    <t>Savings per HP (kWh)</t>
  </si>
  <si>
    <t>Demand Controlled Ventilation</t>
  </si>
  <si>
    <t>kWh Annual Savings (per sqft)</t>
  </si>
  <si>
    <t>805650_2019_12_</t>
  </si>
  <si>
    <t>Demand Controlled Ventillation (Gas Heat)</t>
  </si>
  <si>
    <t>Actual</t>
  </si>
  <si>
    <t>per sq. ft.</t>
  </si>
  <si>
    <t>805700_2019_12_</t>
  </si>
  <si>
    <t>Demand Controlled Ventillation (Electric Heat)</t>
  </si>
  <si>
    <t>805750_2019_12_</t>
  </si>
  <si>
    <t>Demand Controlled Ventillation (Heat Pump)</t>
  </si>
  <si>
    <t>2.5.2</t>
  </si>
  <si>
    <t>SQFTcond</t>
  </si>
  <si>
    <t>SFcooling</t>
  </si>
  <si>
    <t>SFheat</t>
  </si>
  <si>
    <t>Advanced RTU Controls</t>
  </si>
  <si>
    <t>Inc. Cost (per unit)</t>
  </si>
  <si>
    <t>805800_2019_12_</t>
  </si>
  <si>
    <t>2.5.3</t>
  </si>
  <si>
    <t>Psf</t>
  </si>
  <si>
    <t>SF (kWh/hour/HP)</t>
  </si>
  <si>
    <t>Hoursfan</t>
  </si>
  <si>
    <t>High Volume Low Speed Fans</t>
  </si>
  <si>
    <t>kWh Annual Savings (per measure)</t>
  </si>
  <si>
    <t>806090_2024_12_</t>
  </si>
  <si>
    <t>High Volume Low Speed Fan, 16</t>
  </si>
  <si>
    <t>806095_2024_12_</t>
  </si>
  <si>
    <t>High Volume Low Speed Fan, 18</t>
  </si>
  <si>
    <t>806100_2020_07_</t>
  </si>
  <si>
    <t>High Volume Low Speed Fan, 20</t>
  </si>
  <si>
    <t>806110_2020_07_</t>
  </si>
  <si>
    <t>High Volume Low Speed Fan, 22</t>
  </si>
  <si>
    <t>806120_2020_07_</t>
  </si>
  <si>
    <t>High Volume Low Speed Fan, 24</t>
  </si>
  <si>
    <t>2.5.8</t>
  </si>
  <si>
    <t>Savings per Fan (kWh)</t>
  </si>
  <si>
    <t>Fans</t>
  </si>
  <si>
    <t>Custom Measure</t>
  </si>
  <si>
    <t>kWh Annual Savings (per motor)</t>
  </si>
  <si>
    <t>999999_2024_12</t>
  </si>
  <si>
    <t>Custom</t>
  </si>
  <si>
    <t>Custom-Air Comp</t>
  </si>
  <si>
    <t>Variable</t>
  </si>
  <si>
    <t>Custom-Building Shell</t>
  </si>
  <si>
    <t>Custom-Cooking</t>
  </si>
  <si>
    <t>Custom-Cooling</t>
  </si>
  <si>
    <t>Custom-HVAC</t>
  </si>
  <si>
    <t>Custom Lighting (Controls)</t>
  </si>
  <si>
    <t>Custom-Miscellaneous</t>
  </si>
  <si>
    <t>Custom-Motors</t>
  </si>
  <si>
    <t>Custom-Process</t>
  </si>
  <si>
    <t>Custom-Refrigeration</t>
  </si>
  <si>
    <t>Custom-Water Heating</t>
  </si>
  <si>
    <t>n/a</t>
  </si>
  <si>
    <t>RESIDENTIAL EFFICIENT PRODUCTS</t>
  </si>
  <si>
    <t>Heat Pump Water Heater</t>
  </si>
  <si>
    <t>Program/Channel</t>
  </si>
  <si>
    <r>
      <t>kWh</t>
    </r>
    <r>
      <rPr>
        <vertAlign val="subscript"/>
        <sz val="11"/>
        <rFont val="Calibri"/>
        <family val="2"/>
        <scheme val="minor"/>
      </rPr>
      <t>cool</t>
    </r>
  </si>
  <si>
    <r>
      <t>kWh</t>
    </r>
    <r>
      <rPr>
        <vertAlign val="subscript"/>
        <sz val="11"/>
        <rFont val="Calibri"/>
        <family val="2"/>
        <scheme val="minor"/>
      </rPr>
      <t>heat</t>
    </r>
    <r>
      <rPr>
        <sz val="11"/>
        <rFont val="Calibri"/>
        <family val="2"/>
        <scheme val="minor"/>
      </rPr>
      <t xml:space="preserve"> - Unknown</t>
    </r>
  </si>
  <si>
    <r>
      <t>kWh</t>
    </r>
    <r>
      <rPr>
        <vertAlign val="subscript"/>
        <sz val="11"/>
        <rFont val="Calibri"/>
        <family val="2"/>
        <scheme val="minor"/>
      </rPr>
      <t>heat</t>
    </r>
    <r>
      <rPr>
        <sz val="11"/>
        <rFont val="Calibri"/>
        <family val="2"/>
        <scheme val="minor"/>
      </rPr>
      <t xml:space="preserve"> - Electric Resistance</t>
    </r>
  </si>
  <si>
    <r>
      <t>kWh</t>
    </r>
    <r>
      <rPr>
        <vertAlign val="subscript"/>
        <sz val="11"/>
        <rFont val="Calibri"/>
        <family val="2"/>
        <scheme val="minor"/>
      </rPr>
      <t>heat</t>
    </r>
    <r>
      <rPr>
        <sz val="11"/>
        <rFont val="Calibri"/>
        <family val="2"/>
        <scheme val="minor"/>
      </rPr>
      <t xml:space="preserve"> - Heat Pumps</t>
    </r>
  </si>
  <si>
    <t>250050_2024_12_</t>
  </si>
  <si>
    <t>MFIE</t>
  </si>
  <si>
    <t>Heat Pump Hot Water Heater</t>
  </si>
  <si>
    <t>Water Heating RES</t>
  </si>
  <si>
    <t>3.3.3</t>
  </si>
  <si>
    <t>Evaluation Formula:</t>
  </si>
  <si>
    <t>ΔkWh	= [(((1/EFBASE  – 1/EF_EE) * GPD * Household * 365.25 * γWater * (TOUT  – TIn) * 1.0)) / 3,412) + kWhcool – kWh_eat ] * ISR</t>
  </si>
  <si>
    <t>kWh_cool =  [(((1- 1/EF_EE)  * GPD * Household * 365.25 * γWater * (TOUT  – TIn)  * 1.0)  * LF * WHFC  *LM) / (COPCOOL * 3,412)] * %Cool</t>
  </si>
  <si>
    <t>ΔkW = ΔkWh * CF</t>
  </si>
  <si>
    <t>Term</t>
  </si>
  <si>
    <t>Parameter</t>
  </si>
  <si>
    <t>Value</t>
  </si>
  <si>
    <t>Source</t>
  </si>
  <si>
    <t>Notes</t>
  </si>
  <si>
    <r>
      <t>UEF</t>
    </r>
    <r>
      <rPr>
        <vertAlign val="subscript"/>
        <sz val="11"/>
        <rFont val="Calibri"/>
        <family val="2"/>
        <scheme val="minor"/>
      </rPr>
      <t>BASE</t>
    </r>
  </si>
  <si>
    <t>Efficient rating of baseline equipment</t>
  </si>
  <si>
    <t>https://www.federalregister.gov/documents/2024/05/06/2024-09209/energy-conservation-program-energy-conservation-standards-for-consumer-water-heaters</t>
  </si>
  <si>
    <r>
      <t>UEF</t>
    </r>
    <r>
      <rPr>
        <vertAlign val="subscript"/>
        <sz val="11"/>
        <rFont val="Calibri"/>
        <family val="2"/>
        <scheme val="minor"/>
      </rPr>
      <t>EE</t>
    </r>
  </si>
  <si>
    <t>Efficient rating of efficient equipment</t>
  </si>
  <si>
    <t>PY18 EfficientProducts Evaluation, page 32</t>
  </si>
  <si>
    <t>Value matches EM&amp;V</t>
  </si>
  <si>
    <t>GPD</t>
  </si>
  <si>
    <t>Gallons per day</t>
  </si>
  <si>
    <t>MO 2017 TRM, section 3.3.5, GPD based on 45.5 gallons of hot water per day per household and 2.59 people per household, from Residential End Uses of Water Study 2013 Update. Prepared by Deoreo, B., and P. Mayer for the Water Research Foundation, 2014.</t>
  </si>
  <si>
    <t xml:space="preserve">Defined at gallons per a day per a person in the Statewide TRM (EM&amp;V defines GPD as gallons per a day per a household). </t>
  </si>
  <si>
    <t>Household</t>
  </si>
  <si>
    <t>Average number of people per household</t>
  </si>
  <si>
    <t>Single family value. Ameren Missouri Efficient Products Evaluation PY2018, page 32.</t>
  </si>
  <si>
    <t>Not defined by EM&amp;V</t>
  </si>
  <si>
    <t>Days per year</t>
  </si>
  <si>
    <t>Conversion Factor (days/year)</t>
  </si>
  <si>
    <t>Den</t>
  </si>
  <si>
    <t>Specific weight of water</t>
  </si>
  <si>
    <t>Density of water (lb/gallon)</t>
  </si>
  <si>
    <t>HWT</t>
  </si>
  <si>
    <t>TOUT = Tank temperature</t>
  </si>
  <si>
    <t>Illinois TRM v12.0, page 253</t>
  </si>
  <si>
    <t>CWT</t>
  </si>
  <si>
    <t>Incoming water temperature from well or municipal system</t>
  </si>
  <si>
    <t>Ameren Missouri service territory. https://www.weather.gov/ncrfc/LMI_SoilTemperatureDepthMaps</t>
  </si>
  <si>
    <r>
      <t>C</t>
    </r>
    <r>
      <rPr>
        <vertAlign val="subscript"/>
        <sz val="11"/>
        <rFont val="Calibri"/>
        <family val="2"/>
        <scheme val="minor"/>
      </rPr>
      <t>P</t>
    </r>
  </si>
  <si>
    <t>Heat capacity of water (1 Btu/lb*°F)</t>
  </si>
  <si>
    <t>Specific Heat of Water  (Btu/lb-oF)</t>
  </si>
  <si>
    <t>Conversion Factor (Btu/kWh)</t>
  </si>
  <si>
    <t>Value matches TRM</t>
  </si>
  <si>
    <t>Location Factor</t>
  </si>
  <si>
    <t>Wisconsin TRM unknown location, PY18 Efficient Products Evaluation, page 32</t>
  </si>
  <si>
    <t>PY18 Ameren Missouri Evaluation</t>
  </si>
  <si>
    <r>
      <t>WHF</t>
    </r>
    <r>
      <rPr>
        <vertAlign val="subscript"/>
        <sz val="11"/>
        <rFont val="Calibri"/>
        <family val="2"/>
        <scheme val="minor"/>
      </rPr>
      <t>C</t>
    </r>
  </si>
  <si>
    <t>Portion of reduced waste heat that results in cooling savings</t>
  </si>
  <si>
    <t>Ameren Missouri Efficient Products Evaluation PY2018, page 32</t>
  </si>
  <si>
    <t>Based on 193 days where CDD 65&gt;0, divided by 365.25. CDD days determined with a base temp of 65°F.</t>
  </si>
  <si>
    <r>
      <t>WHF</t>
    </r>
    <r>
      <rPr>
        <vertAlign val="subscript"/>
        <sz val="11"/>
        <rFont val="Calibri"/>
        <family val="2"/>
        <scheme val="minor"/>
      </rPr>
      <t>H</t>
    </r>
  </si>
  <si>
    <t>Portion of reduced waste heat that results in increased heating load</t>
  </si>
  <si>
    <t>Ameren Missouri Efficient Products Evaluation PY2018, page 31</t>
  </si>
  <si>
    <t>Based on 157 days where HDD 60&gt;0, divided by 365.25. HDD days determined from Climate Normals data with a base temp of 60°F. NOTE: The HDD base temperature for residential measures in the MO-TRM v.1.0 is a non-consensus item. The calculations made in this measure have been based on HDD60. Please refer to Appendix A in Vol 1 of the MO-TRM v1.0 for full documentation of this non-consensus issue and stakeholder positions regarding the appropriate use of HDD60 vs. HDD65. As a non-consensus item, this value should be revisited in future TRM versions.</t>
  </si>
  <si>
    <t>COPcool</t>
  </si>
  <si>
    <t xml:space="preserve">COP of central air conditioner - Actual, or if unknown, assume 2.8 </t>
  </si>
  <si>
    <t>PY2019 Efficient Products Evaluation Appendices, page 64</t>
  </si>
  <si>
    <t>Starting from standard assumption of SEER 10.5 central AC unit, converted to 9.5 EER using algorithm (-0.02 * SEER2) + (1.12 * SEER) (from Wassmer, M. (2003); A Component-Based Model for Residential Air Conditioner and Heat Pump Energy Calculations. Masters Thesis, University of Colorado at Boulder), converted to COP = EER/3.412 = 2.8COP).</t>
  </si>
  <si>
    <t>COPheat</t>
  </si>
  <si>
    <t>Electric Resistance</t>
  </si>
  <si>
    <t>ηHeat
(COP Estimate)
= (HSPF2/3.413)*0.85</t>
  </si>
  <si>
    <t>Heat Pump - Installed before 2006</t>
  </si>
  <si>
    <t>Heat Pump - Installed from 2006-2014</t>
  </si>
  <si>
    <t>Heat Pump - Installed in 2015 and After</t>
  </si>
  <si>
    <t>Unknown</t>
  </si>
  <si>
    <t>LM</t>
  </si>
  <si>
    <t>Latent multiplier to account for latent cooling demand</t>
  </si>
  <si>
    <t>PY18 Efficient Products evaluation, page 32</t>
  </si>
  <si>
    <t>Percentage of homes with central cooling</t>
  </si>
  <si>
    <t>Ameren Missouri PY2019 Baseline Study (Non-Low Income Saturation of Central AC)</t>
  </si>
  <si>
    <t>Percentage of homes with electric heating</t>
  </si>
  <si>
    <t>2009 Residential Energy Consumption Survey for Missouri</t>
  </si>
  <si>
    <t xml:space="preserve">%ElectricHeat - Electric Resistance Saturation </t>
  </si>
  <si>
    <t xml:space="preserve">Electric Resistance Saturation </t>
  </si>
  <si>
    <t>PY18 Efficient Products tracking data (Heating System type)</t>
  </si>
  <si>
    <t>%ElectricHeat - Heat Pump Saturation</t>
  </si>
  <si>
    <t>Heat Pump Saturation</t>
  </si>
  <si>
    <t xml:space="preserve">Value matches EM&amp;V not updated as </t>
  </si>
  <si>
    <t>Installation Rate</t>
  </si>
  <si>
    <t>Ameren Missouri Efficient Products Evaluation PY2019 (Table 6-9)</t>
  </si>
  <si>
    <t>2010 Residential Heating Products Final Rule Technical Support Document, U.S. DOE, Table 8.7.2</t>
  </si>
  <si>
    <t>Incremental Cost</t>
  </si>
  <si>
    <t>Illinois TRM Version 12.0, p. 250</t>
  </si>
  <si>
    <t>Learning Thermostat / Advanced Thermostat</t>
  </si>
  <si>
    <t>250100_2024_12_</t>
  </si>
  <si>
    <t>PAYS/SFIE</t>
  </si>
  <si>
    <t>Learning Thermostat - ASHP heating/cooling SF</t>
  </si>
  <si>
    <t>Cooling RES</t>
  </si>
  <si>
    <t>Heating RES</t>
  </si>
  <si>
    <t>250101_2024_12_</t>
  </si>
  <si>
    <t>Learning Thermostat - ASHP heating/cooling MF</t>
  </si>
  <si>
    <t>250150_2024_12_</t>
  </si>
  <si>
    <t>Learning Thermostat - electric furnace heating / central AC MF</t>
  </si>
  <si>
    <t>250250_2024_12_</t>
  </si>
  <si>
    <t>Learning Thermostat - electric furnace heating / central AC SF</t>
  </si>
  <si>
    <t>250350_2024_12_</t>
  </si>
  <si>
    <t>Learning Thermostat - Gas Heated / central AC SF**</t>
  </si>
  <si>
    <t>250351_2024_12_</t>
  </si>
  <si>
    <t>Learning Thermostat - Gas Heated / central AC MF**</t>
  </si>
  <si>
    <t>250450_2024_12_</t>
  </si>
  <si>
    <t>Smart Thermostats</t>
  </si>
  <si>
    <t>Learning Thermostat - Unknown SF**</t>
  </si>
  <si>
    <t>3.4.1</t>
  </si>
  <si>
    <t>**If not claiming gas value is applicable to propane as well</t>
  </si>
  <si>
    <t>ΔkWh = ΔkWhheating + ΔkWhcooling</t>
  </si>
  <si>
    <t xml:space="preserve">                                                                                                                                              </t>
  </si>
  <si>
    <t>ΔkWhheating = %ElectricHeat * HeatingConsumptionElectric  * HF * HeatingReduction* Eff_ISR + (∆Therms * Fe * 29.3)</t>
  </si>
  <si>
    <t>ΔkWhcool = %AC * ((EFLHcool * CapacityCool* 1/SEER2)/1000) * CoolingReduction * Eff_ISR</t>
  </si>
  <si>
    <t>ΔkW = ΔkWhCooling * CF</t>
  </si>
  <si>
    <t>∆Therms = %FossilHeat * HeatingConsumptionGas * HF * HeatingReduction * EffISR</t>
  </si>
  <si>
    <t>Frequency</t>
  </si>
  <si>
    <t>Factor</t>
  </si>
  <si>
    <t>Comments</t>
  </si>
  <si>
    <t>Ameren Missouri Efficient Products Evaluation PY2020, page 40</t>
  </si>
  <si>
    <t>HeatingConsumption_Electric</t>
  </si>
  <si>
    <t xml:space="preserve">Ameren Missouri Efficient Products Evaluation PY2018 workpapers.  For Comprehensive Envelope (CompE) Measures , the ratio of MF effective full load hours (1496) to the Opinion Dynamic recommendation for Comprehensive Envelope full load hours (509) was used to scale heating consumption values.  </t>
  </si>
  <si>
    <t>Default if efficiency is unknown:  Use new equipment specification if new system installed</t>
  </si>
  <si>
    <t>North East (Fort Madison, IA)</t>
  </si>
  <si>
    <t>North West (Lincoln, NE)</t>
  </si>
  <si>
    <t>South East (Cape Girardeau, MO)</t>
  </si>
  <si>
    <t>South West (Kaiser, MO)</t>
  </si>
  <si>
    <t>HF</t>
  </si>
  <si>
    <t>St Louis, MO</t>
  </si>
  <si>
    <t>Kansas City, MO</t>
  </si>
  <si>
    <t>Average/Unknown (Knob Noster)</t>
  </si>
  <si>
    <t>HeatingReduction</t>
  </si>
  <si>
    <t>Unknown Baseline (Weighted Average)</t>
  </si>
  <si>
    <t xml:space="preserve">Navigant’s IL TRM Workpaper on Impact Analysis from Preliminary Gas savings, https://www.ilsag.info/wp-content/uploads/SAG_files/Meeting_Materials/2015/December_2015_Meetings/Presentations/Smart_Tstat_Preliminary_Gas_Impact_Findings_2015-12-08_to_IL_SAG.pdf  </t>
  </si>
  <si>
    <t>Frequency of Baseline Thermostats</t>
  </si>
  <si>
    <t>Baseline Manual Thermostat</t>
  </si>
  <si>
    <t>Baseline Programmable Thermostat</t>
  </si>
  <si>
    <t>Baseline Smart Thermostat</t>
  </si>
  <si>
    <t>Eff_ISR</t>
  </si>
  <si>
    <t>All</t>
  </si>
  <si>
    <t>Ameren Missouri Efficient Products Evaluation PY2019, page 140</t>
  </si>
  <si>
    <t>Default value could change with evaluation</t>
  </si>
  <si>
    <t>∆Therms</t>
  </si>
  <si>
    <t>Calculated</t>
  </si>
  <si>
    <t>Fe</t>
  </si>
  <si>
    <t>Programmable Thermostats Furnace Fan Analysis.xlsx</t>
  </si>
  <si>
    <t>Default value no alternative</t>
  </si>
  <si>
    <t>%AC</t>
  </si>
  <si>
    <t>Program requires that the thermostat control central cooling</t>
  </si>
  <si>
    <r>
      <t xml:space="preserve">EFLH </t>
    </r>
    <r>
      <rPr>
        <vertAlign val="subscript"/>
        <sz val="11"/>
        <rFont val="Calibri"/>
        <family val="2"/>
        <scheme val="minor"/>
      </rPr>
      <t>cool</t>
    </r>
  </si>
  <si>
    <t>SF &amp; MF</t>
  </si>
  <si>
    <t>PY2019 ealuation report, page 30</t>
  </si>
  <si>
    <t>St Louis</t>
  </si>
  <si>
    <t>CapacityCool</t>
  </si>
  <si>
    <t>SF</t>
  </si>
  <si>
    <t>Default if capacity is unknown</t>
  </si>
  <si>
    <t>MF</t>
  </si>
  <si>
    <t>none</t>
  </si>
  <si>
    <t>SEER2</t>
  </si>
  <si>
    <t>Based on minimum federal standard</t>
  </si>
  <si>
    <t>CoolingReduction</t>
  </si>
  <si>
    <t>MO - TRM, page 80</t>
  </si>
  <si>
    <t>%FossilHeat</t>
  </si>
  <si>
    <t>Measure definition corresponds to whether or not the thermostat controls fossil heating</t>
  </si>
  <si>
    <t>Ameren Missouri Efficient Products Evaluation PY2020, page 41</t>
  </si>
  <si>
    <t>HeatingConsumption_Gas</t>
  </si>
  <si>
    <t>Ameren Missouri Efficient Products Evaluation PY2017, page 47</t>
  </si>
  <si>
    <t>St. Louis</t>
  </si>
  <si>
    <t>Illinois TRM Version 12.0, page 204</t>
  </si>
  <si>
    <t>251530_2024_12_</t>
  </si>
  <si>
    <t>LED Nightlights</t>
  </si>
  <si>
    <t>Lighting RES</t>
  </si>
  <si>
    <t>3.5.3</t>
  </si>
  <si>
    <t>∆kWh = (WattBase  - WattEE  ) * ISR * (1 - LKG) * Hours  * WHF  / 1,000</t>
  </si>
  <si>
    <t>Measure Category</t>
  </si>
  <si>
    <t>WattsBase</t>
  </si>
  <si>
    <t>3.5.1</t>
  </si>
  <si>
    <t>Based on Stanley Mertz, “LED Nightlights Energy Efficiency Retail products programs”, March 2018</t>
  </si>
  <si>
    <t>WattsEE</t>
  </si>
  <si>
    <t>Program wattage</t>
  </si>
  <si>
    <t>Program Wattage</t>
  </si>
  <si>
    <t>Hours of operation</t>
  </si>
  <si>
    <t>Nighlight</t>
  </si>
  <si>
    <t>Assumes nightlight is operating 12 hours per day, consistent with the 2016 Pennsylvania TRM</t>
  </si>
  <si>
    <t>Conversion Factor (Wh/kWh)</t>
  </si>
  <si>
    <t>WHF</t>
  </si>
  <si>
    <t>WHF to account for interactive effects</t>
  </si>
  <si>
    <t>Res</t>
  </si>
  <si>
    <t>2017 Ameren MO Lighting study</t>
  </si>
  <si>
    <t xml:space="preserve">Matches  Ameren Missouri  Evaluation PY2018, page 37 </t>
  </si>
  <si>
    <t>Leakage</t>
  </si>
  <si>
    <t>% Homes in Service Territory</t>
  </si>
  <si>
    <t>Efficient Products</t>
  </si>
  <si>
    <t>Ameren Missouri EE Kits Evaluation PY2019 (Table 7-9)</t>
  </si>
  <si>
    <t>This parameter is sometimes described in terms of Utility Adjustment, where the Utility Adjusment = 1 - Leakage</t>
  </si>
  <si>
    <t>Ameren Missouri Lighting Evaluation PY2023. Weighted average "All" based on results published in Table 32. PY2023 Lighting Program Detailed Participation Summary by Channel and Bulb Type. Refer to table at right. Note Online Store Channel no longer active starting in PY22.</t>
  </si>
  <si>
    <t xml:space="preserve">EUL </t>
  </si>
  <si>
    <t>Effective Useful Life</t>
  </si>
  <si>
    <t>Southern California Edison Company, “LED, Electroluminescent &amp; Fluorescent Night Lights”, Work Paper WPSCRELG0029 Rev. 1, February 2009, p. 2. and p.3</t>
  </si>
  <si>
    <t>Program should reference actual cost</t>
  </si>
  <si>
    <t>Average cost data provided in Stanley Mertz, “LED Nightlights Energy Efficiency Retail products programs”, March 2018.</t>
  </si>
  <si>
    <t>RESIDENTIAL ENERGY EFFICIENCY KITS</t>
  </si>
  <si>
    <t>Dirty Filter Alarm</t>
  </si>
  <si>
    <t>Heating kWh</t>
  </si>
  <si>
    <t>Cooling kWh</t>
  </si>
  <si>
    <t>300100_2024_12_</t>
  </si>
  <si>
    <t>Dirty Filter Alarm_MF</t>
  </si>
  <si>
    <t>HVAC RES</t>
  </si>
  <si>
    <t>3.4.9</t>
  </si>
  <si>
    <t>ΔkWh = kWh_heating + kWh_cooling</t>
  </si>
  <si>
    <t>kWh_heating = %Heating * kWmotor * EFLHheat * EI * Utility Adjustment * ISR</t>
  </si>
  <si>
    <t>kWh_cooling = %AC * kWmotor * EFLHcool * EI * Utility Adjustment * ISR</t>
  </si>
  <si>
    <t>%Heating</t>
  </si>
  <si>
    <t>Dirty Filter Alarm_MF: Kits</t>
  </si>
  <si>
    <t>Ameren Missouri EE Kits EM&amp;V PY2018, page 41</t>
  </si>
  <si>
    <r>
      <t>EFLH</t>
    </r>
    <r>
      <rPr>
        <i/>
        <vertAlign val="subscript"/>
        <sz val="11"/>
        <rFont val="Calibri"/>
        <family val="2"/>
        <scheme val="minor"/>
      </rPr>
      <t>heat</t>
    </r>
  </si>
  <si>
    <t>Ameren Missouri HVAC PY16 Metering Study</t>
  </si>
  <si>
    <t>EI</t>
  </si>
  <si>
    <t>Illinois TRM Version 12.0, page 233</t>
  </si>
  <si>
    <t>Utility Adjustment</t>
  </si>
  <si>
    <t>Ameren Missouri EE Kits PY18 Program Data, page 41</t>
  </si>
  <si>
    <r>
      <t>EFLH</t>
    </r>
    <r>
      <rPr>
        <i/>
        <vertAlign val="subscript"/>
        <sz val="11"/>
        <rFont val="Calibri"/>
        <family val="2"/>
        <scheme val="minor"/>
      </rPr>
      <t>cool</t>
    </r>
  </si>
  <si>
    <t>Ameren Missouri HVAC PY2013 Metering Study</t>
  </si>
  <si>
    <t>CPUC Support Tables</t>
  </si>
  <si>
    <t>Incremental Cost ($)</t>
  </si>
  <si>
    <t>P</t>
  </si>
  <si>
    <t>Persistence rate of reinstalling alarm after filter change</t>
  </si>
  <si>
    <t>None</t>
  </si>
  <si>
    <t xml:space="preserve">LEDs (per bulb) </t>
  </si>
  <si>
    <t>300431_2024_12_</t>
  </si>
  <si>
    <t>SFIE</t>
  </si>
  <si>
    <t>LED - 10W (750-899 lumens) IE</t>
  </si>
  <si>
    <r>
      <t>Watts</t>
    </r>
    <r>
      <rPr>
        <vertAlign val="subscript"/>
        <sz val="11"/>
        <rFont val="Calibri"/>
        <family val="2"/>
        <scheme val="minor"/>
      </rPr>
      <t>Base</t>
    </r>
  </si>
  <si>
    <t>Baseline Wattage</t>
  </si>
  <si>
    <r>
      <t>Watts</t>
    </r>
    <r>
      <rPr>
        <vertAlign val="subscript"/>
        <sz val="11"/>
        <rFont val="Calibri"/>
        <family val="2"/>
        <scheme val="minor"/>
      </rPr>
      <t>EE</t>
    </r>
  </si>
  <si>
    <t>Wattage of new LED installed</t>
  </si>
  <si>
    <r>
      <t>Hours</t>
    </r>
    <r>
      <rPr>
        <vertAlign val="subscript"/>
        <sz val="11"/>
        <rFont val="Calibri"/>
        <family val="2"/>
        <scheme val="minor"/>
      </rPr>
      <t>RES</t>
    </r>
  </si>
  <si>
    <t>The average hours of use per day</t>
  </si>
  <si>
    <t>Non-Nightlight</t>
  </si>
  <si>
    <t xml:space="preserve">2017 Ameren MO Lighting study </t>
  </si>
  <si>
    <t xml:space="preserve">Matches  Ameren Missouri  Evaluation PY2018, page 36 </t>
  </si>
  <si>
    <t>Electric Saturation</t>
  </si>
  <si>
    <t>% Homes with Electric Lighting</t>
  </si>
  <si>
    <t>Electric only measure</t>
  </si>
  <si>
    <t>Assumption based on program design</t>
  </si>
  <si>
    <t>LED IE</t>
  </si>
  <si>
    <t>Illinois TRM Version 12.0, 329</t>
  </si>
  <si>
    <t>PAY AS YOU SAVE</t>
  </si>
  <si>
    <t>&lt;------ Use the "Grouping" Features to expand or hide the formulas/input variables</t>
  </si>
  <si>
    <t>LED Lamp</t>
  </si>
  <si>
    <t>Measure *</t>
  </si>
  <si>
    <t>End Use - RES</t>
  </si>
  <si>
    <t>kW Factor - RES</t>
  </si>
  <si>
    <t>End Use - BUS</t>
  </si>
  <si>
    <t>kW Factor - BUS</t>
  </si>
  <si>
    <t>kWh RES</t>
  </si>
  <si>
    <t>kWh BUS</t>
  </si>
  <si>
    <t>KW RES</t>
  </si>
  <si>
    <t>KW BUS</t>
  </si>
  <si>
    <t>EUL - RES</t>
  </si>
  <si>
    <t>EUL - BUS**</t>
  </si>
  <si>
    <t>450100_2024_12_</t>
  </si>
  <si>
    <t>PAYS</t>
  </si>
  <si>
    <t>LED - 10W (750-899 lumens) DI</t>
  </si>
  <si>
    <t xml:space="preserve">  per bulb</t>
  </si>
  <si>
    <t>3.5.1 - 3.5.4</t>
  </si>
  <si>
    <t>  Watts Base</t>
  </si>
  <si>
    <t>Baseline wattage, based on lumens of LED bulb installed.</t>
  </si>
  <si>
    <t>  Watts EE</t>
  </si>
  <si>
    <t>Actual wattage of LED purchased / installed</t>
  </si>
  <si>
    <t>Mid point of measure description efficient wattage</t>
  </si>
  <si>
    <t>In Service Rate, the percentage of units rebated that are actually in service</t>
  </si>
  <si>
    <t>Ameren Missouri PAYS Evaluation PY2022 Appendix, page 7</t>
  </si>
  <si>
    <t>Leakage rate (program bulbs installed outside Ameren Missouri's service area)</t>
  </si>
  <si>
    <t>Based on program design</t>
  </si>
  <si>
    <t>HOU_Res</t>
  </si>
  <si>
    <t>Average hours of use per year for residential homes</t>
  </si>
  <si>
    <t>Ameren Missouri Lighting Evaluation PY2018, page 36</t>
  </si>
  <si>
    <t>WHF_Res</t>
  </si>
  <si>
    <t xml:space="preserve">Waste Heat Factor for energy to account for electric heating increase from reducing waste heat from efficient lighting (if fossil fuel heating – see calculation of heating penalty in that section). </t>
  </si>
  <si>
    <t>Res  energy, Interior</t>
  </si>
  <si>
    <t>Ameren Missouri PY2014 Evaluation, page 45</t>
  </si>
  <si>
    <t>Res  energy, Exterior</t>
  </si>
  <si>
    <t>WHF not applicable to exterior lighting</t>
  </si>
  <si>
    <t>HOU_NRES</t>
  </si>
  <si>
    <t>Average hours of use per year for non- residential homes</t>
  </si>
  <si>
    <t xml:space="preserve">Illinois TRM v5.0, Lighting Reference Tables (Sec. 4.5.1), "Unknown" Building type, screw base lamp operating hours / 365  </t>
  </si>
  <si>
    <t>WHF_Nres</t>
  </si>
  <si>
    <t>NonRes energy, Interior</t>
  </si>
  <si>
    <t>Set equal to Community Lighting Deemed Tables</t>
  </si>
  <si>
    <t>NonRes energy, Exterior</t>
  </si>
  <si>
    <t>%Res</t>
  </si>
  <si>
    <t>Percentage of bulbs sold to residential customers</t>
  </si>
  <si>
    <t>EUL Residential</t>
  </si>
  <si>
    <t>Illinois TRM Version 12.0, page 327</t>
  </si>
  <si>
    <t>EUL Business</t>
  </si>
  <si>
    <t>Incremental costs from IL-TRM V12.0, page 311</t>
  </si>
  <si>
    <t>Advanced Power Strips Tier 1  / Load Sensing</t>
  </si>
  <si>
    <t>450700_2024_12_</t>
  </si>
  <si>
    <t>Advanced Tier 1 Power Strips DI - Home Office</t>
  </si>
  <si>
    <t>Miscellaneous RES</t>
  </si>
  <si>
    <t>3.2.1</t>
  </si>
  <si>
    <t>ΔkWh = (kWhOffice * WeightingOffice + kWhEnt * WeightingEnt) * ISR</t>
  </si>
  <si>
    <t>Source:</t>
  </si>
  <si>
    <t>KWh</t>
  </si>
  <si>
    <t>kWh Installation by Location</t>
  </si>
  <si>
    <t>Home Office</t>
  </si>
  <si>
    <t>“Advanced Power Strip Research Report.” Note that estimates are not based on pre/post metering but on analysis based on frequency and consumption of likely products in active, standby, and off modes. This measure should be reviewed frequently to ensure that assumptions continue to be appropriate.</t>
  </si>
  <si>
    <t>Weighting Office</t>
  </si>
  <si>
    <t>% OFFICE</t>
  </si>
  <si>
    <t>1 - % Entertainment</t>
  </si>
  <si>
    <t>In service/installation rate</t>
  </si>
  <si>
    <t>TOS/NC/DI</t>
  </si>
  <si>
    <t>Advanced Power Strip Research Report, NYSERDA, August 2011, page 30</t>
  </si>
  <si>
    <t>Tier 1 APS - Direct Install</t>
  </si>
  <si>
    <t>RESIDENTIAL HVAC</t>
  </si>
  <si>
    <t>3.4.7</t>
  </si>
  <si>
    <t>∆kWhHeating Mode = (1 - %_with_New_ASHP) * (400 kWh/year * HeatingEFLH / WisconsinHeatingEFLH) * HF * ISR</t>
  </si>
  <si>
    <t>∆kWhCooling Mode = (1 - %_with_New_Central_Cooling) * (70 kWh/year * CoolingEFLH / WisconsinCoolingEFLH) * HF * ISR</t>
  </si>
  <si>
    <t>∆kWhAuto Circulation = (25 kWh/year * CoolingEFLH / WisconsinCoolingEFLH + 2,960 kWh/year * RT% - 30 kWh/year) * HF * ISR</t>
  </si>
  <si>
    <t>∆kWhContinous Circulation = (25 kWh/year * CoolingEFLH / WisconsinCoolingEFLH + 2,960 kWh/year * RT% - 30 kWh/year) * HF * ISR</t>
  </si>
  <si>
    <t>% with New ASHP</t>
  </si>
  <si>
    <t>% of furnaces with new ASHP</t>
  </si>
  <si>
    <t>Ameren Missouri HVAC Program Evaluation PY2019 Appendix, page 41</t>
  </si>
  <si>
    <t>400 kWh/yr</t>
  </si>
  <si>
    <t>Wisconsin Heating Savings</t>
  </si>
  <si>
    <t>Ameren Missouri HVAC Evaluation PY17' Page 41</t>
  </si>
  <si>
    <r>
      <t xml:space="preserve">EFLH </t>
    </r>
    <r>
      <rPr>
        <i/>
        <vertAlign val="subscript"/>
        <sz val="11"/>
        <rFont val="Calibri"/>
        <family val="2"/>
        <scheme val="minor"/>
      </rPr>
      <t>heating</t>
    </r>
  </si>
  <si>
    <t>Effective full load heating hours (in St. Louis)</t>
  </si>
  <si>
    <t>Based on Full Load Hour assumptions for StLouis taken from the ENERGY STAR calculator</t>
  </si>
  <si>
    <r>
      <t xml:space="preserve">WI_EFLH </t>
    </r>
    <r>
      <rPr>
        <i/>
        <vertAlign val="subscript"/>
        <sz val="11"/>
        <rFont val="Calibri"/>
        <family val="2"/>
        <scheme val="minor"/>
      </rPr>
      <t>heating</t>
    </r>
  </si>
  <si>
    <t>Wisconsin effective full load heating hours</t>
  </si>
  <si>
    <t>Ameren Missouri HVAC EM&amp;V PY2018 Report, page 40</t>
  </si>
  <si>
    <t>% with New Central Cooling</t>
  </si>
  <si>
    <t>% of furnaces with new central cooling</t>
  </si>
  <si>
    <t>Ameren Missouri HVAC Program Evaluation PY2019, page 92</t>
  </si>
  <si>
    <t>70 kWh/yr</t>
  </si>
  <si>
    <t>Wisconsin Cooling Savings</t>
  </si>
  <si>
    <t>Ameren Missouri HVAC EM&amp;V PY2017 Page 41</t>
  </si>
  <si>
    <r>
      <t xml:space="preserve">EFLH </t>
    </r>
    <r>
      <rPr>
        <i/>
        <vertAlign val="subscript"/>
        <sz val="11"/>
        <rFont val="Calibri"/>
        <family val="2"/>
        <scheme val="minor"/>
      </rPr>
      <t>cooling</t>
    </r>
  </si>
  <si>
    <t>Effective full load cooling hours (in St. Louis)</t>
  </si>
  <si>
    <r>
      <t xml:space="preserve">WI_EFLH </t>
    </r>
    <r>
      <rPr>
        <i/>
        <vertAlign val="subscript"/>
        <sz val="11"/>
        <rFont val="Calibri"/>
        <family val="2"/>
        <scheme val="minor"/>
      </rPr>
      <t>cooling</t>
    </r>
  </si>
  <si>
    <t>Wisconsin effective full load cooling hours</t>
  </si>
  <si>
    <t>25 kWh/yr</t>
  </si>
  <si>
    <t>Cooling Savings - All Systems</t>
  </si>
  <si>
    <t>Ameren Missouri HVAC EM&amp;V PY2017, page 41</t>
  </si>
  <si>
    <t>2960 kWh/yr</t>
  </si>
  <si>
    <t>Wisconsin Circulation Savings</t>
  </si>
  <si>
    <t>RT</t>
  </si>
  <si>
    <t>Percent additional run time factor</t>
  </si>
  <si>
    <t>Auto Fan</t>
  </si>
  <si>
    <t>Ameren Missouri PY2019 Residential Evaluation Appendices, page 39</t>
  </si>
  <si>
    <t>Continuous Fan</t>
  </si>
  <si>
    <t>30 kWh/yr</t>
  </si>
  <si>
    <t>Standby Losses</t>
  </si>
  <si>
    <t>65% MF value is not applicable in this case, because it should be based upon pressure drop in the system and many of the components will have the same pressure drop, filters, coils, grills, duct length, etc.</t>
  </si>
  <si>
    <t>In Service Rate</t>
  </si>
  <si>
    <t>Ameren Missouri HVAC PY2020 Evaluation (Table 28)</t>
  </si>
  <si>
    <t>End of Useful Life</t>
  </si>
  <si>
    <t>Illinois TRM Version 12.0, page 152</t>
  </si>
  <si>
    <t>Assume 75% installed with new furnace.</t>
  </si>
  <si>
    <t>Central Air Conditioners</t>
  </si>
  <si>
    <t>Units (tons/measure)</t>
  </si>
  <si>
    <t>350600_2024_12_</t>
  </si>
  <si>
    <t>CAC-SEER15_ER1_SF</t>
  </si>
  <si>
    <t>CAC-SEER15_ER2_SF</t>
  </si>
  <si>
    <t>Cooling RES ER2</t>
  </si>
  <si>
    <t>350650_2024_12_</t>
  </si>
  <si>
    <t>CAC-SEER15_ROF_SF</t>
  </si>
  <si>
    <t>350800_2024_12_</t>
  </si>
  <si>
    <t>CAC-SEER16_ER1_SF</t>
  </si>
  <si>
    <t>CAC-SEER16_ER2_SF</t>
  </si>
  <si>
    <t>350850_2024_12_</t>
  </si>
  <si>
    <t>CAC-SEER16_ROF_SF</t>
  </si>
  <si>
    <t>350900_2024_12_</t>
  </si>
  <si>
    <t>CAC-SEER16_ER1_MF</t>
  </si>
  <si>
    <t>CAC-SEER16_ER2_MF</t>
  </si>
  <si>
    <t>351000_2024_12_</t>
  </si>
  <si>
    <t>CAC-SEER17_ER1_SF</t>
  </si>
  <si>
    <t>CAC-SEER17_ER2_SF</t>
  </si>
  <si>
    <t>351050_2024_12_</t>
  </si>
  <si>
    <t>CAC-SEER17_ROF_SF</t>
  </si>
  <si>
    <t>351160_2024_12_</t>
  </si>
  <si>
    <t>CAC-SEER18_ER1_SF</t>
  </si>
  <si>
    <t>CAC-SEER18_ER2_SF</t>
  </si>
  <si>
    <t>351161_2024_12_</t>
  </si>
  <si>
    <t>CAC-SEER18_ROF_SF</t>
  </si>
  <si>
    <t>351170_2024_12_</t>
  </si>
  <si>
    <t>CAC-SEER19_ER1_SF</t>
  </si>
  <si>
    <t>CAC-SEER19_ER2_SF</t>
  </si>
  <si>
    <t>351171_2024_12_</t>
  </si>
  <si>
    <t>CAC-SEER19_ROF_SF</t>
  </si>
  <si>
    <t>351180_2024_12_</t>
  </si>
  <si>
    <t>CAC-SEER20_ER1_SF</t>
  </si>
  <si>
    <t>CAC-SEER20_ER2_SF</t>
  </si>
  <si>
    <t>351181_2024_12_</t>
  </si>
  <si>
    <t>CAC-SEER20_ROF_SF</t>
  </si>
  <si>
    <t>351190_2024_12_</t>
  </si>
  <si>
    <t>CAC-SEER21+_ER1_SF</t>
  </si>
  <si>
    <t>CAC-SEER21+_ER2_SF</t>
  </si>
  <si>
    <t>351191_2024_12_</t>
  </si>
  <si>
    <t>CAC-SEER21+_ROF_SF</t>
  </si>
  <si>
    <t>3.4.8</t>
  </si>
  <si>
    <t>ΔkWh = ((FLHcool  * Capacity  * (1/SEER2base  - 1/SEER2ee))/1,000) * HF * ISR</t>
  </si>
  <si>
    <t xml:space="preserve">Early replacement: </t>
  </si>
  <si>
    <t>ΔkWh for remaining life of existing unit (1st 6 years):</t>
  </si>
  <si>
    <t xml:space="preserve">ΔkWh = ((FLHcool  * Capacity * (1/SEER2exist  - 1/SEER2ee))/1,000) * HF * ISR =((FLH_cool  * Capacity * (1/SEER_exist  - 1/SEER_ee))/1,000)*HF*ISR </t>
  </si>
  <si>
    <t>ΔkWh for remaining measure life (next 12 years):</t>
  </si>
  <si>
    <t>ΔkWh = ((FLHcool  * Capacity * (1/SEER2base  - 1/SEER2ee))/1,000) * HF * ISR</t>
  </si>
  <si>
    <t xml:space="preserve">Ton(s) </t>
  </si>
  <si>
    <t>Comments:</t>
  </si>
  <si>
    <t>Efficient CAC Costs</t>
  </si>
  <si>
    <t>FLHcool</t>
  </si>
  <si>
    <t>Full load cooling hours</t>
  </si>
  <si>
    <t>From Evaluation - Opinion Dynamics review PY19, page 39</t>
  </si>
  <si>
    <t>Efficiency (SEER2)</t>
  </si>
  <si>
    <t>Time of Sale Incremental Cost ($/unit)</t>
  </si>
  <si>
    <t>Default Retrofit Cost</t>
  </si>
  <si>
    <t>Early Replacement Incremental Cost ($/unit)</t>
  </si>
  <si>
    <t>Nominal Deferred ER Cost</t>
  </si>
  <si>
    <t>Item</t>
  </si>
  <si>
    <t>Discount Rate</t>
  </si>
  <si>
    <t>Nominal societal discount rate, based on the ten year average (1/1/2014 – 12/31/2023) of the 10 year Treasury bond yield rates.
https://www.treasury.gov/resource-center/data-chart-center/interest-rates/Pages/TextView.aspx?data=realyieldAll</t>
  </si>
  <si>
    <t>#Years</t>
  </si>
  <si>
    <t>1/3 of 18 EUL</t>
  </si>
  <si>
    <t>Discount Factor</t>
  </si>
  <si>
    <t>Applied to future full costs under ER scenario.</t>
  </si>
  <si>
    <t>Btu/hr / Capacity</t>
  </si>
  <si>
    <t>Size of new equipment in Btu/hr (note 1 ton = 12,000Btu/hr)</t>
  </si>
  <si>
    <t>Ameren Missouri HVAC PY2022 Program Data Averages</t>
  </si>
  <si>
    <t>AMO PY23 Parametric Analysis "TRM Updates Summary" column H</t>
  </si>
  <si>
    <t>Ameren Missouri HVAC PY2021 Program Data Averages</t>
  </si>
  <si>
    <t>SEER2base</t>
  </si>
  <si>
    <t>Seasonal Energy Efficiency Ratio of baseline unit (kBtu/kWh) (SEER2)</t>
  </si>
  <si>
    <t>CFR 430 (1-1-2021 Edition) 430.32(c)(5)</t>
  </si>
  <si>
    <t>SEER2ee</t>
  </si>
  <si>
    <t>Seasonal Energy Efficiency Ratio of ENERGY STAR unit (kBtu/kWh) (SEER2)</t>
  </si>
  <si>
    <t>No change- only decimals</t>
  </si>
  <si>
    <t>SEER2exist</t>
  </si>
  <si>
    <t>Seasonal Energy Efficiency Ratio of existing unit (kBtu/kWh) (SEER2)</t>
  </si>
  <si>
    <t>AMO PY23 Parametric Analysis "TRM Updates Summary" column J</t>
  </si>
  <si>
    <t>HF of 65% used to convert residential to multifamily</t>
  </si>
  <si>
    <t>Ameren Missouri HVAC Program Evaluation PY2020 (Table 28)</t>
  </si>
  <si>
    <t>Measure Life Report 2007.pdf</t>
  </si>
  <si>
    <t>Mini/Multi-Split Heat Pumps and Air Conditioners</t>
  </si>
  <si>
    <t>351200_2024_12_</t>
  </si>
  <si>
    <t>Mini/MultiSplitAC_ER1_SF</t>
  </si>
  <si>
    <t>Mini/MultiSplitAC_ER2_SF</t>
  </si>
  <si>
    <t>351250_2024_12_</t>
  </si>
  <si>
    <t>Mini/MultiSplitAC_ROF_SF</t>
  </si>
  <si>
    <t>351300_2024_12_</t>
  </si>
  <si>
    <t>Mini/MultiSplitASHP_ROF_SF_NC</t>
  </si>
  <si>
    <t>351350_2024_12_</t>
  </si>
  <si>
    <t>Mini/MultiSplitASHP_ROF_SF</t>
  </si>
  <si>
    <t>351400_2024_12_</t>
  </si>
  <si>
    <t>Mini/MultiSplitASHP-Replace_CAC_ElectricHeat_ER1_SF</t>
  </si>
  <si>
    <t>Mini/MultiSplitASHP-Replace_CAC_ElectricHeat_ER2_SF</t>
  </si>
  <si>
    <t>Heating RES ER2</t>
  </si>
  <si>
    <t>351401_2024_12_</t>
  </si>
  <si>
    <t>Mini/MultiSplitASHP-Replace_CAC_NonElectricHeat_ER1_SF</t>
  </si>
  <si>
    <t>Mini/MultiSplitASHP-Replace_CAC_NonElectricHeat_ER2_SF</t>
  </si>
  <si>
    <t>351450_2024_12_</t>
  </si>
  <si>
    <t>Mini/MultiSplitASHP-Replace_CAC_ElectricHeat_ROF_SF</t>
  </si>
  <si>
    <t>351451_2024_12_</t>
  </si>
  <si>
    <t>Mini/MultiSplitASHP-Replace_CAC_NonElectricHeat_ROF_SF</t>
  </si>
  <si>
    <t>351500_2024_12_</t>
  </si>
  <si>
    <t>Mini/MultiSplitASHP_ER1_SF</t>
  </si>
  <si>
    <t>Mini/MultiSplitASHP_ER2_SF</t>
  </si>
  <si>
    <t>351550_2024_12_</t>
  </si>
  <si>
    <t>Mini/MultiSplitAC_ER1_MF</t>
  </si>
  <si>
    <t>Mini/MultiSplitAC_ER2_MF</t>
  </si>
  <si>
    <t>3.4.4</t>
  </si>
  <si>
    <t>ΔkWh = ΔkWhheating  + ΔkWhcooling</t>
  </si>
  <si>
    <t>TOS: ΔkWhheating = ((Capacityheat  * EFLHheat  * (1/HSPF2base  - 1/HSPF2ee)) / 1000) * HF * ISR</t>
  </si>
  <si>
    <t>EREP: ΔkWhheating = ((Capacityheat  * EFLHheat  * (1/HSPF2exist  - 1/HSPF2ee)) / 1000) * HF * ISR</t>
  </si>
  <si>
    <t>TOS: ΔkWhcooling = ((Capacitycool* EFLHcool  * (1/SEER2base  - 1/SEER2ee)) / 1000) * HF * ISR</t>
  </si>
  <si>
    <t>EREP: ΔkWhcooling = ((Capacitycool* EFLHcool  * (1/SEER2exist  - 1/SEER2ee)) / 1000) * HF * ISR</t>
  </si>
  <si>
    <t>Efficient DHP Costs</t>
  </si>
  <si>
    <t>Capacityheat</t>
  </si>
  <si>
    <t>Heating capacity of the ductless heat pump unit in Btu/hr</t>
  </si>
  <si>
    <t>no heating</t>
  </si>
  <si>
    <t>HSPF2 Equal or Greater Than</t>
  </si>
  <si>
    <t>HSPF2 Less Than</t>
  </si>
  <si>
    <t>Full Cost Per Ton</t>
  </si>
  <si>
    <t>Incremental Cost Per Ton DHP Baseline</t>
  </si>
  <si>
    <t>Baseline Equipment Costs</t>
  </si>
  <si>
    <t>Lookup String</t>
  </si>
  <si>
    <t>Category</t>
  </si>
  <si>
    <t>Fixed</t>
  </si>
  <si>
    <t>Per Ton</t>
  </si>
  <si>
    <t>ROF Elec Resis/CAC Baseline - All</t>
  </si>
  <si>
    <t>EFLHheat</t>
  </si>
  <si>
    <t>Equivalent Full Load Hours for heating</t>
  </si>
  <si>
    <t>From Evaluation - Opinion Dynamics review PY19</t>
  </si>
  <si>
    <t>ROF Non-Elec/CAC Baseline - All</t>
  </si>
  <si>
    <t>ER DMSHP Baseline - All</t>
  </si>
  <si>
    <t>ER Elec Resis/CAC Baseline - All</t>
  </si>
  <si>
    <t>ER Non-Elec/CAC Baseline - All</t>
  </si>
  <si>
    <t>HSPF2base</t>
  </si>
  <si>
    <t>HSPF rating of baseline equipment (kbtu/kwh) (HSPF2)</t>
  </si>
  <si>
    <t>HSPFbase</t>
  </si>
  <si>
    <t>HSPF2exist</t>
  </si>
  <si>
    <t>HSPF rating of existing equipment (kbtu/kwh) (HSPF2)</t>
  </si>
  <si>
    <t>HSPFexist</t>
  </si>
  <si>
    <t>Ameren Missouri Heating and Cooling Evaluation PY2018, page 36</t>
  </si>
  <si>
    <t>HSPF2ee</t>
  </si>
  <si>
    <t>HSPF rating of new equipment (kbtu/kwh)</t>
  </si>
  <si>
    <t>Capacitycool</t>
  </si>
  <si>
    <t>Cooling capacity of the ductless heat pump unit in Btu/hr (HSPF2)</t>
  </si>
  <si>
    <t>Match Similar Unit</t>
  </si>
  <si>
    <t>EFLHcool</t>
  </si>
  <si>
    <t>Equivalent Full Load Hours for cooling</t>
  </si>
  <si>
    <t>SEER rating of baseline equipment (kbtu/kwh) (SEER2)</t>
  </si>
  <si>
    <t>SEERbase</t>
  </si>
  <si>
    <t>SEER rating of existing equipment (kbtu/kwh) (SEER2)</t>
  </si>
  <si>
    <t>SEERexist</t>
  </si>
  <si>
    <t>MO TRM</t>
  </si>
  <si>
    <t>Match similar unit</t>
  </si>
  <si>
    <t>SEER rating of new equipment (kbtu/kwh) (SEER2)</t>
  </si>
  <si>
    <t>SEERee</t>
  </si>
  <si>
    <t>HF of 65% from thermostat measure used to convert from "residential" to Multifamily. Page 79 of TRM volume 3 without any more relevant information.</t>
  </si>
  <si>
    <t>From Evaluation - Opinion Dynamics review PY19  -100% for MF recommended by evaluator which assumes systems are of similar size in SF and MF homes for ductless units.</t>
  </si>
  <si>
    <t>HVAC Ameren Missouri HVAC Program Evaluation PY2020 (Table 28)</t>
  </si>
  <si>
    <t>Measure Life Report: Residential and Commercial/Industrial Lighting and HVAC Measures, GDS Associates, Inc., June 2007</t>
  </si>
  <si>
    <t>Inc Cost Adj Factor</t>
  </si>
  <si>
    <t>Incremental Cost Adjustment Factor</t>
  </si>
  <si>
    <t>Dual Fuel Heat Pumps</t>
  </si>
  <si>
    <t>351900_2024_12_</t>
  </si>
  <si>
    <t>DFHP-SEER19-ROF_MF</t>
  </si>
  <si>
    <t>Cooling Res</t>
  </si>
  <si>
    <t>Heating Res</t>
  </si>
  <si>
    <t>351950_2024_12_</t>
  </si>
  <si>
    <t>DFHP-SEER20-ROF_MF</t>
  </si>
  <si>
    <t>352000_2024_12_</t>
  </si>
  <si>
    <t>DFHP-SEER21-ROF_MF</t>
  </si>
  <si>
    <t>3.4.2</t>
  </si>
  <si>
    <t>Cost determined with RS Means 2018 data.</t>
  </si>
  <si>
    <t>TOS:</t>
  </si>
  <si>
    <t>ΔkWh = [((EFLHcool  * Capacitycool  * (1/SEER2base  - 1/SEER2ee)) / 1000) + ((EFLHheat  * Capacityheat  * (1/HSPF2base  - 1/HSFP2ee)) / 1,000)] * ISR</t>
  </si>
  <si>
    <t>Cooling only for Central Air Conditioning and Non-Electric Heating Backup</t>
  </si>
  <si>
    <t>ΔkWh = [((EFLHcool  * Capacitycool  * (1/SEER2base  - 1/SEER2ee)) / 1000) * ISR</t>
  </si>
  <si>
    <t xml:space="preserve">EREP: </t>
  </si>
  <si>
    <t>ΔkWh for remaining life of existing unit (1st 6 years for replacing an ASHP, 18 years for replacing electric resistance):</t>
  </si>
  <si>
    <t>ΔkWh = [((EFLHcool  * Capacitycool  * (1/SEER2exist  - 1/SEER2ee)) / 1000) + ((EFLHheat  * Capacityheat  * (1/HSPF2exist  - 1/HSFP2ee)) / 1,000)] * ISR</t>
  </si>
  <si>
    <t>ΔkWh =[((EFLHcool  * Capacitycool  * (1/SEER2exist  - 1/SEER2ee)) / 1000) *ISR</t>
  </si>
  <si>
    <t>ΔkWh for remaining measure life (next 12 years if replacing an ASHP):</t>
  </si>
  <si>
    <t>=[((EFLHcool  * Capacitycool  * (1/SEER2base  - 1/SEER2ee)) / 1000) + ((EFLHheat  * Capacityheat  * (1/HSPF2base  - 1/HSFP2ee)) / 1,000)] * ISR</t>
  </si>
  <si>
    <t>Efficient ASHP Costs</t>
  </si>
  <si>
    <t>Capacity Heating</t>
  </si>
  <si>
    <t>Heating Capacity of Air Source Heat Pump (Btu/hr)</t>
  </si>
  <si>
    <t>From Evaluation</t>
  </si>
  <si>
    <t>EFLH_heat</t>
  </si>
  <si>
    <t>Equivalent full load hours of heating</t>
  </si>
  <si>
    <t>Matches Ameren Missouri HVAC EM&amp;V PY2017</t>
  </si>
  <si>
    <t>HSPF2_base / exist</t>
  </si>
  <si>
    <t>Heating System Performance Factor of baseline / existing heating system (kBtu/kWh)</t>
  </si>
  <si>
    <t>HSPF_base / exist</t>
  </si>
  <si>
    <t>ROF ASHP Baseline - All</t>
  </si>
  <si>
    <t>HSPF2_ee</t>
  </si>
  <si>
    <t>Heating System Performance Factor of efficient Duel Fuel Heat Pump
   (kBtu/kWh)</t>
  </si>
  <si>
    <t>Assumed similar to 18+</t>
  </si>
  <si>
    <t>HSPF_ee</t>
  </si>
  <si>
    <t>ER ASHP Baseline - All</t>
  </si>
  <si>
    <t>Capacity_cooling</t>
  </si>
  <si>
    <t>Cooling Capacity of Duel Fuel Heat Pump (Btu/hr)</t>
  </si>
  <si>
    <t>EFLH_cooling</t>
  </si>
  <si>
    <t>Equivalent full load hours of air conditioning</t>
  </si>
  <si>
    <t>SEER2_base / exist</t>
  </si>
  <si>
    <t>Seasonal Energy Efficiency Ratio of baseline / existing cooling system (kBtu/kWh)</t>
  </si>
  <si>
    <t>SEER_base / exist</t>
  </si>
  <si>
    <t>SEER2_ee</t>
  </si>
  <si>
    <t>Seasonal Energy Efficiency Ratio of efficient Duel Fuel Heat Pump (kBtu/kWh)</t>
  </si>
  <si>
    <t>From Measure Description</t>
  </si>
  <si>
    <t>SEER_ee</t>
  </si>
  <si>
    <t>HF of 65% from thermostat measure used to convert from "residential" to Multifamily. Page 79 of MO TRM volume 3.</t>
  </si>
  <si>
    <t>End Useful Life</t>
  </si>
  <si>
    <t>Ground Source Heat Pumps</t>
  </si>
  <si>
    <t>352050_2024_12_</t>
  </si>
  <si>
    <t>GSHP-EER23-Replace_CAC_ElectricHeat_ROF_SF</t>
  </si>
  <si>
    <t>352050_2021_12_</t>
  </si>
  <si>
    <t>352100_2024_12_</t>
  </si>
  <si>
    <t>GSHP-EER23-Replace_CAC_ElectricHeat_ER1_SF</t>
  </si>
  <si>
    <t>GSHP-EER23-Replace_CAC_ElectricHeat_ER2_SF</t>
  </si>
  <si>
    <t>Cooling Res ER2</t>
  </si>
  <si>
    <t>352200_2024_12_</t>
  </si>
  <si>
    <t>GSHP-EER23-Replace_ASHP_ER1_SF</t>
  </si>
  <si>
    <t>GSHP-EER23-Replace_ASHP_ER2_SF</t>
  </si>
  <si>
    <t>352250_2024_12_</t>
  </si>
  <si>
    <t>GSHP-EER23_ROF_SF</t>
  </si>
  <si>
    <t>352250_2021_12_</t>
  </si>
  <si>
    <t>352260_2024_12_</t>
  </si>
  <si>
    <t>GSHP-EER23-Replace_GSHP_ER1_SF</t>
  </si>
  <si>
    <t>GSHP-EER23-Replace_GSHP_ER2_SF</t>
  </si>
  <si>
    <t>3.4.12</t>
  </si>
  <si>
    <t>ΔkWh = [((EFLHcool  * Capacitycool  * (1/EER2base  - 1/EER2ee) / 1000) + ((EFLHheat  * Capacityheat  * (1/HSPF2base  - 1/HSFP2ee) / 1000)] * ISR</t>
  </si>
  <si>
    <t>ΔkWh for remaining life of existing unit (1st 6 years for replacing an ASHP or GSHP, 18 years for replacing electric resistance):</t>
  </si>
  <si>
    <t>= [((EFLHcool  * Capacitycool  * (1/EER2exist  - 1/EER2ee) / 1000) + ((EFLHheat  * Capacityheat  * (1/HSPF2exist  - 1/HSFP2ee) / 1000)] * ISR</t>
  </si>
  <si>
    <t>ΔkWh for remaining measure life (next 12 years if replacing an ASHP or GSHP):</t>
  </si>
  <si>
    <t>= [((EFLHcool  * Capacitycool  * (1/EER2base  - 1/EER2ee) / 1000) + ((EFLHheat  * Capacityheat  * (1/HSPF2base  - 1/HSFP2ee) / 1000)] * ISR</t>
  </si>
  <si>
    <t>Heating Capacity of Heat Pump (Btu/hr)</t>
  </si>
  <si>
    <t>Ameren Missouri PY2021 Program Data</t>
  </si>
  <si>
    <t>Efficient GSHP Cost per Ton</t>
  </si>
  <si>
    <t>PY2019 Residential Evaluation Report, page 30</t>
  </si>
  <si>
    <t>Illinois TRM Version 12.0, page 171</t>
  </si>
  <si>
    <t>Heating System Performance Factor of efficient Heat Pump
   (kBtu/kWh)</t>
  </si>
  <si>
    <t>Evaluation recommendation PY2019</t>
  </si>
  <si>
    <t>Cooling Capacity of Heat Pump (Btu/hr)</t>
  </si>
  <si>
    <t>EFLHcooling</t>
  </si>
  <si>
    <t>PY2019 Evaluation Report, page 30</t>
  </si>
  <si>
    <t>SEER2base / exist</t>
  </si>
  <si>
    <t>Illinois TRM Version 12.0, page 169</t>
  </si>
  <si>
    <t>Federal minimum</t>
  </si>
  <si>
    <t>Seasonal Energy Efficiency Ratio of efficient Heat Pump (kBtu/kWh)</t>
  </si>
  <si>
    <t>Evaluation recommendation</t>
  </si>
  <si>
    <t>Illinois TRM Version 12.0, page 166</t>
  </si>
  <si>
    <t>Air Source Heat Pumps</t>
  </si>
  <si>
    <t>352300_2024_12_</t>
  </si>
  <si>
    <t>ASHP-SEER15-Replace_CAC_ElectricHeat_ER1_SF</t>
  </si>
  <si>
    <t>ASHP-SEER15-Replace_CAC_ElectricHeat_ER2_SF</t>
  </si>
  <si>
    <t>Heating Res ER2</t>
  </si>
  <si>
    <t>352310_2024_12_</t>
  </si>
  <si>
    <t>ASHP-SEER15-Replace_CAC_NonElectricHeat_ER1_SF</t>
  </si>
  <si>
    <t>ASHP-SEER15-Replace_CAC_NonElectricHeat_ER2_SF</t>
  </si>
  <si>
    <t>352350_2024_12_</t>
  </si>
  <si>
    <t>ASHP-SEER15_ER1_SF</t>
  </si>
  <si>
    <t>ASHP-SEER15_ER2_SF</t>
  </si>
  <si>
    <t>352400_2024_12_</t>
  </si>
  <si>
    <t>ASHP-SEER15-Replace_CAC_ElectricHeat_ROF_SF</t>
  </si>
  <si>
    <t>352410_2024_12_</t>
  </si>
  <si>
    <t>ASHP-SEER15-Replace_CAC_NonElectricHeat_ROF_SF</t>
  </si>
  <si>
    <t>352500_2024_12_</t>
  </si>
  <si>
    <t>ASHP-SEER16-Replace_CAC_ElectricHeat_ER1_SF</t>
  </si>
  <si>
    <t>ASHP-SEER16-Replace_CAC_ElectricHeat_ER2_SF</t>
  </si>
  <si>
    <t>352510_2024_12_</t>
  </si>
  <si>
    <t>ASHP-SEER16-Replace_CAC_NonElectricHeat_ER1_SF</t>
  </si>
  <si>
    <t>ASHP-SEER16-Replace_CAC_NonElectricHeat_ER2_SF</t>
  </si>
  <si>
    <t>352550_2024_12_</t>
  </si>
  <si>
    <t>ASHP-SEER16_ER1_SF</t>
  </si>
  <si>
    <t>ASHP-SEER16_ER2_SF</t>
  </si>
  <si>
    <t>352600_2024_12_</t>
  </si>
  <si>
    <t>ASHP-SEER16-Replace_CAC_ElectricHeat_ROF_SF</t>
  </si>
  <si>
    <t>352610_2024_12_</t>
  </si>
  <si>
    <t>ASHP-SEER16-Replace_CAC_NonElectricHeat_ROF_SF</t>
  </si>
  <si>
    <t>352650_2024_12_</t>
  </si>
  <si>
    <t>ASHP-SEER16_ROF_SF</t>
  </si>
  <si>
    <t>353000_2024_12_</t>
  </si>
  <si>
    <t>ASHP-SEER16-Replace_CAC_ElectricHeat_ER1_MF</t>
  </si>
  <si>
    <t>ASHP-SEER16-Replace_CAC_ElectricHeat_ER2_MF</t>
  </si>
  <si>
    <t>353100_2024_12_</t>
  </si>
  <si>
    <t>ASHP-SEER17-Replace_CAC_ElectricHeat_ROF_SF</t>
  </si>
  <si>
    <t>353110_2024_12_</t>
  </si>
  <si>
    <t>ASHP-SEER17-Replace_CAC_NonElectricHeat_ROF_SF</t>
  </si>
  <si>
    <t>353200_2024_12_</t>
  </si>
  <si>
    <t>ASHP-SEER18-Replace_CAC_ElectricHeat_ROF_SF</t>
  </si>
  <si>
    <t>353210_2024_12_</t>
  </si>
  <si>
    <t>ASHP-SEER18-Replace_CAC_NonElectricHeat_ROF_SF</t>
  </si>
  <si>
    <t>353300_2024_12_</t>
  </si>
  <si>
    <t>ASHP-SEER19-Replace_CAC_ElectricHeat_ROF_SF</t>
  </si>
  <si>
    <t>353310_2024_12_</t>
  </si>
  <si>
    <t>ASHP-SEER19-Replace_CAC_NonElectricHeat_ROF_SF</t>
  </si>
  <si>
    <t>353400_2024_12_</t>
  </si>
  <si>
    <t>ASHP-SEER20-Replace_CAC_ElectricHeat_ER1_SF</t>
  </si>
  <si>
    <t>ASHP-SEER20-Replace_CAC_ElectricHeat_ER2_SF</t>
  </si>
  <si>
    <t>353410_2024_12_</t>
  </si>
  <si>
    <t>ASHP-SEER20-Replace_CAC_NonElectricHeat_ER1_SF</t>
  </si>
  <si>
    <t>ASHP-SEER20-Replace_CAC_NonElectricHeat_ER2_SF</t>
  </si>
  <si>
    <t>353450_2024_12_</t>
  </si>
  <si>
    <t>ASHP-SEER20-Replace_CAC_ElectricHeat_ROF_SF</t>
  </si>
  <si>
    <t>353460_2024_12_</t>
  </si>
  <si>
    <t>ASHP-SEER20-Replace_CAC_NonElectricHeat_ROF_SF</t>
  </si>
  <si>
    <t>353550_2024_12_</t>
  </si>
  <si>
    <t>ASHP-SEER21-Replace_CAC_ElectricHeat_ER1_SF</t>
  </si>
  <si>
    <t>ASHP-SEER21-Replace_CAC_ElectricHeat_ER2_SF</t>
  </si>
  <si>
    <t>353560_2024_12_</t>
  </si>
  <si>
    <t>ASHP-SEER21-Replace_CAC_NonElectricHeat_ER1_SF</t>
  </si>
  <si>
    <t>ASHP-SEER21-Replace_CAC_NonElectricHeat_ER2_SF</t>
  </si>
  <si>
    <t>353600_2024_12_</t>
  </si>
  <si>
    <t>ASHP-SEER21-Replace_CAC_ElectricHeat_ER1_MF</t>
  </si>
  <si>
    <t>ASHP-SEER21-Replace_CAC_ElectricHeat_ER2_MF</t>
  </si>
  <si>
    <t>353650_2024_12_</t>
  </si>
  <si>
    <t>ASHP-SEER21-Replace_CAC_ElectricHeat_ROF_SF</t>
  </si>
  <si>
    <t>353660_2024_12_</t>
  </si>
  <si>
    <t>ASHP-SEER21-Replace_CAC_NonElectricHeat_ROF_SF</t>
  </si>
  <si>
    <t>353750_2024_12_</t>
  </si>
  <si>
    <t>ASHP-SEER17_ER1_SF</t>
  </si>
  <si>
    <t>ASHP-SEER17_ER2_SF</t>
  </si>
  <si>
    <t>353800_2024_12_</t>
  </si>
  <si>
    <t>ASHP-SEER17_ROF_SF</t>
  </si>
  <si>
    <t>353850_2024_12_</t>
  </si>
  <si>
    <t>ASHP-SEER18_ER1_SF</t>
  </si>
  <si>
    <t>ASHP-SEER18_ER2_SF</t>
  </si>
  <si>
    <t>353950_2024_12_</t>
  </si>
  <si>
    <t>ASHP-SEER18_ROF_SF</t>
  </si>
  <si>
    <t>354000_2024_12_</t>
  </si>
  <si>
    <t>ASHP-SEER19_ER1_SF</t>
  </si>
  <si>
    <t>ASHP-SEER19_ER2_SF</t>
  </si>
  <si>
    <t>354050_2024_12_</t>
  </si>
  <si>
    <t>ASHP-SEER19_ROF_SF</t>
  </si>
  <si>
    <t>354100_2024_12_</t>
  </si>
  <si>
    <t>ASHP-SEER17-Replace_CAC_ElectricHeat_ER1_SF</t>
  </si>
  <si>
    <t>ASHP-SEER17-Replace_CAC_ElectricHeat_ER2_SF</t>
  </si>
  <si>
    <t>354110_2024_12_</t>
  </si>
  <si>
    <t>ASHP-SEER17-Replace_CAC_NonElectricHeat_ER1_SF</t>
  </si>
  <si>
    <t>ASHP-SEER17-Replace_CAC_NonElectricHeat_ER2_SF</t>
  </si>
  <si>
    <t>354150_2024_12_</t>
  </si>
  <si>
    <t>ASHP-SEER17-Replace_CAC_ElectricHeat_ER1_MF</t>
  </si>
  <si>
    <t>ASHP-SEER17-Replace_CAC_ElectricHeat_ER2_MF</t>
  </si>
  <si>
    <t>354200_2024_12_</t>
  </si>
  <si>
    <t>ASHP-SEER17_ER1_MF</t>
  </si>
  <si>
    <t>ASHP-SEER17_ER2_MF</t>
  </si>
  <si>
    <t>354250_2024_12_</t>
  </si>
  <si>
    <t>ASHP-SEER18-Replace_CAC_ElectricHeat_ER1_SF</t>
  </si>
  <si>
    <t>ASHP-SEER18-Replace_CAC_ElectricHeat_ER2_SF</t>
  </si>
  <si>
    <t>354260_2024_12_</t>
  </si>
  <si>
    <t>ASHP-SEER18-Replace_CAC_NonElectricHeat_ER1_SF</t>
  </si>
  <si>
    <t>ASHP-SEER18-Replace_CAC_NonElectricHeat_ER2_SF</t>
  </si>
  <si>
    <t>354300_2024_12_</t>
  </si>
  <si>
    <t>ASHP-SEER18-Replace_CAC_ElectricHeat_ER1_MF</t>
  </si>
  <si>
    <t>ASHP-SEER18-Replace_CAC_ElectricHeat_ER2_MF</t>
  </si>
  <si>
    <t>354350_2024_12_</t>
  </si>
  <si>
    <t>ASHP-SEER18_ER1_MF</t>
  </si>
  <si>
    <t>ASHP-SEER18_ER2_MF</t>
  </si>
  <si>
    <t>354400_2024_12_</t>
  </si>
  <si>
    <t>ASHP-SEER19-Replace_CAC_ElectricHeat_ER1_SF</t>
  </si>
  <si>
    <t>ASHP-SEER19-Replace_CAC_ElectricHeat_ER2_SF</t>
  </si>
  <si>
    <t>354410_2024_12_</t>
  </si>
  <si>
    <t>ASHP-SEER19-Replace_CAC_NonElectricHeat_ER1_SF</t>
  </si>
  <si>
    <t>ASHP-SEER19-Replace_CAC_NonElectricHeat_ER2_SF</t>
  </si>
  <si>
    <t>354450_2024_12_</t>
  </si>
  <si>
    <t>ASHP-SEER19-Replace_CAC_ElectricHeat_ER1_MF</t>
  </si>
  <si>
    <t>ASHP-SEER19-Replace_CAC_ElectricHeat_ER2_MF</t>
  </si>
  <si>
    <t>354500_2024_12_</t>
  </si>
  <si>
    <t>ASHP-SEER19_ER1_MF</t>
  </si>
  <si>
    <t>ASHP-SEER19_ER2_MF</t>
  </si>
  <si>
    <t>354550_2024_12_</t>
  </si>
  <si>
    <t>ASHP-SEER20_ER1_SF</t>
  </si>
  <si>
    <t>ASHP-SEER20_ER2_SF</t>
  </si>
  <si>
    <t>354600_2024_12_</t>
  </si>
  <si>
    <t>ASHP-SEER20_ROF_SF</t>
  </si>
  <si>
    <t>354650_2024_12_</t>
  </si>
  <si>
    <t>ASHP-SEER20-Replace_CAC_ElectricHeat_ER1_MF</t>
  </si>
  <si>
    <t>ASHP-SEER20-Replace_CAC_ElectricHeat_ER2_MF</t>
  </si>
  <si>
    <t>354700_2024_12_</t>
  </si>
  <si>
    <t>ASHP-SEER20_ER1_MF</t>
  </si>
  <si>
    <t>ASHP-SEER20_ER2_MF</t>
  </si>
  <si>
    <t>354750_2024_12_</t>
  </si>
  <si>
    <t>ASHP-SEER21_ER1_SF</t>
  </si>
  <si>
    <t>ASHP-SEER21_ER2_SF</t>
  </si>
  <si>
    <t>354800_2024_12_</t>
  </si>
  <si>
    <t>ASHP-SEER21_ROF_SF</t>
  </si>
  <si>
    <t>354850_2024_12_</t>
  </si>
  <si>
    <t>ASHP-SEER21-Replace_CAC_ElectricHeat_ROF_MF</t>
  </si>
  <si>
    <t>354900_2024_12_</t>
  </si>
  <si>
    <t>ASHP-SEER21_ER1_MF</t>
  </si>
  <si>
    <t>ASHP-SEER21_ER2_MF</t>
  </si>
  <si>
    <t>354950_2024_12_</t>
  </si>
  <si>
    <t>ASHP-SEER17_ROF_MF</t>
  </si>
  <si>
    <t>355000_2024_12_</t>
  </si>
  <si>
    <t>ASHP-SEER18_ROF_MF</t>
  </si>
  <si>
    <t>355050_2024_12_</t>
  </si>
  <si>
    <t>ASHP-SEER19_ROF_MF</t>
  </si>
  <si>
    <t>355100_2024_12_</t>
  </si>
  <si>
    <t>ASHP-SEER20_ROF_MF</t>
  </si>
  <si>
    <t>355150_2024_12_</t>
  </si>
  <si>
    <t>ASHP-SEER21_ROF_MF</t>
  </si>
  <si>
    <t>Note: ASHPs replacing non-electric heating are eligible for cooling savings only.</t>
  </si>
  <si>
    <t>Based on similar Measure</t>
  </si>
  <si>
    <t>Ameren Missouri HVAC PY2020 Program Data Averages</t>
  </si>
  <si>
    <t>Ameren Missouri HVAC EM&amp;V PY2017 - 2016 -2017 AMR Data &amp; HP Metering</t>
  </si>
  <si>
    <t>Ameren Missouri HVAC EM&amp;V PY2018</t>
  </si>
  <si>
    <t>Replacing non-electric heating system</t>
  </si>
  <si>
    <t>Ameren Missouri Comm. Savers EM&amp;V PY2018</t>
  </si>
  <si>
    <t>Heating System Performance Factor of efficient Air Source Heat Pump
   (kBtu/kWh)</t>
  </si>
  <si>
    <t>Cooling Capacity of Air Source Heat Pump (Btu/hr)</t>
  </si>
  <si>
    <t>PY2019 HVAC Evaluation, page 4</t>
  </si>
  <si>
    <t>Matches Ameren Missouri HVAC EM&amp;V PY2018</t>
  </si>
  <si>
    <t>Seasonal Energy Efficiency Ratio of efficient Air Source Heat Pump (kBtu/kWh)</t>
  </si>
  <si>
    <t>Based on measure name</t>
  </si>
  <si>
    <t>Measure Life Report 2007.pdf, page 1-3.</t>
  </si>
  <si>
    <t>Packaged Terminal Air Source Heat Pumps</t>
  </si>
  <si>
    <t>356200_2024_12_</t>
  </si>
  <si>
    <t>PTHP-SEER12-ER1_MF</t>
  </si>
  <si>
    <t>PTHP-SEER12-ER2_MF</t>
  </si>
  <si>
    <t>356250_2024_12_</t>
  </si>
  <si>
    <t>PTHP-SEER12-Replace_PTAC_ElectricHeat_ER1_MF</t>
  </si>
  <si>
    <t>PTHP-SEER12-Replace_PTAC_ElectricHeat_ER2_MF</t>
  </si>
  <si>
    <t>356300_2024_12_</t>
  </si>
  <si>
    <t>PTHP-SEER12-ROF_MF</t>
  </si>
  <si>
    <t>356350_2024_12_</t>
  </si>
  <si>
    <t>PTHP-SEER12-Replace_PTAC_ElectricHeat_ROF_MF</t>
  </si>
  <si>
    <t>356400_2024_12_</t>
  </si>
  <si>
    <t>PTHP-SEER13-ER1_MF</t>
  </si>
  <si>
    <t>PTHP-SEER13-ER2_MF</t>
  </si>
  <si>
    <t>356450_2024_12_</t>
  </si>
  <si>
    <t>PTHP-SEER13-Replace_PTAC_ElectricHeat_ER1_MF</t>
  </si>
  <si>
    <t>PTHP-SEER13-Replace_PTAC_ElectricHeat_ER2_MF</t>
  </si>
  <si>
    <t>356500_2024_12_</t>
  </si>
  <si>
    <t>PTHP-SEER13-ROF_MF</t>
  </si>
  <si>
    <t>356550_2024_12_</t>
  </si>
  <si>
    <t>PTHP-SEER13-Replace_PTAC_ElectricHeat_ROF_MF</t>
  </si>
  <si>
    <t>356600_2024_12_</t>
  </si>
  <si>
    <t>PTHP-SEER14-ER1_MF</t>
  </si>
  <si>
    <t>PTHP-SEER14-ER2_MF</t>
  </si>
  <si>
    <t>356650_2024_12_</t>
  </si>
  <si>
    <t>PTHP-SEER14-Replace_PTAC_ElectricHeat_ER1_MF</t>
  </si>
  <si>
    <t>PTHP-SEER14-Replace_PTAC_ElectricHeat_ER2_MF</t>
  </si>
  <si>
    <t>356700_2024_12_</t>
  </si>
  <si>
    <t>PTHP-SEER14-ROF_MF</t>
  </si>
  <si>
    <t>356750_2024_12_</t>
  </si>
  <si>
    <t>PTHP-SEER14-Replace_PTAC_ElectricHeat_ROF_MF</t>
  </si>
  <si>
    <t>356800_2024_12_</t>
  </si>
  <si>
    <t>PTHP-SEER15-ER1_MF</t>
  </si>
  <si>
    <t>PTHP-SEER15-ER2_MF</t>
  </si>
  <si>
    <t>356850_2024_12_</t>
  </si>
  <si>
    <t>PTHP-SEER15-Replace_PTAC_ElectricHeat_ER1_MF</t>
  </si>
  <si>
    <t>PTHP-SEER15-Replace_PTAC_ElectricHeat_ER2_MF</t>
  </si>
  <si>
    <t>356900_2024_12_</t>
  </si>
  <si>
    <t>PTHP-SEER15-ROF_MF</t>
  </si>
  <si>
    <t>356950_2024_12_</t>
  </si>
  <si>
    <t>PTHP-SEER15-Replace_PTAC_ElectricHeat_ROF_MF</t>
  </si>
  <si>
    <t>3.4.10</t>
  </si>
  <si>
    <t>Note: PTHPs replacing non-electric heating are eligible for cooling savings only.</t>
  </si>
  <si>
    <t>EREP:</t>
  </si>
  <si>
    <t>ΔkWh for remaining life of existing unit:</t>
  </si>
  <si>
    <t>= [((EFLHcool  * Capacitycool  * (1/SEER2exist  - 1/SEER2ee)) / 1000) + ((EFLHheat  * Capacityheat  * (1/HSPF2exist  - 1/HSFP2ee)) / 1,000)] * ISR</t>
  </si>
  <si>
    <t>ΔkWh for remaining measure life:</t>
  </si>
  <si>
    <t>Heating Capacity of Package Terminal Heat Pump (Btu/hr)</t>
  </si>
  <si>
    <t>PTHP</t>
  </si>
  <si>
    <t>Typical sizes found online are 9,400, 12,000 and 15,000 btu/hr.</t>
  </si>
  <si>
    <t>Ameren TRM, section 3.4.10</t>
  </si>
  <si>
    <t>ER</t>
  </si>
  <si>
    <t>ROF</t>
  </si>
  <si>
    <t>Federal standard. CFR 431.97 Table 7</t>
  </si>
  <si>
    <t>ER_Electric Heat</t>
  </si>
  <si>
    <t>Consistent for all electric resistance heating equipment.</t>
  </si>
  <si>
    <t>ROF_Electric Heat</t>
  </si>
  <si>
    <t>PTHP-SEER12</t>
  </si>
  <si>
    <t>Average efficiency of market available PTHP</t>
  </si>
  <si>
    <t>PTHP-SEER13</t>
  </si>
  <si>
    <t>PTHP-SEER14</t>
  </si>
  <si>
    <t>PTHP-SEER15</t>
  </si>
  <si>
    <t>Cooling Capacity of Package Terminal Heat Pump (Btu/hr)</t>
  </si>
  <si>
    <t>ER - PTHP</t>
  </si>
  <si>
    <t>ER - PTAC</t>
  </si>
  <si>
    <t>From Measure Description; units meeting 11.7 SEER federal standard are offered in SEER 12 grouping</t>
  </si>
  <si>
    <t>EUL / RUL</t>
  </si>
  <si>
    <t>ER1</t>
  </si>
  <si>
    <t>ER2</t>
  </si>
  <si>
    <t>RESIDENTIAL INCOME ELIGIBLE</t>
  </si>
  <si>
    <t>AC Tune-Up</t>
  </si>
  <si>
    <t xml:space="preserve">*MFIEc = Multifamily Income Eligible Comprehensive Envelope,  CompE = Comprehensive Envelope </t>
  </si>
  <si>
    <t>400150_2024_12_</t>
  </si>
  <si>
    <t>AC Tune-up / Refrigerant charge SF</t>
  </si>
  <si>
    <t>400410_2024_12_</t>
  </si>
  <si>
    <t>AC Tune-up / Packaged Service SF</t>
  </si>
  <si>
    <t>400411_2024_12_</t>
  </si>
  <si>
    <t>AC Tune-up / Packaged Service MF</t>
  </si>
  <si>
    <t>3.4.6</t>
  </si>
  <si>
    <t>ΔkWhCentral AC = ((EFLHcool  * Capacitycool  * (1/SEERtest-in – 1/SEERtest-out)) / 1,000)</t>
  </si>
  <si>
    <t>ΔkWhASHP = ((EFLHcool  * Capacitycool  * (1/SEERtest-in – 1/SEERtest-out)) / 1,000) + ((EFLHheat  * Capacityheat  * (1/HSPFtest-in –  1/HSFPtest-out)) / 1,000)</t>
  </si>
  <si>
    <r>
      <t>EFLH</t>
    </r>
    <r>
      <rPr>
        <vertAlign val="subscript"/>
        <sz val="11"/>
        <rFont val="Calibri"/>
        <family val="2"/>
        <scheme val="minor"/>
      </rPr>
      <t>cool</t>
    </r>
  </si>
  <si>
    <t xml:space="preserve"> PY19 Residential Evaluation Appendices, page 76</t>
  </si>
  <si>
    <r>
      <t>Capacity</t>
    </r>
    <r>
      <rPr>
        <vertAlign val="subscript"/>
        <sz val="11"/>
        <rFont val="Calibri"/>
        <family val="2"/>
        <scheme val="minor"/>
      </rPr>
      <t>cool</t>
    </r>
  </si>
  <si>
    <t>Average cooling capacity for ASHP measures for SF homes in the PY2023 HVAC Program (rounded)</t>
  </si>
  <si>
    <t>Average capacity for SF multiplied by 0.65</t>
  </si>
  <si>
    <t>SEERtest-in</t>
  </si>
  <si>
    <t>Seasonal Energy Efficiency Ratio of existing cooling system before tuning (kBtu/kWh)</t>
  </si>
  <si>
    <t>Refrigerant Charge Adjustment</t>
  </si>
  <si>
    <t>Ameren Missouri Heating and Cooling Program Impact and Process Evaluation: Program Year 2015, page 44</t>
  </si>
  <si>
    <t>Packaged Service</t>
  </si>
  <si>
    <r>
      <t>SEER</t>
    </r>
    <r>
      <rPr>
        <vertAlign val="subscript"/>
        <sz val="11"/>
        <rFont val="Calibri"/>
        <family val="2"/>
        <scheme val="minor"/>
      </rPr>
      <t>test-out</t>
    </r>
  </si>
  <si>
    <t>Seasonal Energy Efficiency Ratio of existing cooling system after tuning (kBtu/kWh)</t>
  </si>
  <si>
    <t>PY2015 HVAC Evaluation, page 42</t>
  </si>
  <si>
    <t>Calculated based on % improvement for each measure</t>
  </si>
  <si>
    <t>Based on 13.6% average improvement from 75 PY2019 MFIE packaged tune-up measures.</t>
  </si>
  <si>
    <t>Convert from Btu to kBtu</t>
  </si>
  <si>
    <t>Btu / kBtu</t>
  </si>
  <si>
    <t>Conversion Factor (Btu/kBtu)</t>
  </si>
  <si>
    <t>Sourced from DEER Database Technology and Measure Cost Data.</t>
  </si>
  <si>
    <t>Based on personal communication with HVAC efficiency program consultant Buck Taylor of Roltay Inc., 6/21/10,</t>
  </si>
  <si>
    <t>Estimate of avearge packaged service tune-up costs provided by implementer using 2014-2016 tune-up data.</t>
  </si>
  <si>
    <t>Air Sealing</t>
  </si>
  <si>
    <t>Units (sq. ft)</t>
  </si>
  <si>
    <t>400450_2024_12_</t>
  </si>
  <si>
    <t>Air Sealing (Infiltration reduction) - 30% MF IE DI electric furnace base</t>
  </si>
  <si>
    <t>Building Shell RES</t>
  </si>
  <si>
    <t>400500_2024_12_</t>
  </si>
  <si>
    <t>Air Sealing (Infiltration reduction) - 30% MF IE DI heat pump base</t>
  </si>
  <si>
    <t>400501_2022_12_</t>
  </si>
  <si>
    <t>Air Sealing (Infiltration reduction) - 30% MF IE DI gas furnace base</t>
  </si>
  <si>
    <t>400550_2024_12_</t>
  </si>
  <si>
    <t>Air Sealing (Infiltration reduction) - 30% SF IE DI electric furnace base</t>
  </si>
  <si>
    <t>400551_2024_12_</t>
  </si>
  <si>
    <t>Air Sealing (Infiltration reduction) - 30% SF IE DI Gas furnace base</t>
  </si>
  <si>
    <t>400600_2024_12_</t>
  </si>
  <si>
    <t>PAYS?SFIE</t>
  </si>
  <si>
    <t>Air Sealing (Infiltration reduction) - 30% SF IE DI heat pump base</t>
  </si>
  <si>
    <t>400650_2024_12_</t>
  </si>
  <si>
    <t>MH Adjusted Air Sealing (Infiltration reduction) - 30% SF IE DI electric furnace base</t>
  </si>
  <si>
    <t>400651_2024_12_</t>
  </si>
  <si>
    <t>MH Adjusted Air Sealing (Infiltration reduction) - 30% SF IE DI heat pump base</t>
  </si>
  <si>
    <t>400652_2024_12_</t>
  </si>
  <si>
    <t>MH Adjusted Air Sealing (Infiltration reduction) - 30% SF IE DI gas furnace base</t>
  </si>
  <si>
    <t>3.6.1</t>
  </si>
  <si>
    <t xml:space="preserve">If electrically-heated:   ΔkWh =(((CFM50Pre- CFM50Post) / Ncool ) * 60 * 24 * CDD * DUA * 0.018 * LM) / ((1,000 *  ηCool)) + (((CFM50Pre- CFM50Post)/ Nheat)  * 60 * 24 * HDD * 0.018) / (ηHeat * 3,412) </t>
  </si>
  <si>
    <t>If not electrically-heated:   (((CFM50Pre- CFM50Post) / Ncool ) * 60 * 24 * CDD * DUA * 0.018 * LM) / ((1,000 *  ηCool)) + (((CFM50Pre- CFM50Post)/ Nheat) * 60 * 24 * HDD * 0.018) / (ηHeat * 100,000)</t>
  </si>
  <si>
    <t>Note: For purposes of ex ante savings calculations, deemed per unit values are provided below, taken from Ameren Missouri TRM Version 7.0.  Ex post savings will be based on approach specified in Ameren Missouri TRM Version 8.0, referencing CFM change and applicable equipment characteristics.</t>
  </si>
  <si>
    <r>
      <t>Default</t>
    </r>
    <r>
      <rPr>
        <i/>
        <vertAlign val="subscript"/>
        <sz val="11"/>
        <rFont val="Calibri"/>
        <family val="2"/>
        <scheme val="minor"/>
      </rPr>
      <t>heat</t>
    </r>
  </si>
  <si>
    <t>MO - TRM, page 166</t>
  </si>
  <si>
    <t>Sq. Ft.</t>
  </si>
  <si>
    <t>Average size house (902 sq. ft.) insulation</t>
  </si>
  <si>
    <t>Assumes 65% HF</t>
  </si>
  <si>
    <t xml:space="preserve">Average size house (1387 sq. ft.) insulation </t>
  </si>
  <si>
    <t>Average size house (1387 sq. ft.) insulation</t>
  </si>
  <si>
    <t>Average mobile Home (15'x72' =1080 sq. ft.)</t>
  </si>
  <si>
    <r>
      <t>Default</t>
    </r>
    <r>
      <rPr>
        <i/>
        <vertAlign val="subscript"/>
        <sz val="11"/>
        <rFont val="Calibri"/>
        <family val="2"/>
        <scheme val="minor"/>
      </rPr>
      <t>cool</t>
    </r>
  </si>
  <si>
    <t>MO - TRM</t>
  </si>
  <si>
    <t>Default Therms per sq.ft.</t>
  </si>
  <si>
    <t>Default Therms saved per sq ft</t>
  </si>
  <si>
    <t>MO - TRM, page 167</t>
  </si>
  <si>
    <t>Illinois TRM Version 12.0, page 375</t>
  </si>
  <si>
    <t>Use Actual Square footage where applicable.</t>
  </si>
  <si>
    <t>No measures in PY18</t>
  </si>
  <si>
    <t>Ceiling Insulation</t>
  </si>
  <si>
    <t>Units - area of ceiling/attic (ft2)</t>
  </si>
  <si>
    <t>400700_2024_12_</t>
  </si>
  <si>
    <t>Ceiling Insulation R11-R49 MF IE DI electric furnace base</t>
  </si>
  <si>
    <t>400750_2024_12_</t>
  </si>
  <si>
    <t>Ceiling Insulation R11-R49 MF IE DI heat pump base</t>
  </si>
  <si>
    <t>400800_2024_12_</t>
  </si>
  <si>
    <t>Ceiling Insulation R11-R49 MF IE DI gas heat electric cool base</t>
  </si>
  <si>
    <t>400850_2024_12_</t>
  </si>
  <si>
    <t>Ceiling Insulation R11-R49 SF IE DI electric furnace base</t>
  </si>
  <si>
    <t>400900_2024_12_</t>
  </si>
  <si>
    <t>Ceiling Insulation R11-R49 SF IE DI heat pump base</t>
  </si>
  <si>
    <t>400950_2024_12_</t>
  </si>
  <si>
    <t>Ceiling Insulation R11-R49 SF IE DI gas heat electric cool base</t>
  </si>
  <si>
    <t>401000_2024_12_</t>
  </si>
  <si>
    <t>Ceiling Insulation R5-R30 MF IE DI electric furnace base</t>
  </si>
  <si>
    <t>401050_2024_12_</t>
  </si>
  <si>
    <t>Ceiling Insulation R5-R30 MF IE DI heat pump base</t>
  </si>
  <si>
    <t>401100_2024_12_</t>
  </si>
  <si>
    <t>Ceiling Insulation R5-R30 MF IE DI gas heat electric cool base</t>
  </si>
  <si>
    <t>401150_2024_12_</t>
  </si>
  <si>
    <t>Ceiling Insulation R5-R30 SF IE DI electric furnace base</t>
  </si>
  <si>
    <t>401200_2024_12_</t>
  </si>
  <si>
    <t>Ceiling Insulation R5-R30 SF IE DI heat pump base</t>
  </si>
  <si>
    <t>401250_2024_12_</t>
  </si>
  <si>
    <t>Ceiling Insulation R5-R30 SF IE DI gas heat electric cool base</t>
  </si>
  <si>
    <t>401300_2024_12_</t>
  </si>
  <si>
    <t>Ceiling Insulation R5-R38 MF IE DI electric furnace base</t>
  </si>
  <si>
    <t>401350_2024_12_</t>
  </si>
  <si>
    <t>Ceiling Insulation R5-R38 MF IE DI heat pump base</t>
  </si>
  <si>
    <t>401400_2024_12_</t>
  </si>
  <si>
    <t>Ceiling Insulation R5-R38 MF IE DI gas heat electric cool base</t>
  </si>
  <si>
    <t>401450_2024_12_</t>
  </si>
  <si>
    <t>Ceiling Insulation R5-R38 SF IE DI electric furnace base</t>
  </si>
  <si>
    <t>401500_2024_12_</t>
  </si>
  <si>
    <t>Ceiling Insulation R5-R38 SF IE DI heat pump base</t>
  </si>
  <si>
    <t>401550_2024_12_</t>
  </si>
  <si>
    <t>Ceiling Insulation R5-R38 SF IE DI gas heat electric cool base</t>
  </si>
  <si>
    <t>401600_2024_12_</t>
  </si>
  <si>
    <t>Ceiling Insulation R5-R49 MF IE DI electric furnace base</t>
  </si>
  <si>
    <t>401650_2024_12_</t>
  </si>
  <si>
    <t>Ceiling Insulation R5-R49 MF IE DI heat pump base</t>
  </si>
  <si>
    <t>401700_2024_12_</t>
  </si>
  <si>
    <t>Ceiling Insulation R5-R49 MF IE DI gas heat electric cool base</t>
  </si>
  <si>
    <t>401750_2024_12_</t>
  </si>
  <si>
    <t>Ceiling Insulation R5-R49 SF IE DI electric furnace base</t>
  </si>
  <si>
    <t>401800_2024_12_</t>
  </si>
  <si>
    <t>Ceiling Insulation R5-R49 SF IE DI heat pump base</t>
  </si>
  <si>
    <t>401850_2024_12_</t>
  </si>
  <si>
    <t>Ceiling Insulation R5-R49 SF IE DI gas heat electric cool base</t>
  </si>
  <si>
    <t>401900_2024_12_</t>
  </si>
  <si>
    <t>Ceiling Insulation R5-R60 MF IE DI electric furnace base</t>
  </si>
  <si>
    <t>401950_2024_12_</t>
  </si>
  <si>
    <t>Ceiling Insulation R5-R60 MF IE DI heat pump base</t>
  </si>
  <si>
    <t>402000_2024_12_</t>
  </si>
  <si>
    <t>Ceiling Insulation R5-R60 MF IE DI gas heat electric cool base</t>
  </si>
  <si>
    <t>402050_2024_12_</t>
  </si>
  <si>
    <t>Ceiling Insulation R5-R60 SF IE DI electric furnace base</t>
  </si>
  <si>
    <t>402100_2024_12_</t>
  </si>
  <si>
    <t>Ceiling Insulation R5-R60 SF IE DI heat pump base</t>
  </si>
  <si>
    <t>402150_2024_12_</t>
  </si>
  <si>
    <t>Ceiling Insulation R5-R60 SF IE DI gas heat electric cool base</t>
  </si>
  <si>
    <t>3.6.2</t>
  </si>
  <si>
    <t>If electrically-heated:   ΔkWh = ((1/ROld - 1/RAttic)* Aattic* (1 – FramingFactorAttic) * CDD * 24 * DUA * ADJAtticCool) / (1,000 * ηCool) + ((1/ROld - 1/RAttic)* Aattic* (1 – FramingFactorAttic) * HDD * 24 * ADJAtticHeat) / (3,412 * ηHeat)</t>
  </si>
  <si>
    <t>If not electrically-heated:   ΔkWh = ((1/ROld - 1/RAttic)* Aattic* (1 – FramingFactorAttic) * CDD * 24 * DUA * ADJAtticCool) / (1,000 * ηCool) + ΔTherms * Fe * 29.3</t>
  </si>
  <si>
    <r>
      <t>R</t>
    </r>
    <r>
      <rPr>
        <i/>
        <vertAlign val="subscript"/>
        <sz val="11"/>
        <rFont val="Calibri"/>
        <family val="2"/>
        <scheme val="minor"/>
      </rPr>
      <t>old</t>
    </r>
  </si>
  <si>
    <t>Assumes R5 of Assembly is not inlcuded in R value</t>
  </si>
  <si>
    <r>
      <t>R</t>
    </r>
    <r>
      <rPr>
        <i/>
        <vertAlign val="subscript"/>
        <sz val="11"/>
        <rFont val="Calibri"/>
        <family val="2"/>
        <scheme val="minor"/>
      </rPr>
      <t>Attic</t>
    </r>
  </si>
  <si>
    <r>
      <t>A</t>
    </r>
    <r>
      <rPr>
        <i/>
        <vertAlign val="subscript"/>
        <sz val="11"/>
        <rFont val="Calibri"/>
        <family val="2"/>
        <scheme val="minor"/>
      </rPr>
      <t>Attic</t>
    </r>
  </si>
  <si>
    <t>PY5 Evaluation</t>
  </si>
  <si>
    <t>Avg. size home 875.55 sq. ft.</t>
  </si>
  <si>
    <t>Avg. size home 1347 sq. ft.</t>
  </si>
  <si>
    <t>Avg. size home 718.9 sq. ft.</t>
  </si>
  <si>
    <t>Avg. size home 1106 sq. ft.</t>
  </si>
  <si>
    <t>Assumed same as R5-R30</t>
  </si>
  <si>
    <r>
      <t>Framing Factor</t>
    </r>
    <r>
      <rPr>
        <i/>
        <vertAlign val="subscript"/>
        <sz val="11"/>
        <rFont val="Calibri"/>
        <family val="2"/>
        <scheme val="minor"/>
      </rPr>
      <t>Attic</t>
    </r>
  </si>
  <si>
    <t>ASHRAE, 2001, “Characterization of Framing Factors for New Low-Rise Residential Building Envelopes (904-RP),” Table 7.1</t>
  </si>
  <si>
    <t>HDD</t>
  </si>
  <si>
    <t>HDD65</t>
  </si>
  <si>
    <r>
      <t>Adj</t>
    </r>
    <r>
      <rPr>
        <i/>
        <vertAlign val="subscript"/>
        <sz val="11"/>
        <rFont val="Calibri"/>
        <family val="2"/>
        <scheme val="minor"/>
      </rPr>
      <t>Attic</t>
    </r>
    <r>
      <rPr>
        <i/>
        <sz val="11"/>
        <rFont val="Calibri"/>
        <family val="2"/>
        <scheme val="minor"/>
      </rPr>
      <t>Cool</t>
    </r>
  </si>
  <si>
    <t>Illinois TRM Version 12.0, page 425</t>
  </si>
  <si>
    <r>
      <t>Adj</t>
    </r>
    <r>
      <rPr>
        <i/>
        <vertAlign val="subscript"/>
        <sz val="11"/>
        <rFont val="Calibri"/>
        <family val="2"/>
        <scheme val="minor"/>
      </rPr>
      <t>Attic</t>
    </r>
    <r>
      <rPr>
        <i/>
        <sz val="11"/>
        <rFont val="Calibri"/>
        <family val="2"/>
        <scheme val="minor"/>
      </rPr>
      <t>Heat</t>
    </r>
  </si>
  <si>
    <t>ƞheat</t>
  </si>
  <si>
    <t>These default system efficiencies are based on the applicable minimum federal standards. In 2006 the federal standard for heat pumps was adjusted. While one would expect the average system efficiency to be higher than this minimum, the likely degradation of efficiencies over time means that using the minimum standard is appropriate. An 85% distribution efficiency is then applied to account for duct losses for heat pumps.</t>
  </si>
  <si>
    <t>MO - TRM, page 173</t>
  </si>
  <si>
    <t>CDD</t>
  </si>
  <si>
    <t>CDD65</t>
  </si>
  <si>
    <t>DUA</t>
  </si>
  <si>
    <t>Central Air Conditioning in Wisconsin, A Compilation of Recent Field Research, p31</t>
  </si>
  <si>
    <t>%cool</t>
  </si>
  <si>
    <t>MO - TRM, page 10</t>
  </si>
  <si>
    <t>Joint Program</t>
  </si>
  <si>
    <t>Adv. Tstat value</t>
  </si>
  <si>
    <t>ƞcool</t>
  </si>
  <si>
    <t>Illinois TRM Version 12.0,  page 421</t>
  </si>
  <si>
    <t>Floor Insulation</t>
  </si>
  <si>
    <t>*MH = Mobile Home</t>
  </si>
  <si>
    <t>Units - area of floor (ft2)</t>
  </si>
  <si>
    <t>402200_2024_12_</t>
  </si>
  <si>
    <t>Floor Insulation R25 (R-3.96 base) MH electric furnace/baseboard and electric cooling</t>
  </si>
  <si>
    <t>402201_2024_12_</t>
  </si>
  <si>
    <t>Floor Insulation R25 (R-3.96 base) MH heat pump and electric cooling</t>
  </si>
  <si>
    <t>402202_2024_12_</t>
  </si>
  <si>
    <t>Floor Insulation R25 (R-3.96 base) MH gas furnace/baseboard and electric cooling</t>
  </si>
  <si>
    <t>402203_2024_12_</t>
  </si>
  <si>
    <t>Floor Insulation R25 (R-13 base) MH electric furnace/baseboard and electric cooling</t>
  </si>
  <si>
    <t>402204_2024_12_</t>
  </si>
  <si>
    <t>Floor Insulation R25 (R-13 base) MH heat pump and electric cooling</t>
  </si>
  <si>
    <t>402205_2024_12_</t>
  </si>
  <si>
    <t>Floor Insulation R25 (R-13 base) MH gas furnace/baseboard and electric cooling</t>
  </si>
  <si>
    <t>3.6.4</t>
  </si>
  <si>
    <t>If electrically-heated:   ΔkWh = ((1/R_Old - 1/(RAdded + ROld)) * Area * (1 – FramingFactorFloor) * CDD * 24 * DUA * ADJFloorCool) / (1,000 * ηCool) + ((1/R_Old - 1/(RAdded + ROld)) * Area * (1 – FramingFactorFloor) * HDD * 24 * ADJFloorHeat) / (3,412 * ηHeat)</t>
  </si>
  <si>
    <t>If not electrically-heated:   ΔkWh = ((1/R_Old - 1/(RAdded + ROld)) * Area * (1 – FramingFactorFloor) * CDD * 24 * DUA * ADJFloorCool) / (1,000 * ηCool) + ΔTherms * Fe * 29.3</t>
  </si>
  <si>
    <t>Floor Insulation R25 MH - No existing insulatin</t>
  </si>
  <si>
    <t>Illinois TRM Version 12.0, page 404</t>
  </si>
  <si>
    <t>Floor Insulation R25 MH - Pre-existing insulatin (R-13)</t>
  </si>
  <si>
    <t>3.53 from TRM, 13 added</t>
  </si>
  <si>
    <r>
      <t>R</t>
    </r>
    <r>
      <rPr>
        <i/>
        <vertAlign val="subscript"/>
        <sz val="11"/>
        <rFont val="Calibri"/>
        <family val="2"/>
        <scheme val="minor"/>
      </rPr>
      <t>added</t>
    </r>
  </si>
  <si>
    <t>Floor Insulation R25 MH electric furnace/baseboard and electric cooling</t>
  </si>
  <si>
    <r>
      <t>A</t>
    </r>
    <r>
      <rPr>
        <i/>
        <vertAlign val="subscript"/>
        <sz val="11"/>
        <rFont val="Calibri"/>
        <family val="2"/>
        <scheme val="minor"/>
      </rPr>
      <t>Floor</t>
    </r>
  </si>
  <si>
    <t>Unit=Per Square Foot (if unknown, Avg MH: 72' x 15' =1080)</t>
  </si>
  <si>
    <r>
      <t>Framing Factor</t>
    </r>
    <r>
      <rPr>
        <i/>
        <vertAlign val="subscript"/>
        <sz val="11"/>
        <rFont val="Calibri"/>
        <family val="2"/>
        <scheme val="minor"/>
      </rPr>
      <t>Floor</t>
    </r>
  </si>
  <si>
    <t>ASHRAE, 2001, “Characterization of Framing Factors for New Low-Rise Residential Building Envelopes (904-RP),” Table 7.1.</t>
  </si>
  <si>
    <t>HDD50</t>
  </si>
  <si>
    <r>
      <t>Adj</t>
    </r>
    <r>
      <rPr>
        <i/>
        <vertAlign val="subscript"/>
        <sz val="11"/>
        <rFont val="Calibri"/>
        <family val="2"/>
        <scheme val="minor"/>
      </rPr>
      <t>Floor</t>
    </r>
    <r>
      <rPr>
        <i/>
        <sz val="11"/>
        <rFont val="Calibri"/>
        <family val="2"/>
        <scheme val="minor"/>
      </rPr>
      <t>Cool</t>
    </r>
  </si>
  <si>
    <t xml:space="preserve">Adjustment to cooling savings to account for to account for inaccuracies in engineering algorithms. </t>
  </si>
  <si>
    <t>Illinois TRM Version 12.0, page 405</t>
  </si>
  <si>
    <r>
      <t>Adj</t>
    </r>
    <r>
      <rPr>
        <i/>
        <vertAlign val="subscript"/>
        <sz val="11"/>
        <rFont val="Calibri"/>
        <family val="2"/>
        <scheme val="minor"/>
      </rPr>
      <t>FloorHeat</t>
    </r>
  </si>
  <si>
    <t>Illinois TRM Version 12.0, page 406</t>
  </si>
  <si>
    <t>CDD75</t>
  </si>
  <si>
    <t xml:space="preserve">Energy Center of Wisconsin, May 2008 </t>
  </si>
  <si>
    <t>Illinois TRM Version 12.0, page 402</t>
  </si>
  <si>
    <t>402250_2024_12_</t>
  </si>
  <si>
    <t>MFIE/SFIE</t>
  </si>
  <si>
    <t>Dirty Filter Alarm_MFIE</t>
  </si>
  <si>
    <t>Ameren Missouri Community Savers Evaluation PY2018</t>
  </si>
  <si>
    <t>Ameren Missouri EE Kits Evaluation PY2018, page 41</t>
  </si>
  <si>
    <r>
      <t>EFLH</t>
    </r>
    <r>
      <rPr>
        <i/>
        <vertAlign val="subscript"/>
        <sz val="11"/>
        <color theme="1"/>
        <rFont val="Calibri"/>
        <family val="2"/>
        <scheme val="minor"/>
      </rPr>
      <t>heat</t>
    </r>
  </si>
  <si>
    <t>In TRM, (1 - Leakage)</t>
  </si>
  <si>
    <t>Ameren Missouri Community Savers Evaluation PY2018, page 27</t>
  </si>
  <si>
    <r>
      <t>EFLH</t>
    </r>
    <r>
      <rPr>
        <i/>
        <vertAlign val="subscript"/>
        <sz val="11"/>
        <color theme="1"/>
        <rFont val="Calibri"/>
        <family val="2"/>
        <scheme val="minor"/>
      </rPr>
      <t>cool</t>
    </r>
  </si>
  <si>
    <t>CPUC Support Tables: Effective Useful Life and Remaining Useful Life. Air Filter Alarm</t>
  </si>
  <si>
    <t>Duct Insulation</t>
  </si>
  <si>
    <t>kWh
Annual Savings</t>
  </si>
  <si>
    <t>ΔkWhCooling</t>
  </si>
  <si>
    <t>ΔkWhHeating</t>
  </si>
  <si>
    <t>Δtherms</t>
  </si>
  <si>
    <t>Inc. Cost*</t>
  </si>
  <si>
    <t>Units - DuctLength (ft.)</t>
  </si>
  <si>
    <t>402300_2024_12_</t>
  </si>
  <si>
    <t>Duct Insulation - Electric Heating</t>
  </si>
  <si>
    <t>402350_2024_12_</t>
  </si>
  <si>
    <t>Mobile Home Adjusted Duct Insulation - Electric Heating </t>
  </si>
  <si>
    <t>402400_2024_12_</t>
  </si>
  <si>
    <t>Duct Insulation - Gas Heating</t>
  </si>
  <si>
    <t>3.6.3</t>
  </si>
  <si>
    <t xml:space="preserve">*MEMD estimates $100/sq ft of conditioned floor area.  Area is assumed based on Air Sealing measure (1387). </t>
  </si>
  <si>
    <t>If electrically-heated:   ΔkWh = (1/Rexisting - 1/Rnew) * Area * EFLHcool * ∆TAVG,cooling) / (1,000 * SEER2) + (1/Rexisting - 1/Rnew) * Area * EFLHheat * ∆TAVG,heating) / (3,412 * COP)</t>
  </si>
  <si>
    <t>If not electrically-heated:   ΔkWh =  (1/Rexisting - 1/Rnew) * Area * EFLHcool * ∆TAVG,cooling) / (1,000 * SEER2) + ΔTherms * Fe * 29.3</t>
  </si>
  <si>
    <r>
      <t>R</t>
    </r>
    <r>
      <rPr>
        <vertAlign val="subscript"/>
        <sz val="10"/>
        <rFont val="Calibri"/>
        <family val="2"/>
        <scheme val="minor"/>
      </rPr>
      <t>existing</t>
    </r>
  </si>
  <si>
    <t>Duct heat loss coefficient with existing insulation ((hr-⁰F-ft2)/Btu)</t>
  </si>
  <si>
    <t>Case Studies of Duct Retrofits and Guidelines for Attic and Crawl Space Duct Sealing', Oak Ridge National Laboratory, November 2011, pg. 11</t>
  </si>
  <si>
    <r>
      <t>R</t>
    </r>
    <r>
      <rPr>
        <vertAlign val="subscript"/>
        <sz val="10"/>
        <rFont val="Calibri"/>
        <family val="2"/>
        <scheme val="minor"/>
      </rPr>
      <t>new</t>
    </r>
  </si>
  <si>
    <t>Duct heat loss coefficient with new insulation (hr-⁰F-ft2)/Btu)</t>
  </si>
  <si>
    <t>Case Studies of Duct Retrofits and Guidelines for Attic and Crawl Space Duct Sealing', Oak Ridge National Laboratory, November 2011, pg. 12</t>
  </si>
  <si>
    <t>Area</t>
  </si>
  <si>
    <t>Area of the duct surface exposed to the unconditioned space that has been insulated (ft2)</t>
  </si>
  <si>
    <t xml:space="preserve">Area - Single Family </t>
  </si>
  <si>
    <t>Length * Width, assuming 12"x30" duct and Length = 1'</t>
  </si>
  <si>
    <t>Area - Mobile Home</t>
  </si>
  <si>
    <t xml:space="preserve">Equivalent Full Load Cooling Hours </t>
  </si>
  <si>
    <r>
      <t>ΔT</t>
    </r>
    <r>
      <rPr>
        <vertAlign val="subscript"/>
        <sz val="10"/>
        <rFont val="Calibri"/>
        <family val="2"/>
        <scheme val="minor"/>
      </rPr>
      <t>AVG, cooling</t>
    </r>
  </si>
  <si>
    <t>Average temperature difference (⁰F) during cooling season between outdoor air temperature and assumed 60⁰F  duct supply air temperature</t>
  </si>
  <si>
    <t>National Solar Radiation Data Base -- 1991- 2005 Update: Typical Meteorological Year 3 http://rredc.nrel.gov/solar/old_data/nsrdb/1991-2005/tmy3/by_state_and_city.html . Heating Season defined as September 17th through April 13th, cooling season defined as May 20 through August 15th. For cooling season, temperatures from 8AM to 8PM were used to establish average temperatures as this is when cooling systems are expected to be loaded.</t>
  </si>
  <si>
    <t xml:space="preserve">Efficiency in SEER of air conditioning equipment </t>
  </si>
  <si>
    <t>Matches MO TRM, assuming age is 2006 or later.  Measure not found in Community Savers EM&amp;V</t>
  </si>
  <si>
    <r>
      <t>ΔT</t>
    </r>
    <r>
      <rPr>
        <vertAlign val="subscript"/>
        <sz val="10"/>
        <rFont val="Calibri"/>
        <family val="2"/>
        <scheme val="minor"/>
      </rPr>
      <t>AVG, heating</t>
    </r>
  </si>
  <si>
    <t>Average temperature difference (⁰F) during heating season between outdoor air temperature and assumed 115⁰F  duct supply temperature</t>
  </si>
  <si>
    <t>Matches MO TRM.  Measure not found in Community Savers EM&amp;V</t>
  </si>
  <si>
    <t>Conversion factor from Btu to kWh</t>
  </si>
  <si>
    <t>COP</t>
  </si>
  <si>
    <t xml:space="preserve">Electric Heating efficiency in COP of heating equipment </t>
  </si>
  <si>
    <t>Calculation assumes 35% Heat Pump and 65% Resistance, which is based upon data from Energy Information Administration, 2009 Residential Energy Consumption Survey</t>
  </si>
  <si>
    <r>
      <t>F</t>
    </r>
    <r>
      <rPr>
        <vertAlign val="subscript"/>
        <sz val="11"/>
        <rFont val="Calibri"/>
        <family val="2"/>
        <scheme val="minor"/>
      </rPr>
      <t>e</t>
    </r>
  </si>
  <si>
    <t>Furnace Fan energy consumption as a percentage of annual fuel consumption</t>
  </si>
  <si>
    <t xml:space="preserve">Fe is not one of the AHRI certified ratings provided for residential furnaces, but can be reasonably estimated from a calculation based on the certified values for fuel energy (Ef in MMBtu/yr) and Eae (kWh/yr).  An average of a 300 record sample (non-random) out of 1495 was 3.14%.  This is, appropriately, ~50% greater than the ENERGY STAR version 3 criteria for 2% Fe. </t>
  </si>
  <si>
    <t>Converts therms to kWh</t>
  </si>
  <si>
    <t>Conversion Factor (therms/kWh)</t>
  </si>
  <si>
    <t>Conversion factor from Btu to therms</t>
  </si>
  <si>
    <t>Conversion Factor (btu/therm)</t>
  </si>
  <si>
    <t xml:space="preserve">This variable is not defined in the MO TRM but it is required for the algorithm that's provided.  </t>
  </si>
  <si>
    <r>
      <t>Eff</t>
    </r>
    <r>
      <rPr>
        <vertAlign val="subscript"/>
        <sz val="11"/>
        <rFont val="Calibri"/>
        <family val="2"/>
        <scheme val="minor"/>
      </rPr>
      <t>heat</t>
    </r>
  </si>
  <si>
    <t xml:space="preserve">Gas Heat - Efficiency in COP of heating equipment </t>
  </si>
  <si>
    <t>% Homes with Electric Cooling</t>
  </si>
  <si>
    <t>Assumed for Income Eligible</t>
  </si>
  <si>
    <t xml:space="preserve"> In-service rate</t>
  </si>
  <si>
    <t>PY7 Site Visits</t>
  </si>
  <si>
    <t>Matches Community Saves EM&amp;V</t>
  </si>
  <si>
    <t>Measure Life Report, Residential and Commercial/Industrial Lighting and HVAC Measures, GDS Associates, June 2007</t>
  </si>
  <si>
    <t xml:space="preserve">Unit=Per Foot </t>
  </si>
  <si>
    <t>Duct Repair (Duct Sealing and Repair - Methodology 3)</t>
  </si>
  <si>
    <t>402450_2024_12_</t>
  </si>
  <si>
    <t>Duct Repair (Sealing) - Electric Heating SF</t>
  </si>
  <si>
    <t>402451_2024_12_</t>
  </si>
  <si>
    <t>Duct Repair (Sealing) - Gas Heating SF</t>
  </si>
  <si>
    <t>402452_2024_12_</t>
  </si>
  <si>
    <t>Duct Repair (Sealing) - Electric Heating MF Adjusted</t>
  </si>
  <si>
    <t>402453_2024_12_</t>
  </si>
  <si>
    <t>Duct Repair (Sealing) - Gas Heating  MF Adjusted</t>
  </si>
  <si>
    <t>402500_2024_12_</t>
  </si>
  <si>
    <t>Duct Repair (Sealing) - Electric Heating MH Adjusted</t>
  </si>
  <si>
    <t>402501_2024_12_</t>
  </si>
  <si>
    <t>Duct Repair (Sealing) - Gas Heating  MH Adjusted</t>
  </si>
  <si>
    <t>3.4.3</t>
  </si>
  <si>
    <t>ΔkWh = ΔkWhCooling  + ΔkWhHeatingElectric + ΔkWhHeatingGas</t>
  </si>
  <si>
    <t>(Method 3 presented; alternative methods may be applied per TRM)</t>
  </si>
  <si>
    <t>ΔkWhcooling = CoolSavingsPerUnit * DuctLength</t>
  </si>
  <si>
    <t xml:space="preserve">ΔkWhHeatingElectric = HeatSavingsPerUnit * DuctLength   </t>
  </si>
  <si>
    <t>ΔkWhHeatingGa = ΔTherms * Fe * 29.3</t>
  </si>
  <si>
    <t>CoolSavingsPerUnit</t>
  </si>
  <si>
    <t>Annual cooling savings per linear foot of duct (kWh/ft)</t>
  </si>
  <si>
    <t>MO TRM, page 97</t>
  </si>
  <si>
    <t>Missouri TRM &amp; Iowa TRM inputs here are sourced from same Cadmus Assessment noted below.</t>
  </si>
  <si>
    <t>MH</t>
  </si>
  <si>
    <r>
      <t>Duct</t>
    </r>
    <r>
      <rPr>
        <vertAlign val="subscript"/>
        <sz val="11"/>
        <rFont val="Calibri"/>
        <family val="2"/>
        <scheme val="minor"/>
      </rPr>
      <t>Length</t>
    </r>
  </si>
  <si>
    <t>Duct Length (ft)</t>
  </si>
  <si>
    <t>HeatSavingsPerUnit</t>
  </si>
  <si>
    <t>Annual heating savings per linear foot of duct (kWh/ft)</t>
  </si>
  <si>
    <t>SF - Electric Heating</t>
  </si>
  <si>
    <t>Savings per unit are based upon analysis performed by Cadmus for the 2011 Joint Assessment of Potential. It was based on 10% savings in system efficiency. This would represent savings from homes with significant duct work outside of the thermal envelope. With no performance testing or verification, a deemed savings value should be very conservative and therefore the values provided in this section represent half of the savings – or 5% improvement. These values are provided as a conservative deemed estimate for Missouri, while encouraging the use of performance testing and verification for determination of more accurate savings estimates.</t>
  </si>
  <si>
    <t>MF - Electric Heating</t>
  </si>
  <si>
    <t>MH - Electric Heating</t>
  </si>
  <si>
    <t>Annual heating savings per linear foot of duct (Therms/ft)</t>
  </si>
  <si>
    <t>SF - Gas Heating</t>
  </si>
  <si>
    <t>Iowa TRM v8.0, page 204.</t>
  </si>
  <si>
    <t>MF - Gas Heating</t>
  </si>
  <si>
    <t>MH - Gas Heating</t>
  </si>
  <si>
    <t>Use Actual Square length where applicable.</t>
  </si>
  <si>
    <t>ECM/ Blower Motor</t>
  </si>
  <si>
    <t>Auto kWh</t>
  </si>
  <si>
    <t>Continous kWh</t>
  </si>
  <si>
    <t>402600_2024_12_</t>
  </si>
  <si>
    <t>ECM Auto Fan Early Replacement ER1 (Full Cost) - SF</t>
  </si>
  <si>
    <t>ECM Auto Fan Early Replacement ER2 (Remaining Life) - SF</t>
  </si>
  <si>
    <t>402800_2024_12_</t>
  </si>
  <si>
    <t>ECM Auto Fan Early Replacement ER1 (Full Cost) - MF</t>
  </si>
  <si>
    <t>ECM Auto Fan Early Replacement ER2 (Remaining Life) - MF</t>
  </si>
  <si>
    <t>Note: As part of the Code of Federal Regulations, energy conservation standards for covered residential furnace fans became effective on July 3, 2019 (10 CFR 430.32(y)). This code requirement effectively makes ECMs part of the baseline for New Construction (NC), Replace-on-Fail (ROF), Time-of-Replacement (TOS), and Early Replacement (EREP) scenarios. Savings are only allowable for EREP measures, for the remaining useful life of the existing equipment (ER1, 6 years). Therefore, the EUL of the measure is assumed to be 6 years. (ER1 = 6, ER2 = 0).</t>
  </si>
  <si>
    <t>ECM Fan Early Replacement ER 1 (Full Cost) - SF</t>
  </si>
  <si>
    <t>Ameren Missouri HVAC Program Evaluation PY2019 Appendix, page 40</t>
  </si>
  <si>
    <t>ECM Fan Early Replacement ER 2 (Remaining Life) - SF</t>
  </si>
  <si>
    <t>ECM Fan Early Replacement ER 1 (Full Cost) - MF</t>
  </si>
  <si>
    <t>ECM Fan Early Replacement ER 2 (Remaining Life) - MF</t>
  </si>
  <si>
    <t>Ameren Missouri HVAC Evaluation PY17, Page 41</t>
  </si>
  <si>
    <r>
      <t xml:space="preserve">EFLH </t>
    </r>
    <r>
      <rPr>
        <vertAlign val="subscript"/>
        <sz val="11"/>
        <rFont val="Calibri"/>
        <family val="2"/>
        <scheme val="minor"/>
      </rPr>
      <t>heating</t>
    </r>
  </si>
  <si>
    <r>
      <t xml:space="preserve">WI_EFLH </t>
    </r>
    <r>
      <rPr>
        <vertAlign val="subscript"/>
        <sz val="11"/>
        <rFont val="Calibri"/>
        <family val="2"/>
        <scheme val="minor"/>
      </rPr>
      <t>heating</t>
    </r>
  </si>
  <si>
    <t>Ameren Missouri HVAC Program Evaluation PY2019, page 91</t>
  </si>
  <si>
    <r>
      <t xml:space="preserve">EFLH </t>
    </r>
    <r>
      <rPr>
        <vertAlign val="subscript"/>
        <sz val="11"/>
        <rFont val="Calibri"/>
        <family val="2"/>
        <scheme val="minor"/>
      </rPr>
      <t>cooling</t>
    </r>
  </si>
  <si>
    <r>
      <t xml:space="preserve">WI_EFLH </t>
    </r>
    <r>
      <rPr>
        <vertAlign val="subscript"/>
        <sz val="11"/>
        <rFont val="Calibri"/>
        <family val="2"/>
        <scheme val="minor"/>
      </rPr>
      <t>cooling</t>
    </r>
  </si>
  <si>
    <t>Household Factor</t>
  </si>
  <si>
    <t>ECM Auto Fan Early Replacement ER 1 (Full Cost) - SF</t>
  </si>
  <si>
    <t>ECM Auto Fan Early Replacement ER 2 (Remaining Life) - SF</t>
  </si>
  <si>
    <t>ECM Auto Fan Early Replacement ER 1 (Full Cost) - MF</t>
  </si>
  <si>
    <t>ECM Auto Fan Early Replacement ER 2 (Remaining Life) - MF</t>
  </si>
  <si>
    <t>Illinois TRM Version 12.0, page 151</t>
  </si>
  <si>
    <t>Heat Pump (HP) Tune-up</t>
  </si>
  <si>
    <t>403311_2021_12</t>
  </si>
  <si>
    <t>HP tune-up / Packaged Service MF</t>
  </si>
  <si>
    <t>From Evaluation - Opinion Dynamics review PY2019</t>
  </si>
  <si>
    <r>
      <t>EFLH</t>
    </r>
    <r>
      <rPr>
        <vertAlign val="subscript"/>
        <sz val="11"/>
        <color theme="1"/>
        <rFont val="Calibri"/>
        <family val="2"/>
        <scheme val="minor"/>
      </rPr>
      <t>cool</t>
    </r>
  </si>
  <si>
    <t>Ameren Missouri Heating and Cooling Program Impact and Process Evaluation: Program Year 2015, page 47</t>
  </si>
  <si>
    <t>Btu / lBtu</t>
  </si>
  <si>
    <r>
      <t>EFLH</t>
    </r>
    <r>
      <rPr>
        <vertAlign val="subscript"/>
        <sz val="11"/>
        <rFont val="Calibri"/>
        <family val="2"/>
        <scheme val="minor"/>
      </rPr>
      <t>heat</t>
    </r>
  </si>
  <si>
    <r>
      <t>EFLH</t>
    </r>
    <r>
      <rPr>
        <vertAlign val="subscript"/>
        <sz val="11"/>
        <color theme="1"/>
        <rFont val="Calibri"/>
        <family val="2"/>
        <scheme val="minor"/>
      </rPr>
      <t>heat</t>
    </r>
  </si>
  <si>
    <t>MFc</t>
  </si>
  <si>
    <r>
      <t>Capacity</t>
    </r>
    <r>
      <rPr>
        <vertAlign val="subscript"/>
        <sz val="11"/>
        <rFont val="Calibri"/>
        <family val="2"/>
        <scheme val="minor"/>
      </rPr>
      <t>heat</t>
    </r>
  </si>
  <si>
    <r>
      <t>HSPF</t>
    </r>
    <r>
      <rPr>
        <vertAlign val="subscript"/>
        <sz val="11"/>
        <rFont val="Calibri"/>
        <family val="2"/>
        <scheme val="minor"/>
      </rPr>
      <t>test-in</t>
    </r>
  </si>
  <si>
    <t>Heating Seasonal Performance Factor before tuning (kBtu/kWh)</t>
  </si>
  <si>
    <t>Based on evaluation results outlined in “Ameren Missouri Heating and Cooling Program Impact and Process Evaluation: Program Year 2015.”</t>
  </si>
  <si>
    <r>
      <t>HSPF</t>
    </r>
    <r>
      <rPr>
        <vertAlign val="subscript"/>
        <sz val="11"/>
        <rFont val="Calibri"/>
        <family val="2"/>
        <scheme val="minor"/>
      </rPr>
      <t>test-out</t>
    </r>
  </si>
  <si>
    <t>Heating System Performance Factor of existing Air Source Heat Pump after tuning (kBtu/kWh)</t>
  </si>
  <si>
    <t>EUL Sourced from DEER Database Technology and Measure Cost Data. Per MO TRM</t>
  </si>
  <si>
    <t>Low Flow Faucet Aerators (Bathroom)</t>
  </si>
  <si>
    <t>EPG_electric</t>
  </si>
  <si>
    <t>403400_2024_12_</t>
  </si>
  <si>
    <t>Low Flow Bathroom Faucet Aerator MFIE DI</t>
  </si>
  <si>
    <t>Water heating RES</t>
  </si>
  <si>
    <t>403450_2024_12_</t>
  </si>
  <si>
    <t>Low Flow Bathroom Faucet Aerator SFIE DI</t>
  </si>
  <si>
    <t>3.3.1</t>
  </si>
  <si>
    <t>ΔkWh  = %ElectricDHW  * (GPMbase  * L_base  - GPMlow * Llow) * Household * 365.25 *DF / FPH * EPG_electric * ISR</t>
  </si>
  <si>
    <t>EPG_electric = (8.33 * 1.0 * (WaterTemp - SupplyTemp)) / (RE_electric * 3412)</t>
  </si>
  <si>
    <t>ΔTherms = %GasDHW  * (GPMbase  * L_base  - GPMlow * Llow) * Household * 365.25 *DF / FPH * EPG_gas * ISR</t>
  </si>
  <si>
    <t>Parameters</t>
  </si>
  <si>
    <t>%Electric DHW</t>
  </si>
  <si>
    <t>% Homes with Electric Water Heating</t>
  </si>
  <si>
    <t>GPM_base</t>
  </si>
  <si>
    <t>Rated flowrate of the baseline aerator</t>
  </si>
  <si>
    <t>Federal rated maximum flow rate for faucets (10CFR430.32 (p) (DOE 1998).</t>
  </si>
  <si>
    <t>L_base</t>
  </si>
  <si>
    <t>The average length of faucet use per day (min/day)</t>
  </si>
  <si>
    <t>Cadmus PY3 metering study. Cited in Ameren Missouri Low Income and Process Evaluation: program Year 2015. p.23</t>
  </si>
  <si>
    <t>GPM_low</t>
  </si>
  <si>
    <t>Rated flowrate of the low flow aerator</t>
  </si>
  <si>
    <t>PY2016 Program Data, per Community Saves 2016 EM&amp;V report, page 3-8</t>
  </si>
  <si>
    <t>L_low</t>
  </si>
  <si>
    <t>The number of people in the home (ppl/household)</t>
  </si>
  <si>
    <t>PY6 program data (not reported in PY2016).  Ameren Missouri Low Income and Process Evaluation: program Year 2015. p.23</t>
  </si>
  <si>
    <t>DF</t>
  </si>
  <si>
    <t xml:space="preserve">Drain Factor </t>
  </si>
  <si>
    <t>The number of days per year (day/yr)</t>
  </si>
  <si>
    <t>Conversion Factor (day/yr)</t>
  </si>
  <si>
    <t>FPH</t>
  </si>
  <si>
    <t>The number of faucets installed per home</t>
  </si>
  <si>
    <t>Ameren Missouri Community Savers Evaluation PY2018, page 23</t>
  </si>
  <si>
    <t>The water density (lb/gal)</t>
  </si>
  <si>
    <t>Density (lb/gal)</t>
  </si>
  <si>
    <t>The specific water heat (Btu/lb degrees F)</t>
  </si>
  <si>
    <t>Specific Heat of Water (Btu/lb-°F)</t>
  </si>
  <si>
    <t>WaterTemp</t>
  </si>
  <si>
    <t>The average water temperature out of the faucet (°F)</t>
  </si>
  <si>
    <t>Cadmus and Opinion Dynamics Showerhead and Faucet Aerator Meter Study Memorandum, dated June 2013, directed to Michigan Evaluation Working Group</t>
  </si>
  <si>
    <t>SupplyTemp</t>
  </si>
  <si>
    <t>The average inlet water temperature (°F)</t>
  </si>
  <si>
    <t>RE_electric</t>
  </si>
  <si>
    <t>Recovery efficiency of the electric hot water heater</t>
  </si>
  <si>
    <t>Cadmus PY3 site visits.  Cited in Ameren Missouri Low Income and Process Evaluation: program Year 2015. p.20</t>
  </si>
  <si>
    <t>DI</t>
  </si>
  <si>
    <t>ComEd Effective Useful Life Research Report, Navigant, May 14, 2018, page 20</t>
  </si>
  <si>
    <t>market research average of $3 and assess and install cost of $8.33</t>
  </si>
  <si>
    <t>Low Flow Faucet Aerators (Kitchen)</t>
  </si>
  <si>
    <t>403480_2024_12_</t>
  </si>
  <si>
    <t>Low Flow Kitchen Faucet Aerator MFIE DI</t>
  </si>
  <si>
    <t>403481_2024_12_</t>
  </si>
  <si>
    <t>Low Flow Kitchen Faucet Aerator SFIE DI</t>
  </si>
  <si>
    <t>Ameren Missouri EE Kits PY2018 Program Data, page 34</t>
  </si>
  <si>
    <t>Cadmus and Opinion Dynamics Showerhead and Faucet Aerator Meter Study Memorandum, dated June 2013</t>
  </si>
  <si>
    <t>Estimated Useful Life</t>
  </si>
  <si>
    <t>MO TRM, page 48</t>
  </si>
  <si>
    <t xml:space="preserve">Low Flow Showerheads </t>
  </si>
  <si>
    <t>403550_2024_12_</t>
  </si>
  <si>
    <t>Low Flow Showerhead MFIE DI</t>
  </si>
  <si>
    <t>403551_2024_12_</t>
  </si>
  <si>
    <t>Low Flow Handheld Showerhead MFIE DI</t>
  </si>
  <si>
    <t>403600_2024_12_</t>
  </si>
  <si>
    <t>Low Flow Showerhead SFIE DI</t>
  </si>
  <si>
    <t>403601_2024_12_</t>
  </si>
  <si>
    <t>Low Flow Handheld Showerhead SFIE DI</t>
  </si>
  <si>
    <t>3.3.2</t>
  </si>
  <si>
    <t>ΔkWh = %ElectricDHW  * ((GPMbase  * Lbase  - GPMlow  * Llow) * Household * SPCD * 365.25 / SPH) * EPG_electric * ISR</t>
  </si>
  <si>
    <t>EPG_electric = (8.33 * 1.0 * (ShowerTemp - SupplyTemp)) / (RE_electric * 3412)</t>
  </si>
  <si>
    <t>ΔTherms = %GasDHW  * ((GPMbase  * Lbase  - GPMlow  * Llow) * Household * SPCD * 365.25 / SPH) * EPG_gas * ISR</t>
  </si>
  <si>
    <t>Rated flowrate of the baseline showerhead</t>
  </si>
  <si>
    <t xml:space="preserve">Ameren Missouri Community Savers Evaluation PY2018 </t>
  </si>
  <si>
    <t>Matches Community Savers EM&amp;V</t>
  </si>
  <si>
    <t>The average shower length (min/shower)</t>
  </si>
  <si>
    <t>DeOreo, William, P. Mayer, L. Martien, M. Hayden, A. Funk, M. Kramer-Duffield, and R. Davis (2011). “California SingleFamily
Water Use Efficiency Study.” </t>
  </si>
  <si>
    <t>Rated flowrate of the low flow showerhead</t>
  </si>
  <si>
    <t xml:space="preserve">DeOreo, William, P. Mayer, L. Martien, M. Hayden, A. Funk, M. Kramer-Duffield, and R. Davis (2011). “California SingleFamily
Water Use Efficiency Study.” </t>
  </si>
  <si>
    <t>The number of people taking showers (ppl/household)</t>
  </si>
  <si>
    <t>Ameren Missouri Efficient Products Impact and Process Evaluation: Planning Year 2015, page 38</t>
  </si>
  <si>
    <t>Ameren Missouri Community Savers Evaluation PY2018, page 39</t>
  </si>
  <si>
    <t>SPDC</t>
  </si>
  <si>
    <t>The number of showers taken per person, per day</t>
  </si>
  <si>
    <t xml:space="preserve"> The number of days per year (day/yr)</t>
  </si>
  <si>
    <t>SPH</t>
  </si>
  <si>
    <t>The number of showerheads installed per home</t>
  </si>
  <si>
    <t>Ameren Missouri Community Savers Evaluation: PY2017, page 22</t>
  </si>
  <si>
    <t xml:space="preserve"> The specific water heat (BTU/lb-°F)</t>
  </si>
  <si>
    <t>ShowerTemp</t>
  </si>
  <si>
    <t>The average water temperature at the showerhead (°F)</t>
  </si>
  <si>
    <t>Ameren Missouri Efficient Kits Evaluation: PY2018, page 32</t>
  </si>
  <si>
    <t>DI (Single Family)</t>
  </si>
  <si>
    <t>Ameren Missouri Single Family Low Income Impact and Process Evaluation: PY2019 (Table 10-10)</t>
  </si>
  <si>
    <t>DI (Multifamily)</t>
  </si>
  <si>
    <t>Ameren Missouri Community Savers Evaluation PY2018 Tenant Surveys and Site Visits, page 22</t>
  </si>
  <si>
    <t>Table C-6, “Measure Life Report, Residential and Commercial/Industrial Lighting and HVAC Measures,” GDS Associates, June 2007</t>
  </si>
  <si>
    <t>Showerhead DI</t>
  </si>
  <si>
    <t>Direct-install price per showerhead assumes cost of showerhead (market research average of $7) and also assumes assess and install cost of $8.33</t>
  </si>
  <si>
    <t>Handheld Showerhead DI (SF)</t>
  </si>
  <si>
    <t>PY21 Implementation Costs</t>
  </si>
  <si>
    <t>Handheld Showerhead DI (MF)</t>
  </si>
  <si>
    <t>Pipe Insulation</t>
  </si>
  <si>
    <t>403700_2019_12_</t>
  </si>
  <si>
    <t>Pipe Insulation MFIE DI</t>
  </si>
  <si>
    <t>per foot</t>
  </si>
  <si>
    <t>403750_2019_12_</t>
  </si>
  <si>
    <t>Pipe Insulation SFIE DI</t>
  </si>
  <si>
    <t>3.3.4</t>
  </si>
  <si>
    <t>∆kWh = %ElectricDHW * ((CBase/RBase – CEE/R_EE) * L * ∆T * Hours)/(ηDHWElec * 3,412) * ISR</t>
  </si>
  <si>
    <t xml:space="preserve">∆Therms = (1 - %ElectricDHW) * ((CBase/RBase – CEE/R_EE) * L * ∆T * Hours)/(ηDHWGas * 100,000) </t>
  </si>
  <si>
    <r>
      <t>C</t>
    </r>
    <r>
      <rPr>
        <vertAlign val="subscript"/>
        <sz val="11"/>
        <rFont val="Calibri"/>
        <family val="2"/>
        <scheme val="minor"/>
      </rPr>
      <t>Base</t>
    </r>
  </si>
  <si>
    <t>Circumference (feet) of uninsulated pipe (.75" diameter)</t>
  </si>
  <si>
    <r>
      <t>R</t>
    </r>
    <r>
      <rPr>
        <vertAlign val="subscript"/>
        <sz val="11"/>
        <rFont val="Calibri"/>
        <family val="2"/>
        <scheme val="minor"/>
      </rPr>
      <t>Base</t>
    </r>
  </si>
  <si>
    <t>Thermal resistance coefficient (hr-°F-ft2)/Btu) of uninsulated pipe</t>
  </si>
  <si>
    <t>Measures and Assumptions for Demand Side Management (DSM) Planning; Appendix C Substantiation Sheets,” Navigant, April 2009</t>
  </si>
  <si>
    <r>
      <t>C</t>
    </r>
    <r>
      <rPr>
        <vertAlign val="subscript"/>
        <sz val="11"/>
        <rFont val="Calibri"/>
        <family val="2"/>
        <scheme val="minor"/>
      </rPr>
      <t>EE</t>
    </r>
  </si>
  <si>
    <t>Circumference (ft) of insulated pipe = diameter (in) * π/12</t>
  </si>
  <si>
    <r>
      <t>R</t>
    </r>
    <r>
      <rPr>
        <vertAlign val="subscript"/>
        <sz val="11"/>
        <rFont val="Calibri"/>
        <family val="2"/>
        <scheme val="minor"/>
      </rPr>
      <t>EE</t>
    </r>
  </si>
  <si>
    <t>Thermal resistance coefficient (hr-°F-ft2)/Btu) of insulated pipe</t>
  </si>
  <si>
    <t>PY2015 Low Income Evaluation, page 24</t>
  </si>
  <si>
    <t>L</t>
  </si>
  <si>
    <t>Length of pipe from water heating source covered by pipe wrap (ft)</t>
  </si>
  <si>
    <t>Per installed foot</t>
  </si>
  <si>
    <t>DT</t>
  </si>
  <si>
    <t>Average temperature difference between supplied hot water and outside air temperatures (°F)</t>
  </si>
  <si>
    <t>Hours per year</t>
  </si>
  <si>
    <r>
      <t>ȠDHW</t>
    </r>
    <r>
      <rPr>
        <vertAlign val="subscript"/>
        <sz val="11"/>
        <rFont val="Calibri"/>
        <family val="2"/>
        <scheme val="minor"/>
      </rPr>
      <t>Elec</t>
    </r>
  </si>
  <si>
    <t>Recovery Efficiency of electric hot water heater</t>
  </si>
  <si>
    <t>Cited in Ameren Missouri Low Income and Process Evaluation: program Year 2015. p.24</t>
  </si>
  <si>
    <t>Division of Energy. State of Missouri Technical Reference Manual. pp 71. 2017. energy.mo.gov/about/trm</t>
  </si>
  <si>
    <t>*Electric Saturation</t>
  </si>
  <si>
    <t>Ameren Missouri Community Savers Evaluation PY2018 Site Visits, page 24</t>
  </si>
  <si>
    <t>Pipe Diameter</t>
  </si>
  <si>
    <t>Diameter of uninsulated pipe, weighted average of  1/2" and 3/4"</t>
  </si>
  <si>
    <t>weighted average of 80% 0.50-inch diameter pipe and 20% 0.75-inch diameter pipe</t>
  </si>
  <si>
    <t>Pipe wrap width</t>
  </si>
  <si>
    <t>Effective Useful Life (All)</t>
  </si>
  <si>
    <t>2014 Database for Energy-Efficiency Resources (DEER)</t>
  </si>
  <si>
    <t>Incremental Cost - Direct Install (DI)</t>
  </si>
  <si>
    <t>Actual SFIE program cost (set rate established with installing contractor).</t>
  </si>
  <si>
    <t>Programmable Thermostat</t>
  </si>
  <si>
    <t xml:space="preserve">*MFLIc = Multifamily Low Income Comprehensive Envelope,  CompE = Comprehensive Envelope </t>
  </si>
  <si>
    <t>403800_2019_12_</t>
  </si>
  <si>
    <t>Setback thermostat - full setback - ASHP heating/cooling MF</t>
  </si>
  <si>
    <t>403850_2024_12_</t>
  </si>
  <si>
    <t>Setback thermostat - full setback - ASHP heating/cooling SF</t>
  </si>
  <si>
    <t>403900_2019_12_</t>
  </si>
  <si>
    <t>Setback thermostat - full setback - elec furnace heating / central AC MF</t>
  </si>
  <si>
    <t>403950_2024_12_</t>
  </si>
  <si>
    <t>Setback thermostat - full setback - elec furnace heating / central AC SF</t>
  </si>
  <si>
    <t>404000_2024_12_</t>
  </si>
  <si>
    <t>Setback thermostat - full setback - gas heating / central AC MF</t>
  </si>
  <si>
    <t>404050_2019_12_</t>
  </si>
  <si>
    <t>Setback thermostat for SF - full setback - gas heating / central AC </t>
  </si>
  <si>
    <t>3.4.5</t>
  </si>
  <si>
    <t>ΔkWhcool  = EFLHcool * CapacityCooling * (1/SEER2) * SBdegrees * SF * EF / 1,000</t>
  </si>
  <si>
    <t>ΔkWhheat  = EFLHheat * CapacityHeating * (1/HSPF2) * SBdegrees * SF * EF / 1,000</t>
  </si>
  <si>
    <t xml:space="preserve">ΔkW = ΔkWhCooling * CF </t>
  </si>
  <si>
    <t>Ameren Missouri Program Year 2019 Annual EM&amp;V Report Volume 2: Residential Portfolio Appendices, page 30</t>
  </si>
  <si>
    <r>
      <t>Capacity</t>
    </r>
    <r>
      <rPr>
        <vertAlign val="subscript"/>
        <sz val="11"/>
        <rFont val="Calibri"/>
        <family val="2"/>
        <scheme val="minor"/>
      </rPr>
      <t>Cooling</t>
    </r>
  </si>
  <si>
    <t>Ameren Missouri Community Savers Evaluation PY2018  Program Data</t>
  </si>
  <si>
    <t>SEER</t>
  </si>
  <si>
    <t xml:space="preserve"> Ameren Missouri Community Savers Evaluation PY2018, page 26</t>
  </si>
  <si>
    <r>
      <t>Sbdegrees</t>
    </r>
    <r>
      <rPr>
        <vertAlign val="subscript"/>
        <sz val="11"/>
        <rFont val="Calibri"/>
        <family val="2"/>
        <scheme val="minor"/>
      </rPr>
      <t>cooling</t>
    </r>
  </si>
  <si>
    <t>Ameren Missouri Community Savers Evaluation PY2018 Site Visit Thermostat SB Data</t>
  </si>
  <si>
    <r>
      <t>SF</t>
    </r>
    <r>
      <rPr>
        <vertAlign val="subscript"/>
        <sz val="11"/>
        <rFont val="Calibri"/>
        <family val="2"/>
        <scheme val="minor"/>
      </rPr>
      <t>cooling</t>
    </r>
  </si>
  <si>
    <t>ENERGY STAR Calculator - Ameren Missouri Community Savers Evaluation PY2018, page 26</t>
  </si>
  <si>
    <r>
      <t>EF</t>
    </r>
    <r>
      <rPr>
        <vertAlign val="subscript"/>
        <sz val="11"/>
        <rFont val="Calibri"/>
        <family val="2"/>
        <scheme val="minor"/>
      </rPr>
      <t>cooling</t>
    </r>
  </si>
  <si>
    <t>Ameren Missouri Community Savers Evaluation PY2018 Program Data, page 26</t>
  </si>
  <si>
    <r>
      <t>Capacity</t>
    </r>
    <r>
      <rPr>
        <vertAlign val="subscript"/>
        <sz val="11"/>
        <rFont val="Calibri"/>
        <family val="2"/>
        <scheme val="minor"/>
      </rPr>
      <t>Heating</t>
    </r>
  </si>
  <si>
    <t>Ameren Missouri Community Savers Evaluation PY2018 Program Data</t>
  </si>
  <si>
    <t>HSPF</t>
  </si>
  <si>
    <t>Based on minimum federal standards between 1992 and 2006</t>
  </si>
  <si>
    <t>Electric resistance has a COP of 1.0 which equals 1/0.293 = 3.41 HSPF</t>
  </si>
  <si>
    <r>
      <t>Sbdegrees</t>
    </r>
    <r>
      <rPr>
        <vertAlign val="subscript"/>
        <sz val="11"/>
        <rFont val="Calibri"/>
        <family val="2"/>
        <scheme val="minor"/>
      </rPr>
      <t>heating</t>
    </r>
  </si>
  <si>
    <r>
      <t>SF</t>
    </r>
    <r>
      <rPr>
        <vertAlign val="subscript"/>
        <sz val="11"/>
        <rFont val="Calibri"/>
        <family val="2"/>
        <scheme val="minor"/>
      </rPr>
      <t>heating</t>
    </r>
  </si>
  <si>
    <t>ENERGY STAR Calculator</t>
  </si>
  <si>
    <r>
      <t>EF</t>
    </r>
    <r>
      <rPr>
        <vertAlign val="subscript"/>
        <sz val="11"/>
        <rFont val="Calibri"/>
        <family val="2"/>
        <scheme val="minor"/>
      </rPr>
      <t>heating</t>
    </r>
  </si>
  <si>
    <t>Ameren Missouri Community Saver Program Evaluation PY2014 , page 31</t>
  </si>
  <si>
    <t>Table 1, HVAC Controls, Measure Life Report, Residential and Commercial/Industrial Lighting and HVAC Measures, GDS Associates, 2007</t>
  </si>
  <si>
    <t>In-service rate</t>
  </si>
  <si>
    <t>Assumption</t>
  </si>
  <si>
    <t>MO - TRM, page 108</t>
  </si>
  <si>
    <t>No common area measures in PY18</t>
  </si>
  <si>
    <t>** CFL baseline is Post 2021, EISA baseline is pre-2021 **</t>
  </si>
  <si>
    <t>404450_2024_12_</t>
  </si>
  <si>
    <t>PAYS/SFIE / MFIE</t>
  </si>
  <si>
    <t>LED - 10.5W Downlight E26 IE DI</t>
  </si>
  <si>
    <t>404500_2024_12_</t>
  </si>
  <si>
    <t>LED - 10W (750-899 lumens) IEDI</t>
  </si>
  <si>
    <t>404600_2024_12_</t>
  </si>
  <si>
    <t>LED - 12W Dimmable Light Bulb IE DI</t>
  </si>
  <si>
    <t>404650_2024_12_</t>
  </si>
  <si>
    <t>LED - 15W (900-1399 lumens) IEDI</t>
  </si>
  <si>
    <t>404651_2024_12_</t>
  </si>
  <si>
    <t>LED - 11W Flood Light BR30 Bulb IE DI</t>
  </si>
  <si>
    <t>404700_2024_12_</t>
  </si>
  <si>
    <t>LED - 15W Flood Light PAR30 Bulb IE DI</t>
  </si>
  <si>
    <t>404750_2024_12_</t>
  </si>
  <si>
    <t>LED - 18W Flood Light PAR38 Bulb IE DI</t>
  </si>
  <si>
    <t>404800_2024_12_</t>
  </si>
  <si>
    <t>LED - 20W (1400-1999 lumens) IEDI</t>
  </si>
  <si>
    <t>404850_2024_12_</t>
  </si>
  <si>
    <t>LED - 4W Candelabra Specialty IE DI</t>
  </si>
  <si>
    <t>404950_2024_12_</t>
  </si>
  <si>
    <t>LED - 8W Globe Light G25 Bulb Specialty IE DI</t>
  </si>
  <si>
    <t>405410_2024_12_</t>
  </si>
  <si>
    <t>LED - 6W (400-749 lumens) IEDI</t>
  </si>
  <si>
    <t>405430_2024_12_</t>
  </si>
  <si>
    <t>3.5.1 - 3.5.3</t>
  </si>
  <si>
    <t>Watt Base</t>
  </si>
  <si>
    <t>3.5.2 Reflector lamp types with medium screw bases (PAR20, PAR30(S,L), PAR38, R40, etc.) w/ diameter &gt;2.25 (650-899 lumens)</t>
  </si>
  <si>
    <t>3.5.2 Omni-Directional 3-Way, 1100-1999 lumens.</t>
  </si>
  <si>
    <t>3.5.2 BR30, BR40, or ER40, 950-1099 lumens</t>
  </si>
  <si>
    <t>3.5.2 Reflector lamp types with medium screw bases (PAR20, PAR30(S,L), PAR38, R40, etc.), 1200-1499 lumens, 15.9</t>
  </si>
  <si>
    <t>3.5.2 Reflector lamp types with medium screw bases (PAR20, PAR30(S,L), PAR38, R40, etc.), 1500-1999 lumens, 18.9W</t>
  </si>
  <si>
    <t>3.5.2 Decorative (Shapes B, BA, C, CA, DC, F, G, candelabra bases less than 1050 lumens) (320-499 lumens)</t>
  </si>
  <si>
    <t>3.5.2 Globe, 650-1000 lumens, 8.2W</t>
  </si>
  <si>
    <t>IL TRM V12.0, Volume 3, section 5.5.10, page 346</t>
  </si>
  <si>
    <t>Watt EE</t>
  </si>
  <si>
    <t>Program Wattage - Ameren Missouri Community Savers Evaluation PY2018 workpapers</t>
  </si>
  <si>
    <t>Actual wattage for bulb offered by programs, https://amerenmissouristore.com/led-11-watt-flood-br30-65w-eqv/</t>
  </si>
  <si>
    <t>Program Wattage - Ameren Missouri Community Savers Evaluation PY2017 workpapers</t>
  </si>
  <si>
    <t>MF IE (this value should be used in the custom savings calculations for MF IE measures)</t>
  </si>
  <si>
    <t>Ameren Missouri Community Savers Evaluation PY2018 workpapers</t>
  </si>
  <si>
    <t>SF IE</t>
  </si>
  <si>
    <t>PY19 Evaluation (Table 10-10)</t>
  </si>
  <si>
    <t>Ameren Missouri Community Savers Evaluation PY2018 workpapers- Weighted Avg. HOU from ADM workpapers</t>
  </si>
  <si>
    <t>Nightlight</t>
  </si>
  <si>
    <t>IL TRM V9.0, section 5.5.11</t>
  </si>
  <si>
    <t>Res  energy</t>
  </si>
  <si>
    <t>PY 14 Eval</t>
  </si>
  <si>
    <t>Ameren Missouri Community Savers Evaluation PY2018 workpapers- Weighted Avg. calculated from ADM workpapers</t>
  </si>
  <si>
    <t>PY16 Intercept Survey</t>
  </si>
  <si>
    <t>KW Factor_RES</t>
  </si>
  <si>
    <t>Ameren EE Plan PY16-PY18, Appendix E</t>
  </si>
  <si>
    <t>KW Factor _ BUS</t>
  </si>
  <si>
    <t>Hours24/7</t>
  </si>
  <si>
    <t>24/7 hours</t>
  </si>
  <si>
    <t>24*365</t>
  </si>
  <si>
    <t>Hours12/7</t>
  </si>
  <si>
    <t>12/7 hours</t>
  </si>
  <si>
    <t>12*365</t>
  </si>
  <si>
    <t>Effective Useful Life - Residential</t>
  </si>
  <si>
    <t>Illinois TRM Version 12.0,  page 311</t>
  </si>
  <si>
    <t>Effective Useful Life - Nightlights</t>
  </si>
  <si>
    <t>Southern California Edison Company, “LED, Electroluminescent &amp; Fluorescent Night Lights”, Work Paper WPSCRELG0029 Rev. 1, February 2009, p. 2. and p.3.</t>
  </si>
  <si>
    <t>Effective Useful Life - Business</t>
  </si>
  <si>
    <t>Illinois TRM Version 12.0, page 311</t>
  </si>
  <si>
    <t>Illinois TRM Version 12.0, page 329</t>
  </si>
  <si>
    <t>Average cost data provided in Stanley Mertz, “LED Nightlights Energy Efficiency Retail products programs”, March 2018</t>
  </si>
  <si>
    <t>Advanced Power Strips Tier 2</t>
  </si>
  <si>
    <t>405750_2024_12_</t>
  </si>
  <si>
    <t>Advanced Tier 2 Power Strips: Infrared ,TOS/NC</t>
  </si>
  <si>
    <t>405751_2024_12_</t>
  </si>
  <si>
    <t>Advanced Tier 2 Power Strips: Infrared DI</t>
  </si>
  <si>
    <t>3.2.2</t>
  </si>
  <si>
    <t>*The actual full installation cost of the Tier 2 AV APS (including equipment and labor) should be used.</t>
  </si>
  <si>
    <t>ΔkWh	=  ERP * BaselineEnergyAV * ISR</t>
  </si>
  <si>
    <t>BaselineEnergyAV</t>
  </si>
  <si>
    <t>Baseline kWh usage</t>
  </si>
  <si>
    <t xml:space="preserve">“Energy Savings of Tier 2 Advanced Power Strips in Residential AV Systems,” AESC, Inc., February 2016. Note this load represents the average controlled AV devices only and will likely be lower than total AV usage.  </t>
  </si>
  <si>
    <t>ERP</t>
  </si>
  <si>
    <t>Energy Reduction Percentage</t>
  </si>
  <si>
    <t>Infrared Only</t>
  </si>
  <si>
    <t>Representative savings assumption based on independent field tests on Embertec’s IR-only product</t>
  </si>
  <si>
    <t>In service rate</t>
  </si>
  <si>
    <t>Ameren Missouri Single Family Income Eligible Evaluation PY2019 (Table 10-10)</t>
  </si>
  <si>
    <t>“Advanced Power Strip Research Report,” NYSERDA, August 2011</t>
  </si>
  <si>
    <t>Actual for SF Income Eligible program.</t>
  </si>
  <si>
    <t>Refrigerator</t>
  </si>
  <si>
    <t>405800_2024_12_</t>
  </si>
  <si>
    <t>SFIE / MFIE</t>
  </si>
  <si>
    <t>Refrigerator - early replacement ER1</t>
  </si>
  <si>
    <t>Refrigeration RES</t>
  </si>
  <si>
    <t>Refrigerator - early replacement ER2</t>
  </si>
  <si>
    <t>Refrigeration RES ER2</t>
  </si>
  <si>
    <t>405825_2024_12_</t>
  </si>
  <si>
    <t>Refrigerator - Pre 1993 - ER1</t>
  </si>
  <si>
    <t>Refrigerator - Pre 1993 - ER2</t>
  </si>
  <si>
    <t>3.1.1</t>
  </si>
  <si>
    <t>ΔkWh = kWhee - (kWhbase * (1 – %Savings)) + (kWhee - (kWhbase * (1 – %Savings)) * (WHFeHeatElectric + WHFeCool))</t>
  </si>
  <si>
    <t>Note: Ex ante savings are calculated using the assumptions stated here.  Where applicable ex post evaluation will account for additional waste heat impacts specified in TRM section 3.1.7.</t>
  </si>
  <si>
    <r>
      <t>kWh</t>
    </r>
    <r>
      <rPr>
        <vertAlign val="subscript"/>
        <sz val="11"/>
        <rFont val="Calibri"/>
        <family val="2"/>
        <scheme val="minor"/>
      </rPr>
      <t>Exist</t>
    </r>
  </si>
  <si>
    <t>Existing kWh Consumption</t>
  </si>
  <si>
    <t>Baseline Refrigerator Usage</t>
  </si>
  <si>
    <t>Existing kWh Consumption - Pre 1993</t>
  </si>
  <si>
    <r>
      <t>kWh</t>
    </r>
    <r>
      <rPr>
        <vertAlign val="subscript"/>
        <sz val="11"/>
        <rFont val="Calibri"/>
        <family val="2"/>
        <scheme val="minor"/>
      </rPr>
      <t>base</t>
    </r>
  </si>
  <si>
    <t>Baseline kWh consumption</t>
  </si>
  <si>
    <t>Assuming 22.5 ft3 adjusted volume  using “all-refrigerators-automatic defrost” formula 8.07AV + 233.7, use value 415.28.</t>
  </si>
  <si>
    <t>Age</t>
  </si>
  <si>
    <t>Bottom Freezer</t>
  </si>
  <si>
    <t>Side by Side</t>
  </si>
  <si>
    <t>Top Freezer</t>
  </si>
  <si>
    <r>
      <t>kWh</t>
    </r>
    <r>
      <rPr>
        <vertAlign val="subscript"/>
        <sz val="11"/>
        <rFont val="Calibri"/>
        <family val="2"/>
        <scheme val="minor"/>
      </rPr>
      <t>ee</t>
    </r>
  </si>
  <si>
    <t>Efficient kWh Consumption</t>
  </si>
  <si>
    <t>16 cubic ft.</t>
  </si>
  <si>
    <t>14 cubic ft.</t>
  </si>
  <si>
    <t>15 cubic ft.</t>
  </si>
  <si>
    <t>17 cubic ft.</t>
  </si>
  <si>
    <t>18 cubic ft.</t>
  </si>
  <si>
    <t>% Savings</t>
  </si>
  <si>
    <t>Savings factor for ENERGY STAR and CEE Tier 1 refrigerators</t>
  </si>
  <si>
    <t>MO TRM, page 31</t>
  </si>
  <si>
    <t>2011-2015</t>
  </si>
  <si>
    <r>
      <t>kWh</t>
    </r>
    <r>
      <rPr>
        <vertAlign val="subscript"/>
        <sz val="11"/>
        <rFont val="Calibri"/>
        <family val="2"/>
        <scheme val="minor"/>
      </rPr>
      <t>2011-2015</t>
    </r>
  </si>
  <si>
    <t xml:space="preserve">Average kWh for refrigerators installed from 2011-2015 </t>
  </si>
  <si>
    <t>2001(after July)-2010</t>
  </si>
  <si>
    <r>
      <t>kWh</t>
    </r>
    <r>
      <rPr>
        <vertAlign val="subscript"/>
        <sz val="11"/>
        <rFont val="Calibri"/>
        <family val="2"/>
        <scheme val="minor"/>
      </rPr>
      <t>2001(after July)-2010</t>
    </r>
  </si>
  <si>
    <t>Average kWh for refrigerators installed from 2001(after july)-2010</t>
  </si>
  <si>
    <t>1993-2001(before June)</t>
  </si>
  <si>
    <r>
      <t>kWh</t>
    </r>
    <r>
      <rPr>
        <vertAlign val="subscript"/>
        <sz val="11"/>
        <rFont val="Calibri"/>
        <family val="2"/>
        <scheme val="minor"/>
      </rPr>
      <t>1993-2001(before June)</t>
    </r>
  </si>
  <si>
    <t>Average kWh for refrigerators installed from 1993-2001(before june)</t>
  </si>
  <si>
    <t>1990-1992</t>
  </si>
  <si>
    <r>
      <t>kWh</t>
    </r>
    <r>
      <rPr>
        <vertAlign val="subscript"/>
        <sz val="11"/>
        <rFont val="Calibri"/>
        <family val="2"/>
        <scheme val="minor"/>
      </rPr>
      <t>1990-1992</t>
    </r>
  </si>
  <si>
    <t>Average kWh for refrigerators installed from 1990-1992</t>
  </si>
  <si>
    <t>1980-1989</t>
  </si>
  <si>
    <r>
      <t>kWh</t>
    </r>
    <r>
      <rPr>
        <vertAlign val="subscript"/>
        <sz val="11"/>
        <rFont val="Calibri"/>
        <family val="2"/>
        <scheme val="minor"/>
      </rPr>
      <t>1980-1989</t>
    </r>
  </si>
  <si>
    <t>Average kWh for refrigerators installed from 1980-1989</t>
  </si>
  <si>
    <t>before 1980</t>
  </si>
  <si>
    <r>
      <t>kWh</t>
    </r>
    <r>
      <rPr>
        <vertAlign val="subscript"/>
        <sz val="11"/>
        <rFont val="Calibri"/>
        <family val="2"/>
        <scheme val="minor"/>
      </rPr>
      <t>before 1980</t>
    </r>
  </si>
  <si>
    <t>Average kWh for refrigerators installed from before 1980</t>
  </si>
  <si>
    <r>
      <t>Number of Units</t>
    </r>
    <r>
      <rPr>
        <vertAlign val="subscript"/>
        <sz val="11"/>
        <rFont val="Calibri"/>
        <family val="2"/>
        <scheme val="minor"/>
      </rPr>
      <t>2011-2015</t>
    </r>
  </si>
  <si>
    <t xml:space="preserve">Number of Units from 2011-2015 </t>
  </si>
  <si>
    <t>Estimate</t>
  </si>
  <si>
    <r>
      <t>Number of Units</t>
    </r>
    <r>
      <rPr>
        <vertAlign val="subscript"/>
        <sz val="11"/>
        <rFont val="Calibri"/>
        <family val="2"/>
        <scheme val="minor"/>
      </rPr>
      <t>2001(after July)-2010</t>
    </r>
  </si>
  <si>
    <t>Number of Unitsfrom 2001(after july)-2010</t>
  </si>
  <si>
    <r>
      <t>Number of Units</t>
    </r>
    <r>
      <rPr>
        <vertAlign val="subscript"/>
        <sz val="11"/>
        <rFont val="Calibri"/>
        <family val="2"/>
        <scheme val="minor"/>
      </rPr>
      <t>1993-2001(before June)</t>
    </r>
  </si>
  <si>
    <t>Number of Unitsfrom 1993-2001(before june)</t>
  </si>
  <si>
    <r>
      <t>Number of Units</t>
    </r>
    <r>
      <rPr>
        <vertAlign val="subscript"/>
        <sz val="11"/>
        <rFont val="Calibri"/>
        <family val="2"/>
        <scheme val="minor"/>
      </rPr>
      <t>1990-1992</t>
    </r>
  </si>
  <si>
    <t>Percent of Unitsfrom 1990-1992</t>
  </si>
  <si>
    <r>
      <t>Number of Units</t>
    </r>
    <r>
      <rPr>
        <vertAlign val="subscript"/>
        <sz val="11"/>
        <rFont val="Calibri"/>
        <family val="2"/>
        <scheme val="minor"/>
      </rPr>
      <t>1980-1989</t>
    </r>
  </si>
  <si>
    <t>Percent of Unitsfrom 1980-1989</t>
  </si>
  <si>
    <r>
      <t>Number of Units</t>
    </r>
    <r>
      <rPr>
        <vertAlign val="subscript"/>
        <sz val="11"/>
        <rFont val="Calibri"/>
        <family val="2"/>
        <scheme val="minor"/>
      </rPr>
      <t>before 1980</t>
    </r>
  </si>
  <si>
    <t>Percent of Unitsfrom before 1980</t>
  </si>
  <si>
    <t>IL TRM V12.0, page 35</t>
  </si>
  <si>
    <t>Illinois TRM Version 12.0, page 35</t>
  </si>
  <si>
    <t>PY18 Evaluation used different methodology</t>
  </si>
  <si>
    <t>Energy Star Room AC</t>
  </si>
  <si>
    <t>406000_2024_12_</t>
  </si>
  <si>
    <t>AC - Energy Star Room _unknown size_SF</t>
  </si>
  <si>
    <t>406004_2024_12_</t>
  </si>
  <si>
    <t>AC - Energy Star Room_12kBtu_SF</t>
  </si>
  <si>
    <t>3.4.11</t>
  </si>
  <si>
    <t>ΔkWh = (FLHRoomAC  * Btuh * (1/CEERbase  - 1/CEERee)) / 1,000</t>
  </si>
  <si>
    <t>SFIE Source</t>
  </si>
  <si>
    <t>Value SFIE</t>
  </si>
  <si>
    <t>MF Source</t>
  </si>
  <si>
    <t>Value MFIE</t>
  </si>
  <si>
    <t>SF Value</t>
  </si>
  <si>
    <t>MF Value</t>
  </si>
  <si>
    <t>Btu/hr</t>
  </si>
  <si>
    <t>PY13 RebateSavers Database (average Btu)</t>
  </si>
  <si>
    <t>Ameren Missouri Efficient Products Evaluation PY2017, page 39</t>
  </si>
  <si>
    <t>NONE</t>
  </si>
  <si>
    <t>Standard size:  12000 Btu</t>
  </si>
  <si>
    <r>
      <t>CEER</t>
    </r>
    <r>
      <rPr>
        <vertAlign val="subscript"/>
        <sz val="11"/>
        <rFont val="Calibri"/>
        <family val="2"/>
        <scheme val="minor"/>
      </rPr>
      <t>BASE</t>
    </r>
  </si>
  <si>
    <t>Federal minimum efficiency standard (updated from EER to CEER in March 2017)</t>
  </si>
  <si>
    <r>
      <t>EER</t>
    </r>
    <r>
      <rPr>
        <vertAlign val="subscript"/>
        <sz val="11"/>
        <color theme="1"/>
        <rFont val="Calibri"/>
        <family val="2"/>
        <scheme val="minor"/>
      </rPr>
      <t>BASE</t>
    </r>
  </si>
  <si>
    <t>N/A</t>
  </si>
  <si>
    <r>
      <t>CEER</t>
    </r>
    <r>
      <rPr>
        <vertAlign val="subscript"/>
        <sz val="11"/>
        <rFont val="Calibri"/>
        <family val="2"/>
        <scheme val="minor"/>
      </rPr>
      <t>EFF</t>
    </r>
  </si>
  <si>
    <t>PY16 Efficient Products Database (average CEER)</t>
  </si>
  <si>
    <r>
      <t>EER</t>
    </r>
    <r>
      <rPr>
        <vertAlign val="subscript"/>
        <sz val="11"/>
        <color theme="1"/>
        <rFont val="Calibri"/>
        <family val="2"/>
        <scheme val="minor"/>
      </rPr>
      <t>EFF</t>
    </r>
  </si>
  <si>
    <r>
      <t>CEER</t>
    </r>
    <r>
      <rPr>
        <vertAlign val="subscript"/>
        <sz val="11"/>
        <rFont val="Calibri"/>
        <family val="2"/>
        <scheme val="minor"/>
      </rPr>
      <t>existing</t>
    </r>
  </si>
  <si>
    <t>Illinois TRM Version 12.0, page 70</t>
  </si>
  <si>
    <t>EERexisting</t>
  </si>
  <si>
    <r>
      <t>EFLH</t>
    </r>
    <r>
      <rPr>
        <vertAlign val="subscript"/>
        <sz val="11"/>
        <rFont val="Calibri"/>
        <family val="2"/>
        <scheme val="minor"/>
      </rPr>
      <t xml:space="preserve">COOL </t>
    </r>
    <r>
      <rPr>
        <sz val="11"/>
        <rFont val="Calibri"/>
        <family val="2"/>
        <scheme val="minor"/>
      </rPr>
      <t>- Secondary unit</t>
    </r>
  </si>
  <si>
    <t>Ameren Missouri Efficient Products PY 2016 Evaluation</t>
  </si>
  <si>
    <t>Ameren Missouri Efficient Products PY 2016 Evaluation, page 64</t>
  </si>
  <si>
    <r>
      <t>EFLH</t>
    </r>
    <r>
      <rPr>
        <vertAlign val="subscript"/>
        <sz val="11"/>
        <color theme="1"/>
        <rFont val="Calibri"/>
        <family val="2"/>
        <scheme val="minor"/>
      </rPr>
      <t xml:space="preserve">COOL </t>
    </r>
    <r>
      <rPr>
        <sz val="11"/>
        <color theme="1"/>
        <rFont val="Calibri"/>
        <family val="2"/>
        <scheme val="minor"/>
      </rPr>
      <t>- Secondary unit</t>
    </r>
  </si>
  <si>
    <r>
      <t>EFLH</t>
    </r>
    <r>
      <rPr>
        <vertAlign val="subscript"/>
        <sz val="11"/>
        <rFont val="Calibri"/>
        <family val="2"/>
        <scheme val="minor"/>
      </rPr>
      <t xml:space="preserve">COOL </t>
    </r>
    <r>
      <rPr>
        <sz val="11"/>
        <rFont val="Calibri"/>
        <family val="2"/>
        <scheme val="minor"/>
      </rPr>
      <t>- Primary unit</t>
    </r>
  </si>
  <si>
    <t>PY13 CoolSavers data</t>
  </si>
  <si>
    <t>Ameren Missouri Efficient Products Evaluation PY2016, page 64</t>
  </si>
  <si>
    <t>Same source for SF &amp; MF</t>
  </si>
  <si>
    <r>
      <t>EFLH</t>
    </r>
    <r>
      <rPr>
        <vertAlign val="subscript"/>
        <sz val="11"/>
        <color theme="1"/>
        <rFont val="Calibri"/>
        <family val="2"/>
        <scheme val="minor"/>
      </rPr>
      <t xml:space="preserve">COOL </t>
    </r>
    <r>
      <rPr>
        <sz val="11"/>
        <color theme="1"/>
        <rFont val="Calibri"/>
        <family val="2"/>
        <scheme val="minor"/>
      </rPr>
      <t>- Primary unit</t>
    </r>
  </si>
  <si>
    <t>Conversion factor (Wh to kWh)</t>
  </si>
  <si>
    <t xml:space="preserve">PY16 Participant Survey </t>
  </si>
  <si>
    <t>Ameren Missouri Efficient Products Evaluation PY2016, page 63</t>
  </si>
  <si>
    <t>Measure Life Report, Residential and Commercial/Industrial Lighting and HVAC Measures</t>
  </si>
  <si>
    <t>Illinois TRM Version 12.0, page 69</t>
  </si>
  <si>
    <t>Cool Roofs</t>
  </si>
  <si>
    <t>406804_2024_12_</t>
  </si>
  <si>
    <t>Cool Roof: Multi-Family Vintage Up to 1979-Non-Electric Heating</t>
  </si>
  <si>
    <t>per sq ft</t>
  </si>
  <si>
    <t>406805_2024_12_</t>
  </si>
  <si>
    <t>Cool Roof: Multi-Family Vintage 1980-1999-Non-Electric Heating</t>
  </si>
  <si>
    <t>406806_2024_12_</t>
  </si>
  <si>
    <t>Cool Roof: Multi-Family Vintage 2000-2009-Non-Electric Heating</t>
  </si>
  <si>
    <t>406807_2024_12_</t>
  </si>
  <si>
    <t>Cool Roof: Multi-Family Vintage 2010-2015-Non-Electric Heating</t>
  </si>
  <si>
    <t>406812_2024_12_</t>
  </si>
  <si>
    <t>Cool Roof: Multi-Family Vintage Up to 1979-Heat Pump Heating</t>
  </si>
  <si>
    <t>406813_2024_12_</t>
  </si>
  <si>
    <t>Cool Roof: Multi-Family Vintage 1980-1999-Heat Pump Heating</t>
  </si>
  <si>
    <t>406814_2024_12_</t>
  </si>
  <si>
    <t>Cool Roof: Multi-Family Vintage 2000-2009-Heat Pump Heating</t>
  </si>
  <si>
    <t>406815_2024_12_</t>
  </si>
  <si>
    <t>Cool Roof: Multi-Family Vintage 2010-2015-Heat Pump Heating</t>
  </si>
  <si>
    <t>3.6.5</t>
  </si>
  <si>
    <t>ΔkWh = SavingsFactor * SF / 1,000</t>
  </si>
  <si>
    <t>SavingsFactor</t>
  </si>
  <si>
    <t>kWh savings per square foot of installed cool roof</t>
  </si>
  <si>
    <t>MFIE Vintage Up to 1979</t>
  </si>
  <si>
    <t>Leidos. (2015b) Energy savings of high albedo roofs for the Kansas City Area</t>
  </si>
  <si>
    <t>MFIE Vintage 1980-1999</t>
  </si>
  <si>
    <t>MFIE Vintage 2000-2009</t>
  </si>
  <si>
    <t>MFIE Vintage 2010-2015</t>
  </si>
  <si>
    <t>HeatingFactor</t>
  </si>
  <si>
    <t>Factor applied to account for heating system type.</t>
  </si>
  <si>
    <t>Heat pump heating</t>
  </si>
  <si>
    <t>Residential Cool Roofs.xlsx</t>
  </si>
  <si>
    <t>Non-electric heating</t>
  </si>
  <si>
    <t>Square foot of installed cool roof</t>
  </si>
  <si>
    <t>DEER READI (Remote Ex-Ante Database Interface)</t>
  </si>
  <si>
    <t>Actual cost of cool roof</t>
  </si>
  <si>
    <t>Full cost will be applied.  Assumed value from Idaho Power Company Technical Reference Manual 3.2, https://docs.idahopower.com/pdfs/EnergyEfficiency/Reports/2020TRM.pdf, p. 69.  From 2008 Database for Energy-Efficiency Resources (DEER), Version 2008.2.05, “Effective/Remaining Useful Life Values”, 
California Public Utilities Commission, December 16, 2008.</t>
  </si>
  <si>
    <t>RESIDENTIAL DEMAND RESPONSE</t>
  </si>
  <si>
    <t>Demand Response Advanced Thermostat</t>
  </si>
  <si>
    <t>Measure [1]</t>
  </si>
  <si>
    <t>Gross kWh Annual Savings [2]</t>
  </si>
  <si>
    <t>End Use [3]</t>
  </si>
  <si>
    <t>kW Factor [4]</t>
  </si>
  <si>
    <t>Summer kW (Annual) [5]</t>
  </si>
  <si>
    <t>Winter kW (Annual) [6]</t>
  </si>
  <si>
    <t>600050_2024_12_</t>
  </si>
  <si>
    <t>DR</t>
  </si>
  <si>
    <t>Summer Demand Response Advanced Thermostat - with Program-driven Optimization</t>
  </si>
  <si>
    <t>per thermostat</t>
  </si>
  <si>
    <t>600060_2023_12_</t>
  </si>
  <si>
    <t>Winter Demand Response Advanced Thermostat - with Program-driven Optimization</t>
  </si>
  <si>
    <t>600100_2021_12_</t>
  </si>
  <si>
    <t>Summer Demand Response Advanced Thermostat - without Program-Driven Optimization</t>
  </si>
  <si>
    <t>600110_2023_12_</t>
  </si>
  <si>
    <t>Winter Demand Response Advanced Thermostat - without Program-Driven Optimization</t>
  </si>
  <si>
    <t>3.7.2</t>
  </si>
  <si>
    <t xml:space="preserve">[Note 1] </t>
  </si>
  <si>
    <t>As advanced thermostats mature, some models include embedded optimization routines that achieve energy savings. The program differentiates between thermostats with “program-driven optimization,” which achieve savings through program influence to operate optional optimization, and without “program-driven optimization,” which achieve no energy savings due to either the default optimization baseline or no optimization routine employed.</t>
  </si>
  <si>
    <t xml:space="preserve">[Note 2] </t>
  </si>
  <si>
    <t>Source for Savings: Ameren MO PY2023 Final Report
Device Optimization Energy Savings Summary, Aggregate: Table 19. 
Total Number of Devices Enrolled at the end of the 2023 event season: Ameren Missouri Demand Response PY2023 Program Tracking Data
Gross kWh Annual Savings are calculated as the total aggregate PY2023 energy savings (502.57 MWh) divided by the number of devices active at the end of the 2023 event season (8,140).</t>
  </si>
  <si>
    <t>[Note 3]</t>
  </si>
  <si>
    <t>End Use should be "Cooling RES" for optimization routines that save energy only during the cooling season, and "Heating RES" for optimization routines that save energy only during the heating season. For optimization routines that save energy during both cooling and heating seasons and energy savings are aggregated, the End Use may be "HVAC RES."</t>
  </si>
  <si>
    <t xml:space="preserve">[Note 4] </t>
  </si>
  <si>
    <t>The kW factor based on end use is not used because the actual demand impacts are directly measured.</t>
  </si>
  <si>
    <t xml:space="preserve">[Note 5] </t>
  </si>
  <si>
    <t>Summer demand savings are calculated for demand response events, therefore no demand savings are calculated based on the energy savings for this measure. For planning estimates a value of 0.95 kW/thermostat is assumed based on the PY23 evaluation results; refer to Table 17. Residential DR Program: Event Day Energy Savings by Device Manufacturer for the number of devices and Table 13. Residential DR Program: Resource Capability Impacts for the per account kW impacts and number of accounts.
Per device kW impact is calculated as the per account kW load impact (1.13) multiplied by the number of accounts (46,213) all divided by the number of devices (54,808).</t>
  </si>
  <si>
    <t xml:space="preserve">[Note 6] </t>
  </si>
  <si>
    <t>Winter demand savings are calculated for demand response events. For planning estimates a value of 1.3 kW/thermostat. Calculated by examining the average hourly kW reduction during a summer event, adjusting for winter conditions by reducing the estimate by 30%, and applying an adjustment factor of 0.78. (Source: ADM Associates, Inc., "py2024_residential_dr_winter_savings_estimation_07.12.2024.xlsx").</t>
  </si>
  <si>
    <r>
      <rPr>
        <b/>
        <sz val="11"/>
        <rFont val="Calibri"/>
        <family val="2"/>
        <scheme val="minor"/>
      </rPr>
      <t>Residential demand response:</t>
    </r>
    <r>
      <rPr>
        <sz val="11"/>
        <rFont val="Calibri"/>
        <family val="2"/>
        <scheme val="minor"/>
      </rPr>
      <t xml:space="preserve"> For demand and energy savings associated with calling a demand response event, smart thermostat program participants will be randomly partitioned into two groups. In this scenario, on an event day, participants in one group receive a signal to initiate activity on the thermostat, while the other group of participants would not receive this signal. As a result, the participants who receive the signal will serve as the treatment group, and the participants who do not receive a signal will serve as the control group. Demand impacts will be estimated from the average of the hours over all event periods. Energy savings impacts will be estimated from comparing the 24 hours of the control group for each event day to the 24 hours of actual kWh consumption for each event day.  However, if it is not practical or plausible to use this approach (such as everyone is dispatched), other quasi experimental design approaches may be used.</t>
    </r>
  </si>
  <si>
    <r>
      <rPr>
        <b/>
        <sz val="11"/>
        <rFont val="Calibri"/>
        <family val="2"/>
        <scheme val="minor"/>
      </rPr>
      <t>Business demand response:</t>
    </r>
    <r>
      <rPr>
        <sz val="11"/>
        <rFont val="Calibri"/>
        <family val="2"/>
        <scheme val="minor"/>
      </rPr>
      <t xml:space="preserve"> For demand and energy savings associated with calling a demand response event, a customer baseline load ("CBL") approach will be used. A CBL approach applies a model or algorithm to develop customer-specific baselines for each event that are used to estimate load impacts for each hour of the event. Demand impacts will be estimated from the average of the hours over all event periods. Energy savings impacts will be estimated from comparing the 24 hours of the CBL for each event day to the 24 hours of actual kWh consumption for each event day.</t>
    </r>
  </si>
  <si>
    <t>Demand Response Water Heater</t>
  </si>
  <si>
    <t>kW Factor [1]</t>
  </si>
  <si>
    <t>Summer kW (Annual) [2]</t>
  </si>
  <si>
    <t>Winter kW (Annual) [3]</t>
  </si>
  <si>
    <t>600401_2024_12_</t>
  </si>
  <si>
    <t>Demand Response Heat Pump Water Heater Switch</t>
  </si>
  <si>
    <t>per unit</t>
  </si>
  <si>
    <t>600402_2024_12_</t>
  </si>
  <si>
    <t>Demand Response Electric Resistance Water Heater Switch</t>
  </si>
  <si>
    <t>3.9.3</t>
  </si>
  <si>
    <t>Summer demand savings are calculated for demand response events, therefore no demand savings are calculated based on the energy savings for this measure. These values have not been reviewed through evaluation.  The demand reduction impact planning values of 0.27 kW for Heat Pump Water Heaters and 0.22 kW for Electric Water Heaters were calculated based on the percent reduction by demand response (DR) applied to the coincident peak load. Specifically:
Heat Pump Water Heater: The 52% reduction applied to the coincident peak load of 0.52 kW results in a demand reduction impact of 0.27 kW.
Electric Water Heater: The 42% reduction applied to the coincident peak load of 0.52 kW results in a demand reduction impact of 0.22 kW.
These calculations utilize the EPRI end-use loadshape database to determine the coincident peak load, as specific loadshape or peak load data for Missouri was unavailable. Therefore, the coincident peak values were derived from the SERC region data.</t>
  </si>
  <si>
    <t xml:space="preserve">[Note 3] </t>
  </si>
  <si>
    <t>Winter demand savings are calculated for demand response events.</t>
  </si>
  <si>
    <t xml:space="preserve">The below index is a summary of all measures within the deemed savings tables.  It serves as a lookup table linked directly to the official records within the deemed savings tables and summarizes measure attributes in a single row for each measure ID.  </t>
  </si>
  <si>
    <t>Table below calculates a weighted average kWh and Kw value  for HVAC Early Replacement (ER) vs Replace on Fail (ROF) measures based on the TRM values and the ER % Entered below (cell "BC3").</t>
  </si>
  <si>
    <t>* Note all current TRM redlines are NOT indicated on this tab, primarily new measures added and Measure ID's that have changed for various reasons are redlined here.</t>
  </si>
  <si>
    <t>REPRESENTS THE TRM FILING EFFECTIVE JANUARY 1, 2025</t>
  </si>
  <si>
    <t>End USE 1</t>
  </si>
  <si>
    <t>End USE 2</t>
  </si>
  <si>
    <t>End USE 3</t>
  </si>
  <si>
    <t>End USE 4</t>
  </si>
  <si>
    <t>Measure Name</t>
  </si>
  <si>
    <t>Total 1st year kWh per measure</t>
  </si>
  <si>
    <t>Total last year kWh per measure</t>
  </si>
  <si>
    <t>KWh per Measure</t>
  </si>
  <si>
    <t>Total 1st year kW per measure</t>
  </si>
  <si>
    <t>Total last year kW per measure</t>
  </si>
  <si>
    <t>KW per Measure</t>
  </si>
  <si>
    <t>0-9 EUL (EO) KW</t>
  </si>
  <si>
    <t>10-14 EUL (EO) KW</t>
  </si>
  <si>
    <t>15+ EUL (EO) KW</t>
  </si>
  <si>
    <t>TRC</t>
  </si>
  <si>
    <t>Inc Cost</t>
  </si>
  <si>
    <t>2025 ER1 Total Benefits (2025 $)</t>
  </si>
  <si>
    <t>2025 ER2 Total Benefits (2025 $)</t>
  </si>
  <si>
    <t>PY2025 ER1 Benefits (2025 $)</t>
  </si>
  <si>
    <t>PY2025 ER2 Benefits (2025 $)</t>
  </si>
  <si>
    <t xml:space="preserve">Weighted Average </t>
  </si>
  <si>
    <t>Weighted Average Total</t>
  </si>
  <si>
    <t xml:space="preserve">ER1 </t>
  </si>
  <si>
    <t>ER1 Cooling</t>
  </si>
  <si>
    <t>ER1 Heating</t>
  </si>
  <si>
    <t>ER2 Cooling</t>
  </si>
  <si>
    <t>ER2 Heating</t>
  </si>
  <si>
    <t>KW_ER1</t>
  </si>
  <si>
    <t>KW_ER2</t>
  </si>
  <si>
    <t>Total EUL</t>
  </si>
  <si>
    <t>Benefits (2019 $)</t>
  </si>
  <si>
    <t>Tons/unit</t>
  </si>
  <si>
    <t>MEASURE NAME</t>
  </si>
  <si>
    <t>ID</t>
  </si>
  <si>
    <t>ER1 Cooling kWh</t>
  </si>
  <si>
    <t>ER1 Heating kWh</t>
  </si>
  <si>
    <t>ER2 Cooling kWh</t>
  </si>
  <si>
    <t>ER2 Heating kWh</t>
  </si>
  <si>
    <t>ER1 Cooling kW</t>
  </si>
  <si>
    <t>ER1 Heating kW</t>
  </si>
  <si>
    <t>ER2 Cooling kW</t>
  </si>
  <si>
    <t>ER2 Heating kW</t>
  </si>
  <si>
    <t>ER1 Total kWh</t>
  </si>
  <si>
    <t>ER2 Total kWh</t>
  </si>
  <si>
    <t>ER1 Total kW</t>
  </si>
  <si>
    <t>ER2 Total kW</t>
  </si>
  <si>
    <t>variable</t>
  </si>
  <si>
    <t>SOURCE:</t>
  </si>
  <si>
    <t>Copied directly from file :  DSM2018_BT_MEEIA_4_RESandBUS_20YR Submittal Tool_01_16_2024.xlsb</t>
  </si>
  <si>
    <t>Avoided Cost Benefits per Measure per kWh</t>
  </si>
  <si>
    <t>Air Comp BUS 1 Year EUL</t>
  </si>
  <si>
    <t>Starting/Discount Year:</t>
  </si>
  <si>
    <t>Air Comp BUS 10 Year EUL</t>
  </si>
  <si>
    <t>Ending Year:</t>
  </si>
  <si>
    <t>Air Comp BUS 11 Year EUL</t>
  </si>
  <si>
    <t>Discount Rate:</t>
  </si>
  <si>
    <t>Air Comp BUS 12 Year EUL</t>
  </si>
  <si>
    <t>Inflation Rate:</t>
  </si>
  <si>
    <t>Air Comp BUS 13 Year EUL</t>
  </si>
  <si>
    <t>Current Year</t>
  </si>
  <si>
    <t>* Year of current programs being represented</t>
  </si>
  <si>
    <t>Air Comp BUS 14 Year EUL</t>
  </si>
  <si>
    <t>Air Comp BUS 15 Year EUL</t>
  </si>
  <si>
    <t>Air Comp BUS 16 Year EUL</t>
  </si>
  <si>
    <t>Air Comp BUS 17 Year EUL</t>
  </si>
  <si>
    <t>Air Comp BUS 18 Year EUL</t>
  </si>
  <si>
    <t>Air Comp BUS 19 Year EUL</t>
  </si>
  <si>
    <t>Air Comp BUS 2 Year EUL</t>
  </si>
  <si>
    <t>Air Comp BUS 20 Year EUL</t>
  </si>
  <si>
    <t>Air Comp BUS 21 Year EUL</t>
  </si>
  <si>
    <t>Air Comp BUS 22 Year EUL</t>
  </si>
  <si>
    <t>Air Comp BUS 23 Year EUL</t>
  </si>
  <si>
    <t>Air Comp BUS 24 Year EUL</t>
  </si>
  <si>
    <t>Air Comp BUS 25 Year EUL</t>
  </si>
  <si>
    <t>Air Comp BUS 26 Year EUL</t>
  </si>
  <si>
    <t>Air Comp BUS 27 Year EUL</t>
  </si>
  <si>
    <t>Air Comp BUS 28 Year EUL</t>
  </si>
  <si>
    <t>Air Comp BUS 29 Year EUL</t>
  </si>
  <si>
    <t>Air Comp BUS 3 Year EUL</t>
  </si>
  <si>
    <t>Air Comp BUS 30 Year EUL</t>
  </si>
  <si>
    <t>Air Comp BUS 4 Year EUL</t>
  </si>
  <si>
    <t>Air Comp BUS 5 Year EUL</t>
  </si>
  <si>
    <t>Air Comp BUS 6 Year EUL</t>
  </si>
  <si>
    <t>Air Comp BUS 7 Year EUL</t>
  </si>
  <si>
    <t>Air Comp BUS 8 Year EUL</t>
  </si>
  <si>
    <t>Air Comp BUS 9 Year EUL</t>
  </si>
  <si>
    <t>Appliances RES 1 Year EUL</t>
  </si>
  <si>
    <t>Appliances RES 10 Year EUL</t>
  </si>
  <si>
    <t>Appliances RES 11 Year EUL</t>
  </si>
  <si>
    <t>Appliances RES 12 Year EUL</t>
  </si>
  <si>
    <t>Appliances RES 13 Year EUL</t>
  </si>
  <si>
    <t>Appliances RES 14 Year EUL</t>
  </si>
  <si>
    <t>Appliances RES 15 Year EUL</t>
  </si>
  <si>
    <t>Appliances RES 16 Year EUL</t>
  </si>
  <si>
    <t>Appliances RES 17 Year EUL</t>
  </si>
  <si>
    <t>Appliances RES 18 Year EUL</t>
  </si>
  <si>
    <t>Appliances RES 19 Year EUL</t>
  </si>
  <si>
    <t>Appliances RES 2 Year EUL</t>
  </si>
  <si>
    <t>Appliances RES 20 Year EUL</t>
  </si>
  <si>
    <t>Appliances RES 21 Year EUL</t>
  </si>
  <si>
    <t>Appliances RES 22 Year EUL</t>
  </si>
  <si>
    <t>Appliances RES 23 Year EUL</t>
  </si>
  <si>
    <t>Appliances RES 24 Year EUL</t>
  </si>
  <si>
    <t>Appliances RES 25 Year EUL</t>
  </si>
  <si>
    <t>Appliances RES 3 Year EUL</t>
  </si>
  <si>
    <t>Appliances RES 4 Year EUL</t>
  </si>
  <si>
    <t>Appliances RES 5 Year EUL</t>
  </si>
  <si>
    <t>Appliances RES 6 Year EUL</t>
  </si>
  <si>
    <t>Appliances RES 7 Year EUL</t>
  </si>
  <si>
    <t>Appliances RES 8 Year EUL</t>
  </si>
  <si>
    <t>Appliances RES 9 Year EUL</t>
  </si>
  <si>
    <t>Building Shell BUS 1 Year EUL</t>
  </si>
  <si>
    <t>Building Shell BUS 10 Year EUL</t>
  </si>
  <si>
    <t>Building Shell BUS 11 Year EUL</t>
  </si>
  <si>
    <t>Building Shell BUS 12 Year EUL</t>
  </si>
  <si>
    <t>Building Shell BUS 13 Year EUL</t>
  </si>
  <si>
    <t>Building Shell BUS 14 Year EUL</t>
  </si>
  <si>
    <t>Building Shell BUS 15 Year EUL</t>
  </si>
  <si>
    <t>Building Shell BUS 16 Year EUL</t>
  </si>
  <si>
    <t>Building Shell BUS 17 Year EUL</t>
  </si>
  <si>
    <t>Building Shell BUS 18 Year EUL</t>
  </si>
  <si>
    <t>Building Shell BUS 19 Year EUL</t>
  </si>
  <si>
    <t>Building Shell BUS 2 Year EUL</t>
  </si>
  <si>
    <t>Building Shell BUS 20 Year EUL</t>
  </si>
  <si>
    <t>Building Shell BUS 21 Year EUL</t>
  </si>
  <si>
    <t>Building Shell BUS 22 Year EUL</t>
  </si>
  <si>
    <t>Building Shell BUS 23 Year EUL</t>
  </si>
  <si>
    <t>Building Shell BUS 24 Year EUL</t>
  </si>
  <si>
    <t>Building Shell BUS 25 Year EUL</t>
  </si>
  <si>
    <t>Building Shell BUS 26 Year EUL</t>
  </si>
  <si>
    <t>Building Shell BUS 27 Year EUL</t>
  </si>
  <si>
    <t>Building Shell BUS 28 Year EUL</t>
  </si>
  <si>
    <t>Building Shell BUS 29 Year EUL</t>
  </si>
  <si>
    <t>Building Shell BUS 3 Year EUL</t>
  </si>
  <si>
    <t>Building Shell BUS 30 Year EUL</t>
  </si>
  <si>
    <t>Building Shell BUS 4 Year EUL</t>
  </si>
  <si>
    <t>Building Shell BUS 5 Year EUL</t>
  </si>
  <si>
    <t>Building Shell BUS 6 Year EUL</t>
  </si>
  <si>
    <t>Building Shell BUS 7 Year EUL</t>
  </si>
  <si>
    <t>Building Shell BUS 8 Year EUL</t>
  </si>
  <si>
    <t>Building Shell BUS 9 Year EUL</t>
  </si>
  <si>
    <t>Building Shell RES 1 Year EUL</t>
  </si>
  <si>
    <t>Building Shell RES 10 Year EUL</t>
  </si>
  <si>
    <t>Building Shell RES 11 Year EUL</t>
  </si>
  <si>
    <t>Building Shell RES 12 Year EUL</t>
  </si>
  <si>
    <t>Building Shell RES 13 Year EUL</t>
  </si>
  <si>
    <t>Building Shell RES 14 Year EUL</t>
  </si>
  <si>
    <t>Building Shell RES 15 Year EUL</t>
  </si>
  <si>
    <t>Building Shell RES 16 Year EUL</t>
  </si>
  <si>
    <t>Building Shell RES 17 Year EUL</t>
  </si>
  <si>
    <t>Building Shell RES 18 Year EUL</t>
  </si>
  <si>
    <t>Building Shell RES 19 Year EUL</t>
  </si>
  <si>
    <t>Building Shell RES 2 Year EUL</t>
  </si>
  <si>
    <t>Building Shell RES 20 Year EUL</t>
  </si>
  <si>
    <t>Building Shell RES 21 Year EUL</t>
  </si>
  <si>
    <t>Building Shell RES 22 Year EUL</t>
  </si>
  <si>
    <t>Building Shell RES 23 Year EUL</t>
  </si>
  <si>
    <t>Building Shell RES 24 Year EUL</t>
  </si>
  <si>
    <t>Building Shell RES 25 Year EUL</t>
  </si>
  <si>
    <t>Building Shell RES 3 Year EUL</t>
  </si>
  <si>
    <t>Building Shell RES 4 Year EUL</t>
  </si>
  <si>
    <t>Building Shell RES 5 Year EUL</t>
  </si>
  <si>
    <t>Building Shell RES 6 Year EUL</t>
  </si>
  <si>
    <t>Building Shell RES 7 Year EUL</t>
  </si>
  <si>
    <t>Building Shell RES 8 Year EUL</t>
  </si>
  <si>
    <t>Building Shell RES 9 Year EUL</t>
  </si>
  <si>
    <t>Clothes Dryer RES 1 Year EUL</t>
  </si>
  <si>
    <t>Clothes Dryer RES 10 Year EUL</t>
  </si>
  <si>
    <t>Clothes Dryer RES 11 Year EUL</t>
  </si>
  <si>
    <t>Clothes Dryer RES 12 Year EUL</t>
  </si>
  <si>
    <t>Clothes Dryer RES 13 Year EUL</t>
  </si>
  <si>
    <t>Clothes Dryer RES 14 Year EUL</t>
  </si>
  <si>
    <t>Clothes Dryer RES 15 Year EUL</t>
  </si>
  <si>
    <t>Clothes Dryer RES 16 Year EUL</t>
  </si>
  <si>
    <t>Clothes Dryer RES 17 Year EUL</t>
  </si>
  <si>
    <t>Clothes Dryer RES 18 Year EUL</t>
  </si>
  <si>
    <t>Clothes Dryer RES 19 Year EUL</t>
  </si>
  <si>
    <t>Clothes Dryer RES 2 Year EUL</t>
  </si>
  <si>
    <t>Clothes Dryer RES 20 Year EUL</t>
  </si>
  <si>
    <t>Clothes Dryer RES 21 Year EUL</t>
  </si>
  <si>
    <t>Clothes Dryer RES 22 Year EUL</t>
  </si>
  <si>
    <t>Clothes Dryer RES 23 Year EUL</t>
  </si>
  <si>
    <t>Clothes Dryer RES 24 Year EUL</t>
  </si>
  <si>
    <t>Clothes Dryer RES 25 Year EUL</t>
  </si>
  <si>
    <t>Clothes Dryer RES 3 Year EUL</t>
  </si>
  <si>
    <t>Clothes Dryer RES 4 Year EUL</t>
  </si>
  <si>
    <t>Clothes Dryer RES 5 Year EUL</t>
  </si>
  <si>
    <t>Clothes Dryer RES 6 Year EUL</t>
  </si>
  <si>
    <t>Clothes Dryer RES 7 Year EUL</t>
  </si>
  <si>
    <t>Clothes Dryer RES 8 Year EUL</t>
  </si>
  <si>
    <t>Clothes Dryer RES 9 Year EUL</t>
  </si>
  <si>
    <t>Clothes Washer RES 1 Year EUL</t>
  </si>
  <si>
    <t>Clothes Washer RES 10 Year EUL</t>
  </si>
  <si>
    <t>Clothes Washer RES 11 Year EUL</t>
  </si>
  <si>
    <t>Clothes Washer RES 12 Year EUL</t>
  </si>
  <si>
    <t>Clothes Washer RES 13 Year EUL</t>
  </si>
  <si>
    <t>Clothes Washer RES 14 Year EUL</t>
  </si>
  <si>
    <t>Clothes Washer RES 15 Year EUL</t>
  </si>
  <si>
    <t>Clothes Washer RES 16 Year EUL</t>
  </si>
  <si>
    <t>Clothes Washer RES 17 Year EUL</t>
  </si>
  <si>
    <t>Clothes Washer RES 18 Year EUL</t>
  </si>
  <si>
    <t>Clothes Washer RES 19 Year EUL</t>
  </si>
  <si>
    <t>Clothes Washer RES 2 Year EUL</t>
  </si>
  <si>
    <t>Clothes Washer RES 20 Year EUL</t>
  </si>
  <si>
    <t>Clothes Washer RES 21 Year EUL</t>
  </si>
  <si>
    <t>Clothes Washer RES 22 Year EUL</t>
  </si>
  <si>
    <t>Clothes Washer RES 23 Year EUL</t>
  </si>
  <si>
    <t>Clothes Washer RES 24 Year EUL</t>
  </si>
  <si>
    <t>Clothes Washer RES 25 Year EUL</t>
  </si>
  <si>
    <t>Clothes Washer RES 3 Year EUL</t>
  </si>
  <si>
    <t>Clothes Washer RES 4 Year EUL</t>
  </si>
  <si>
    <t>Clothes Washer RES 5 Year EUL</t>
  </si>
  <si>
    <t>Clothes Washer RES 6 Year EUL</t>
  </si>
  <si>
    <t>Clothes Washer RES 7 Year EUL</t>
  </si>
  <si>
    <t>Clothes Washer RES 8 Year EUL</t>
  </si>
  <si>
    <t>Clothes Washer RES 9 Year EUL</t>
  </si>
  <si>
    <t>Color TV RES 1 Year EUL</t>
  </si>
  <si>
    <t>Color TV RES 10 Year EUL</t>
  </si>
  <si>
    <t>Color TV RES 11 Year EUL</t>
  </si>
  <si>
    <t>Color TV RES 12 Year EUL</t>
  </si>
  <si>
    <t>Color TV RES 13 Year EUL</t>
  </si>
  <si>
    <t>Color TV RES 14 Year EUL</t>
  </si>
  <si>
    <t>Color TV RES 15 Year EUL</t>
  </si>
  <si>
    <t>Color TV RES 16 Year EUL</t>
  </si>
  <si>
    <t>Color TV RES 17 Year EUL</t>
  </si>
  <si>
    <t>Color TV RES 18 Year EUL</t>
  </si>
  <si>
    <t>Color TV RES 19 Year EUL</t>
  </si>
  <si>
    <t>Color TV RES 2 Year EUL</t>
  </si>
  <si>
    <t>Color TV RES 20 Year EUL</t>
  </si>
  <si>
    <t>Color TV RES 21 Year EUL</t>
  </si>
  <si>
    <t>Color TV RES 22 Year EUL</t>
  </si>
  <si>
    <t>Color TV RES 23 Year EUL</t>
  </si>
  <si>
    <t>Color TV RES 24 Year EUL</t>
  </si>
  <si>
    <t>Color TV RES 25 Year EUL</t>
  </si>
  <si>
    <t>Color TV RES 3 Year EUL</t>
  </si>
  <si>
    <t>Color TV RES 4 Year EUL</t>
  </si>
  <si>
    <t>Color TV RES 5 Year EUL</t>
  </si>
  <si>
    <t>Color TV RES 6 Year EUL</t>
  </si>
  <si>
    <t>Color TV RES 7 Year EUL</t>
  </si>
  <si>
    <t>Color TV RES 8 Year EUL</t>
  </si>
  <si>
    <t>Color TV RES 9 Year EUL</t>
  </si>
  <si>
    <t>Cooking BUS 1 Year EUL</t>
  </si>
  <si>
    <t>Cooking BUS 10 Year EUL</t>
  </si>
  <si>
    <t>Cooking BUS 11 Year EUL</t>
  </si>
  <si>
    <t>Cooking BUS 12 Year EUL</t>
  </si>
  <si>
    <t>Cooking BUS 13 Year EUL</t>
  </si>
  <si>
    <t>Cooking BUS 14 Year EUL</t>
  </si>
  <si>
    <t>Cooking BUS 15 Year EUL</t>
  </si>
  <si>
    <t>Cooking BUS 16 Year EUL</t>
  </si>
  <si>
    <t>Cooking BUS 17 Year EUL</t>
  </si>
  <si>
    <t>Cooking BUS 18 Year EUL</t>
  </si>
  <si>
    <t>Cooking BUS 19 Year EUL</t>
  </si>
  <si>
    <t>Cooking BUS 2 Year EUL</t>
  </si>
  <si>
    <t>Cooking BUS 20 Year EUL</t>
  </si>
  <si>
    <t>Cooking BUS 21 Year EUL</t>
  </si>
  <si>
    <t>Cooking BUS 22 Year EUL</t>
  </si>
  <si>
    <t>Cooking BUS 23 Year EUL</t>
  </si>
  <si>
    <t>Cooking BUS 24 Year EUL</t>
  </si>
  <si>
    <t>Cooking BUS 25 Year EUL</t>
  </si>
  <si>
    <t>Cooking BUS 26 Year EUL</t>
  </si>
  <si>
    <t>Cooking BUS 27 Year EUL</t>
  </si>
  <si>
    <t>Cooking BUS 28 Year EUL</t>
  </si>
  <si>
    <t>Cooking BUS 29 Year EUL</t>
  </si>
  <si>
    <t>Cooking BUS 3 Year EUL</t>
  </si>
  <si>
    <t>Cooking BUS 30 Year EUL</t>
  </si>
  <si>
    <t>Cooking BUS 4 Year EUL</t>
  </si>
  <si>
    <t>Cooking BUS 5 Year EUL</t>
  </si>
  <si>
    <t>Cooking BUS 6 Year EUL</t>
  </si>
  <si>
    <t>Cooking BUS 7 Year EUL</t>
  </si>
  <si>
    <t>Cooking BUS 8 Year EUL</t>
  </si>
  <si>
    <t>Cooking BUS 9 Year EUL</t>
  </si>
  <si>
    <t>Cooking RES 1 Year EUL</t>
  </si>
  <si>
    <t>Cooking RES 10 Year EUL</t>
  </si>
  <si>
    <t>Cooking RES 11 Year EUL</t>
  </si>
  <si>
    <t>Cooking RES 12 Year EUL</t>
  </si>
  <si>
    <t>Cooking RES 13 Year EUL</t>
  </si>
  <si>
    <t>Cooking RES 14 Year EUL</t>
  </si>
  <si>
    <t>Cooking RES 15 Year EUL</t>
  </si>
  <si>
    <t>Cooking RES 16 Year EUL</t>
  </si>
  <si>
    <t>Cooking RES 17 Year EUL</t>
  </si>
  <si>
    <t>Cooking RES 18 Year EUL</t>
  </si>
  <si>
    <t>Cooking RES 19 Year EUL</t>
  </si>
  <si>
    <t>Cooking RES 2 Year EUL</t>
  </si>
  <si>
    <t>Cooking RES 20 Year EUL</t>
  </si>
  <si>
    <t>Cooking RES 21 Year EUL</t>
  </si>
  <si>
    <t>Cooking RES 22 Year EUL</t>
  </si>
  <si>
    <t>Cooking RES 23 Year EUL</t>
  </si>
  <si>
    <t>Cooking RES 24 Year EUL</t>
  </si>
  <si>
    <t>Cooking RES 25 Year EUL</t>
  </si>
  <si>
    <t>Cooking RES 3 Year EUL</t>
  </si>
  <si>
    <t>Cooking RES 4 Year EUL</t>
  </si>
  <si>
    <t>Cooking RES 5 Year EUL</t>
  </si>
  <si>
    <t>Cooking RES 6 Year EUL</t>
  </si>
  <si>
    <t>Cooking RES 7 Year EUL</t>
  </si>
  <si>
    <t>Cooking RES 8 Year EUL</t>
  </si>
  <si>
    <t>Cooking RES 9 Year EUL</t>
  </si>
  <si>
    <t>Cooling BUS 1 Year EUL</t>
  </si>
  <si>
    <t>Cooling BUS 10 Year EUL</t>
  </si>
  <si>
    <t>Cooling BUS 11 Year EUL</t>
  </si>
  <si>
    <t>Cooling BUS 12 Year EUL</t>
  </si>
  <si>
    <t>Cooling BUS 13 Year EUL</t>
  </si>
  <si>
    <t>Cooling BUS 14 Year EUL</t>
  </si>
  <si>
    <t>Cooling BUS 15 Year EUL</t>
  </si>
  <si>
    <t>Cooling BUS 16 Year EUL</t>
  </si>
  <si>
    <t>Cooling BUS 17 Year EUL</t>
  </si>
  <si>
    <t>Cooling BUS 18 Year EUL</t>
  </si>
  <si>
    <t>Cooling BUS 19 Year EUL</t>
  </si>
  <si>
    <t>Cooling BUS 2 Year EUL</t>
  </si>
  <si>
    <t>Cooling BUS 20 Year EUL</t>
  </si>
  <si>
    <t>Cooling BUS 21 Year EUL</t>
  </si>
  <si>
    <t>Cooling BUS 22 Year EUL</t>
  </si>
  <si>
    <t>Cooling BUS 23 Year EUL</t>
  </si>
  <si>
    <t>Cooling BUS 24 Year EUL</t>
  </si>
  <si>
    <t>Cooling BUS 25 Year EUL</t>
  </si>
  <si>
    <t>Cooling BUS 26 Year EUL</t>
  </si>
  <si>
    <t>Cooling BUS 27 Year EUL</t>
  </si>
  <si>
    <t>Cooling BUS 28 Year EUL</t>
  </si>
  <si>
    <t>Cooling BUS 29 Year EUL</t>
  </si>
  <si>
    <t>Cooling BUS 3 Year EUL</t>
  </si>
  <si>
    <t>Cooling BUS 30 Year EUL</t>
  </si>
  <si>
    <t>Cooling BUS 4 Year EUL</t>
  </si>
  <si>
    <t>Cooling BUS 5 Year EUL</t>
  </si>
  <si>
    <t>Cooling BUS 6 Year EUL</t>
  </si>
  <si>
    <t>Cooling BUS 7 Year EUL</t>
  </si>
  <si>
    <t>Cooling BUS 8 Year EUL</t>
  </si>
  <si>
    <t>Cooling BUS 9 Year EUL</t>
  </si>
  <si>
    <t>Cooling RES 1 Year EUL</t>
  </si>
  <si>
    <t>Cooling RES 10 Year EUL</t>
  </si>
  <si>
    <t>Cooling RES 11 Year EUL</t>
  </si>
  <si>
    <t>Cooling RES 12 Year EUL</t>
  </si>
  <si>
    <t>Cooling RES 13 Year EUL</t>
  </si>
  <si>
    <t>Cooling RES 14 Year EUL</t>
  </si>
  <si>
    <t>Cooling RES 15 Year EUL</t>
  </si>
  <si>
    <t>Cooling RES 16 Year EUL</t>
  </si>
  <si>
    <t>Cooling RES 17 Year EUL</t>
  </si>
  <si>
    <t>Cooling RES 18 Year EUL</t>
  </si>
  <si>
    <t>Cooling RES 19 Year EUL</t>
  </si>
  <si>
    <t>Cooling RES 2 Year EUL</t>
  </si>
  <si>
    <t>Cooling RES 20 Year EUL</t>
  </si>
  <si>
    <t>Cooling RES 21 Year EUL</t>
  </si>
  <si>
    <t>Cooling RES 22 Year EUL</t>
  </si>
  <si>
    <t>Cooling RES 23 Year EUL</t>
  </si>
  <si>
    <t>Cooling RES 24 Year EUL</t>
  </si>
  <si>
    <t>Cooling RES 25 Year EUL</t>
  </si>
  <si>
    <t>Cooling RES 3 Year EUL</t>
  </si>
  <si>
    <t>Cooling RES 4 Year EUL</t>
  </si>
  <si>
    <t>Cooling RES 5 Year EUL</t>
  </si>
  <si>
    <t>Cooling RES 6 Year EUL</t>
  </si>
  <si>
    <t>Cooling RES ER1 6 Year EUL</t>
  </si>
  <si>
    <t>Cooling RES 7 Year EUL</t>
  </si>
  <si>
    <t>Cooling RES 8 Year EUL</t>
  </si>
  <si>
    <t>Cooling RES 9 Year EUL</t>
  </si>
  <si>
    <t>Cooling RES ER2 12 Year EUL</t>
  </si>
  <si>
    <t>x</t>
  </si>
  <si>
    <t>Dishwasher RES 1 Year EUL</t>
  </si>
  <si>
    <t>Dishwasher RES 10 Year EUL</t>
  </si>
  <si>
    <t>Dishwasher RES 11 Year EUL</t>
  </si>
  <si>
    <t>Dishwasher RES 12 Year EUL</t>
  </si>
  <si>
    <t>Dishwasher RES 13 Year EUL</t>
  </si>
  <si>
    <t>Dishwasher RES 14 Year EUL</t>
  </si>
  <si>
    <t>Dishwasher RES 15 Year EUL</t>
  </si>
  <si>
    <t>Dishwasher RES 16 Year EUL</t>
  </si>
  <si>
    <t>Dishwasher RES 17 Year EUL</t>
  </si>
  <si>
    <t>Dishwasher RES 18 Year EUL</t>
  </si>
  <si>
    <t>Dishwasher RES 19 Year EUL</t>
  </si>
  <si>
    <t>Dishwasher RES 2 Year EUL</t>
  </si>
  <si>
    <t>Dishwasher RES 20 Year EUL</t>
  </si>
  <si>
    <t>Dishwasher RES 21 Year EUL</t>
  </si>
  <si>
    <t>Dishwasher RES 22 Year EUL</t>
  </si>
  <si>
    <t>Dishwasher RES 23 Year EUL</t>
  </si>
  <si>
    <t>Dishwasher RES 24 Year EUL</t>
  </si>
  <si>
    <t>Dishwasher RES 25 Year EUL</t>
  </si>
  <si>
    <t>Dishwasher RES 3 Year EUL</t>
  </si>
  <si>
    <t>Dishwasher RES 4 Year EUL</t>
  </si>
  <si>
    <t>Dishwasher RES 5 Year EUL</t>
  </si>
  <si>
    <t>Dishwasher RES 6 Year EUL</t>
  </si>
  <si>
    <t>Dishwasher RES 7 Year EUL</t>
  </si>
  <si>
    <t>Dishwasher RES 8 Year EUL</t>
  </si>
  <si>
    <t>Dishwasher RES 9 Year EUL</t>
  </si>
  <si>
    <t>Ext Lighting BUS 1 Year EUL</t>
  </si>
  <si>
    <t>Ext Lighting BUS 10 Year EUL</t>
  </si>
  <si>
    <t>Ext Lighting BUS 11 Year EUL</t>
  </si>
  <si>
    <t>Ext Lighting BUS 12 Year EUL</t>
  </si>
  <si>
    <t>Ext Lighting BUS 13 Year EUL</t>
  </si>
  <si>
    <t>Ext Lighting BUS 14 Year EUL</t>
  </si>
  <si>
    <t>Ext Lighting BUS 15 Year EUL</t>
  </si>
  <si>
    <t>Ext Lighting BUS 16 Year EUL</t>
  </si>
  <si>
    <t>Ext Lighting BUS 17 Year EUL</t>
  </si>
  <si>
    <t>Ext Lighting BUS 18 Year EUL</t>
  </si>
  <si>
    <t>Ext Lighting BUS 19 Year EUL</t>
  </si>
  <si>
    <t>Ext Lighting BUS 2 Year EUL</t>
  </si>
  <si>
    <t>Ext Lighting BUS 20 Year EUL</t>
  </si>
  <si>
    <t>Ext Lighting BUS 21 Year EUL</t>
  </si>
  <si>
    <t>Ext Lighting BUS 22 Year EUL</t>
  </si>
  <si>
    <t>Ext Lighting BUS 23 Year EUL</t>
  </si>
  <si>
    <t>Ext Lighting BUS 24 Year EUL</t>
  </si>
  <si>
    <t>Ext Lighting BUS 25 Year EUL</t>
  </si>
  <si>
    <t>Ext Lighting BUS 26 Year EUL</t>
  </si>
  <si>
    <t>Ext Lighting BUS 27 Year EUL</t>
  </si>
  <si>
    <t>Ext Lighting BUS 28 Year EUL</t>
  </si>
  <si>
    <t>Ext Lighting BUS 29 Year EUL</t>
  </si>
  <si>
    <t>Ext Lighting BUS 3 Year EUL</t>
  </si>
  <si>
    <t>Ext Lighting BUS 30 Year EUL</t>
  </si>
  <si>
    <t>Ext Lighting BUS 4 Year EUL</t>
  </si>
  <si>
    <t>Ext Lighting BUS 5 Year EUL</t>
  </si>
  <si>
    <t>Ext Lighting BUS 6 Year EUL</t>
  </si>
  <si>
    <t>Ext Lighting BUS 7 Year EUL</t>
  </si>
  <si>
    <t>Ext Lighting BUS 8 Year EUL</t>
  </si>
  <si>
    <t>Ext Lighting BUS 9 Year EUL</t>
  </si>
  <si>
    <t>Freezer RES 1 Year EUL</t>
  </si>
  <si>
    <t>Freezer RES 10 Year EUL</t>
  </si>
  <si>
    <t>Freezer RES 11 Year EUL</t>
  </si>
  <si>
    <t>Freezer RES 12 Year EUL</t>
  </si>
  <si>
    <t>Freezer RES 13 Year EUL</t>
  </si>
  <si>
    <t>Freezer RES 14 Year EUL</t>
  </si>
  <si>
    <t>Freezer RES 15 Year EUL</t>
  </si>
  <si>
    <t>Freezer RES 16 Year EUL</t>
  </si>
  <si>
    <t>Freezer RES 17 Year EUL</t>
  </si>
  <si>
    <t>Freezer RES 18 Year EUL</t>
  </si>
  <si>
    <t>Freezer RES 19 Year EUL</t>
  </si>
  <si>
    <t>Freezer RES 2 Year EUL</t>
  </si>
  <si>
    <t>Freezer RES 20 Year EUL</t>
  </si>
  <si>
    <t>Freezer RES 21 Year EUL</t>
  </si>
  <si>
    <t>Freezer RES 22 Year EUL</t>
  </si>
  <si>
    <t>Freezer RES 23 Year EUL</t>
  </si>
  <si>
    <t>Freezer RES 24 Year EUL</t>
  </si>
  <si>
    <t>Freezer RES 25 Year EUL</t>
  </si>
  <si>
    <t>Freezer RES 3 Year EUL</t>
  </si>
  <si>
    <t>Freezer RES 4 Year EUL</t>
  </si>
  <si>
    <t>Freezer RES 5 Year EUL</t>
  </si>
  <si>
    <t>Freezer RES 6 Year EUL</t>
  </si>
  <si>
    <t>Freezer RES 7 Year EUL</t>
  </si>
  <si>
    <t>Freezer RES 8 Year EUL</t>
  </si>
  <si>
    <t>Freezer RES 9 Year EUL</t>
  </si>
  <si>
    <t>Heating BUS 1 Year EUL</t>
  </si>
  <si>
    <t>Heating BUS 10 Year EUL</t>
  </si>
  <si>
    <t>Heating BUS 11 Year EUL</t>
  </si>
  <si>
    <t>Heating BUS 12 Year EUL</t>
  </si>
  <si>
    <t>Heating BUS 13 Year EUL</t>
  </si>
  <si>
    <t>Heating BUS 14 Year EUL</t>
  </si>
  <si>
    <t>Heating BUS 15 Year EUL</t>
  </si>
  <si>
    <t>Heating BUS 16 Year EUL</t>
  </si>
  <si>
    <t>Heating BUS 17 Year EUL</t>
  </si>
  <si>
    <t>Heating BUS 18 Year EUL</t>
  </si>
  <si>
    <t>Heating BUS 19 Year EUL</t>
  </si>
  <si>
    <t>Heating BUS 2 Year EUL</t>
  </si>
  <si>
    <t>Heating BUS 20 Year EUL</t>
  </si>
  <si>
    <t>Heating BUS 21 Year EUL</t>
  </si>
  <si>
    <t>Heating BUS 22 Year EUL</t>
  </si>
  <si>
    <t>Heating BUS 23 Year EUL</t>
  </si>
  <si>
    <t>Heating BUS 24 Year EUL</t>
  </si>
  <si>
    <t>Heating BUS 25 Year EUL</t>
  </si>
  <si>
    <t>Heating BUS 26 Year EUL</t>
  </si>
  <si>
    <t>Heating BUS 27 Year EUL</t>
  </si>
  <si>
    <t>Heating BUS 28 Year EUL</t>
  </si>
  <si>
    <t>Heating BUS 29 Year EUL</t>
  </si>
  <si>
    <t>Heating BUS 3 Year EUL</t>
  </si>
  <si>
    <t>Heating BUS 30 Year EUL</t>
  </si>
  <si>
    <t>Heating BUS 4 Year EUL</t>
  </si>
  <si>
    <t>Heating BUS 5 Year EUL</t>
  </si>
  <si>
    <t>Heating BUS 6 Year EUL</t>
  </si>
  <si>
    <t>Heating BUS 7 Year EUL</t>
  </si>
  <si>
    <t>Heating BUS 8 Year EUL</t>
  </si>
  <si>
    <t>Heating BUS 9 Year EUL</t>
  </si>
  <si>
    <t>Heating RES 1 Year EUL</t>
  </si>
  <si>
    <t>Heating RES 10 Year EUL</t>
  </si>
  <si>
    <t>Heating RES 11 Year EUL</t>
  </si>
  <si>
    <t>Heating RES 12 Year EUL</t>
  </si>
  <si>
    <t>Heating RES 13 Year EUL</t>
  </si>
  <si>
    <t>Heating RES 14 Year EUL</t>
  </si>
  <si>
    <t>Heating RES 15 Year EUL</t>
  </si>
  <si>
    <t>Heating RES 16 Year EUL</t>
  </si>
  <si>
    <t>Heating RES 17 Year EUL</t>
  </si>
  <si>
    <t>Heating RES 18 Year EUL</t>
  </si>
  <si>
    <t>Heating RES 19 Year EUL</t>
  </si>
  <si>
    <t>Heating RES 2 Year EUL</t>
  </si>
  <si>
    <t>Heating RES 20 Year EUL</t>
  </si>
  <si>
    <t>Heating RES 21 Year EUL</t>
  </si>
  <si>
    <t>Heating RES 22 Year EUL</t>
  </si>
  <si>
    <t>Heating RES 23 Year EUL</t>
  </si>
  <si>
    <t>Heating RES 24 Year EUL</t>
  </si>
  <si>
    <t>Heating RES 25 Year EUL</t>
  </si>
  <si>
    <t>Heating RES 3 Year EUL</t>
  </si>
  <si>
    <t>Heating RES 4 Year EUL</t>
  </si>
  <si>
    <t>Heating RES 5 Year EUL</t>
  </si>
  <si>
    <t>Heating RES 6 Year EUL</t>
  </si>
  <si>
    <t>Heating RES ER1 6 Year EUL</t>
  </si>
  <si>
    <t>Heating RES 7 Year EUL</t>
  </si>
  <si>
    <t>Heating RES 8 Year EUL</t>
  </si>
  <si>
    <t>Heating RES 9 Year EUL</t>
  </si>
  <si>
    <t>Heating RES ER2 12 Year EUL</t>
  </si>
  <si>
    <t>HVAC BUS 1 Year EUL</t>
  </si>
  <si>
    <t>HVAC BUS 10 Year EUL</t>
  </si>
  <si>
    <t>HVAC BUS 11 Year EUL</t>
  </si>
  <si>
    <t>HVAC BUS 12 Year EUL</t>
  </si>
  <si>
    <t>HVAC BUS 13 Year EUL</t>
  </si>
  <si>
    <t>HVAC BUS 14 Year EUL</t>
  </si>
  <si>
    <t>HVAC BUS 15 Year EUL</t>
  </si>
  <si>
    <t>HVAC BUS 16 Year EUL</t>
  </si>
  <si>
    <t>HVAC BUS 17 Year EUL</t>
  </si>
  <si>
    <t>HVAC BUS 18 Year EUL</t>
  </si>
  <si>
    <t>HVAC BUS 19 Year EUL</t>
  </si>
  <si>
    <t>HVAC BUS 2 Year EUL</t>
  </si>
  <si>
    <t>HVAC BUS 20 Year EUL</t>
  </si>
  <si>
    <t>HVAC BUS 21 Year EUL</t>
  </si>
  <si>
    <t>HVAC BUS 22 Year EUL</t>
  </si>
  <si>
    <t>HVAC BUS 23 Year EUL</t>
  </si>
  <si>
    <t>HVAC BUS 24 Year EUL</t>
  </si>
  <si>
    <t>HVAC BUS 25 Year EUL</t>
  </si>
  <si>
    <t>HVAC BUS 26 Year EUL</t>
  </si>
  <si>
    <t>HVAC BUS 27 Year EUL</t>
  </si>
  <si>
    <t>HVAC BUS 28 Year EUL</t>
  </si>
  <si>
    <t>HVAC BUS 29 Year EUL</t>
  </si>
  <si>
    <t>HVAC BUS 3 Year EUL</t>
  </si>
  <si>
    <t>HVAC BUS 30 Year EUL</t>
  </si>
  <si>
    <t>HVAC BUS 4 Year EUL</t>
  </si>
  <si>
    <t>HVAC BUS 5 Year EUL</t>
  </si>
  <si>
    <t>HVAC BUS 6 Year EUL</t>
  </si>
  <si>
    <t>HVAC BUS 7 Year EUL</t>
  </si>
  <si>
    <t>HVAC BUS 8 Year EUL</t>
  </si>
  <si>
    <t>HVAC BUS 9 Year EUL</t>
  </si>
  <si>
    <t>HVAC RES 1 Year EUL</t>
  </si>
  <si>
    <t>HVAC RES 10 Year EUL</t>
  </si>
  <si>
    <t>HVAC RES 11 Year EUL</t>
  </si>
  <si>
    <t>HVAC RES 12 Year EUL</t>
  </si>
  <si>
    <t>HVAC RES 13 Year EUL</t>
  </si>
  <si>
    <t>HVAC RES 14 Year EUL</t>
  </si>
  <si>
    <t>HVAC RES 15 Year EUL</t>
  </si>
  <si>
    <t>HVAC RES 16 Year EUL</t>
  </si>
  <si>
    <t>HVAC RES 17 Year EUL</t>
  </si>
  <si>
    <t>HVAC RES 18 Year EUL</t>
  </si>
  <si>
    <t>HVAC RES 19 Year EUL</t>
  </si>
  <si>
    <t>HVAC RES 2 Year EUL</t>
  </si>
  <si>
    <t>HVAC RES 20 Year EUL</t>
  </si>
  <si>
    <t>HVAC RES 21 Year EUL</t>
  </si>
  <si>
    <t>HVAC RES 22 Year EUL</t>
  </si>
  <si>
    <t>HVAC RES 23 Year EUL</t>
  </si>
  <si>
    <t>HVAC RES 24 Year EUL</t>
  </si>
  <si>
    <t>HVAC RES 25 Year EUL</t>
  </si>
  <si>
    <t>HVAC RES 3 Year EUL</t>
  </si>
  <si>
    <t>HVAC RES 4 Year EUL</t>
  </si>
  <si>
    <t>HVAC RES 5 Year EUL</t>
  </si>
  <si>
    <t>HVAC RES 6 Year EUL</t>
  </si>
  <si>
    <t>HVAC RES ER1 6 Year EUL</t>
  </si>
  <si>
    <t>HVAC RES 7 Year EUL</t>
  </si>
  <si>
    <t>HVAC RES 8 Year EUL</t>
  </si>
  <si>
    <t>HVAC RES 9 Year EUL</t>
  </si>
  <si>
    <t>HVAC RES ER2 12 Year EUL</t>
  </si>
  <si>
    <t>Lighting BUS 1 Year EUL</t>
  </si>
  <si>
    <t>Lighting BUS 10 Year EUL</t>
  </si>
  <si>
    <t>Lighting BUS 11 Year EUL</t>
  </si>
  <si>
    <t>Lighting BUS 12 Year EUL</t>
  </si>
  <si>
    <t>Lighting BUS 13 Year EUL</t>
  </si>
  <si>
    <t>Lighting BUS 14 Year EUL</t>
  </si>
  <si>
    <t>Lighting BUS 15 Year EUL</t>
  </si>
  <si>
    <t>Lighting BUS 16 Year EUL</t>
  </si>
  <si>
    <t>Lighting BUS 17 Year EUL</t>
  </si>
  <si>
    <t>Lighting BUS 18 Year EUL</t>
  </si>
  <si>
    <t>Lighting BUS 19 Year EUL</t>
  </si>
  <si>
    <t>Lighting BUS 2 Year EUL</t>
  </si>
  <si>
    <t>Lighting BUS 20 Year EUL</t>
  </si>
  <si>
    <t>Lighting BUS 21 Year EUL</t>
  </si>
  <si>
    <t>Lighting BUS 22 Year EUL</t>
  </si>
  <si>
    <t>Lighting BUS 23 Year EUL</t>
  </si>
  <si>
    <t>Lighting BUS 24 Year EUL</t>
  </si>
  <si>
    <t>Lighting BUS 25 Year EUL</t>
  </si>
  <si>
    <t>Lighting BUS 26 Year EUL</t>
  </si>
  <si>
    <t>Lighting BUS 27 Year EUL</t>
  </si>
  <si>
    <t>Lighting BUS 28 Year EUL</t>
  </si>
  <si>
    <t>Lighting BUS 29 Year EUL</t>
  </si>
  <si>
    <t>Lighting BUS 3 Year EUL</t>
  </si>
  <si>
    <t>Lighting BUS 30 Year EUL</t>
  </si>
  <si>
    <t>Lighting BUS 4 Year EUL</t>
  </si>
  <si>
    <t>Lighting BUS 5 Year EUL</t>
  </si>
  <si>
    <t>Lighting BUS 6 Year EUL</t>
  </si>
  <si>
    <t>Lighting BUS 7 Year EUL</t>
  </si>
  <si>
    <t>Lighting BUS 8 Year EUL</t>
  </si>
  <si>
    <t>Lighting BUS 9 Year EUL</t>
  </si>
  <si>
    <t>Lighting RES 1 Year EUL</t>
  </si>
  <si>
    <t>Lighting RES 10 Year EUL</t>
  </si>
  <si>
    <t>Lighting RES 11 Year EUL</t>
  </si>
  <si>
    <t>Lighting RES 12 Year EUL</t>
  </si>
  <si>
    <t>Lighting RES 13 Year EUL</t>
  </si>
  <si>
    <t>Lighting RES 14 Year EUL</t>
  </si>
  <si>
    <t>Lighting RES 15 Year EUL</t>
  </si>
  <si>
    <t>Lighting RES 16 Year EUL</t>
  </si>
  <si>
    <t>Lighting RES 17 Year EUL</t>
  </si>
  <si>
    <t>Lighting RES 18 Year EUL</t>
  </si>
  <si>
    <t>Lighting RES 19 Year EUL</t>
  </si>
  <si>
    <t>Lighting RES 2 Year EUL</t>
  </si>
  <si>
    <t>Lighting RES 20 Year EUL</t>
  </si>
  <si>
    <t>Lighting RES 21 Year EUL</t>
  </si>
  <si>
    <t>Lighting RES 22 Year EUL</t>
  </si>
  <si>
    <t>Lighting RES 23 Year EUL</t>
  </si>
  <si>
    <t>Lighting RES 24 Year EUL</t>
  </si>
  <si>
    <t>Lighting RES 25 Year EUL</t>
  </si>
  <si>
    <t>Lighting RES 3 Year EUL</t>
  </si>
  <si>
    <t>Lighting RES 4 Year EUL</t>
  </si>
  <si>
    <t>Lighting RES 5 Year EUL</t>
  </si>
  <si>
    <t>Lighting RES 6 Year EUL</t>
  </si>
  <si>
    <t>Lighting RES 7 Year EUL</t>
  </si>
  <si>
    <t>Lighting RES 8 Year EUL</t>
  </si>
  <si>
    <t>Lighting RES 9 Year EUL</t>
  </si>
  <si>
    <t>Miscellaneous BUS 1 Year EUL</t>
  </si>
  <si>
    <t>Miscellaneous BUS 10 Year EUL</t>
  </si>
  <si>
    <t>Miscellaneous BUS 11 Year EUL</t>
  </si>
  <si>
    <t>Miscellaneous BUS 12 Year EUL</t>
  </si>
  <si>
    <t>Miscellaneous BUS 13 Year EUL</t>
  </si>
  <si>
    <t>Miscellaneous BUS 14 Year EUL</t>
  </si>
  <si>
    <t>Miscellaneous BUS 15 Year EUL</t>
  </si>
  <si>
    <t>Miscellaneous BUS 16 Year EUL</t>
  </si>
  <si>
    <t>Miscellaneous BUS 17 Year EUL</t>
  </si>
  <si>
    <t>Miscellaneous BUS 18 Year EUL</t>
  </si>
  <si>
    <t>Miscellaneous BUS 19 Year EUL</t>
  </si>
  <si>
    <t>Miscellaneous BUS 2 Year EUL</t>
  </si>
  <si>
    <t>Miscellaneous BUS 20 Year EUL</t>
  </si>
  <si>
    <t>Miscellaneous BUS 21 Year EUL</t>
  </si>
  <si>
    <t>Miscellaneous BUS 22 Year EUL</t>
  </si>
  <si>
    <t>Miscellaneous BUS 23 Year EUL</t>
  </si>
  <si>
    <t>Miscellaneous BUS 24 Year EUL</t>
  </si>
  <si>
    <t>Miscellaneous BUS 25 Year EUL</t>
  </si>
  <si>
    <t>Miscellaneous BUS 26 Year EUL</t>
  </si>
  <si>
    <t>Miscellaneous BUS 27 Year EUL</t>
  </si>
  <si>
    <t>Miscellaneous BUS 28 Year EUL</t>
  </si>
  <si>
    <t>Miscellaneous BUS 29 Year EUL</t>
  </si>
  <si>
    <t>Miscellaneous BUS 3 Year EUL</t>
  </si>
  <si>
    <t>Miscellaneous BUS 30 Year EUL</t>
  </si>
  <si>
    <t>Miscellaneous BUS 4 Year EUL</t>
  </si>
  <si>
    <t>Miscellaneous BUS 5 Year EUL</t>
  </si>
  <si>
    <t>Miscellaneous BUS 6 Year EUL</t>
  </si>
  <si>
    <t>Miscellaneous BUS 7 Year EUL</t>
  </si>
  <si>
    <t>Miscellaneous BUS 8 Year EUL</t>
  </si>
  <si>
    <t>Miscellaneous BUS 9 Year EUL</t>
  </si>
  <si>
    <t>Miscellaneous RES 1 Year EUL</t>
  </si>
  <si>
    <t>Miscellaneous RES 10 Year EUL</t>
  </si>
  <si>
    <t>Miscellaneous RES 11 Year EUL</t>
  </si>
  <si>
    <t>Miscellaneous RES 12 Year EUL</t>
  </si>
  <si>
    <t>Miscellaneous RES 13 Year EUL</t>
  </si>
  <si>
    <t>Miscellaneous RES 14 Year EUL</t>
  </si>
  <si>
    <t>Miscellaneous RES 15 Year EUL</t>
  </si>
  <si>
    <t>Miscellaneous RES 16 Year EUL</t>
  </si>
  <si>
    <t>Miscellaneous RES 17 Year EUL</t>
  </si>
  <si>
    <t>Miscellaneous RES 18 Year EUL</t>
  </si>
  <si>
    <t>Miscellaneous RES 19 Year EUL</t>
  </si>
  <si>
    <t>Miscellaneous RES 2 Year EUL</t>
  </si>
  <si>
    <t>Miscellaneous RES 20 Year EUL</t>
  </si>
  <si>
    <t>Miscellaneous RES 21 Year EUL</t>
  </si>
  <si>
    <t>Miscellaneous RES 22 Year EUL</t>
  </si>
  <si>
    <t>Miscellaneous RES 23 Year EUL</t>
  </si>
  <si>
    <t>Miscellaneous RES 24 Year EUL</t>
  </si>
  <si>
    <t>Miscellaneous RES 25 Year EUL</t>
  </si>
  <si>
    <t>Miscellaneous RES 3 Year EUL</t>
  </si>
  <si>
    <t>Miscellaneous RES 4 Year EUL</t>
  </si>
  <si>
    <t>Miscellaneous RES 5 Year EUL</t>
  </si>
  <si>
    <t>Miscellaneous RES 6 Year EUL</t>
  </si>
  <si>
    <t>Miscellaneous RES 7 Year EUL</t>
  </si>
  <si>
    <t>Miscellaneous RES 8 Year EUL</t>
  </si>
  <si>
    <t>Miscellaneous RES 9 Year EUL</t>
  </si>
  <si>
    <t>Motors BUS 1 Year EUL</t>
  </si>
  <si>
    <t>Motors BUS 10 Year EUL</t>
  </si>
  <si>
    <t>Motors BUS 11 Year EUL</t>
  </si>
  <si>
    <t>Motors BUS 12 Year EUL</t>
  </si>
  <si>
    <t>Motors BUS 13 Year EUL</t>
  </si>
  <si>
    <t>Motors BUS 14 Year EUL</t>
  </si>
  <si>
    <t>Motors BUS 15 Year EUL</t>
  </si>
  <si>
    <t>Motors BUS 16 Year EUL</t>
  </si>
  <si>
    <t>Motors BUS 17 Year EUL</t>
  </si>
  <si>
    <t>Motors BUS 18 Year EUL</t>
  </si>
  <si>
    <t>Motors BUS 19 Year EUL</t>
  </si>
  <si>
    <t>Motors BUS 2 Year EUL</t>
  </si>
  <si>
    <t>Motors BUS 20 Year EUL</t>
  </si>
  <si>
    <t>Motors BUS 21 Year EUL</t>
  </si>
  <si>
    <t>Motors BUS 22 Year EUL</t>
  </si>
  <si>
    <t>Motors BUS 23 Year EUL</t>
  </si>
  <si>
    <t>Motors BUS 24 Year EUL</t>
  </si>
  <si>
    <t>Motors BUS 25 Year EUL</t>
  </si>
  <si>
    <t>Motors BUS 26 Year EUL</t>
  </si>
  <si>
    <t>Motors BUS 27 Year EUL</t>
  </si>
  <si>
    <t>Motors BUS 28 Year EUL</t>
  </si>
  <si>
    <t>Motors BUS 29 Year EUL</t>
  </si>
  <si>
    <t>Motors BUS 3 Year EUL</t>
  </si>
  <si>
    <t>Motors BUS 30 Year EUL</t>
  </si>
  <si>
    <t>Motors BUS 4 Year EUL</t>
  </si>
  <si>
    <t>Motors BUS 5 Year EUL</t>
  </si>
  <si>
    <t>Motors BUS 6 Year EUL</t>
  </si>
  <si>
    <t>Motors BUS 7 Year EUL</t>
  </si>
  <si>
    <t>Motors BUS 8 Year EUL</t>
  </si>
  <si>
    <t>Motors BUS 9 Year EUL</t>
  </si>
  <si>
    <t>Office BUS 1 Year EUL</t>
  </si>
  <si>
    <t>Office BUS 10 Year EUL</t>
  </si>
  <si>
    <t>Office BUS 11 Year EUL</t>
  </si>
  <si>
    <t>Office BUS 12 Year EUL</t>
  </si>
  <si>
    <t>Office BUS 13 Year EUL</t>
  </si>
  <si>
    <t>Office BUS 14 Year EUL</t>
  </si>
  <si>
    <t>Office BUS 15 Year EUL</t>
  </si>
  <si>
    <t>Office BUS 16 Year EUL</t>
  </si>
  <si>
    <t>Office BUS 17 Year EUL</t>
  </si>
  <si>
    <t>Office BUS 18 Year EUL</t>
  </si>
  <si>
    <t>Office BUS 19 Year EUL</t>
  </si>
  <si>
    <t>Office BUS 2 Year EUL</t>
  </si>
  <si>
    <t>Office BUS 20 Year EUL</t>
  </si>
  <si>
    <t>Office BUS 21 Year EUL</t>
  </si>
  <si>
    <t>Office BUS 22 Year EUL</t>
  </si>
  <si>
    <t>Office BUS 23 Year EUL</t>
  </si>
  <si>
    <t>Office BUS 24 Year EUL</t>
  </si>
  <si>
    <t>Office BUS 25 Year EUL</t>
  </si>
  <si>
    <t>Office BUS 26 Year EUL</t>
  </si>
  <si>
    <t>Office BUS 27 Year EUL</t>
  </si>
  <si>
    <t>Office BUS 28 Year EUL</t>
  </si>
  <si>
    <t>Office BUS 29 Year EUL</t>
  </si>
  <si>
    <t>Office BUS 3 Year EUL</t>
  </si>
  <si>
    <t>Office BUS 30 Year EUL</t>
  </si>
  <si>
    <t>Office BUS 4 Year EUL</t>
  </si>
  <si>
    <t>Office BUS 5 Year EUL</t>
  </si>
  <si>
    <t>Office BUS 6 Year EUL</t>
  </si>
  <si>
    <t>Office BUS 7 Year EUL</t>
  </si>
  <si>
    <t>Office BUS 8 Year EUL</t>
  </si>
  <si>
    <t>Office BUS 9 Year EUL</t>
  </si>
  <si>
    <t>Pool Spa RES 1 Year EUL</t>
  </si>
  <si>
    <t>Pool Spa RES 10 Year EUL</t>
  </si>
  <si>
    <t>Pool Spa RES 11 Year EUL</t>
  </si>
  <si>
    <t>Pool Spa RES 12 Year EUL</t>
  </si>
  <si>
    <t>Pool Spa RES 13 Year EUL</t>
  </si>
  <si>
    <t>Pool Spa RES 14 Year EUL</t>
  </si>
  <si>
    <t>Pool Spa RES 15 Year EUL</t>
  </si>
  <si>
    <t>Pool Spa RES 16 Year EUL</t>
  </si>
  <si>
    <t>Pool Spa RES 17 Year EUL</t>
  </si>
  <si>
    <t>Pool Spa RES 18 Year EUL</t>
  </si>
  <si>
    <t>Pool Spa RES 19 Year EUL</t>
  </si>
  <si>
    <t>Pool Spa RES 2 Year EUL</t>
  </si>
  <si>
    <t>Pool Spa RES 20 Year EUL</t>
  </si>
  <si>
    <t>Pool Spa RES 21 Year EUL</t>
  </si>
  <si>
    <t>Pool Spa RES 22 Year EUL</t>
  </si>
  <si>
    <t>Pool Spa RES 23 Year EUL</t>
  </si>
  <si>
    <t>Pool Spa RES 24 Year EUL</t>
  </si>
  <si>
    <t>Pool Spa RES 25 Year EUL</t>
  </si>
  <si>
    <t>Pool Spa RES 3 Year EUL</t>
  </si>
  <si>
    <t>Pool Spa RES 4 Year EUL</t>
  </si>
  <si>
    <t>Pool Spa RES 5 Year EUL</t>
  </si>
  <si>
    <t>Pool Spa RES 6 Year EUL</t>
  </si>
  <si>
    <t>Pool Spa RES 7 Year EUL</t>
  </si>
  <si>
    <t>Pool Spa RES 8 Year EUL</t>
  </si>
  <si>
    <t>Pool Spa RES 9 Year EUL</t>
  </si>
  <si>
    <t>Process BUS 1 Year EUL</t>
  </si>
  <si>
    <t>Process BUS 10 Year EUL</t>
  </si>
  <si>
    <t>Process BUS 11 Year EUL</t>
  </si>
  <si>
    <t>Process BUS 12 Year EUL</t>
  </si>
  <si>
    <t>Process BUS 13 Year EUL</t>
  </si>
  <si>
    <t>Process BUS 14 Year EUL</t>
  </si>
  <si>
    <t>Process BUS 15 Year EUL</t>
  </si>
  <si>
    <t>Process BUS 16 Year EUL</t>
  </si>
  <si>
    <t>Process BUS 17 Year EUL</t>
  </si>
  <si>
    <t>Process BUS 18 Year EUL</t>
  </si>
  <si>
    <t>Process BUS 19 Year EUL</t>
  </si>
  <si>
    <t>Process BUS 2 Year EUL</t>
  </si>
  <si>
    <t>Process BUS 20 Year EUL</t>
  </si>
  <si>
    <t>Process BUS 21 Year EUL</t>
  </si>
  <si>
    <t>Process BUS 22 Year EUL</t>
  </si>
  <si>
    <t>Process BUS 23 Year EUL</t>
  </si>
  <si>
    <t>Process BUS 24 Year EUL</t>
  </si>
  <si>
    <t>Process BUS 25 Year EUL</t>
  </si>
  <si>
    <t>Process BUS 26 Year EUL</t>
  </si>
  <si>
    <t>Process BUS 27 Year EUL</t>
  </si>
  <si>
    <t>Process BUS 28 Year EUL</t>
  </si>
  <si>
    <t>Process BUS 29 Year EUL</t>
  </si>
  <si>
    <t>Process BUS 3 Year EUL</t>
  </si>
  <si>
    <t>Process BUS 30 Year EUL</t>
  </si>
  <si>
    <t>Process BUS 4 Year EUL</t>
  </si>
  <si>
    <t>Process BUS 5 Year EUL</t>
  </si>
  <si>
    <t>Process BUS 6 Year EUL</t>
  </si>
  <si>
    <t>Process BUS 7 Year EUL</t>
  </si>
  <si>
    <t>Process BUS 8 Year EUL</t>
  </si>
  <si>
    <t>Process BUS 9 Year EUL</t>
  </si>
  <si>
    <t>Refrigeration BUS 1 Year EUL</t>
  </si>
  <si>
    <t>Refrigeration BUS 10 Year EUL</t>
  </si>
  <si>
    <t>Refrigeration BUS 11 Year EUL</t>
  </si>
  <si>
    <t>Refrigeration BUS 12 Year EUL</t>
  </si>
  <si>
    <t>Refrigeration BUS 13 Year EUL</t>
  </si>
  <si>
    <t>Refrigeration BUS 14 Year EUL</t>
  </si>
  <si>
    <t>Refrigeration BUS 15 Year EUL</t>
  </si>
  <si>
    <t>Refrigeration BUS 16 Year EUL</t>
  </si>
  <si>
    <t>Refrigeration BUS 17 Year EUL</t>
  </si>
  <si>
    <t>Refrigeration BUS 18 Year EUL</t>
  </si>
  <si>
    <t>Refrigeration BUS 19 Year EUL</t>
  </si>
  <si>
    <t>Refrigeration BUS 2 Year EUL</t>
  </si>
  <si>
    <t>Refrigeration BUS 20 Year EUL</t>
  </si>
  <si>
    <t>Refrigeration BUS 21 Year EUL</t>
  </si>
  <si>
    <t>Refrigeration BUS 22 Year EUL</t>
  </si>
  <si>
    <t>Refrigeration BUS 23 Year EUL</t>
  </si>
  <si>
    <t>Refrigeration BUS 24 Year EUL</t>
  </si>
  <si>
    <t>Refrigeration BUS 25 Year EUL</t>
  </si>
  <si>
    <t>Refrigeration BUS 26 Year EUL</t>
  </si>
  <si>
    <t>Refrigeration BUS 27 Year EUL</t>
  </si>
  <si>
    <t>Refrigeration BUS 28 Year EUL</t>
  </si>
  <si>
    <t>Refrigeration BUS 29 Year EUL</t>
  </si>
  <si>
    <t>Refrigeration BUS 3 Year EUL</t>
  </si>
  <si>
    <t>Refrigeration BUS 30 Year EUL</t>
  </si>
  <si>
    <t>Refrigeration BUS 4 Year EUL</t>
  </si>
  <si>
    <t>Refrigeration BUS 5 Year EUL</t>
  </si>
  <si>
    <t>Refrigeration BUS 6 Year EUL</t>
  </si>
  <si>
    <t>Refrigeration BUS 7 Year EUL</t>
  </si>
  <si>
    <t>Refrigeration BUS 8 Year EUL</t>
  </si>
  <si>
    <t>Refrigeration BUS 9 Year EUL</t>
  </si>
  <si>
    <t>Refrigeration RES 1 Year EUL</t>
  </si>
  <si>
    <t>Refrigeration RES 10 Year EUL</t>
  </si>
  <si>
    <t>Refrigeration RES 11 Year EUL</t>
  </si>
  <si>
    <t>Refrigeration RES 12 Year EUL</t>
  </si>
  <si>
    <t>Refrigeration RES 13 Year EUL</t>
  </si>
  <si>
    <t>Refrigeration RES 14 Year EUL</t>
  </si>
  <si>
    <t>Refrigeration RES 15 Year EUL</t>
  </si>
  <si>
    <t>Refrigeration RES 16 Year EUL</t>
  </si>
  <si>
    <t>Refrigeration RES 17 Year EUL</t>
  </si>
  <si>
    <t>Refrigeration RES 18 Year EUL</t>
  </si>
  <si>
    <t>Refrigeration RES 19 Year EUL</t>
  </si>
  <si>
    <t>Refrigeration RES 2 Year EUL</t>
  </si>
  <si>
    <t>Refrigeration RES 20 Year EUL</t>
  </si>
  <si>
    <t>Refrigeration RES 21 Year EUL</t>
  </si>
  <si>
    <t>Refrigeration RES 22 Year EUL</t>
  </si>
  <si>
    <t>Refrigeration RES 23 Year EUL</t>
  </si>
  <si>
    <t>Refrigeration RES 24 Year EUL</t>
  </si>
  <si>
    <t>Refrigeration RES 25 Year EUL</t>
  </si>
  <si>
    <t>Refrigeration RES 3 Year EUL</t>
  </si>
  <si>
    <t>Refrigeration RES 4 Year EUL</t>
  </si>
  <si>
    <t>Refrigeration RES 5 Year EUL</t>
  </si>
  <si>
    <t>Refrigeration RES 6 Year EUL</t>
  </si>
  <si>
    <t>Refrigeration RES ER1 6 Year EUL</t>
  </si>
  <si>
    <t>Refrigeration RES 7 Year EUL</t>
  </si>
  <si>
    <t>Refrigeration RES 8 Year EUL</t>
  </si>
  <si>
    <t>Refrigeration RES 9 Year EUL</t>
  </si>
  <si>
    <t>Refrigeration RES ER2 11 Year EUL</t>
  </si>
  <si>
    <t>Ventilation BUS 1 Year EUL</t>
  </si>
  <si>
    <t>Ventilation BUS 10 Year EUL</t>
  </si>
  <si>
    <t>Ventilation BUS 11 Year EUL</t>
  </si>
  <si>
    <t>Ventilation BUS 12 Year EUL</t>
  </si>
  <si>
    <t>Ventilation BUS 13 Year EUL</t>
  </si>
  <si>
    <t>Ventilation BUS 14 Year EUL</t>
  </si>
  <si>
    <t>Ventilation BUS 15 Year EUL</t>
  </si>
  <si>
    <t>Ventilation BUS 16 Year EUL</t>
  </si>
  <si>
    <t>Ventilation BUS 17 Year EUL</t>
  </si>
  <si>
    <t>Ventilation BUS 18 Year EUL</t>
  </si>
  <si>
    <t>Ventilation BUS 19 Year EUL</t>
  </si>
  <si>
    <t>Ventilation BUS 2 Year EUL</t>
  </si>
  <si>
    <t>Ventilation BUS 20 Year EUL</t>
  </si>
  <si>
    <t>Ventilation BUS 21 Year EUL</t>
  </si>
  <si>
    <t>Ventilation BUS 22 Year EUL</t>
  </si>
  <si>
    <t>Ventilation BUS 23 Year EUL</t>
  </si>
  <si>
    <t>Ventilation BUS 24 Year EUL</t>
  </si>
  <si>
    <t>Ventilation BUS 25 Year EUL</t>
  </si>
  <si>
    <t>Ventilation BUS 26 Year EUL</t>
  </si>
  <si>
    <t>Ventilation BUS 27 Year EUL</t>
  </si>
  <si>
    <t>Ventilation BUS 28 Year EUL</t>
  </si>
  <si>
    <t>Ventilation BUS 29 Year EUL</t>
  </si>
  <si>
    <t>Ventilation BUS 3 Year EUL</t>
  </si>
  <si>
    <t>Ventilation BUS 30 Year EUL</t>
  </si>
  <si>
    <t>Ventilation BUS 4 Year EUL</t>
  </si>
  <si>
    <t>Ventilation BUS 5 Year EUL</t>
  </si>
  <si>
    <t>Ventilation BUS 6 Year EUL</t>
  </si>
  <si>
    <t>Ventilation BUS 7 Year EUL</t>
  </si>
  <si>
    <t>Ventilation BUS 8 Year EUL</t>
  </si>
  <si>
    <t>Ventilation BUS 9 Year EUL</t>
  </si>
  <si>
    <t>Water Heating BUS 1 Year EUL</t>
  </si>
  <si>
    <t>Water Heating BUS 10 Year EUL</t>
  </si>
  <si>
    <t>Water Heating BUS 11 Year EUL</t>
  </si>
  <si>
    <t>Water Heating BUS 12 Year EUL</t>
  </si>
  <si>
    <t>Water Heating BUS 13 Year EUL</t>
  </si>
  <si>
    <t>Water Heating BUS 14 Year EUL</t>
  </si>
  <si>
    <t>Water Heating BUS 15 Year EUL</t>
  </si>
  <si>
    <t>Water Heating BUS 16 Year EUL</t>
  </si>
  <si>
    <t>Water Heating BUS 17 Year EUL</t>
  </si>
  <si>
    <t>Water Heating BUS 18 Year EUL</t>
  </si>
  <si>
    <t>Water Heating BUS 19 Year EUL</t>
  </si>
  <si>
    <t>Water Heating BUS 2 Year EUL</t>
  </si>
  <si>
    <t>Water Heating BUS 20 Year EUL</t>
  </si>
  <si>
    <t>Water Heating BUS 21 Year EUL</t>
  </si>
  <si>
    <t>Water Heating BUS 22 Year EUL</t>
  </si>
  <si>
    <t>Water Heating BUS 23 Year EUL</t>
  </si>
  <si>
    <t>Water Heating BUS 24 Year EUL</t>
  </si>
  <si>
    <t>Water Heating BUS 25 Year EUL</t>
  </si>
  <si>
    <t>Water Heating BUS 26 Year EUL</t>
  </si>
  <si>
    <t>Water Heating BUS 27 Year EUL</t>
  </si>
  <si>
    <t>Water Heating BUS 28 Year EUL</t>
  </si>
  <si>
    <t>Water Heating BUS 29 Year EUL</t>
  </si>
  <si>
    <t>Water Heating BUS 3 Year EUL</t>
  </si>
  <si>
    <t>Water Heating BUS 30 Year EUL</t>
  </si>
  <si>
    <t>Water Heating BUS 4 Year EUL</t>
  </si>
  <si>
    <t>Water Heating BUS 5 Year EUL</t>
  </si>
  <si>
    <t>Water Heating BUS 6 Year EUL</t>
  </si>
  <si>
    <t>Water Heating BUS 7 Year EUL</t>
  </si>
  <si>
    <t>Water Heating BUS 8 Year EUL</t>
  </si>
  <si>
    <t>Water Heating BUS 9 Year EUL</t>
  </si>
  <si>
    <t>Water Heating RES 1 Year EUL</t>
  </si>
  <si>
    <t>Water Heating RES 10 Year EUL</t>
  </si>
  <si>
    <t>Water Heating RES 11 Year EUL</t>
  </si>
  <si>
    <t>Water Heating RES 12 Year EUL</t>
  </si>
  <si>
    <t>Water Heating RES 13 Year EUL</t>
  </si>
  <si>
    <t>Water Heating RES 14 Year EUL</t>
  </si>
  <si>
    <t>Water Heating RES 15 Year EUL</t>
  </si>
  <si>
    <t>Water Heating RES 16 Year EUL</t>
  </si>
  <si>
    <t>Water Heating RES 17 Year EUL</t>
  </si>
  <si>
    <t>Water Heating RES 18 Year EUL</t>
  </si>
  <si>
    <t>Water Heating RES 19 Year EUL</t>
  </si>
  <si>
    <t>Water Heating RES 2 Year EUL</t>
  </si>
  <si>
    <t>Water Heating RES 20 Year EUL</t>
  </si>
  <si>
    <t>Water Heating RES 21 Year EUL</t>
  </si>
  <si>
    <t>Water Heating RES 22 Year EUL</t>
  </si>
  <si>
    <t>Water Heating RES 23 Year EUL</t>
  </si>
  <si>
    <t>Water Heating RES 24 Year EUL</t>
  </si>
  <si>
    <t>Water Heating RES 25 Year EUL</t>
  </si>
  <si>
    <t>Water Heating RES 3 Year EUL</t>
  </si>
  <si>
    <t>Water Heating RES 4 Year EUL</t>
  </si>
  <si>
    <t>Water Heating RES 5 Year EUL</t>
  </si>
  <si>
    <t>Water Heating RES 6 Year EUL</t>
  </si>
  <si>
    <t>Water Heating RES 7 Year EUL</t>
  </si>
  <si>
    <t>Water Heating RES 8 Year EUL</t>
  </si>
  <si>
    <t>Water Heating RES 9 Year EUL</t>
  </si>
  <si>
    <t>Building Shell RES 30 Year EUL</t>
  </si>
  <si>
    <t>DSM2018_BT_MEEIA_4_RESandBUS_20YR Submittal Tool_08_23_2024</t>
  </si>
  <si>
    <t>Refrigeration RES ER1 5 Year EUL</t>
  </si>
  <si>
    <t>added to account for changing EUL in PY24 TRM update</t>
  </si>
  <si>
    <t>Refrigeration RES ER2 10 Year EUL</t>
  </si>
  <si>
    <t>Cooling RES ER2 10 Year EUL</t>
  </si>
  <si>
    <t>Heating RES ER2 10 Year EUL</t>
  </si>
  <si>
    <t>RESIDENTIAL</t>
  </si>
  <si>
    <t>Appliances RES</t>
  </si>
  <si>
    <t>Clothes Dryer RES</t>
  </si>
  <si>
    <t>Clothes Washer RES</t>
  </si>
  <si>
    <t>Color TV RES</t>
  </si>
  <si>
    <t>Cooking RES</t>
  </si>
  <si>
    <t>Dishwasher RES</t>
  </si>
  <si>
    <t>Freezer RES</t>
  </si>
  <si>
    <t>Freezer RES ER2</t>
  </si>
  <si>
    <t>HVAC RES ER2</t>
  </si>
  <si>
    <t>Pool Spa RES</t>
  </si>
  <si>
    <t>BUSINESS</t>
  </si>
  <si>
    <t>Building Shell BUS</t>
  </si>
  <si>
    <t>Ext Lighting BUS</t>
  </si>
  <si>
    <t>Miscellaneous BUS</t>
  </si>
  <si>
    <t>Process BUS</t>
  </si>
  <si>
    <t>End-Use Energy Load Shapes</t>
  </si>
  <si>
    <t>% Energy by Month</t>
  </si>
  <si>
    <t>Residential End-Use Load Shape</t>
  </si>
  <si>
    <t>Business End-Use Load Shape</t>
  </si>
  <si>
    <t>Month</t>
  </si>
  <si>
    <t>January</t>
  </si>
  <si>
    <t>February</t>
  </si>
  <si>
    <t>March</t>
  </si>
  <si>
    <t>April</t>
  </si>
  <si>
    <t>May</t>
  </si>
  <si>
    <t>June</t>
  </si>
  <si>
    <t>July</t>
  </si>
  <si>
    <t>August</t>
  </si>
  <si>
    <t>September</t>
  </si>
  <si>
    <t>October</t>
  </si>
  <si>
    <t>November</t>
  </si>
  <si>
    <t>December</t>
  </si>
  <si>
    <t>End-Use Energy to Coincident Peak Demand Factors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</si>
</sst>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5" formatCode="&quot;$&quot;#,##0_);\(&quot;$&quot;#,##0\)"/>
    <numFmt numFmtId="7" formatCode="&quot;$&quot;#,##0.00_);\(&quot;$&quot;#,##0.00\)"/>
    <numFmt numFmtId="8" formatCode="&quot;$&quot;#,##0.00_);[Red]\(&quot;$&quot;#,##0.00\)"/>
    <numFmt numFmtId="44" formatCode="_(&quot;$&quot;* #,##0.00_);_(&quot;$&quot;* \(#,##0.00\);_(&quot;$&quot;* &quot;-&quot;??_);_(@_)"/>
    <numFmt numFmtId="43" formatCode="_(* #,##0.00_);_(* \(#,##0.00\);_(* &quot;-&quot;??_);_(@_)"/>
    <numFmt numFmtId="164" formatCode="[$-409]mmmm\ d\,\ yyyy;@"/>
    <numFmt numFmtId="165" formatCode="0.0"/>
    <numFmt numFmtId="166" formatCode="0.0000000000"/>
    <numFmt numFmtId="167" formatCode="[$-409]mmmm\-yy;@"/>
    <numFmt numFmtId="168" formatCode="_(* #,##0_);_(* \(#,##0\);_(* &quot;-&quot;??_);_(@_)"/>
    <numFmt numFmtId="169" formatCode="0.000000"/>
    <numFmt numFmtId="170" formatCode="#,##0.0_);\(#,##0.0\)"/>
    <numFmt numFmtId="171" formatCode="&quot;$&quot;#,##0.00"/>
    <numFmt numFmtId="172" formatCode="0.0%"/>
    <numFmt numFmtId="173" formatCode="_(&quot;$&quot;* #,##0_);_(&quot;$&quot;* \(#,##0\);_(&quot;$&quot;* &quot;-&quot;??_);_(@_)"/>
    <numFmt numFmtId="174" formatCode="0.00_);\(0.00\)"/>
    <numFmt numFmtId="175" formatCode="0_);\(0\)"/>
    <numFmt numFmtId="176" formatCode="0.0_);\(0.0\)"/>
    <numFmt numFmtId="177" formatCode="0.000_);\(0.000\)"/>
    <numFmt numFmtId="178" formatCode="0.0000"/>
    <numFmt numFmtId="179" formatCode="#,##0.0"/>
    <numFmt numFmtId="180" formatCode="0.000"/>
    <numFmt numFmtId="181" formatCode="#,##0.000"/>
    <numFmt numFmtId="182" formatCode="#,##0.0000000000_);\(#,##0.0000000000\)"/>
    <numFmt numFmtId="183" formatCode="#,##0.0000000_);\(#,##0.0000000\)"/>
    <numFmt numFmtId="184" formatCode="#,##0.0000_);\(#,##0.0000\)"/>
    <numFmt numFmtId="185" formatCode="0.00000"/>
    <numFmt numFmtId="186" formatCode="0.00000000"/>
    <numFmt numFmtId="187" formatCode="#,##0.000_);\(#,##0.000\)"/>
    <numFmt numFmtId="188" formatCode="0.000%"/>
    <numFmt numFmtId="189" formatCode="#,##0.000000_);\(#,##0.000000\)"/>
    <numFmt numFmtId="190" formatCode="_(* #,##0.0000000_);_(* \(#,##0.0000000\);_(* &quot;-&quot;??_);_(@_)"/>
    <numFmt numFmtId="191" formatCode="_(* #,##0.0_);_(* \(#,##0.0\);_(* &quot;-&quot;??_);_(@_)"/>
    <numFmt numFmtId="192" formatCode="&quot;$&quot;#,##0.00000_);\(&quot;$&quot;#,##0.00000\)"/>
    <numFmt numFmtId="193" formatCode="&quot;$&quot;#,##0.000_);\(&quot;$&quot;#,##0.000\)"/>
    <numFmt numFmtId="194" formatCode="[$$-409]#,##0.00_);\([$$-409]#,##0.00\)"/>
    <numFmt numFmtId="195" formatCode="0.000000000000"/>
    <numFmt numFmtId="196" formatCode="0.0000%"/>
    <numFmt numFmtId="197" formatCode="_(* #,##0.000000_);_(* \(#,##0.000000\);_(* &quot;-&quot;??????_);_(@_)"/>
    <numFmt numFmtId="198" formatCode="&quot;$&quot;#,##0.0000"/>
    <numFmt numFmtId="199" formatCode="0.00000%"/>
    <numFmt numFmtId="200" formatCode="0.00000000%"/>
    <numFmt numFmtId="201" formatCode="0.000000%"/>
    <numFmt numFmtId="202" formatCode="0.00000000000000"/>
    <numFmt numFmtId="203" formatCode="_(* #,##0.000000_);_(* \(#,##0.000000\);_(* &quot;-&quot;??_);_(@_)"/>
    <numFmt numFmtId="204" formatCode="#,##0.000000"/>
    <numFmt numFmtId="205" formatCode="_(* #,##0.0000_);_(* \(#,##0.0000\);_(* &quot;-&quot;??_);_(@_)"/>
    <numFmt numFmtId="206" formatCode="&quot;$&quot;#,##0"/>
    <numFmt numFmtId="207" formatCode="0.000000000%"/>
    <numFmt numFmtId="208" formatCode="_(&quot;$&quot;* #,##0.0000_);_(&quot;$&quot;* \(#,##0.0000\);_(&quot;$&quot;* &quot;-&quot;??_);_(@_)"/>
  </numFmts>
  <fonts count="107" x14ac:knownFonts="1">
    <font>
      <sz val="11"/>
      <color theme="1"/>
      <name val="Calibri"/>
      <family val="2"/>
      <scheme val="minor"/>
    </font>
    <font>
      <sz val="11"/>
      <color theme="1"/>
      <name val="Calibri"/>
      <family val="2"/>
      <scheme val="minor"/>
    </font>
    <font>
      <sz val="11"/>
      <color rgb="FF3F3F76"/>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28"/>
      <color theme="1"/>
      <name val="Calibri"/>
      <family val="2"/>
      <scheme val="minor"/>
    </font>
    <font>
      <sz val="10"/>
      <name val="Times New Roman"/>
      <family val="1"/>
    </font>
    <font>
      <sz val="10"/>
      <color theme="1"/>
      <name val="Calibri"/>
      <family val="2"/>
      <scheme val="minor"/>
    </font>
    <font>
      <b/>
      <sz val="14"/>
      <color theme="0"/>
      <name val="Calibri"/>
      <family val="2"/>
      <scheme val="minor"/>
    </font>
    <font>
      <sz val="10"/>
      <color theme="0"/>
      <name val="Calibri"/>
      <family val="2"/>
      <scheme val="minor"/>
    </font>
    <font>
      <sz val="11"/>
      <name val="Calibri"/>
      <family val="2"/>
      <scheme val="minor"/>
    </font>
    <font>
      <sz val="10"/>
      <color rgb="FFFF0000"/>
      <name val="Calibri"/>
      <family val="2"/>
      <scheme val="minor"/>
    </font>
    <font>
      <sz val="10"/>
      <color rgb="FF000000"/>
      <name val="Calibri"/>
      <family val="2"/>
    </font>
    <font>
      <sz val="11"/>
      <color theme="1"/>
      <name val="Calibri Light"/>
      <family val="2"/>
    </font>
    <font>
      <sz val="11"/>
      <color rgb="FFFF0000"/>
      <name val="Calibri Light"/>
      <family val="2"/>
    </font>
    <font>
      <vertAlign val="superscript"/>
      <sz val="11"/>
      <name val="Calibri"/>
      <family val="2"/>
      <scheme val="minor"/>
    </font>
    <font>
      <sz val="11"/>
      <name val="Calibri"/>
      <family val="2"/>
    </font>
    <font>
      <sz val="9"/>
      <color indexed="81"/>
      <name val="Tahoma"/>
      <family val="2"/>
    </font>
    <font>
      <b/>
      <sz val="9"/>
      <color indexed="81"/>
      <name val="Tahoma"/>
      <family val="2"/>
    </font>
    <font>
      <b/>
      <sz val="12"/>
      <color theme="0"/>
      <name val="Calibri"/>
      <family val="2"/>
      <scheme val="minor"/>
    </font>
    <font>
      <sz val="10"/>
      <name val="Arial"/>
      <family val="2"/>
    </font>
    <font>
      <sz val="10"/>
      <name val="Calibri"/>
      <family val="2"/>
      <scheme val="minor"/>
    </font>
    <font>
      <sz val="11"/>
      <color rgb="FF9C5700"/>
      <name val="Calibri"/>
      <family val="2"/>
      <scheme val="minor"/>
    </font>
    <font>
      <b/>
      <sz val="16"/>
      <name val="Calibri"/>
      <family val="2"/>
      <scheme val="minor"/>
    </font>
    <font>
      <b/>
      <sz val="11"/>
      <name val="Calibri"/>
      <family val="2"/>
      <scheme val="minor"/>
    </font>
    <font>
      <vertAlign val="subscript"/>
      <sz val="11"/>
      <name val="Calibri"/>
      <family val="2"/>
      <scheme val="minor"/>
    </font>
    <font>
      <b/>
      <sz val="10"/>
      <name val="Calibri"/>
      <family val="2"/>
      <scheme val="minor"/>
    </font>
    <font>
      <sz val="11"/>
      <color rgb="FF000000"/>
      <name val="Calibri"/>
      <family val="2"/>
      <scheme val="minor"/>
    </font>
    <font>
      <sz val="11"/>
      <color indexed="8"/>
      <name val="Calibri"/>
      <family val="2"/>
      <scheme val="minor"/>
    </font>
    <font>
      <b/>
      <u/>
      <sz val="11"/>
      <name val="Calibri"/>
      <family val="2"/>
      <scheme val="minor"/>
    </font>
    <font>
      <i/>
      <sz val="11"/>
      <name val="Calibri"/>
      <family val="2"/>
      <scheme val="minor"/>
    </font>
    <font>
      <vertAlign val="subscript"/>
      <sz val="11"/>
      <color theme="1"/>
      <name val="Calibri"/>
      <family val="2"/>
      <scheme val="minor"/>
    </font>
    <font>
      <sz val="11"/>
      <color rgb="FF00B050"/>
      <name val="Calibri"/>
      <family val="2"/>
      <scheme val="minor"/>
    </font>
    <font>
      <i/>
      <sz val="11"/>
      <color theme="1"/>
      <name val="Calibri"/>
      <family val="2"/>
      <scheme val="minor"/>
    </font>
    <font>
      <b/>
      <sz val="18"/>
      <name val="Calibri"/>
      <family val="2"/>
      <scheme val="minor"/>
    </font>
    <font>
      <sz val="20"/>
      <color theme="1"/>
      <name val="Calibri"/>
      <family val="2"/>
      <scheme val="minor"/>
    </font>
    <font>
      <i/>
      <vertAlign val="subscript"/>
      <sz val="11"/>
      <name val="Calibri"/>
      <family val="2"/>
      <scheme val="minor"/>
    </font>
    <font>
      <u/>
      <sz val="11"/>
      <color theme="10"/>
      <name val="Calibri"/>
      <family val="2"/>
      <scheme val="minor"/>
    </font>
    <font>
      <sz val="12"/>
      <color indexed="81"/>
      <name val="Tahoma"/>
      <family val="2"/>
    </font>
    <font>
      <sz val="11"/>
      <color indexed="81"/>
      <name val="Tahoma"/>
      <family val="2"/>
    </font>
    <font>
      <sz val="14"/>
      <color indexed="81"/>
      <name val="Tahoma"/>
      <family val="2"/>
    </font>
    <font>
      <b/>
      <sz val="14"/>
      <color indexed="81"/>
      <name val="Tahoma"/>
      <family val="2"/>
    </font>
    <font>
      <b/>
      <sz val="16"/>
      <color indexed="81"/>
      <name val="Tahoma"/>
      <family val="2"/>
    </font>
    <font>
      <sz val="20"/>
      <color indexed="81"/>
      <name val="Tahoma"/>
      <family val="2"/>
    </font>
    <font>
      <i/>
      <vertAlign val="subscript"/>
      <sz val="11"/>
      <color theme="1"/>
      <name val="Calibri"/>
      <family val="2"/>
      <scheme val="minor"/>
    </font>
    <font>
      <sz val="11"/>
      <color rgb="FF0070C0"/>
      <name val="Calibri"/>
      <family val="2"/>
      <scheme val="minor"/>
    </font>
    <font>
      <b/>
      <sz val="12"/>
      <name val="Calibri"/>
      <family val="2"/>
      <scheme val="minor"/>
    </font>
    <font>
      <strike/>
      <sz val="11"/>
      <name val="Calibri"/>
      <family val="2"/>
      <scheme val="minor"/>
    </font>
    <font>
      <sz val="16"/>
      <name val="Calibri"/>
      <family val="2"/>
      <scheme val="minor"/>
    </font>
    <font>
      <b/>
      <sz val="10"/>
      <name val="Calibri"/>
      <family val="2"/>
    </font>
    <font>
      <sz val="12"/>
      <name val="Calibri"/>
      <family val="2"/>
      <scheme val="minor"/>
    </font>
    <font>
      <sz val="12"/>
      <color theme="0"/>
      <name val="Calibri"/>
      <family val="2"/>
      <scheme val="minor"/>
    </font>
    <font>
      <u/>
      <sz val="11"/>
      <name val="Calibri"/>
      <family val="2"/>
      <scheme val="minor"/>
    </font>
    <font>
      <vertAlign val="subscript"/>
      <sz val="10"/>
      <name val="Calibri"/>
      <family val="2"/>
      <scheme val="minor"/>
    </font>
    <font>
      <b/>
      <sz val="14"/>
      <color theme="1"/>
      <name val="Calibri"/>
      <family val="2"/>
      <scheme val="minor"/>
    </font>
    <font>
      <b/>
      <sz val="14"/>
      <color rgb="FF0070C0"/>
      <name val="Calibri"/>
      <family val="2"/>
      <scheme val="minor"/>
    </font>
    <font>
      <b/>
      <sz val="14"/>
      <color rgb="FFFF0000"/>
      <name val="Calibri"/>
      <family val="2"/>
      <scheme val="minor"/>
    </font>
    <font>
      <b/>
      <sz val="28"/>
      <color theme="1"/>
      <name val="Calibri"/>
      <family val="2"/>
      <scheme val="minor"/>
    </font>
    <font>
      <sz val="12"/>
      <color theme="1"/>
      <name val="Calibri"/>
      <family val="2"/>
      <scheme val="minor"/>
    </font>
    <font>
      <b/>
      <sz val="11"/>
      <color rgb="FFFF0000"/>
      <name val="Calibri"/>
      <family val="2"/>
      <scheme val="minor"/>
    </font>
    <font>
      <b/>
      <sz val="20"/>
      <color theme="1"/>
      <name val="Calibri"/>
      <family val="2"/>
      <scheme val="minor"/>
    </font>
    <font>
      <b/>
      <sz val="11"/>
      <name val="Calibri"/>
      <family val="2"/>
    </font>
    <font>
      <b/>
      <strike/>
      <sz val="11"/>
      <color rgb="FFFF0000"/>
      <name val="Calibri"/>
      <family val="2"/>
      <scheme val="minor"/>
    </font>
    <font>
      <b/>
      <sz val="14"/>
      <name val="Calibri"/>
      <family val="2"/>
      <scheme val="minor"/>
    </font>
    <font>
      <sz val="10"/>
      <name val="Calibri"/>
      <family val="2"/>
    </font>
    <font>
      <sz val="8"/>
      <name val="Calibri"/>
      <family val="2"/>
      <scheme val="minor"/>
    </font>
    <font>
      <b/>
      <strike/>
      <sz val="11"/>
      <name val="Calibri"/>
      <family val="2"/>
      <scheme val="minor"/>
    </font>
    <font>
      <b/>
      <sz val="26"/>
      <name val="Calibri"/>
      <family val="2"/>
      <scheme val="minor"/>
    </font>
    <font>
      <sz val="9"/>
      <color theme="0" tint="-0.499984740745262"/>
      <name val="Calibri"/>
      <family val="2"/>
      <scheme val="minor"/>
    </font>
    <font>
      <sz val="11"/>
      <color theme="0" tint="-0.499984740745262"/>
      <name val="Calibri"/>
      <family val="2"/>
      <scheme val="minor"/>
    </font>
    <font>
      <sz val="36"/>
      <name val="Calibri"/>
      <family val="2"/>
      <scheme val="minor"/>
    </font>
    <font>
      <b/>
      <sz val="14"/>
      <name val="Times New Roman"/>
      <family val="1"/>
    </font>
    <font>
      <b/>
      <sz val="28"/>
      <color rgb="FF7030A0"/>
      <name val="Calibri"/>
      <family val="2"/>
      <scheme val="minor"/>
    </font>
    <font>
      <b/>
      <sz val="28"/>
      <name val="Calibri"/>
      <family val="2"/>
      <scheme val="minor"/>
    </font>
    <font>
      <b/>
      <sz val="28"/>
      <color rgb="FFFF0000"/>
      <name val="Calibri"/>
      <family val="2"/>
      <scheme val="minor"/>
    </font>
    <font>
      <sz val="18"/>
      <color theme="1"/>
      <name val="Calibri"/>
      <family val="2"/>
      <scheme val="minor"/>
    </font>
    <font>
      <b/>
      <sz val="15"/>
      <name val="Calibri"/>
      <family val="2"/>
      <scheme val="minor"/>
    </font>
    <font>
      <b/>
      <sz val="15"/>
      <color rgb="FFC00000"/>
      <name val="Calibri"/>
      <family val="2"/>
      <scheme val="minor"/>
    </font>
    <font>
      <b/>
      <sz val="15"/>
      <color theme="1"/>
      <name val="Calibri"/>
      <family val="2"/>
      <scheme val="minor"/>
    </font>
    <font>
      <b/>
      <sz val="18"/>
      <color theme="0"/>
      <name val="Calibri"/>
      <family val="2"/>
      <scheme val="minor"/>
    </font>
    <font>
      <sz val="9"/>
      <color theme="1"/>
      <name val="Calibri"/>
      <family val="2"/>
      <scheme val="minor"/>
    </font>
    <font>
      <sz val="10"/>
      <color theme="0" tint="-0.34998626667073579"/>
      <name val="Calibri"/>
      <family val="2"/>
      <scheme val="minor"/>
    </font>
    <font>
      <b/>
      <sz val="10"/>
      <color rgb="FFFFFFFF"/>
      <name val="Calibri"/>
      <family val="2"/>
    </font>
    <font>
      <sz val="11"/>
      <name val="Aptos Narrow"/>
      <family val="2"/>
    </font>
    <font>
      <b/>
      <sz val="9"/>
      <color rgb="FFFFFFFF"/>
      <name val="Calibri"/>
      <family val="2"/>
    </font>
    <font>
      <i/>
      <sz val="10"/>
      <color theme="1"/>
      <name val="Calibri"/>
      <family val="2"/>
      <scheme val="minor"/>
    </font>
    <font>
      <i/>
      <sz val="10"/>
      <name val="Calibri"/>
      <family val="2"/>
      <scheme val="minor"/>
    </font>
    <font>
      <sz val="12"/>
      <color rgb="FFFF0000"/>
      <name val="Calibri"/>
      <family val="2"/>
      <scheme val="minor"/>
    </font>
    <font>
      <b/>
      <sz val="11"/>
      <color indexed="81"/>
      <name val="Tahoma"/>
      <family val="2"/>
    </font>
    <font>
      <b/>
      <sz val="12"/>
      <color indexed="81"/>
      <name val="Tahoma"/>
      <family val="2"/>
    </font>
    <font>
      <sz val="12"/>
      <name val="Times New Roman"/>
      <family val="1"/>
    </font>
    <font>
      <i/>
      <sz val="12"/>
      <name val="Times New Roman"/>
      <family val="1"/>
    </font>
    <font>
      <vertAlign val="subscript"/>
      <sz val="12"/>
      <name val="Times New Roman"/>
      <family val="1"/>
    </font>
    <font>
      <sz val="9"/>
      <name val="Times New Roman"/>
      <family val="1"/>
    </font>
    <font>
      <sz val="20"/>
      <name val="Calibri"/>
      <family val="2"/>
      <scheme val="minor"/>
    </font>
    <font>
      <sz val="10"/>
      <color theme="0" tint="-0.249977111117893"/>
      <name val="Calibri"/>
      <family val="2"/>
      <scheme val="minor"/>
    </font>
    <font>
      <sz val="11"/>
      <name val="Times New Roman"/>
      <family val="1"/>
    </font>
    <font>
      <sz val="11"/>
      <name val="Times New Roman"/>
      <family val="1"/>
      <charset val="1"/>
    </font>
    <font>
      <sz val="11"/>
      <color rgb="FF002060"/>
      <name val="Calibri"/>
      <family val="2"/>
      <scheme val="minor"/>
    </font>
    <font>
      <sz val="11"/>
      <color theme="8"/>
      <name val="Calibri"/>
      <family val="2"/>
      <scheme val="minor"/>
    </font>
    <font>
      <sz val="11"/>
      <color theme="9" tint="-0.499984740745262"/>
      <name val="Calibri"/>
      <family val="2"/>
      <scheme val="minor"/>
    </font>
    <font>
      <sz val="11"/>
      <color rgb="FF990099"/>
      <name val="Calibri"/>
      <family val="2"/>
      <scheme val="minor"/>
    </font>
    <font>
      <sz val="11"/>
      <color theme="9" tint="0.39997558519241921"/>
      <name val="Calibri"/>
      <family val="2"/>
      <scheme val="minor"/>
    </font>
    <font>
      <b/>
      <sz val="9"/>
      <color indexed="10"/>
      <name val="Tahoma"/>
      <family val="2"/>
    </font>
    <font>
      <strike/>
      <sz val="11"/>
      <color theme="1"/>
      <name val="Calibri"/>
      <family val="2"/>
      <scheme val="minor"/>
    </font>
  </fonts>
  <fills count="50">
    <fill>
      <patternFill patternType="none"/>
    </fill>
    <fill>
      <patternFill patternType="gray125"/>
    </fill>
    <fill>
      <patternFill patternType="solid">
        <fgColor rgb="FFFFEB9C"/>
      </patternFill>
    </fill>
    <fill>
      <patternFill patternType="solid">
        <fgColor rgb="FFFFCC99"/>
      </patternFill>
    </fill>
    <fill>
      <patternFill patternType="solid">
        <fgColor theme="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A9D08E"/>
        <bgColor indexed="64"/>
      </patternFill>
    </fill>
    <fill>
      <patternFill patternType="solid">
        <fgColor rgb="FF9BC2E6"/>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rgb="FFFFFFFF"/>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4"/>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rgb="FFD9D9D9"/>
        <bgColor rgb="FF000000"/>
      </patternFill>
    </fill>
    <fill>
      <patternFill patternType="solid">
        <fgColor rgb="FFFFFFFF"/>
        <bgColor rgb="FF000000"/>
      </patternFill>
    </fill>
    <fill>
      <patternFill patternType="solid">
        <fgColor theme="0"/>
        <bgColor rgb="FF000000"/>
      </patternFill>
    </fill>
    <fill>
      <patternFill patternType="solid">
        <fgColor theme="7"/>
        <bgColor indexed="64"/>
      </patternFill>
    </fill>
    <fill>
      <patternFill patternType="solid">
        <fgColor theme="0" tint="-0.14996795556505021"/>
        <bgColor indexed="64"/>
      </patternFill>
    </fill>
    <fill>
      <patternFill patternType="solid">
        <fgColor rgb="FFFCEAF0"/>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0" tint="-0.499984740745262"/>
        <bgColor indexed="64"/>
      </patternFill>
    </fill>
    <fill>
      <patternFill patternType="solid">
        <fgColor theme="2" tint="-0.499984740745262"/>
        <bgColor indexed="64"/>
      </patternFill>
    </fill>
    <fill>
      <patternFill patternType="solid">
        <fgColor rgb="FF7F7F7F"/>
        <bgColor indexed="64"/>
      </patternFill>
    </fill>
    <fill>
      <patternFill patternType="solid">
        <fgColor theme="4" tint="0.79998168889431442"/>
        <bgColor indexed="64"/>
      </patternFill>
    </fill>
    <fill>
      <patternFill patternType="solid">
        <fgColor theme="9" tint="0.39994506668294322"/>
        <bgColor indexed="64"/>
      </patternFill>
    </fill>
    <fill>
      <patternFill patternType="solid">
        <fgColor theme="0" tint="-0.14999847407452621"/>
        <bgColor rgb="FF000000"/>
      </patternFill>
    </fill>
    <fill>
      <patternFill patternType="solid">
        <fgColor rgb="FFDDEBF7"/>
        <bgColor indexed="64"/>
      </patternFill>
    </fill>
  </fills>
  <borders count="94">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bottom/>
      <diagonal/>
    </border>
    <border>
      <left style="thin">
        <color indexed="64"/>
      </left>
      <right style="thin">
        <color indexed="64"/>
      </right>
      <top/>
      <bottom/>
      <diagonal/>
    </border>
    <border>
      <left style="thin">
        <color auto="1"/>
      </left>
      <right style="thin">
        <color auto="1"/>
      </right>
      <top/>
      <bottom style="medium">
        <color indexed="64"/>
      </bottom>
      <diagonal/>
    </border>
    <border>
      <left style="thin">
        <color indexed="64"/>
      </left>
      <right/>
      <top style="thin">
        <color indexed="64"/>
      </top>
      <bottom style="medium">
        <color indexed="64"/>
      </bottom>
      <diagonal/>
    </border>
    <border>
      <left/>
      <right/>
      <top style="thin">
        <color theme="0"/>
      </top>
      <bottom style="thin">
        <color theme="0"/>
      </bottom>
      <diagonal/>
    </border>
    <border>
      <left style="thin">
        <color theme="0"/>
      </left>
      <right style="thin">
        <color theme="0"/>
      </right>
      <top/>
      <bottom/>
      <diagonal/>
    </border>
    <border>
      <left/>
      <right/>
      <top/>
      <bottom style="thin">
        <color theme="0"/>
      </bottom>
      <diagonal/>
    </border>
    <border>
      <left/>
      <right/>
      <top style="thin">
        <color theme="0"/>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bottom/>
      <diagonal/>
    </border>
    <border>
      <left/>
      <right style="medium">
        <color indexed="64"/>
      </right>
      <top/>
      <bottom/>
      <diagonal/>
    </border>
    <border>
      <left style="thin">
        <color rgb="FF000000"/>
      </left>
      <right style="thin">
        <color rgb="FF000000"/>
      </right>
      <top style="thin">
        <color rgb="FF000000"/>
      </top>
      <bottom style="thin">
        <color rgb="FF000000"/>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A6A6A6"/>
      </left>
      <right style="thin">
        <color rgb="FFA6A6A6"/>
      </right>
      <top style="thin">
        <color rgb="FFA6A6A6"/>
      </top>
      <bottom style="thin">
        <color rgb="FFA6A6A6"/>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bottom style="thick">
        <color indexed="64"/>
      </bottom>
      <diagonal/>
    </border>
    <border>
      <left style="thick">
        <color indexed="64"/>
      </left>
      <right style="medium">
        <color indexed="64"/>
      </right>
      <top style="thick">
        <color indexed="64"/>
      </top>
      <bottom style="thin">
        <color indexed="64"/>
      </bottom>
      <diagonal/>
    </border>
    <border>
      <left style="medium">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medium">
        <color indexed="64"/>
      </right>
      <top style="thin">
        <color indexed="64"/>
      </top>
      <bottom style="medium">
        <color indexed="64"/>
      </bottom>
      <diagonal/>
    </border>
    <border>
      <left style="medium">
        <color indexed="64"/>
      </left>
      <right style="thick">
        <color indexed="64"/>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top/>
      <bottom style="thin">
        <color indexed="64"/>
      </bottom>
      <diagonal/>
    </border>
    <border>
      <left style="medium">
        <color indexed="64"/>
      </left>
      <right style="thick">
        <color indexed="64"/>
      </right>
      <top style="medium">
        <color indexed="64"/>
      </top>
      <bottom style="thin">
        <color indexed="64"/>
      </bottom>
      <diagonal/>
    </border>
    <border>
      <left style="thick">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diagonal/>
    </border>
    <border>
      <left style="medium">
        <color indexed="64"/>
      </left>
      <right style="medium">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bottom style="thick">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top style="thin">
        <color indexed="64"/>
      </top>
      <bottom style="thin">
        <color indexed="64"/>
      </bottom>
      <diagonal/>
    </border>
  </borders>
  <cellStyleXfs count="23">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3" borderId="1" applyNumberFormat="0" applyAlignment="0" applyProtection="0"/>
    <xf numFmtId="0" fontId="9" fillId="0" borderId="0"/>
    <xf numFmtId="0" fontId="1" fillId="0" borderId="0"/>
    <xf numFmtId="9" fontId="14" fillId="0" borderId="0">
      <alignment horizontal="right" vertical="center" wrapText="1" readingOrder="1"/>
    </xf>
    <xf numFmtId="0" fontId="15"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2" fillId="0" borderId="0"/>
    <xf numFmtId="0" fontId="1" fillId="0" borderId="0"/>
    <xf numFmtId="0" fontId="24" fillId="2" borderId="0" applyNumberFormat="0" applyBorder="0" applyAlignment="0" applyProtection="0"/>
    <xf numFmtId="9" fontId="29" fillId="0" borderId="0" applyFont="0" applyFill="0" applyBorder="0" applyAlignment="0" applyProtection="0"/>
    <xf numFmtId="9" fontId="30" fillId="0" borderId="0" applyFont="0" applyFill="0" applyBorder="0" applyAlignment="0" applyProtection="0"/>
    <xf numFmtId="0" fontId="39" fillId="0" borderId="0" applyNumberFormat="0" applyFill="0" applyBorder="0" applyAlignment="0" applyProtection="0"/>
    <xf numFmtId="0" fontId="22" fillId="0" borderId="0"/>
    <xf numFmtId="44" fontId="1" fillId="0" borderId="0" applyFont="0" applyFill="0" applyBorder="0" applyAlignment="0" applyProtection="0"/>
    <xf numFmtId="9" fontId="1" fillId="0" borderId="0" applyFont="0" applyFill="0" applyBorder="0" applyAlignment="0" applyProtection="0"/>
    <xf numFmtId="0" fontId="18" fillId="0" borderId="0"/>
    <xf numFmtId="0" fontId="22" fillId="0" borderId="0"/>
  </cellStyleXfs>
  <cellXfs count="2456">
    <xf numFmtId="0" fontId="0" fillId="0" borderId="0" xfId="0"/>
    <xf numFmtId="0" fontId="0" fillId="0" borderId="0" xfId="0" applyAlignment="1">
      <alignment horizontal="center" wrapText="1"/>
    </xf>
    <xf numFmtId="0" fontId="9" fillId="0" borderId="0" xfId="5"/>
    <xf numFmtId="0" fontId="10" fillId="9" borderId="0" xfId="5" applyFont="1" applyFill="1"/>
    <xf numFmtId="0" fontId="11" fillId="9" borderId="0" xfId="5" applyFont="1" applyFill="1"/>
    <xf numFmtId="0" fontId="9" fillId="9" borderId="0" xfId="5" applyFill="1"/>
    <xf numFmtId="0" fontId="1" fillId="0" borderId="0" xfId="6"/>
    <xf numFmtId="0" fontId="12" fillId="0" borderId="0" xfId="5" applyFont="1"/>
    <xf numFmtId="0" fontId="9" fillId="0" borderId="0" xfId="6" applyFont="1"/>
    <xf numFmtId="0" fontId="12" fillId="11" borderId="9" xfId="6" applyFont="1" applyFill="1" applyBorder="1" applyAlignment="1">
      <alignment horizontal="center" vertical="center" wrapText="1"/>
    </xf>
    <xf numFmtId="166" fontId="12" fillId="11" borderId="9" xfId="5" applyNumberFormat="1" applyFont="1" applyFill="1" applyBorder="1" applyAlignment="1">
      <alignment horizontal="center" vertical="center" wrapText="1"/>
    </xf>
    <xf numFmtId="0" fontId="12" fillId="11" borderId="19" xfId="6" applyFont="1" applyFill="1" applyBorder="1" applyAlignment="1">
      <alignment horizontal="center" vertical="center" wrapText="1"/>
    </xf>
    <xf numFmtId="0" fontId="12" fillId="8" borderId="9" xfId="0" applyFont="1" applyFill="1" applyBorder="1"/>
    <xf numFmtId="0" fontId="0" fillId="12" borderId="0" xfId="0" applyFill="1"/>
    <xf numFmtId="0" fontId="12" fillId="12" borderId="9" xfId="0" applyFont="1" applyFill="1" applyBorder="1" applyAlignment="1">
      <alignment horizontal="center" vertical="center" wrapText="1"/>
    </xf>
    <xf numFmtId="166" fontId="12" fillId="12" borderId="9" xfId="0" applyNumberFormat="1" applyFont="1" applyFill="1" applyBorder="1" applyAlignment="1">
      <alignment horizontal="center" vertical="center" wrapText="1"/>
    </xf>
    <xf numFmtId="2" fontId="0" fillId="0" borderId="9" xfId="0" applyNumberFormat="1" applyBorder="1" applyAlignment="1">
      <alignment horizontal="center"/>
    </xf>
    <xf numFmtId="2" fontId="12" fillId="0" borderId="9" xfId="0" applyNumberFormat="1" applyFont="1" applyBorder="1" applyAlignment="1">
      <alignment horizontal="center"/>
    </xf>
    <xf numFmtId="0" fontId="12" fillId="0" borderId="9" xfId="0" applyFont="1" applyBorder="1" applyAlignment="1">
      <alignment horizontal="center"/>
    </xf>
    <xf numFmtId="170" fontId="12" fillId="0" borderId="9" xfId="5" applyNumberFormat="1" applyFont="1" applyBorder="1" applyAlignment="1">
      <alignment horizontal="center"/>
    </xf>
    <xf numFmtId="2" fontId="12" fillId="4" borderId="9" xfId="0" applyNumberFormat="1" applyFont="1" applyFill="1" applyBorder="1" applyAlignment="1">
      <alignment horizontal="center"/>
    </xf>
    <xf numFmtId="0" fontId="9" fillId="0" borderId="0" xfId="5" applyAlignment="1">
      <alignment horizontal="center"/>
    </xf>
    <xf numFmtId="165" fontId="12" fillId="0" borderId="9" xfId="0" applyNumberFormat="1" applyFont="1" applyBorder="1" applyAlignment="1">
      <alignment horizontal="center"/>
    </xf>
    <xf numFmtId="2" fontId="12" fillId="0" borderId="0" xfId="5" applyNumberFormat="1" applyFont="1" applyAlignment="1">
      <alignment horizontal="center"/>
    </xf>
    <xf numFmtId="165" fontId="1" fillId="0" borderId="29" xfId="6" applyNumberFormat="1" applyBorder="1" applyAlignment="1">
      <alignment horizontal="center"/>
    </xf>
    <xf numFmtId="165" fontId="1" fillId="0" borderId="9" xfId="5" applyNumberFormat="1" applyFont="1" applyBorder="1" applyAlignment="1">
      <alignment horizontal="center"/>
    </xf>
    <xf numFmtId="0" fontId="12" fillId="11" borderId="30" xfId="5" applyFont="1" applyFill="1" applyBorder="1" applyAlignment="1">
      <alignment horizontal="center" vertical="center" wrapText="1"/>
    </xf>
    <xf numFmtId="0" fontId="12" fillId="11" borderId="23" xfId="5" applyFont="1" applyFill="1" applyBorder="1" applyAlignment="1">
      <alignment horizontal="center" vertical="center" wrapText="1"/>
    </xf>
    <xf numFmtId="0" fontId="12" fillId="11" borderId="20" xfId="5" applyFont="1" applyFill="1" applyBorder="1" applyAlignment="1">
      <alignment vertical="center" wrapText="1"/>
    </xf>
    <xf numFmtId="170" fontId="1" fillId="0" borderId="9" xfId="5" applyNumberFormat="1" applyFont="1" applyBorder="1" applyAlignment="1">
      <alignment horizontal="center"/>
    </xf>
    <xf numFmtId="0" fontId="12" fillId="11" borderId="9" xfId="5" applyFont="1" applyFill="1" applyBorder="1" applyAlignment="1">
      <alignment vertical="center" wrapText="1"/>
    </xf>
    <xf numFmtId="0" fontId="18" fillId="11" borderId="19" xfId="5" applyFont="1" applyFill="1" applyBorder="1" applyAlignment="1">
      <alignment horizontal="center" vertical="center" wrapText="1"/>
    </xf>
    <xf numFmtId="1" fontId="12" fillId="11" borderId="19" xfId="5" applyNumberFormat="1" applyFont="1" applyFill="1" applyBorder="1" applyAlignment="1">
      <alignment horizontal="center" vertical="center" wrapText="1"/>
    </xf>
    <xf numFmtId="165" fontId="1" fillId="0" borderId="9" xfId="6" applyNumberFormat="1" applyBorder="1" applyAlignment="1">
      <alignment horizontal="center"/>
    </xf>
    <xf numFmtId="165" fontId="12" fillId="0" borderId="9" xfId="5" applyNumberFormat="1" applyFont="1" applyBorder="1" applyAlignment="1">
      <alignment horizontal="center" vertical="center"/>
    </xf>
    <xf numFmtId="180" fontId="12" fillId="0" borderId="9" xfId="5" applyNumberFormat="1" applyFont="1" applyBorder="1" applyAlignment="1">
      <alignment horizontal="center" vertical="center"/>
    </xf>
    <xf numFmtId="9" fontId="12" fillId="0" borderId="9" xfId="3" applyFont="1" applyFill="1" applyBorder="1" applyAlignment="1">
      <alignment horizontal="center" vertical="center"/>
    </xf>
    <xf numFmtId="0" fontId="13" fillId="0" borderId="0" xfId="5" applyFont="1"/>
    <xf numFmtId="165" fontId="4" fillId="0" borderId="9" xfId="6" applyNumberFormat="1" applyFont="1" applyBorder="1" applyAlignment="1">
      <alignment horizontal="center"/>
    </xf>
    <xf numFmtId="0" fontId="4" fillId="0" borderId="0" xfId="0" applyFont="1"/>
    <xf numFmtId="171" fontId="4" fillId="4" borderId="9" xfId="5" applyNumberFormat="1" applyFont="1" applyFill="1" applyBorder="1" applyAlignment="1">
      <alignment horizontal="center" vertical="center" wrapText="1"/>
    </xf>
    <xf numFmtId="0" fontId="0" fillId="0" borderId="0" xfId="0" applyAlignment="1">
      <alignment horizontal="center"/>
    </xf>
    <xf numFmtId="2" fontId="12" fillId="4" borderId="9" xfId="0" applyNumberFormat="1" applyFont="1" applyFill="1" applyBorder="1" applyAlignment="1">
      <alignment horizontal="center" vertical="center" wrapText="1"/>
    </xf>
    <xf numFmtId="169" fontId="12" fillId="0" borderId="9" xfId="0" applyNumberFormat="1" applyFont="1" applyBorder="1" applyAlignment="1">
      <alignment horizontal="center" vertical="center" wrapText="1"/>
    </xf>
    <xf numFmtId="165" fontId="12" fillId="0" borderId="9" xfId="0" applyNumberFormat="1" applyFont="1" applyBorder="1" applyAlignment="1">
      <alignment horizontal="center" vertical="center" wrapText="1"/>
    </xf>
    <xf numFmtId="2" fontId="12" fillId="4" borderId="9" xfId="0" applyNumberFormat="1" applyFont="1" applyFill="1" applyBorder="1"/>
    <xf numFmtId="2" fontId="4" fillId="4" borderId="9" xfId="0" applyNumberFormat="1" applyFont="1" applyFill="1" applyBorder="1"/>
    <xf numFmtId="2" fontId="4" fillId="4" borderId="9" xfId="0" applyNumberFormat="1" applyFont="1" applyFill="1" applyBorder="1" applyAlignment="1">
      <alignment horizontal="center" vertical="center" wrapText="1"/>
    </xf>
    <xf numFmtId="165" fontId="4" fillId="0" borderId="9" xfId="0" applyNumberFormat="1" applyFont="1" applyBorder="1" applyAlignment="1">
      <alignment horizontal="center" vertical="center" wrapText="1"/>
    </xf>
    <xf numFmtId="0" fontId="12" fillId="0" borderId="0" xfId="0" applyFont="1" applyAlignment="1">
      <alignment horizontal="center"/>
    </xf>
    <xf numFmtId="0" fontId="12" fillId="0" borderId="0" xfId="0" applyFont="1"/>
    <xf numFmtId="2" fontId="0" fillId="4" borderId="9" xfId="0" applyNumberFormat="1" applyFill="1" applyBorder="1"/>
    <xf numFmtId="2" fontId="0" fillId="0" borderId="9" xfId="0" applyNumberFormat="1" applyBorder="1"/>
    <xf numFmtId="2" fontId="12" fillId="0" borderId="9" xfId="0" applyNumberFormat="1" applyFont="1" applyBorder="1"/>
    <xf numFmtId="165" fontId="4" fillId="0" borderId="9" xfId="0" applyNumberFormat="1" applyFont="1" applyBorder="1"/>
    <xf numFmtId="39" fontId="12" fillId="4" borderId="9" xfId="5" applyNumberFormat="1" applyFont="1" applyFill="1" applyBorder="1" applyAlignment="1">
      <alignment horizontal="center"/>
    </xf>
    <xf numFmtId="39" fontId="4" fillId="0" borderId="9" xfId="5" applyNumberFormat="1" applyFont="1" applyBorder="1" applyAlignment="1">
      <alignment horizontal="center"/>
    </xf>
    <xf numFmtId="165" fontId="12" fillId="4" borderId="9" xfId="0" applyNumberFormat="1" applyFont="1" applyFill="1" applyBorder="1" applyAlignment="1">
      <alignment horizontal="center" vertical="center" wrapText="1"/>
    </xf>
    <xf numFmtId="0" fontId="25" fillId="0" borderId="0" xfId="5" applyFont="1" applyAlignment="1">
      <alignment horizontal="center"/>
    </xf>
    <xf numFmtId="0" fontId="26" fillId="0" borderId="0" xfId="0" applyFont="1" applyAlignment="1">
      <alignment horizontal="center"/>
    </xf>
    <xf numFmtId="0" fontId="26" fillId="0" borderId="0" xfId="0" applyFont="1" applyAlignment="1">
      <alignment horizontal="left"/>
    </xf>
    <xf numFmtId="2" fontId="12" fillId="0" borderId="0" xfId="0" applyNumberFormat="1" applyFont="1"/>
    <xf numFmtId="0" fontId="12" fillId="0" borderId="0" xfId="6" applyFont="1" applyAlignment="1">
      <alignment horizontal="center"/>
    </xf>
    <xf numFmtId="0" fontId="12" fillId="0" borderId="0" xfId="6" applyFont="1" applyAlignment="1">
      <alignment horizontal="left"/>
    </xf>
    <xf numFmtId="0" fontId="12" fillId="0" borderId="0" xfId="6" applyFont="1"/>
    <xf numFmtId="0" fontId="12" fillId="4" borderId="9" xfId="6" applyFont="1" applyFill="1" applyBorder="1" applyAlignment="1">
      <alignment horizontal="left"/>
    </xf>
    <xf numFmtId="182" fontId="12" fillId="4" borderId="9" xfId="1" applyNumberFormat="1" applyFont="1" applyFill="1" applyBorder="1" applyAlignment="1">
      <alignment horizontal="center"/>
    </xf>
    <xf numFmtId="165" fontId="12" fillId="4" borderId="9" xfId="6" applyNumberFormat="1" applyFont="1" applyFill="1" applyBorder="1" applyAlignment="1">
      <alignment horizontal="center"/>
    </xf>
    <xf numFmtId="0" fontId="0" fillId="0" borderId="9" xfId="0" applyBorder="1"/>
    <xf numFmtId="180" fontId="26" fillId="0" borderId="0" xfId="6" applyNumberFormat="1" applyFont="1"/>
    <xf numFmtId="0" fontId="12" fillId="0" borderId="0" xfId="13" applyFont="1" applyAlignment="1">
      <alignment horizontal="center"/>
    </xf>
    <xf numFmtId="0" fontId="12" fillId="4" borderId="0" xfId="13" applyFont="1" applyFill="1" applyAlignment="1">
      <alignment horizontal="left"/>
    </xf>
    <xf numFmtId="0" fontId="12" fillId="0" borderId="0" xfId="13" applyFont="1"/>
    <xf numFmtId="0" fontId="1" fillId="0" borderId="0" xfId="0" applyFont="1"/>
    <xf numFmtId="0" fontId="12" fillId="0" borderId="0" xfId="13" applyFont="1" applyAlignment="1">
      <alignment horizontal="left"/>
    </xf>
    <xf numFmtId="2" fontId="12" fillId="4" borderId="9" xfId="13" applyNumberFormat="1" applyFont="1" applyFill="1" applyBorder="1" applyAlignment="1">
      <alignment horizontal="center" vertical="center" wrapText="1"/>
    </xf>
    <xf numFmtId="2" fontId="4" fillId="0" borderId="9" xfId="13" applyNumberFormat="1" applyFont="1" applyBorder="1" applyAlignment="1">
      <alignment horizontal="center" vertical="center" wrapText="1"/>
    </xf>
    <xf numFmtId="2" fontId="12" fillId="0" borderId="9" xfId="13" applyNumberFormat="1" applyFont="1" applyBorder="1" applyAlignment="1">
      <alignment horizontal="center" vertical="center" wrapText="1"/>
    </xf>
    <xf numFmtId="165" fontId="4" fillId="0" borderId="9" xfId="13" applyNumberFormat="1" applyFont="1" applyBorder="1" applyAlignment="1">
      <alignment horizontal="center" vertical="center" wrapText="1"/>
    </xf>
    <xf numFmtId="1" fontId="12" fillId="4" borderId="9" xfId="13" applyNumberFormat="1" applyFont="1" applyFill="1" applyBorder="1" applyAlignment="1">
      <alignment horizontal="center" vertical="center" wrapText="1"/>
    </xf>
    <xf numFmtId="0" fontId="12" fillId="4" borderId="9" xfId="13" applyFont="1" applyFill="1" applyBorder="1" applyAlignment="1">
      <alignment horizontal="left"/>
    </xf>
    <xf numFmtId="9" fontId="12" fillId="4" borderId="9" xfId="3" applyFont="1" applyFill="1" applyBorder="1" applyAlignment="1">
      <alignment horizontal="center" vertical="center" wrapText="1"/>
    </xf>
    <xf numFmtId="9" fontId="1" fillId="4" borderId="9" xfId="3" applyFont="1" applyFill="1" applyBorder="1" applyAlignment="1">
      <alignment horizontal="center" vertical="center" wrapText="1"/>
    </xf>
    <xf numFmtId="9" fontId="1" fillId="0" borderId="9" xfId="3" applyFont="1" applyFill="1" applyBorder="1" applyAlignment="1">
      <alignment horizontal="center" vertical="center" wrapText="1"/>
    </xf>
    <xf numFmtId="170" fontId="12" fillId="4" borderId="9" xfId="1" applyNumberFormat="1" applyFont="1" applyFill="1" applyBorder="1" applyAlignment="1">
      <alignment horizontal="center"/>
    </xf>
    <xf numFmtId="170" fontId="4" fillId="4" borderId="9" xfId="1" applyNumberFormat="1" applyFont="1" applyFill="1" applyBorder="1" applyAlignment="1">
      <alignment horizontal="center"/>
    </xf>
    <xf numFmtId="39" fontId="4" fillId="4" borderId="9" xfId="1" applyNumberFormat="1" applyFont="1" applyFill="1" applyBorder="1" applyAlignment="1">
      <alignment horizontal="center"/>
    </xf>
    <xf numFmtId="9" fontId="12" fillId="0" borderId="0" xfId="3" applyFont="1" applyFill="1" applyBorder="1"/>
    <xf numFmtId="9" fontId="12" fillId="0" borderId="0" xfId="0" applyNumberFormat="1" applyFont="1"/>
    <xf numFmtId="0" fontId="4" fillId="0" borderId="0" xfId="13" applyFont="1"/>
    <xf numFmtId="172" fontId="4" fillId="4" borderId="9" xfId="16" applyNumberFormat="1" applyFont="1" applyFill="1" applyBorder="1" applyAlignment="1">
      <alignment horizontal="center"/>
    </xf>
    <xf numFmtId="3" fontId="4" fillId="4" borderId="9" xfId="0" applyNumberFormat="1" applyFont="1" applyFill="1" applyBorder="1" applyAlignment="1">
      <alignment horizontal="center"/>
    </xf>
    <xf numFmtId="172" fontId="4" fillId="0" borderId="9" xfId="3" applyNumberFormat="1" applyFont="1" applyFill="1" applyBorder="1" applyAlignment="1">
      <alignment horizontal="center"/>
    </xf>
    <xf numFmtId="188" fontId="4" fillId="0" borderId="9" xfId="3" applyNumberFormat="1" applyFont="1" applyFill="1" applyBorder="1" applyAlignment="1">
      <alignment horizontal="center"/>
    </xf>
    <xf numFmtId="179" fontId="4" fillId="0" borderId="9" xfId="0" applyNumberFormat="1" applyFont="1" applyBorder="1" applyAlignment="1">
      <alignment horizontal="center"/>
    </xf>
    <xf numFmtId="171" fontId="12" fillId="0" borderId="9" xfId="6" applyNumberFormat="1" applyFont="1" applyBorder="1" applyAlignment="1">
      <alignment horizontal="center"/>
    </xf>
    <xf numFmtId="179" fontId="12" fillId="0" borderId="0" xfId="9" applyNumberFormat="1" applyFont="1" applyFill="1" applyBorder="1" applyAlignment="1">
      <alignment horizontal="left" vertical="center" wrapText="1"/>
    </xf>
    <xf numFmtId="165" fontId="12" fillId="0" borderId="9" xfId="6" applyNumberFormat="1" applyFont="1" applyBorder="1" applyAlignment="1">
      <alignment horizontal="center" vertical="center" wrapText="1"/>
    </xf>
    <xf numFmtId="9" fontId="12" fillId="0" borderId="9" xfId="3" applyFont="1" applyFill="1" applyBorder="1" applyAlignment="1">
      <alignment horizontal="center" vertical="center" wrapText="1"/>
    </xf>
    <xf numFmtId="165" fontId="12" fillId="0" borderId="9" xfId="6" applyNumberFormat="1" applyFont="1" applyBorder="1" applyAlignment="1">
      <alignment horizontal="center"/>
    </xf>
    <xf numFmtId="0" fontId="12" fillId="0" borderId="0" xfId="0" applyFont="1" applyAlignment="1">
      <alignment horizontal="left"/>
    </xf>
    <xf numFmtId="0" fontId="4" fillId="0" borderId="9" xfId="0" applyFont="1" applyBorder="1" applyAlignment="1">
      <alignment horizontal="center" vertical="center" wrapText="1"/>
    </xf>
    <xf numFmtId="182" fontId="12" fillId="4" borderId="9" xfId="1" applyNumberFormat="1" applyFont="1" applyFill="1" applyBorder="1" applyAlignment="1">
      <alignment horizontal="center" vertical="center"/>
    </xf>
    <xf numFmtId="0" fontId="12" fillId="0" borderId="9" xfId="6" applyFont="1" applyBorder="1" applyAlignment="1">
      <alignment horizontal="center"/>
    </xf>
    <xf numFmtId="0" fontId="12" fillId="0" borderId="9" xfId="6" applyFont="1" applyBorder="1"/>
    <xf numFmtId="171" fontId="12" fillId="0" borderId="9" xfId="13" applyNumberFormat="1" applyFont="1" applyBorder="1" applyAlignment="1">
      <alignment horizontal="center"/>
    </xf>
    <xf numFmtId="0" fontId="12" fillId="11" borderId="9" xfId="0" applyFont="1" applyFill="1" applyBorder="1" applyAlignment="1">
      <alignment horizontal="center" vertical="center"/>
    </xf>
    <xf numFmtId="0" fontId="12" fillId="4" borderId="0" xfId="6" applyFont="1" applyFill="1"/>
    <xf numFmtId="0" fontId="12" fillId="0" borderId="0" xfId="13" applyFont="1" applyAlignment="1">
      <alignment horizontal="left" vertical="center"/>
    </xf>
    <xf numFmtId="0" fontId="12" fillId="11" borderId="9" xfId="0" applyFont="1" applyFill="1" applyBorder="1" applyAlignment="1">
      <alignment horizontal="left" vertical="center"/>
    </xf>
    <xf numFmtId="167" fontId="5" fillId="12" borderId="0" xfId="0" applyNumberFormat="1" applyFont="1" applyFill="1" applyAlignment="1">
      <alignment horizontal="center"/>
    </xf>
    <xf numFmtId="165" fontId="12" fillId="0" borderId="9" xfId="6" applyNumberFormat="1" applyFont="1" applyBorder="1" applyAlignment="1">
      <alignment horizontal="center" vertical="center"/>
    </xf>
    <xf numFmtId="2" fontId="4" fillId="0" borderId="9" xfId="0" applyNumberFormat="1" applyFont="1" applyBorder="1" applyAlignment="1">
      <alignment horizontal="center"/>
    </xf>
    <xf numFmtId="0" fontId="4" fillId="0" borderId="9" xfId="0" applyFont="1" applyBorder="1" applyAlignment="1">
      <alignment horizontal="center" vertical="center"/>
    </xf>
    <xf numFmtId="0" fontId="12" fillId="11" borderId="19" xfId="0" applyFont="1" applyFill="1" applyBorder="1" applyAlignment="1">
      <alignment horizontal="left" vertical="center" wrapText="1"/>
    </xf>
    <xf numFmtId="9" fontId="1" fillId="0" borderId="0" xfId="3" applyFont="1"/>
    <xf numFmtId="0" fontId="23" fillId="0" borderId="0" xfId="6" applyFont="1"/>
    <xf numFmtId="165" fontId="4" fillId="0" borderId="9" xfId="6" applyNumberFormat="1" applyFont="1" applyBorder="1" applyAlignment="1">
      <alignment horizontal="center" vertical="center" wrapText="1"/>
    </xf>
    <xf numFmtId="0" fontId="12" fillId="0" borderId="0" xfId="6" applyFont="1" applyAlignment="1">
      <alignment horizontal="center" wrapText="1"/>
    </xf>
    <xf numFmtId="168" fontId="23" fillId="0" borderId="0" xfId="9" applyNumberFormat="1" applyFont="1" applyBorder="1" applyAlignment="1">
      <alignment horizontal="left" vertical="center" wrapText="1"/>
    </xf>
    <xf numFmtId="168" fontId="23" fillId="0" borderId="0" xfId="9" applyNumberFormat="1" applyFont="1" applyBorder="1" applyAlignment="1">
      <alignment vertical="center" wrapText="1"/>
    </xf>
    <xf numFmtId="168" fontId="23" fillId="0" borderId="0" xfId="9" applyNumberFormat="1" applyFont="1" applyFill="1" applyBorder="1" applyAlignment="1">
      <alignment vertical="center" wrapText="1"/>
    </xf>
    <xf numFmtId="0" fontId="12" fillId="0" borderId="9" xfId="8" applyFont="1" applyBorder="1" applyAlignment="1">
      <alignment horizontal="left"/>
    </xf>
    <xf numFmtId="0" fontId="0" fillId="4" borderId="0" xfId="0" applyFill="1"/>
    <xf numFmtId="170" fontId="12" fillId="4" borderId="9" xfId="0" applyNumberFormat="1" applyFont="1" applyFill="1" applyBorder="1" applyAlignment="1">
      <alignment horizontal="center" vertical="center" wrapText="1"/>
    </xf>
    <xf numFmtId="39" fontId="4" fillId="0" borderId="9" xfId="0" applyNumberFormat="1" applyFont="1" applyBorder="1" applyAlignment="1">
      <alignment horizontal="center"/>
    </xf>
    <xf numFmtId="0" fontId="12" fillId="0" borderId="19" xfId="8" applyFont="1" applyBorder="1" applyAlignment="1">
      <alignment horizontal="left"/>
    </xf>
    <xf numFmtId="0" fontId="12" fillId="0" borderId="0" xfId="8" applyFont="1" applyAlignment="1">
      <alignment horizontal="left"/>
    </xf>
    <xf numFmtId="165" fontId="12" fillId="4" borderId="9" xfId="8" applyNumberFormat="1" applyFont="1" applyFill="1" applyBorder="1" applyAlignment="1">
      <alignment horizontal="center"/>
    </xf>
    <xf numFmtId="7" fontId="12" fillId="4" borderId="9" xfId="2" applyNumberFormat="1" applyFont="1" applyFill="1" applyBorder="1" applyAlignment="1">
      <alignment horizontal="center"/>
    </xf>
    <xf numFmtId="44" fontId="12" fillId="4" borderId="9" xfId="2" applyFont="1" applyFill="1" applyBorder="1" applyAlignment="1">
      <alignment horizontal="center"/>
    </xf>
    <xf numFmtId="2" fontId="12" fillId="4" borderId="9" xfId="0" applyNumberFormat="1" applyFont="1" applyFill="1" applyBorder="1" applyAlignment="1">
      <alignment horizontal="center" vertical="center"/>
    </xf>
    <xf numFmtId="182" fontId="12" fillId="0" borderId="9" xfId="1" applyNumberFormat="1" applyFont="1" applyFill="1" applyBorder="1" applyAlignment="1">
      <alignment horizontal="center"/>
    </xf>
    <xf numFmtId="169" fontId="12" fillId="0" borderId="9" xfId="0" applyNumberFormat="1" applyFont="1" applyBorder="1" applyAlignment="1">
      <alignment horizontal="center" vertical="center"/>
    </xf>
    <xf numFmtId="0" fontId="12" fillId="0" borderId="9" xfId="8" applyFont="1" applyBorder="1" applyAlignment="1">
      <alignment horizontal="center"/>
    </xf>
    <xf numFmtId="2" fontId="4" fillId="4" borderId="9" xfId="0" applyNumberFormat="1" applyFont="1" applyFill="1" applyBorder="1" applyAlignment="1">
      <alignment horizontal="center" vertical="center"/>
    </xf>
    <xf numFmtId="39" fontId="12" fillId="0" borderId="9" xfId="0" applyNumberFormat="1" applyFont="1" applyBorder="1" applyAlignment="1">
      <alignment horizontal="center" vertical="center"/>
    </xf>
    <xf numFmtId="39" fontId="4" fillId="0" borderId="9" xfId="0" applyNumberFormat="1" applyFont="1" applyBorder="1" applyAlignment="1">
      <alignment horizontal="center" vertical="center"/>
    </xf>
    <xf numFmtId="3" fontId="12" fillId="0" borderId="9" xfId="0" applyNumberFormat="1" applyFont="1" applyBorder="1" applyAlignment="1">
      <alignment horizontal="left" vertical="center"/>
    </xf>
    <xf numFmtId="3" fontId="12" fillId="0" borderId="9" xfId="0" applyNumberFormat="1" applyFont="1" applyBorder="1" applyAlignment="1">
      <alignment horizontal="center" vertical="center"/>
    </xf>
    <xf numFmtId="9" fontId="4" fillId="0" borderId="9" xfId="0" applyNumberFormat="1" applyFont="1" applyBorder="1" applyAlignment="1">
      <alignment horizontal="center" vertical="center"/>
    </xf>
    <xf numFmtId="9" fontId="12" fillId="0" borderId="9" xfId="3" applyFont="1" applyFill="1" applyBorder="1" applyAlignment="1">
      <alignment horizontal="center"/>
    </xf>
    <xf numFmtId="9" fontId="4" fillId="0" borderId="9" xfId="3" applyFont="1" applyFill="1" applyBorder="1" applyAlignment="1">
      <alignment horizontal="center"/>
    </xf>
    <xf numFmtId="0" fontId="12" fillId="0" borderId="0" xfId="0" applyFont="1" applyAlignment="1">
      <alignment horizontal="left" vertical="center"/>
    </xf>
    <xf numFmtId="0" fontId="12" fillId="0" borderId="0" xfId="0" applyFont="1" applyAlignment="1">
      <alignment horizontal="center" wrapText="1"/>
    </xf>
    <xf numFmtId="0" fontId="4" fillId="0" borderId="0" xfId="0" applyFont="1" applyAlignment="1">
      <alignment wrapText="1"/>
    </xf>
    <xf numFmtId="171" fontId="12" fillId="0" borderId="9" xfId="0" applyNumberFormat="1" applyFont="1" applyBorder="1" applyAlignment="1">
      <alignment horizontal="center" vertical="center" wrapText="1"/>
    </xf>
    <xf numFmtId="178" fontId="12" fillId="4" borderId="9" xfId="0" applyNumberFormat="1" applyFont="1" applyFill="1" applyBorder="1" applyAlignment="1">
      <alignment horizontal="center" vertical="center"/>
    </xf>
    <xf numFmtId="178" fontId="12" fillId="0" borderId="9" xfId="0" applyNumberFormat="1" applyFont="1" applyBorder="1" applyAlignment="1">
      <alignment horizontal="center" vertical="center"/>
    </xf>
    <xf numFmtId="178" fontId="4" fillId="0" borderId="9" xfId="0" applyNumberFormat="1" applyFont="1" applyBorder="1" applyAlignment="1">
      <alignment horizontal="center" vertical="center"/>
    </xf>
    <xf numFmtId="3" fontId="12" fillId="4" borderId="9" xfId="0" applyNumberFormat="1" applyFont="1" applyFill="1" applyBorder="1" applyAlignment="1">
      <alignment horizontal="center" vertical="center" wrapText="1"/>
    </xf>
    <xf numFmtId="0" fontId="12" fillId="4" borderId="0" xfId="0" applyFont="1" applyFill="1"/>
    <xf numFmtId="172" fontId="4" fillId="0" borderId="9" xfId="0" applyNumberFormat="1" applyFont="1" applyBorder="1" applyAlignment="1">
      <alignment horizontal="center" vertical="center" wrapText="1"/>
    </xf>
    <xf numFmtId="180" fontId="12" fillId="0" borderId="9" xfId="0" applyNumberFormat="1" applyFont="1" applyBorder="1" applyAlignment="1">
      <alignment horizontal="center" vertical="center" wrapText="1"/>
    </xf>
    <xf numFmtId="2" fontId="12" fillId="0" borderId="9" xfId="0" applyNumberFormat="1" applyFont="1" applyBorder="1" applyAlignment="1">
      <alignment horizontal="center" vertical="center" wrapText="1"/>
    </xf>
    <xf numFmtId="7" fontId="12" fillId="4" borderId="9" xfId="2" applyNumberFormat="1" applyFont="1" applyFill="1" applyBorder="1" applyAlignment="1">
      <alignment horizontal="center" vertical="center" wrapText="1"/>
    </xf>
    <xf numFmtId="165" fontId="4" fillId="4" borderId="9" xfId="0" applyNumberFormat="1" applyFont="1" applyFill="1" applyBorder="1" applyAlignment="1">
      <alignment horizontal="center" vertical="center" wrapText="1"/>
    </xf>
    <xf numFmtId="7" fontId="4" fillId="4" borderId="9" xfId="2" applyNumberFormat="1" applyFont="1" applyFill="1" applyBorder="1" applyAlignment="1">
      <alignment horizontal="center" vertical="center" wrapText="1"/>
    </xf>
    <xf numFmtId="9" fontId="4" fillId="0" borderId="9" xfId="0" applyNumberFormat="1" applyFont="1" applyBorder="1" applyAlignment="1">
      <alignment horizontal="center" vertical="center" wrapText="1"/>
    </xf>
    <xf numFmtId="0" fontId="12" fillId="0" borderId="9" xfId="0" applyFont="1" applyBorder="1" applyAlignment="1">
      <alignment horizontal="center" wrapText="1"/>
    </xf>
    <xf numFmtId="165" fontId="4" fillId="4" borderId="9" xfId="8" applyNumberFormat="1" applyFont="1" applyFill="1" applyBorder="1" applyAlignment="1">
      <alignment horizontal="center"/>
    </xf>
    <xf numFmtId="7" fontId="4" fillId="0" borderId="9" xfId="2" applyNumberFormat="1" applyFont="1" applyFill="1" applyBorder="1" applyAlignment="1">
      <alignment horizontal="center"/>
    </xf>
    <xf numFmtId="171" fontId="12" fillId="4" borderId="9" xfId="0" applyNumberFormat="1" applyFont="1" applyFill="1" applyBorder="1" applyAlignment="1">
      <alignment horizontal="center" vertical="center" wrapText="1"/>
    </xf>
    <xf numFmtId="2" fontId="4" fillId="4" borderId="9" xfId="0" applyNumberFormat="1" applyFont="1" applyFill="1" applyBorder="1" applyAlignment="1">
      <alignment horizontal="center"/>
    </xf>
    <xf numFmtId="0" fontId="0" fillId="0" borderId="9" xfId="0" applyBorder="1" applyAlignment="1">
      <alignment horizontal="center"/>
    </xf>
    <xf numFmtId="0" fontId="26" fillId="12" borderId="0" xfId="0" applyFont="1" applyFill="1"/>
    <xf numFmtId="167" fontId="26" fillId="12" borderId="0" xfId="0" applyNumberFormat="1" applyFont="1" applyFill="1"/>
    <xf numFmtId="180" fontId="12" fillId="4" borderId="9" xfId="0" applyNumberFormat="1" applyFont="1" applyFill="1" applyBorder="1" applyAlignment="1">
      <alignment horizontal="center"/>
    </xf>
    <xf numFmtId="179" fontId="12" fillId="4" borderId="9" xfId="0" applyNumberFormat="1" applyFont="1" applyFill="1" applyBorder="1" applyAlignment="1">
      <alignment horizontal="center" vertical="center" wrapText="1"/>
    </xf>
    <xf numFmtId="0" fontId="12" fillId="0" borderId="0" xfId="0" applyFont="1" applyAlignment="1">
      <alignment wrapText="1"/>
    </xf>
    <xf numFmtId="39" fontId="12" fillId="4" borderId="9" xfId="1" applyNumberFormat="1" applyFont="1" applyFill="1" applyBorder="1" applyAlignment="1">
      <alignment horizontal="center" vertical="center" wrapText="1"/>
    </xf>
    <xf numFmtId="39" fontId="4" fillId="0" borderId="9" xfId="1" applyNumberFormat="1" applyFont="1" applyFill="1" applyBorder="1" applyAlignment="1">
      <alignment horizontal="center" vertical="center" wrapText="1"/>
    </xf>
    <xf numFmtId="0" fontId="23" fillId="4" borderId="0" xfId="5" applyFont="1" applyFill="1"/>
    <xf numFmtId="39" fontId="12" fillId="0" borderId="9" xfId="1" applyNumberFormat="1" applyFont="1" applyBorder="1" applyAlignment="1">
      <alignment horizontal="center"/>
    </xf>
    <xf numFmtId="0" fontId="12" fillId="4" borderId="19" xfId="8" applyFont="1" applyFill="1" applyBorder="1" applyAlignment="1">
      <alignment horizontal="left"/>
    </xf>
    <xf numFmtId="7" fontId="12" fillId="4" borderId="0" xfId="0" applyNumberFormat="1" applyFont="1" applyFill="1"/>
    <xf numFmtId="0" fontId="37" fillId="0" borderId="0" xfId="0" applyFont="1"/>
    <xf numFmtId="9" fontId="12" fillId="4" borderId="9" xfId="3" applyFont="1" applyFill="1" applyBorder="1" applyAlignment="1">
      <alignment horizontal="center"/>
    </xf>
    <xf numFmtId="0" fontId="12" fillId="4" borderId="9" xfId="8" applyFont="1" applyFill="1" applyBorder="1"/>
    <xf numFmtId="9" fontId="4" fillId="4" borderId="9" xfId="3" applyFont="1" applyFill="1" applyBorder="1" applyAlignment="1">
      <alignment horizontal="center"/>
    </xf>
    <xf numFmtId="165" fontId="4" fillId="0" borderId="9" xfId="3" applyNumberFormat="1" applyFont="1" applyBorder="1" applyAlignment="1">
      <alignment horizontal="center"/>
    </xf>
    <xf numFmtId="165" fontId="4" fillId="4" borderId="9" xfId="3" applyNumberFormat="1" applyFont="1" applyFill="1" applyBorder="1" applyAlignment="1">
      <alignment horizontal="center"/>
    </xf>
    <xf numFmtId="165" fontId="12" fillId="0" borderId="9" xfId="3" applyNumberFormat="1" applyFont="1" applyBorder="1" applyAlignment="1">
      <alignment horizontal="center"/>
    </xf>
    <xf numFmtId="10" fontId="4" fillId="4" borderId="9" xfId="3" applyNumberFormat="1" applyFont="1" applyFill="1" applyBorder="1" applyAlignment="1">
      <alignment horizontal="center"/>
    </xf>
    <xf numFmtId="10" fontId="12" fillId="4" borderId="9" xfId="3" applyNumberFormat="1" applyFont="1" applyFill="1" applyBorder="1" applyAlignment="1">
      <alignment horizontal="center"/>
    </xf>
    <xf numFmtId="44" fontId="12" fillId="0" borderId="27" xfId="2" applyFont="1" applyFill="1" applyBorder="1"/>
    <xf numFmtId="37" fontId="12" fillId="0" borderId="9" xfId="0" applyNumberFormat="1" applyFont="1" applyBorder="1" applyAlignment="1">
      <alignment horizontal="center"/>
    </xf>
    <xf numFmtId="5" fontId="12" fillId="4" borderId="9" xfId="2" applyNumberFormat="1" applyFont="1" applyFill="1" applyBorder="1" applyAlignment="1">
      <alignment horizontal="center"/>
    </xf>
    <xf numFmtId="168" fontId="4" fillId="0" borderId="9" xfId="1" applyNumberFormat="1" applyFont="1" applyBorder="1"/>
    <xf numFmtId="43" fontId="12" fillId="0" borderId="9" xfId="1" applyFont="1" applyBorder="1"/>
    <xf numFmtId="39" fontId="12" fillId="4" borderId="9" xfId="1" applyNumberFormat="1" applyFont="1" applyFill="1" applyBorder="1" applyAlignment="1">
      <alignment horizontal="center"/>
    </xf>
    <xf numFmtId="168" fontId="12" fillId="4" borderId="9" xfId="0" applyNumberFormat="1" applyFont="1" applyFill="1" applyBorder="1" applyAlignment="1">
      <alignment horizontal="left"/>
    </xf>
    <xf numFmtId="39" fontId="4" fillId="0" borderId="9" xfId="1" applyNumberFormat="1" applyFont="1" applyBorder="1" applyAlignment="1">
      <alignment horizontal="center"/>
    </xf>
    <xf numFmtId="7" fontId="4" fillId="4" borderId="9" xfId="2" applyNumberFormat="1" applyFont="1" applyFill="1" applyBorder="1" applyAlignment="1">
      <alignment horizontal="center"/>
    </xf>
    <xf numFmtId="7" fontId="12" fillId="0" borderId="9" xfId="2" applyNumberFormat="1" applyFont="1" applyBorder="1" applyAlignment="1">
      <alignment horizontal="center"/>
    </xf>
    <xf numFmtId="44" fontId="12" fillId="0" borderId="9" xfId="2" applyFont="1" applyBorder="1"/>
    <xf numFmtId="2" fontId="12" fillId="0" borderId="0" xfId="0" applyNumberFormat="1" applyFont="1" applyAlignment="1">
      <alignment horizontal="left"/>
    </xf>
    <xf numFmtId="0" fontId="12" fillId="4" borderId="30" xfId="0" applyFont="1" applyFill="1" applyBorder="1" applyAlignment="1">
      <alignment horizontal="left" vertical="top" wrapText="1"/>
    </xf>
    <xf numFmtId="2" fontId="12" fillId="4" borderId="9" xfId="0" applyNumberFormat="1" applyFont="1" applyFill="1" applyBorder="1" applyAlignment="1">
      <alignment horizontal="left" vertical="top" wrapText="1"/>
    </xf>
    <xf numFmtId="2" fontId="4" fillId="4" borderId="9" xfId="0" applyNumberFormat="1" applyFont="1" applyFill="1" applyBorder="1" applyAlignment="1">
      <alignment horizontal="left" vertical="top" wrapText="1"/>
    </xf>
    <xf numFmtId="9" fontId="12" fillId="4" borderId="9" xfId="0" applyNumberFormat="1" applyFont="1" applyFill="1" applyBorder="1" applyAlignment="1">
      <alignment horizontal="left" vertical="top"/>
    </xf>
    <xf numFmtId="9" fontId="4" fillId="4" borderId="9" xfId="0" applyNumberFormat="1" applyFont="1" applyFill="1" applyBorder="1" applyAlignment="1">
      <alignment horizontal="left" vertical="top"/>
    </xf>
    <xf numFmtId="0" fontId="12" fillId="4" borderId="19" xfId="0" applyFont="1" applyFill="1" applyBorder="1" applyAlignment="1">
      <alignment horizontal="left" vertical="top"/>
    </xf>
    <xf numFmtId="39" fontId="12" fillId="4" borderId="9" xfId="1" applyNumberFormat="1" applyFont="1" applyFill="1" applyBorder="1" applyAlignment="1">
      <alignment horizontal="center" vertical="top"/>
    </xf>
    <xf numFmtId="39" fontId="4" fillId="4" borderId="9" xfId="1" applyNumberFormat="1" applyFont="1" applyFill="1" applyBorder="1" applyAlignment="1">
      <alignment horizontal="center" vertical="top"/>
    </xf>
    <xf numFmtId="193" fontId="12" fillId="4" borderId="9" xfId="2" applyNumberFormat="1" applyFont="1" applyFill="1" applyBorder="1" applyAlignment="1">
      <alignment horizontal="center"/>
    </xf>
    <xf numFmtId="193" fontId="4" fillId="4" borderId="9" xfId="2" applyNumberFormat="1" applyFont="1" applyFill="1" applyBorder="1" applyAlignment="1">
      <alignment horizontal="center"/>
    </xf>
    <xf numFmtId="0" fontId="12" fillId="10" borderId="17" xfId="0" applyFont="1" applyFill="1" applyBorder="1" applyAlignment="1">
      <alignment horizontal="center"/>
    </xf>
    <xf numFmtId="43" fontId="4" fillId="0" borderId="9" xfId="0" applyNumberFormat="1" applyFont="1" applyBorder="1"/>
    <xf numFmtId="43" fontId="4" fillId="4" borderId="9" xfId="0" applyNumberFormat="1" applyFont="1" applyFill="1" applyBorder="1"/>
    <xf numFmtId="165" fontId="12" fillId="0" borderId="19" xfId="0" applyNumberFormat="1" applyFont="1" applyBorder="1" applyAlignment="1">
      <alignment horizontal="center" vertical="center" wrapText="1"/>
    </xf>
    <xf numFmtId="7" fontId="12" fillId="4" borderId="19" xfId="2" applyNumberFormat="1" applyFont="1" applyFill="1" applyBorder="1" applyAlignment="1">
      <alignment horizontal="center"/>
    </xf>
    <xf numFmtId="39" fontId="12" fillId="4" borderId="9" xfId="1" quotePrefix="1" applyNumberFormat="1" applyFont="1" applyFill="1" applyBorder="1" applyAlignment="1">
      <alignment horizontal="center" vertical="center" wrapText="1"/>
    </xf>
    <xf numFmtId="2" fontId="4" fillId="0" borderId="9" xfId="1" applyNumberFormat="1" applyFont="1" applyBorder="1"/>
    <xf numFmtId="39" fontId="4" fillId="4" borderId="9" xfId="1" quotePrefix="1" applyNumberFormat="1" applyFont="1" applyFill="1" applyBorder="1" applyAlignment="1">
      <alignment horizontal="center" vertical="center" wrapText="1"/>
    </xf>
    <xf numFmtId="9" fontId="4" fillId="0" borderId="9" xfId="3" applyFont="1" applyFill="1" applyBorder="1" applyAlignment="1">
      <alignment horizontal="center" vertical="center" wrapText="1"/>
    </xf>
    <xf numFmtId="9" fontId="12" fillId="4" borderId="9" xfId="0" applyNumberFormat="1" applyFont="1" applyFill="1" applyBorder="1" applyAlignment="1">
      <alignment horizontal="left" vertical="top" wrapText="1"/>
    </xf>
    <xf numFmtId="0" fontId="12" fillId="8" borderId="9" xfId="0" applyFont="1" applyFill="1" applyBorder="1" applyAlignment="1">
      <alignment horizontal="left" vertical="top" wrapText="1"/>
    </xf>
    <xf numFmtId="9" fontId="4" fillId="4" borderId="9" xfId="0" applyNumberFormat="1" applyFont="1" applyFill="1" applyBorder="1" applyAlignment="1">
      <alignment horizontal="left" vertical="top" wrapText="1"/>
    </xf>
    <xf numFmtId="39" fontId="12" fillId="4" borderId="9" xfId="1" applyNumberFormat="1" applyFont="1" applyFill="1" applyBorder="1" applyAlignment="1">
      <alignment horizontal="left" vertical="top" wrapText="1"/>
    </xf>
    <xf numFmtId="7" fontId="4" fillId="4" borderId="9" xfId="2" applyNumberFormat="1" applyFont="1" applyFill="1" applyBorder="1" applyAlignment="1">
      <alignment horizontal="left"/>
    </xf>
    <xf numFmtId="7" fontId="12" fillId="4" borderId="9" xfId="2" applyNumberFormat="1" applyFont="1" applyFill="1" applyBorder="1" applyAlignment="1">
      <alignment horizontal="left"/>
    </xf>
    <xf numFmtId="7" fontId="4" fillId="4" borderId="9" xfId="2" applyNumberFormat="1" applyFont="1" applyFill="1" applyBorder="1" applyAlignment="1">
      <alignment horizontal="left" vertical="center" wrapText="1"/>
    </xf>
    <xf numFmtId="7" fontId="12" fillId="4" borderId="9" xfId="2" applyNumberFormat="1" applyFont="1" applyFill="1" applyBorder="1" applyAlignment="1">
      <alignment horizontal="left" vertical="center" wrapText="1"/>
    </xf>
    <xf numFmtId="7" fontId="12" fillId="0" borderId="9" xfId="2" applyNumberFormat="1" applyFont="1" applyFill="1" applyBorder="1" applyAlignment="1">
      <alignment horizontal="left" vertical="center" wrapText="1"/>
    </xf>
    <xf numFmtId="8" fontId="12" fillId="0" borderId="0" xfId="0" applyNumberFormat="1" applyFont="1"/>
    <xf numFmtId="9" fontId="4" fillId="4" borderId="9" xfId="3" applyFont="1" applyFill="1" applyBorder="1" applyAlignment="1">
      <alignment horizontal="left" vertical="top" wrapText="1"/>
    </xf>
    <xf numFmtId="9" fontId="12" fillId="4" borderId="23" xfId="3" applyFont="1" applyFill="1" applyBorder="1" applyAlignment="1">
      <alignment horizontal="left" vertical="top" wrapText="1"/>
    </xf>
    <xf numFmtId="9" fontId="12" fillId="4" borderId="9" xfId="3" applyFont="1" applyFill="1" applyBorder="1" applyAlignment="1">
      <alignment horizontal="left" vertical="top" wrapText="1"/>
    </xf>
    <xf numFmtId="39" fontId="4" fillId="4" borderId="9" xfId="1" applyNumberFormat="1" applyFont="1" applyFill="1" applyBorder="1" applyAlignment="1">
      <alignment horizontal="left" vertical="top" wrapText="1"/>
    </xf>
    <xf numFmtId="7" fontId="4" fillId="4" borderId="9" xfId="2" applyNumberFormat="1" applyFont="1" applyFill="1" applyBorder="1" applyAlignment="1">
      <alignment horizontal="left" vertical="top" wrapText="1"/>
    </xf>
    <xf numFmtId="7" fontId="12" fillId="4" borderId="9" xfId="2" applyNumberFormat="1" applyFont="1" applyFill="1" applyBorder="1" applyAlignment="1">
      <alignment horizontal="left" vertical="top" wrapText="1"/>
    </xf>
    <xf numFmtId="0" fontId="12" fillId="16" borderId="0" xfId="0" applyFont="1" applyFill="1" applyAlignment="1">
      <alignment horizontal="left" vertical="top" wrapText="1"/>
    </xf>
    <xf numFmtId="170" fontId="12" fillId="4" borderId="9" xfId="1" quotePrefix="1" applyNumberFormat="1" applyFont="1" applyFill="1" applyBorder="1" applyAlignment="1">
      <alignment horizontal="center" vertical="center" wrapText="1"/>
    </xf>
    <xf numFmtId="170" fontId="4" fillId="0" borderId="9" xfId="0" applyNumberFormat="1" applyFont="1" applyBorder="1"/>
    <xf numFmtId="170" fontId="4" fillId="4" borderId="9" xfId="1" quotePrefix="1" applyNumberFormat="1" applyFont="1" applyFill="1" applyBorder="1" applyAlignment="1">
      <alignment horizontal="center" vertical="center" wrapText="1"/>
    </xf>
    <xf numFmtId="170" fontId="4" fillId="4" borderId="9" xfId="0" applyNumberFormat="1" applyFont="1" applyFill="1" applyBorder="1" applyAlignment="1">
      <alignment horizontal="center" vertical="center" wrapText="1"/>
    </xf>
    <xf numFmtId="165" fontId="4" fillId="4" borderId="9" xfId="0" applyNumberFormat="1" applyFont="1" applyFill="1" applyBorder="1" applyAlignment="1">
      <alignment horizontal="left" vertical="top" wrapText="1"/>
    </xf>
    <xf numFmtId="37" fontId="4" fillId="4" borderId="9" xfId="1" quotePrefix="1" applyNumberFormat="1" applyFont="1" applyFill="1" applyBorder="1" applyAlignment="1">
      <alignment horizontal="center" vertical="center" wrapText="1"/>
    </xf>
    <xf numFmtId="7" fontId="12" fillId="0" borderId="0" xfId="2" applyNumberFormat="1" applyFont="1" applyFill="1" applyBorder="1" applyAlignment="1">
      <alignment horizontal="center" vertical="center" wrapText="1"/>
    </xf>
    <xf numFmtId="0" fontId="12" fillId="4" borderId="23" xfId="0" applyFont="1" applyFill="1" applyBorder="1" applyAlignment="1">
      <alignment horizontal="left" vertical="top"/>
    </xf>
    <xf numFmtId="37" fontId="12" fillId="4" borderId="9" xfId="1" quotePrefix="1" applyNumberFormat="1" applyFont="1" applyFill="1" applyBorder="1" applyAlignment="1">
      <alignment horizontal="center" vertical="center" wrapText="1"/>
    </xf>
    <xf numFmtId="170" fontId="12" fillId="4" borderId="9" xfId="1" applyNumberFormat="1" applyFont="1" applyFill="1" applyBorder="1" applyAlignment="1">
      <alignment horizontal="center" vertical="center" wrapText="1"/>
    </xf>
    <xf numFmtId="0" fontId="12" fillId="4" borderId="0" xfId="0" applyFont="1" applyFill="1" applyAlignment="1">
      <alignment horizontal="left"/>
    </xf>
    <xf numFmtId="2" fontId="12" fillId="0" borderId="9" xfId="0" applyNumberFormat="1" applyFont="1" applyBorder="1" applyAlignment="1">
      <alignment wrapText="1"/>
    </xf>
    <xf numFmtId="171" fontId="12" fillId="4" borderId="9" xfId="2" applyNumberFormat="1" applyFont="1" applyFill="1" applyBorder="1" applyAlignment="1">
      <alignment horizontal="center"/>
    </xf>
    <xf numFmtId="171" fontId="12" fillId="0" borderId="9" xfId="0" applyNumberFormat="1" applyFont="1" applyBorder="1" applyAlignment="1">
      <alignment horizontal="center"/>
    </xf>
    <xf numFmtId="188" fontId="12" fillId="0" borderId="9" xfId="3" applyNumberFormat="1" applyFont="1" applyBorder="1"/>
    <xf numFmtId="2" fontId="12" fillId="0" borderId="0" xfId="0" applyNumberFormat="1" applyFont="1" applyAlignment="1">
      <alignment horizontal="center"/>
    </xf>
    <xf numFmtId="2" fontId="12" fillId="8" borderId="9" xfId="0" applyNumberFormat="1" applyFont="1" applyFill="1" applyBorder="1" applyAlignment="1">
      <alignment wrapText="1"/>
    </xf>
    <xf numFmtId="170" fontId="12" fillId="4" borderId="9" xfId="1" applyNumberFormat="1" applyFont="1" applyFill="1" applyBorder="1" applyAlignment="1">
      <alignment horizontal="left" vertical="top" wrapText="1"/>
    </xf>
    <xf numFmtId="0" fontId="26" fillId="0" borderId="0" xfId="5" applyFont="1" applyAlignment="1">
      <alignment horizontal="center" vertical="center" wrapText="1"/>
    </xf>
    <xf numFmtId="0" fontId="23" fillId="0" borderId="0" xfId="5" applyFont="1"/>
    <xf numFmtId="168" fontId="12" fillId="0" borderId="9" xfId="0" applyNumberFormat="1" applyFont="1" applyBorder="1" applyAlignment="1">
      <alignment horizontal="left"/>
    </xf>
    <xf numFmtId="165" fontId="12" fillId="4" borderId="9" xfId="13" applyNumberFormat="1" applyFont="1" applyFill="1" applyBorder="1" applyAlignment="1">
      <alignment horizontal="center"/>
    </xf>
    <xf numFmtId="171" fontId="12" fillId="4" borderId="9" xfId="13" applyNumberFormat="1" applyFont="1" applyFill="1" applyBorder="1" applyAlignment="1">
      <alignment horizontal="center"/>
    </xf>
    <xf numFmtId="187" fontId="12" fillId="4" borderId="9" xfId="0" applyNumberFormat="1" applyFont="1" applyFill="1" applyBorder="1" applyAlignment="1">
      <alignment horizontal="center" vertical="center" wrapText="1"/>
    </xf>
    <xf numFmtId="39" fontId="12" fillId="4" borderId="9" xfId="0" applyNumberFormat="1" applyFont="1" applyFill="1" applyBorder="1" applyAlignment="1">
      <alignment horizontal="center" vertical="center" wrapText="1"/>
    </xf>
    <xf numFmtId="2" fontId="4" fillId="0" borderId="9" xfId="13" applyNumberFormat="1" applyFont="1" applyBorder="1" applyAlignment="1">
      <alignment horizontal="center"/>
    </xf>
    <xf numFmtId="39" fontId="4" fillId="4" borderId="9" xfId="0" applyNumberFormat="1" applyFont="1" applyFill="1" applyBorder="1" applyAlignment="1">
      <alignment horizontal="center" vertical="center" wrapText="1"/>
    </xf>
    <xf numFmtId="0" fontId="1" fillId="0" borderId="0" xfId="8" applyFont="1"/>
    <xf numFmtId="169" fontId="12" fillId="0" borderId="9" xfId="2" applyNumberFormat="1" applyFont="1" applyBorder="1" applyAlignment="1">
      <alignment horizontal="center"/>
    </xf>
    <xf numFmtId="7" fontId="1" fillId="0" borderId="9" xfId="2" applyNumberFormat="1" applyFont="1" applyFill="1" applyBorder="1" applyAlignment="1">
      <alignment horizontal="center"/>
    </xf>
    <xf numFmtId="180" fontId="1" fillId="0" borderId="9" xfId="8" applyNumberFormat="1" applyFont="1" applyBorder="1" applyAlignment="1">
      <alignment horizontal="center"/>
    </xf>
    <xf numFmtId="180" fontId="4" fillId="0" borderId="9" xfId="8" applyNumberFormat="1" applyFont="1" applyBorder="1" applyAlignment="1">
      <alignment horizontal="center"/>
    </xf>
    <xf numFmtId="1" fontId="4" fillId="0" borderId="9" xfId="3" applyNumberFormat="1" applyFont="1" applyFill="1" applyBorder="1" applyAlignment="1">
      <alignment horizontal="center"/>
    </xf>
    <xf numFmtId="1" fontId="1" fillId="0" borderId="9" xfId="3" applyNumberFormat="1" applyFont="1" applyBorder="1" applyAlignment="1">
      <alignment horizontal="center"/>
    </xf>
    <xf numFmtId="180" fontId="4" fillId="4" borderId="9" xfId="8" applyNumberFormat="1" applyFont="1" applyFill="1" applyBorder="1" applyAlignment="1">
      <alignment horizontal="center"/>
    </xf>
    <xf numFmtId="0" fontId="12" fillId="0" borderId="0" xfId="8" applyFont="1" applyAlignment="1">
      <alignment horizontal="center"/>
    </xf>
    <xf numFmtId="0" fontId="12" fillId="0" borderId="34" xfId="8" applyFont="1" applyBorder="1"/>
    <xf numFmtId="0" fontId="12" fillId="0" borderId="0" xfId="8" applyFont="1"/>
    <xf numFmtId="0" fontId="1" fillId="0" borderId="0" xfId="8" applyFont="1" applyAlignment="1">
      <alignment horizontal="center"/>
    </xf>
    <xf numFmtId="0" fontId="12" fillId="0" borderId="35" xfId="8" applyFont="1" applyBorder="1" applyAlignment="1">
      <alignment horizontal="center"/>
    </xf>
    <xf numFmtId="0" fontId="12" fillId="0" borderId="33" xfId="8" applyFont="1" applyBorder="1" applyAlignment="1">
      <alignment horizontal="center"/>
    </xf>
    <xf numFmtId="9" fontId="1" fillId="0" borderId="9" xfId="3" applyFont="1" applyBorder="1" applyAlignment="1">
      <alignment horizontal="center"/>
    </xf>
    <xf numFmtId="2" fontId="4" fillId="0" borderId="9" xfId="3" applyNumberFormat="1" applyFont="1" applyBorder="1" applyAlignment="1">
      <alignment horizontal="center"/>
    </xf>
    <xf numFmtId="0" fontId="35" fillId="0" borderId="9" xfId="8" applyFont="1" applyBorder="1" applyAlignment="1">
      <alignment horizontal="left" vertical="center"/>
    </xf>
    <xf numFmtId="2" fontId="1" fillId="0" borderId="9" xfId="3" applyNumberFormat="1" applyFont="1" applyBorder="1" applyAlignment="1">
      <alignment horizontal="center"/>
    </xf>
    <xf numFmtId="10" fontId="1" fillId="0" borderId="9" xfId="3" applyNumberFormat="1" applyFont="1" applyBorder="1" applyAlignment="1">
      <alignment horizontal="center"/>
    </xf>
    <xf numFmtId="1" fontId="1" fillId="0" borderId="21" xfId="3" applyNumberFormat="1" applyFont="1" applyBorder="1" applyAlignment="1">
      <alignment horizontal="center"/>
    </xf>
    <xf numFmtId="1" fontId="1" fillId="0" borderId="19" xfId="3" applyNumberFormat="1" applyFont="1" applyBorder="1" applyAlignment="1">
      <alignment horizontal="center"/>
    </xf>
    <xf numFmtId="165" fontId="1" fillId="0" borderId="9" xfId="3" applyNumberFormat="1" applyFont="1" applyFill="1" applyBorder="1" applyAlignment="1">
      <alignment horizontal="center"/>
    </xf>
    <xf numFmtId="0" fontId="35" fillId="4" borderId="9" xfId="8" applyFont="1" applyFill="1" applyBorder="1" applyAlignment="1">
      <alignment horizontal="left" vertical="center"/>
    </xf>
    <xf numFmtId="165" fontId="1" fillId="4" borderId="9" xfId="3" applyNumberFormat="1" applyFont="1" applyFill="1" applyBorder="1" applyAlignment="1">
      <alignment horizontal="center"/>
    </xf>
    <xf numFmtId="0" fontId="1" fillId="0" borderId="9" xfId="8" applyFont="1" applyBorder="1" applyAlignment="1">
      <alignment horizontal="left"/>
    </xf>
    <xf numFmtId="7" fontId="1" fillId="4" borderId="9" xfId="2" applyNumberFormat="1" applyFont="1" applyFill="1" applyBorder="1" applyAlignment="1">
      <alignment horizontal="center"/>
    </xf>
    <xf numFmtId="0" fontId="12" fillId="0" borderId="0" xfId="8" applyFont="1" applyAlignment="1">
      <alignment vertical="center" wrapText="1"/>
    </xf>
    <xf numFmtId="1" fontId="4" fillId="0" borderId="9" xfId="3" applyNumberFormat="1" applyFont="1" applyBorder="1" applyAlignment="1">
      <alignment horizontal="center"/>
    </xf>
    <xf numFmtId="1" fontId="1" fillId="4" borderId="9" xfId="3" applyNumberFormat="1" applyFont="1" applyFill="1" applyBorder="1" applyAlignment="1">
      <alignment horizontal="center"/>
    </xf>
    <xf numFmtId="9" fontId="1" fillId="4" borderId="9" xfId="3" applyFont="1" applyFill="1" applyBorder="1" applyAlignment="1">
      <alignment horizontal="center"/>
    </xf>
    <xf numFmtId="2" fontId="1" fillId="4" borderId="9" xfId="3" applyNumberFormat="1" applyFont="1" applyFill="1" applyBorder="1" applyAlignment="1">
      <alignment horizontal="center"/>
    </xf>
    <xf numFmtId="2" fontId="4" fillId="4" borderId="9" xfId="3" applyNumberFormat="1" applyFont="1" applyFill="1" applyBorder="1" applyAlignment="1">
      <alignment horizontal="center"/>
    </xf>
    <xf numFmtId="9" fontId="1" fillId="0" borderId="9" xfId="3" applyFont="1" applyFill="1" applyBorder="1" applyAlignment="1">
      <alignment horizontal="center"/>
    </xf>
    <xf numFmtId="1" fontId="1" fillId="0" borderId="9" xfId="3" applyNumberFormat="1" applyFont="1" applyFill="1" applyBorder="1" applyAlignment="1">
      <alignment horizontal="center"/>
    </xf>
    <xf numFmtId="165" fontId="35" fillId="0" borderId="9" xfId="8" applyNumberFormat="1" applyFont="1" applyBorder="1" applyAlignment="1">
      <alignment horizontal="left" vertical="center"/>
    </xf>
    <xf numFmtId="0" fontId="32" fillId="4" borderId="9" xfId="8" applyFont="1" applyFill="1" applyBorder="1" applyAlignment="1">
      <alignment horizontal="left" vertical="center"/>
    </xf>
    <xf numFmtId="2" fontId="12" fillId="0" borderId="9" xfId="3" applyNumberFormat="1" applyFont="1" applyBorder="1" applyAlignment="1">
      <alignment horizontal="center"/>
    </xf>
    <xf numFmtId="2" fontId="1" fillId="0" borderId="9" xfId="3" applyNumberFormat="1" applyFont="1" applyFill="1" applyBorder="1" applyAlignment="1">
      <alignment horizontal="center"/>
    </xf>
    <xf numFmtId="1" fontId="4" fillId="4" borderId="9" xfId="3" applyNumberFormat="1" applyFont="1" applyFill="1" applyBorder="1" applyAlignment="1">
      <alignment horizontal="center"/>
    </xf>
    <xf numFmtId="10" fontId="12" fillId="0" borderId="9" xfId="3" applyNumberFormat="1" applyFont="1" applyBorder="1" applyAlignment="1">
      <alignment horizontal="center"/>
    </xf>
    <xf numFmtId="9" fontId="12" fillId="0" borderId="9" xfId="3" applyFont="1" applyBorder="1" applyAlignment="1">
      <alignment horizontal="center"/>
    </xf>
    <xf numFmtId="10" fontId="4" fillId="0" borderId="9" xfId="3" applyNumberFormat="1" applyFont="1" applyBorder="1" applyAlignment="1">
      <alignment horizontal="center"/>
    </xf>
    <xf numFmtId="1" fontId="12" fillId="4" borderId="9" xfId="3" applyNumberFormat="1" applyFont="1" applyFill="1" applyBorder="1" applyAlignment="1">
      <alignment horizontal="center"/>
    </xf>
    <xf numFmtId="165" fontId="32" fillId="4" borderId="9" xfId="8" applyNumberFormat="1" applyFont="1" applyFill="1" applyBorder="1" applyAlignment="1">
      <alignment horizontal="left" vertical="center"/>
    </xf>
    <xf numFmtId="165" fontId="12" fillId="4" borderId="9" xfId="3" applyNumberFormat="1" applyFont="1" applyFill="1" applyBorder="1" applyAlignment="1">
      <alignment horizontal="center"/>
    </xf>
    <xf numFmtId="2" fontId="12" fillId="4" borderId="9" xfId="8" applyNumberFormat="1" applyFont="1" applyFill="1" applyBorder="1" applyAlignment="1">
      <alignment horizontal="center"/>
    </xf>
    <xf numFmtId="170" fontId="1" fillId="4" borderId="9" xfId="8" applyNumberFormat="1" applyFont="1" applyFill="1" applyBorder="1" applyAlignment="1">
      <alignment horizontal="center"/>
    </xf>
    <xf numFmtId="39" fontId="4" fillId="4" borderId="9" xfId="8" applyNumberFormat="1" applyFont="1" applyFill="1" applyBorder="1" applyAlignment="1">
      <alignment horizontal="center"/>
    </xf>
    <xf numFmtId="0" fontId="1" fillId="4" borderId="0" xfId="8" applyFont="1" applyFill="1"/>
    <xf numFmtId="0" fontId="12" fillId="4" borderId="0" xfId="8" applyFont="1" applyFill="1"/>
    <xf numFmtId="0" fontId="1" fillId="0" borderId="9" xfId="8" applyFont="1" applyBorder="1" applyAlignment="1">
      <alignment horizontal="center" vertical="center" wrapText="1"/>
    </xf>
    <xf numFmtId="165" fontId="1" fillId="0" borderId="9" xfId="8" applyNumberFormat="1" applyFont="1" applyBorder="1" applyAlignment="1">
      <alignment horizontal="center" vertical="center" wrapText="1"/>
    </xf>
    <xf numFmtId="165" fontId="1" fillId="0" borderId="16" xfId="8" applyNumberFormat="1" applyFont="1" applyBorder="1" applyAlignment="1">
      <alignment horizontal="center" vertical="center" wrapText="1"/>
    </xf>
    <xf numFmtId="1" fontId="4" fillId="0" borderId="9" xfId="13" applyNumberFormat="1" applyFont="1" applyBorder="1" applyAlignment="1">
      <alignment horizontal="center" vertical="center" wrapText="1"/>
    </xf>
    <xf numFmtId="9" fontId="1" fillId="0" borderId="9" xfId="0" applyNumberFormat="1" applyFont="1" applyBorder="1" applyAlignment="1">
      <alignment horizontal="center" vertical="center" wrapText="1"/>
    </xf>
    <xf numFmtId="39" fontId="1" fillId="0" borderId="9" xfId="1" applyNumberFormat="1" applyFont="1" applyBorder="1" applyAlignment="1">
      <alignment horizontal="center" wrapText="1"/>
    </xf>
    <xf numFmtId="170" fontId="1" fillId="4" borderId="9" xfId="1" applyNumberFormat="1" applyFont="1" applyFill="1" applyBorder="1" applyAlignment="1">
      <alignment horizontal="center" vertical="center" wrapText="1"/>
    </xf>
    <xf numFmtId="187" fontId="1" fillId="0" borderId="9" xfId="1" applyNumberFormat="1" applyFont="1" applyBorder="1" applyAlignment="1">
      <alignment horizontal="center"/>
    </xf>
    <xf numFmtId="0" fontId="1" fillId="0" borderId="9" xfId="8" applyFont="1" applyBorder="1" applyAlignment="1">
      <alignment horizontal="center" wrapText="1"/>
    </xf>
    <xf numFmtId="2" fontId="1" fillId="0" borderId="9" xfId="8" applyNumberFormat="1" applyFont="1" applyBorder="1" applyAlignment="1">
      <alignment horizontal="center" wrapText="1"/>
    </xf>
    <xf numFmtId="0" fontId="12" fillId="0" borderId="9" xfId="8" applyFont="1" applyBorder="1" applyAlignment="1">
      <alignment horizontal="center" wrapText="1"/>
    </xf>
    <xf numFmtId="170" fontId="1" fillId="0" borderId="9" xfId="1" applyNumberFormat="1" applyFont="1" applyBorder="1" applyAlignment="1">
      <alignment horizontal="center"/>
    </xf>
    <xf numFmtId="2" fontId="4" fillId="0" borderId="9" xfId="1" applyNumberFormat="1" applyFont="1" applyBorder="1" applyAlignment="1">
      <alignment horizontal="center"/>
    </xf>
    <xf numFmtId="165" fontId="12" fillId="0" borderId="9" xfId="8" applyNumberFormat="1" applyFont="1" applyBorder="1" applyAlignment="1">
      <alignment horizontal="center"/>
    </xf>
    <xf numFmtId="1" fontId="12" fillId="0" borderId="9" xfId="3" applyNumberFormat="1" applyFont="1" applyFill="1" applyBorder="1" applyAlignment="1">
      <alignment horizontal="center"/>
    </xf>
    <xf numFmtId="2" fontId="12" fillId="0" borderId="9" xfId="3" applyNumberFormat="1" applyFont="1" applyFill="1" applyBorder="1" applyAlignment="1">
      <alignment horizontal="center"/>
    </xf>
    <xf numFmtId="165" fontId="12" fillId="0" borderId="9" xfId="3" applyNumberFormat="1" applyFont="1" applyFill="1" applyBorder="1" applyAlignment="1">
      <alignment horizontal="center"/>
    </xf>
    <xf numFmtId="170" fontId="12" fillId="0" borderId="9" xfId="1" applyNumberFormat="1" applyFont="1" applyFill="1" applyBorder="1" applyAlignment="1">
      <alignment horizontal="center"/>
    </xf>
    <xf numFmtId="170" fontId="1" fillId="4" borderId="9" xfId="1" applyNumberFormat="1" applyFont="1" applyFill="1" applyBorder="1" applyAlignment="1">
      <alignment horizontal="center"/>
    </xf>
    <xf numFmtId="170" fontId="1" fillId="0" borderId="9" xfId="1" applyNumberFormat="1" applyFont="1" applyFill="1" applyBorder="1" applyAlignment="1">
      <alignment horizontal="center"/>
    </xf>
    <xf numFmtId="0" fontId="9" fillId="0" borderId="0" xfId="13" applyFont="1"/>
    <xf numFmtId="165" fontId="12" fillId="0" borderId="9" xfId="13" applyNumberFormat="1" applyFont="1" applyBorder="1" applyAlignment="1">
      <alignment horizontal="center"/>
    </xf>
    <xf numFmtId="0" fontId="12" fillId="0" borderId="9" xfId="13" applyFont="1" applyBorder="1" applyAlignment="1">
      <alignment horizontal="center"/>
    </xf>
    <xf numFmtId="1" fontId="12" fillId="0" borderId="16" xfId="13" applyNumberFormat="1" applyFont="1" applyBorder="1" applyAlignment="1">
      <alignment horizontal="center" vertical="center" wrapText="1"/>
    </xf>
    <xf numFmtId="1" fontId="12" fillId="4" borderId="16" xfId="13" applyNumberFormat="1" applyFont="1" applyFill="1" applyBorder="1" applyAlignment="1">
      <alignment horizontal="center" vertical="center" wrapText="1"/>
    </xf>
    <xf numFmtId="1" fontId="4" fillId="4" borderId="9" xfId="13" applyNumberFormat="1" applyFont="1" applyFill="1" applyBorder="1" applyAlignment="1">
      <alignment horizontal="center" vertical="center" wrapText="1"/>
    </xf>
    <xf numFmtId="0" fontId="12" fillId="0" borderId="9" xfId="13" applyFont="1" applyBorder="1" applyAlignment="1">
      <alignment wrapText="1"/>
    </xf>
    <xf numFmtId="1" fontId="12" fillId="0" borderId="9" xfId="13" applyNumberFormat="1" applyFont="1" applyBorder="1" applyAlignment="1">
      <alignment horizontal="left" vertical="center" wrapText="1"/>
    </xf>
    <xf numFmtId="0" fontId="12" fillId="0" borderId="9" xfId="8" applyFont="1" applyBorder="1" applyAlignment="1">
      <alignment horizontal="left" wrapText="1"/>
    </xf>
    <xf numFmtId="1" fontId="4" fillId="4" borderId="16" xfId="13" applyNumberFormat="1" applyFont="1" applyFill="1" applyBorder="1" applyAlignment="1">
      <alignment horizontal="center" vertical="center" wrapText="1"/>
    </xf>
    <xf numFmtId="2" fontId="12" fillId="0" borderId="16" xfId="13" applyNumberFormat="1" applyFont="1" applyBorder="1" applyAlignment="1">
      <alignment horizontal="center" vertical="center" wrapText="1"/>
    </xf>
    <xf numFmtId="2" fontId="12" fillId="4" borderId="16" xfId="13" applyNumberFormat="1" applyFont="1" applyFill="1" applyBorder="1" applyAlignment="1">
      <alignment horizontal="center" vertical="center" wrapText="1"/>
    </xf>
    <xf numFmtId="0" fontId="1" fillId="0" borderId="9" xfId="0" applyFont="1" applyBorder="1"/>
    <xf numFmtId="170" fontId="1" fillId="0" borderId="9" xfId="0" applyNumberFormat="1" applyFont="1" applyBorder="1" applyAlignment="1">
      <alignment horizontal="center" vertical="center" wrapText="1"/>
    </xf>
    <xf numFmtId="187" fontId="1" fillId="0" borderId="0" xfId="8" applyNumberFormat="1" applyFont="1"/>
    <xf numFmtId="170" fontId="1" fillId="0" borderId="9" xfId="1" applyNumberFormat="1" applyFont="1" applyFill="1" applyBorder="1" applyAlignment="1">
      <alignment horizontal="center" wrapText="1"/>
    </xf>
    <xf numFmtId="0" fontId="1" fillId="0" borderId="9" xfId="0" applyFont="1" applyBorder="1" applyAlignment="1">
      <alignment horizontal="center" vertical="center" wrapText="1"/>
    </xf>
    <xf numFmtId="39" fontId="4" fillId="0" borderId="9" xfId="1" applyNumberFormat="1" applyFont="1" applyBorder="1" applyAlignment="1">
      <alignment horizontal="center" wrapText="1"/>
    </xf>
    <xf numFmtId="39" fontId="12" fillId="0" borderId="9" xfId="1" applyNumberFormat="1" applyFont="1" applyBorder="1" applyAlignment="1">
      <alignment horizontal="center" wrapText="1"/>
    </xf>
    <xf numFmtId="39" fontId="4" fillId="4" borderId="9" xfId="1" applyNumberFormat="1" applyFont="1" applyFill="1" applyBorder="1" applyAlignment="1">
      <alignment horizontal="center" wrapText="1"/>
    </xf>
    <xf numFmtId="9" fontId="1" fillId="0" borderId="9" xfId="3" applyFont="1" applyBorder="1" applyAlignment="1">
      <alignment horizontal="center" wrapText="1"/>
    </xf>
    <xf numFmtId="39" fontId="4" fillId="0" borderId="9" xfId="1" applyNumberFormat="1" applyFont="1" applyFill="1" applyBorder="1" applyAlignment="1">
      <alignment horizontal="center" wrapText="1"/>
    </xf>
    <xf numFmtId="9" fontId="12" fillId="0" borderId="0" xfId="0" applyNumberFormat="1" applyFont="1" applyAlignment="1">
      <alignment horizontal="center" vertical="center" wrapText="1"/>
    </xf>
    <xf numFmtId="9" fontId="12" fillId="0" borderId="9" xfId="0" applyNumberFormat="1" applyFont="1" applyBorder="1" applyAlignment="1">
      <alignment horizontal="center" vertical="center" wrapText="1"/>
    </xf>
    <xf numFmtId="178" fontId="12" fillId="0" borderId="9" xfId="0" applyNumberFormat="1" applyFont="1" applyBorder="1" applyAlignment="1">
      <alignment horizontal="center" vertical="center" wrapText="1"/>
    </xf>
    <xf numFmtId="178" fontId="4" fillId="0" borderId="9" xfId="0" applyNumberFormat="1" applyFont="1" applyBorder="1" applyAlignment="1">
      <alignment horizontal="center" vertical="center" wrapText="1"/>
    </xf>
    <xf numFmtId="39" fontId="12" fillId="0" borderId="0" xfId="1" applyNumberFormat="1" applyFont="1" applyBorder="1" applyAlignment="1">
      <alignment horizontal="center" wrapText="1"/>
    </xf>
    <xf numFmtId="37" fontId="1" fillId="0" borderId="9" xfId="1" applyNumberFormat="1" applyFont="1" applyBorder="1" applyAlignment="1">
      <alignment horizontal="center" wrapText="1"/>
    </xf>
    <xf numFmtId="37" fontId="12" fillId="0" borderId="0" xfId="1" applyNumberFormat="1" applyFont="1" applyBorder="1" applyAlignment="1">
      <alignment horizontal="center" wrapText="1"/>
    </xf>
    <xf numFmtId="37" fontId="12" fillId="0" borderId="9" xfId="1" applyNumberFormat="1" applyFont="1" applyBorder="1" applyAlignment="1">
      <alignment horizontal="center" wrapText="1"/>
    </xf>
    <xf numFmtId="9" fontId="12" fillId="0" borderId="0" xfId="3" applyFont="1" applyBorder="1" applyAlignment="1">
      <alignment horizontal="center" wrapText="1"/>
    </xf>
    <xf numFmtId="187" fontId="12" fillId="0" borderId="9" xfId="1" applyNumberFormat="1" applyFont="1" applyBorder="1" applyAlignment="1">
      <alignment horizontal="center" wrapText="1"/>
    </xf>
    <xf numFmtId="187" fontId="1" fillId="0" borderId="9" xfId="1" applyNumberFormat="1" applyFont="1" applyBorder="1" applyAlignment="1">
      <alignment horizontal="center" wrapText="1"/>
    </xf>
    <xf numFmtId="187" fontId="4" fillId="0" borderId="9" xfId="1" applyNumberFormat="1" applyFont="1" applyBorder="1" applyAlignment="1">
      <alignment horizontal="center" wrapText="1"/>
    </xf>
    <xf numFmtId="170" fontId="1" fillId="0" borderId="9" xfId="2" applyNumberFormat="1" applyFont="1" applyFill="1" applyBorder="1" applyAlignment="1">
      <alignment horizontal="center" vertical="center" wrapText="1"/>
    </xf>
    <xf numFmtId="7" fontId="12" fillId="0" borderId="9" xfId="2" applyNumberFormat="1" applyFont="1" applyFill="1" applyBorder="1" applyAlignment="1">
      <alignment horizontal="center" vertical="center" wrapText="1"/>
    </xf>
    <xf numFmtId="7" fontId="1" fillId="0" borderId="9" xfId="2" applyNumberFormat="1" applyFont="1" applyBorder="1" applyAlignment="1">
      <alignment horizontal="center" wrapText="1"/>
    </xf>
    <xf numFmtId="7" fontId="12" fillId="0" borderId="9" xfId="2" applyNumberFormat="1" applyFont="1" applyBorder="1" applyAlignment="1">
      <alignment horizontal="center" wrapText="1"/>
    </xf>
    <xf numFmtId="7" fontId="4" fillId="0" borderId="9" xfId="2" applyNumberFormat="1" applyFont="1" applyBorder="1" applyAlignment="1">
      <alignment horizontal="center" wrapText="1"/>
    </xf>
    <xf numFmtId="187" fontId="1" fillId="4" borderId="9" xfId="1" applyNumberFormat="1" applyFont="1" applyFill="1" applyBorder="1" applyAlignment="1">
      <alignment horizontal="center"/>
    </xf>
    <xf numFmtId="0" fontId="1" fillId="0" borderId="0" xfId="0" applyFont="1" applyAlignment="1">
      <alignment horizontal="center"/>
    </xf>
    <xf numFmtId="0" fontId="1" fillId="0" borderId="9" xfId="0" applyFont="1" applyBorder="1" applyAlignment="1">
      <alignment horizontal="left" vertical="center"/>
    </xf>
    <xf numFmtId="180" fontId="4" fillId="4" borderId="9" xfId="0" applyNumberFormat="1" applyFont="1" applyFill="1" applyBorder="1" applyAlignment="1">
      <alignment horizontal="center"/>
    </xf>
    <xf numFmtId="178" fontId="12" fillId="0" borderId="0" xfId="8" applyNumberFormat="1" applyFont="1"/>
    <xf numFmtId="180" fontId="1" fillId="4" borderId="9" xfId="0" applyNumberFormat="1" applyFont="1" applyFill="1" applyBorder="1" applyAlignment="1">
      <alignment horizontal="center"/>
    </xf>
    <xf numFmtId="39" fontId="12" fillId="4" borderId="9" xfId="1" applyNumberFormat="1" applyFont="1" applyFill="1" applyBorder="1" applyAlignment="1">
      <alignment horizontal="center" wrapText="1"/>
    </xf>
    <xf numFmtId="39" fontId="29" fillId="4" borderId="9" xfId="1" applyNumberFormat="1" applyFont="1" applyFill="1" applyBorder="1" applyAlignment="1">
      <alignment horizontal="center" wrapText="1"/>
    </xf>
    <xf numFmtId="2" fontId="1" fillId="4" borderId="9" xfId="0" applyNumberFormat="1" applyFont="1" applyFill="1" applyBorder="1" applyAlignment="1">
      <alignment horizontal="center" vertical="center"/>
    </xf>
    <xf numFmtId="0" fontId="1" fillId="0" borderId="9" xfId="0" applyFont="1" applyBorder="1" applyAlignment="1">
      <alignment horizontal="center"/>
    </xf>
    <xf numFmtId="179" fontId="4" fillId="4" borderId="9" xfId="0" applyNumberFormat="1" applyFont="1" applyFill="1" applyBorder="1" applyAlignment="1">
      <alignment horizontal="center" vertical="center" wrapText="1"/>
    </xf>
    <xf numFmtId="9" fontId="29" fillId="0" borderId="9" xfId="0" applyNumberFormat="1" applyFont="1" applyBorder="1" applyAlignment="1">
      <alignment horizontal="center" vertical="center" wrapText="1"/>
    </xf>
    <xf numFmtId="39" fontId="29" fillId="0" borderId="9" xfId="1" applyNumberFormat="1" applyFont="1" applyFill="1" applyBorder="1" applyAlignment="1">
      <alignment horizontal="center" wrapText="1"/>
    </xf>
    <xf numFmtId="39" fontId="12" fillId="0" borderId="9" xfId="1" applyNumberFormat="1" applyFont="1" applyFill="1" applyBorder="1" applyAlignment="1">
      <alignment horizontal="center" wrapText="1"/>
    </xf>
    <xf numFmtId="7" fontId="1" fillId="4" borderId="9" xfId="2" applyNumberFormat="1" applyFont="1" applyFill="1" applyBorder="1" applyAlignment="1">
      <alignment horizontal="center" wrapText="1"/>
    </xf>
    <xf numFmtId="2" fontId="12" fillId="4" borderId="9" xfId="3" applyNumberFormat="1" applyFont="1" applyFill="1" applyBorder="1" applyAlignment="1">
      <alignment horizontal="center"/>
    </xf>
    <xf numFmtId="180" fontId="12" fillId="4" borderId="9" xfId="3" applyNumberFormat="1" applyFont="1" applyFill="1" applyBorder="1" applyAlignment="1">
      <alignment horizontal="center"/>
    </xf>
    <xf numFmtId="180" fontId="1" fillId="4" borderId="9" xfId="3" applyNumberFormat="1" applyFont="1" applyFill="1" applyBorder="1" applyAlignment="1">
      <alignment horizontal="center"/>
    </xf>
    <xf numFmtId="165" fontId="1" fillId="0" borderId="9" xfId="0" applyNumberFormat="1" applyFont="1" applyBorder="1" applyAlignment="1">
      <alignment horizontal="center" vertical="center" wrapText="1"/>
    </xf>
    <xf numFmtId="170" fontId="12" fillId="0" borderId="9" xfId="1" applyNumberFormat="1" applyFont="1" applyFill="1" applyBorder="1" applyAlignment="1">
      <alignment horizontal="center" vertical="center" wrapText="1"/>
    </xf>
    <xf numFmtId="0" fontId="23" fillId="0" borderId="9" xfId="12" applyFont="1" applyBorder="1" applyAlignment="1">
      <alignment horizontal="center"/>
    </xf>
    <xf numFmtId="187" fontId="12" fillId="0" borderId="9" xfId="0" applyNumberFormat="1" applyFont="1" applyBorder="1" applyAlignment="1">
      <alignment horizontal="center" vertical="center" wrapText="1"/>
    </xf>
    <xf numFmtId="0" fontId="23" fillId="4" borderId="9" xfId="12" applyFont="1" applyFill="1" applyBorder="1" applyAlignment="1">
      <alignment horizontal="center"/>
    </xf>
    <xf numFmtId="171" fontId="12" fillId="0" borderId="9" xfId="4" applyNumberFormat="1" applyFont="1" applyFill="1" applyBorder="1" applyAlignment="1" applyProtection="1">
      <alignment horizontal="center"/>
      <protection locked="0"/>
    </xf>
    <xf numFmtId="0" fontId="12" fillId="0" borderId="0" xfId="0" applyFont="1" applyAlignment="1">
      <alignment horizontal="left" vertical="center" wrapText="1"/>
    </xf>
    <xf numFmtId="165" fontId="12" fillId="0" borderId="0" xfId="0" applyNumberFormat="1" applyFont="1" applyAlignment="1">
      <alignment horizontal="center" vertical="center" wrapText="1"/>
    </xf>
    <xf numFmtId="0" fontId="12" fillId="4" borderId="0" xfId="0" applyFont="1" applyFill="1" applyAlignment="1">
      <alignment horizontal="left" vertical="center" wrapText="1"/>
    </xf>
    <xf numFmtId="180" fontId="12" fillId="0" borderId="0" xfId="0" applyNumberFormat="1" applyFont="1" applyAlignment="1">
      <alignment horizontal="center" vertical="center" wrapText="1"/>
    </xf>
    <xf numFmtId="0" fontId="12" fillId="0" borderId="24" xfId="0" applyFont="1" applyBorder="1" applyAlignment="1">
      <alignment horizontal="center"/>
    </xf>
    <xf numFmtId="0" fontId="12" fillId="11" borderId="9" xfId="5" applyFont="1" applyFill="1" applyBorder="1" applyAlignment="1">
      <alignment horizontal="left" vertical="center" wrapText="1"/>
    </xf>
    <xf numFmtId="168" fontId="12" fillId="0" borderId="9" xfId="5" applyNumberFormat="1" applyFont="1" applyBorder="1" applyAlignment="1">
      <alignment horizontal="left" vertical="center"/>
    </xf>
    <xf numFmtId="2" fontId="1" fillId="0" borderId="9" xfId="0" applyNumberFormat="1" applyFont="1" applyBorder="1" applyAlignment="1">
      <alignment horizontal="center"/>
    </xf>
    <xf numFmtId="2" fontId="1" fillId="4" borderId="9" xfId="0" applyNumberFormat="1" applyFont="1" applyFill="1" applyBorder="1" applyAlignment="1">
      <alignment horizontal="center"/>
    </xf>
    <xf numFmtId="0" fontId="1" fillId="4" borderId="9" xfId="0" applyFont="1" applyFill="1" applyBorder="1" applyAlignment="1">
      <alignment horizontal="center"/>
    </xf>
    <xf numFmtId="9" fontId="12" fillId="0" borderId="0" xfId="3" applyFont="1"/>
    <xf numFmtId="39" fontId="12" fillId="0" borderId="9" xfId="5" applyNumberFormat="1" applyFont="1" applyBorder="1" applyAlignment="1">
      <alignment horizontal="center"/>
    </xf>
    <xf numFmtId="9" fontId="12" fillId="0" borderId="9" xfId="7" applyFont="1" applyBorder="1" applyAlignment="1">
      <alignment horizontal="center" vertical="center" wrapText="1"/>
    </xf>
    <xf numFmtId="189" fontId="12" fillId="0" borderId="9" xfId="5" applyNumberFormat="1" applyFont="1" applyBorder="1" applyAlignment="1">
      <alignment horizontal="center"/>
    </xf>
    <xf numFmtId="189" fontId="1" fillId="0" borderId="9" xfId="5" applyNumberFormat="1" applyFont="1" applyBorder="1" applyAlignment="1">
      <alignment horizontal="center"/>
    </xf>
    <xf numFmtId="171" fontId="12" fillId="4" borderId="9" xfId="4" applyNumberFormat="1" applyFont="1" applyFill="1" applyBorder="1" applyAlignment="1" applyProtection="1">
      <alignment horizontal="center"/>
      <protection locked="0"/>
    </xf>
    <xf numFmtId="180" fontId="12" fillId="4" borderId="9" xfId="0" applyNumberFormat="1" applyFont="1" applyFill="1" applyBorder="1" applyAlignment="1">
      <alignment horizontal="center" vertical="center" wrapText="1"/>
    </xf>
    <xf numFmtId="0" fontId="12" fillId="11" borderId="26" xfId="0" applyFont="1" applyFill="1" applyBorder="1" applyAlignment="1">
      <alignment horizontal="center" vertical="center" wrapText="1"/>
    </xf>
    <xf numFmtId="39" fontId="12" fillId="0" borderId="9" xfId="1" applyNumberFormat="1" applyFont="1" applyFill="1" applyBorder="1" applyAlignment="1">
      <alignment horizontal="center" vertical="center" wrapText="1"/>
    </xf>
    <xf numFmtId="39" fontId="47" fillId="0" borderId="9" xfId="1" applyNumberFormat="1" applyFont="1" applyFill="1" applyBorder="1" applyAlignment="1">
      <alignment horizontal="center" vertical="center" wrapText="1"/>
    </xf>
    <xf numFmtId="9" fontId="47" fillId="0" borderId="9" xfId="3" applyFont="1" applyFill="1" applyBorder="1" applyAlignment="1">
      <alignment horizontal="center" vertical="center" wrapText="1"/>
    </xf>
    <xf numFmtId="37" fontId="12" fillId="0" borderId="9" xfId="1" applyNumberFormat="1" applyFont="1" applyFill="1" applyBorder="1" applyAlignment="1">
      <alignment horizontal="center" vertical="center" wrapText="1"/>
    </xf>
    <xf numFmtId="37" fontId="47" fillId="0" borderId="9" xfId="1" applyNumberFormat="1" applyFont="1" applyFill="1" applyBorder="1" applyAlignment="1">
      <alignment horizontal="center" vertical="center" wrapText="1"/>
    </xf>
    <xf numFmtId="171" fontId="47" fillId="0" borderId="9" xfId="0" applyNumberFormat="1" applyFont="1" applyBorder="1" applyAlignment="1">
      <alignment horizontal="center" vertical="center" wrapText="1"/>
    </xf>
    <xf numFmtId="171" fontId="12" fillId="4" borderId="9" xfId="13" applyNumberFormat="1" applyFont="1" applyFill="1" applyBorder="1" applyAlignment="1">
      <alignment horizontal="center" vertical="center"/>
    </xf>
    <xf numFmtId="0" fontId="12" fillId="4" borderId="14" xfId="6" applyFont="1" applyFill="1" applyBorder="1" applyAlignment="1">
      <alignment horizontal="left"/>
    </xf>
    <xf numFmtId="0" fontId="4" fillId="4" borderId="0" xfId="6" applyFont="1" applyFill="1" applyAlignment="1">
      <alignment horizontal="center"/>
    </xf>
    <xf numFmtId="2" fontId="12" fillId="0" borderId="9" xfId="6" applyNumberFormat="1" applyFont="1" applyBorder="1"/>
    <xf numFmtId="37" fontId="4" fillId="0" borderId="9" xfId="1" applyNumberFormat="1" applyFont="1" applyFill="1" applyBorder="1" applyAlignment="1">
      <alignment horizontal="center" vertical="center" wrapText="1"/>
    </xf>
    <xf numFmtId="165" fontId="34" fillId="0" borderId="9" xfId="6" applyNumberFormat="1" applyFont="1" applyBorder="1" applyAlignment="1">
      <alignment horizontal="left" vertical="center" wrapText="1"/>
    </xf>
    <xf numFmtId="0" fontId="4" fillId="4" borderId="9" xfId="6" applyFont="1" applyFill="1" applyBorder="1" applyAlignment="1">
      <alignment horizontal="center"/>
    </xf>
    <xf numFmtId="165" fontId="12" fillId="4" borderId="9" xfId="6" applyNumberFormat="1" applyFont="1" applyFill="1" applyBorder="1" applyAlignment="1">
      <alignment horizontal="center" vertical="center" wrapText="1"/>
    </xf>
    <xf numFmtId="165" fontId="4" fillId="4" borderId="9" xfId="6" applyNumberFormat="1" applyFont="1" applyFill="1" applyBorder="1" applyAlignment="1">
      <alignment horizontal="center" vertical="center" wrapText="1"/>
    </xf>
    <xf numFmtId="165" fontId="12" fillId="0" borderId="23" xfId="6" applyNumberFormat="1" applyFont="1" applyBorder="1" applyAlignment="1">
      <alignment horizontal="center" vertical="center"/>
    </xf>
    <xf numFmtId="0" fontId="48" fillId="4" borderId="0" xfId="5" applyFont="1" applyFill="1" applyAlignment="1">
      <alignment vertical="center" wrapText="1"/>
    </xf>
    <xf numFmtId="194" fontId="12" fillId="0" borderId="9" xfId="8" applyNumberFormat="1" applyFont="1" applyBorder="1" applyAlignment="1">
      <alignment horizontal="center"/>
    </xf>
    <xf numFmtId="39" fontId="12" fillId="0" borderId="9" xfId="0" applyNumberFormat="1" applyFont="1" applyBorder="1" applyAlignment="1">
      <alignment horizontal="center" vertical="center" wrapText="1"/>
    </xf>
    <xf numFmtId="1" fontId="12" fillId="0" borderId="9" xfId="3" applyNumberFormat="1" applyFont="1" applyBorder="1" applyAlignment="1">
      <alignment horizontal="center"/>
    </xf>
    <xf numFmtId="44" fontId="12" fillId="0" borderId="9" xfId="2" applyFont="1" applyFill="1" applyBorder="1"/>
    <xf numFmtId="170" fontId="12" fillId="0" borderId="9" xfId="1" applyNumberFormat="1" applyFont="1" applyBorder="1" applyAlignment="1">
      <alignment horizontal="center"/>
    </xf>
    <xf numFmtId="171" fontId="12" fillId="0" borderId="9" xfId="3" applyNumberFormat="1" applyFont="1" applyBorder="1" applyAlignment="1">
      <alignment horizontal="center"/>
    </xf>
    <xf numFmtId="0" fontId="23" fillId="0" borderId="0" xfId="12" applyFont="1" applyAlignment="1">
      <alignment horizontal="center"/>
    </xf>
    <xf numFmtId="0" fontId="12" fillId="4" borderId="9" xfId="0" applyFont="1" applyFill="1" applyBorder="1" applyAlignment="1">
      <alignment horizontal="center"/>
    </xf>
    <xf numFmtId="195" fontId="0" fillId="0" borderId="0" xfId="0" applyNumberFormat="1"/>
    <xf numFmtId="0" fontId="0" fillId="18" borderId="16" xfId="0" applyFill="1" applyBorder="1"/>
    <xf numFmtId="166" fontId="0" fillId="18" borderId="18" xfId="0" applyNumberFormat="1" applyFill="1" applyBorder="1"/>
    <xf numFmtId="0" fontId="22" fillId="4" borderId="9" xfId="12" applyFill="1" applyBorder="1"/>
    <xf numFmtId="0" fontId="22" fillId="14" borderId="16" xfId="12" applyFill="1" applyBorder="1"/>
    <xf numFmtId="166" fontId="0" fillId="0" borderId="0" xfId="0" applyNumberFormat="1"/>
    <xf numFmtId="0" fontId="6" fillId="4" borderId="0" xfId="0" applyFont="1" applyFill="1"/>
    <xf numFmtId="170" fontId="12" fillId="4" borderId="27" xfId="1" applyNumberFormat="1" applyFont="1" applyFill="1" applyBorder="1" applyAlignment="1">
      <alignment horizontal="center"/>
    </xf>
    <xf numFmtId="170" fontId="12" fillId="4" borderId="27" xfId="0" applyNumberFormat="1" applyFont="1" applyFill="1" applyBorder="1" applyAlignment="1">
      <alignment horizontal="center" vertical="center" wrapText="1"/>
    </xf>
    <xf numFmtId="0" fontId="4" fillId="0" borderId="27" xfId="0" applyFont="1" applyBorder="1" applyAlignment="1">
      <alignment horizontal="center"/>
    </xf>
    <xf numFmtId="0" fontId="25" fillId="0" borderId="0" xfId="5" applyFont="1"/>
    <xf numFmtId="0" fontId="26" fillId="4" borderId="0" xfId="6" applyFont="1" applyFill="1" applyAlignment="1">
      <alignment horizontal="left" vertical="center"/>
    </xf>
    <xf numFmtId="0" fontId="25" fillId="4" borderId="0" xfId="6" applyFont="1" applyFill="1" applyAlignment="1">
      <alignment horizontal="left" vertical="center"/>
    </xf>
    <xf numFmtId="166" fontId="25" fillId="4" borderId="0" xfId="6" applyNumberFormat="1" applyFont="1" applyFill="1" applyAlignment="1">
      <alignment horizontal="center" vertical="center"/>
    </xf>
    <xf numFmtId="0" fontId="31" fillId="0" borderId="0" xfId="6" applyFont="1"/>
    <xf numFmtId="166" fontId="12" fillId="0" borderId="0" xfId="5" applyNumberFormat="1" applyFont="1" applyAlignment="1">
      <alignment horizontal="center"/>
    </xf>
    <xf numFmtId="168" fontId="12" fillId="0" borderId="9" xfId="5" applyNumberFormat="1" applyFont="1" applyBorder="1" applyAlignment="1">
      <alignment horizontal="center"/>
    </xf>
    <xf numFmtId="166" fontId="12" fillId="0" borderId="9" xfId="5" applyNumberFormat="1" applyFont="1" applyBorder="1" applyAlignment="1">
      <alignment horizontal="center"/>
    </xf>
    <xf numFmtId="165" fontId="12" fillId="4" borderId="9" xfId="6" applyNumberFormat="1" applyFont="1" applyFill="1" applyBorder="1" applyAlignment="1">
      <alignment horizontal="left" vertical="center" wrapText="1" indent="3"/>
    </xf>
    <xf numFmtId="168" fontId="23" fillId="0" borderId="0" xfId="5" applyNumberFormat="1" applyFont="1"/>
    <xf numFmtId="4" fontId="12" fillId="0" borderId="0" xfId="5" applyNumberFormat="1" applyFont="1"/>
    <xf numFmtId="9" fontId="18" fillId="0" borderId="0" xfId="7" applyFont="1">
      <alignment horizontal="right" vertical="center" wrapText="1" readingOrder="1"/>
    </xf>
    <xf numFmtId="169" fontId="12" fillId="0" borderId="0" xfId="5" applyNumberFormat="1" applyFont="1"/>
    <xf numFmtId="172" fontId="18" fillId="0" borderId="0" xfId="7" applyNumberFormat="1" applyFont="1">
      <alignment horizontal="right" vertical="center" wrapText="1" readingOrder="1"/>
    </xf>
    <xf numFmtId="166" fontId="12" fillId="0" borderId="0" xfId="5" applyNumberFormat="1" applyFont="1" applyAlignment="1">
      <alignment horizontal="center" wrapText="1"/>
    </xf>
    <xf numFmtId="0" fontId="26" fillId="0" borderId="0" xfId="5" applyFont="1"/>
    <xf numFmtId="166" fontId="23" fillId="0" borderId="0" xfId="5" applyNumberFormat="1" applyFont="1" applyAlignment="1">
      <alignment horizontal="center" wrapText="1"/>
    </xf>
    <xf numFmtId="168" fontId="12" fillId="4" borderId="9" xfId="5" applyNumberFormat="1" applyFont="1" applyFill="1" applyBorder="1" applyAlignment="1">
      <alignment horizontal="left" vertical="center"/>
    </xf>
    <xf numFmtId="0" fontId="23" fillId="0" borderId="0" xfId="6" applyFont="1" applyAlignment="1">
      <alignment horizontal="right"/>
    </xf>
    <xf numFmtId="3" fontId="23" fillId="0" borderId="0" xfId="6" applyNumberFormat="1" applyFont="1" applyAlignment="1">
      <alignment horizontal="right"/>
    </xf>
    <xf numFmtId="0" fontId="23" fillId="0" borderId="0" xfId="5" applyFont="1" applyAlignment="1">
      <alignment horizontal="right"/>
    </xf>
    <xf numFmtId="3" fontId="23" fillId="0" borderId="0" xfId="5" applyNumberFormat="1" applyFont="1" applyAlignment="1">
      <alignment horizontal="right"/>
    </xf>
    <xf numFmtId="168" fontId="12" fillId="0" borderId="0" xfId="5" applyNumberFormat="1" applyFont="1"/>
    <xf numFmtId="168" fontId="12" fillId="0" borderId="9" xfId="5" applyNumberFormat="1" applyFont="1" applyBorder="1"/>
    <xf numFmtId="0" fontId="12" fillId="0" borderId="9" xfId="5" applyFont="1" applyBorder="1" applyAlignment="1">
      <alignment horizontal="center"/>
    </xf>
    <xf numFmtId="9" fontId="12" fillId="7" borderId="9" xfId="3" applyFont="1" applyFill="1" applyBorder="1" applyAlignment="1">
      <alignment horizontal="center"/>
    </xf>
    <xf numFmtId="168" fontId="12" fillId="4" borderId="0" xfId="5" applyNumberFormat="1" applyFont="1" applyFill="1" applyAlignment="1">
      <alignment horizontal="left" vertical="center"/>
    </xf>
    <xf numFmtId="39" fontId="12" fillId="0" borderId="0" xfId="5" applyNumberFormat="1" applyFont="1" applyAlignment="1">
      <alignment horizontal="center"/>
    </xf>
    <xf numFmtId="37" fontId="12" fillId="0" borderId="0" xfId="5" applyNumberFormat="1" applyFont="1" applyAlignment="1">
      <alignment horizontal="center"/>
    </xf>
    <xf numFmtId="165" fontId="12" fillId="0" borderId="29" xfId="6" applyNumberFormat="1" applyFont="1" applyBorder="1" applyAlignment="1">
      <alignment horizontal="center"/>
    </xf>
    <xf numFmtId="165" fontId="12" fillId="0" borderId="9" xfId="5" applyNumberFormat="1" applyFont="1" applyBorder="1" applyAlignment="1">
      <alignment horizontal="center"/>
    </xf>
    <xf numFmtId="7" fontId="23" fillId="0" borderId="22" xfId="5" applyNumberFormat="1" applyFont="1" applyBorder="1" applyAlignment="1">
      <alignment wrapText="1"/>
    </xf>
    <xf numFmtId="0" fontId="23" fillId="0" borderId="0" xfId="5" applyFont="1" applyAlignment="1">
      <alignment wrapText="1"/>
    </xf>
    <xf numFmtId="174" fontId="12" fillId="0" borderId="9" xfId="9" applyNumberFormat="1" applyFont="1" applyFill="1" applyBorder="1" applyAlignment="1">
      <alignment horizontal="center"/>
    </xf>
    <xf numFmtId="2" fontId="12" fillId="0" borderId="9" xfId="5" applyNumberFormat="1" applyFont="1" applyBorder="1" applyAlignment="1">
      <alignment horizontal="center" vertical="center"/>
    </xf>
    <xf numFmtId="175" fontId="12" fillId="0" borderId="9" xfId="9" applyNumberFormat="1" applyFont="1" applyFill="1" applyBorder="1" applyAlignment="1">
      <alignment horizontal="center"/>
    </xf>
    <xf numFmtId="176" fontId="12" fillId="0" borderId="9" xfId="9" applyNumberFormat="1" applyFont="1" applyFill="1" applyBorder="1" applyAlignment="1">
      <alignment horizontal="center"/>
    </xf>
    <xf numFmtId="168" fontId="12" fillId="0" borderId="9" xfId="5" applyNumberFormat="1" applyFont="1" applyBorder="1" applyAlignment="1">
      <alignment horizontal="center" vertical="center"/>
    </xf>
    <xf numFmtId="9" fontId="12" fillId="0" borderId="9" xfId="11" applyFont="1" applyFill="1" applyBorder="1" applyAlignment="1">
      <alignment horizontal="center" vertical="center"/>
    </xf>
    <xf numFmtId="166" fontId="23" fillId="0" borderId="0" xfId="5" applyNumberFormat="1" applyFont="1" applyAlignment="1">
      <alignment horizontal="center"/>
    </xf>
    <xf numFmtId="2" fontId="12" fillId="4" borderId="9" xfId="10" applyNumberFormat="1" applyFont="1" applyFill="1" applyBorder="1" applyAlignment="1">
      <alignment horizontal="center"/>
    </xf>
    <xf numFmtId="0" fontId="28" fillId="0" borderId="0" xfId="5" applyFont="1"/>
    <xf numFmtId="2" fontId="12" fillId="0" borderId="9" xfId="10" applyNumberFormat="1" applyFont="1" applyFill="1" applyBorder="1" applyAlignment="1">
      <alignment horizontal="center"/>
    </xf>
    <xf numFmtId="165" fontId="12" fillId="0" borderId="0" xfId="6" applyNumberFormat="1" applyFont="1" applyAlignment="1">
      <alignment horizontal="center"/>
    </xf>
    <xf numFmtId="168" fontId="12" fillId="8" borderId="9" xfId="5" applyNumberFormat="1" applyFont="1" applyFill="1" applyBorder="1" applyAlignment="1">
      <alignment horizontal="center" vertical="center"/>
    </xf>
    <xf numFmtId="1" fontId="12" fillId="0" borderId="9" xfId="11" applyNumberFormat="1" applyFont="1" applyFill="1" applyBorder="1" applyAlignment="1">
      <alignment horizontal="center" vertical="center"/>
    </xf>
    <xf numFmtId="1" fontId="12" fillId="8" borderId="9" xfId="11" applyNumberFormat="1" applyFont="1" applyFill="1" applyBorder="1" applyAlignment="1">
      <alignment horizontal="center" vertical="center"/>
    </xf>
    <xf numFmtId="1" fontId="12" fillId="8" borderId="9" xfId="11" applyNumberFormat="1" applyFont="1" applyFill="1" applyBorder="1" applyAlignment="1">
      <alignment horizontal="center"/>
    </xf>
    <xf numFmtId="173" fontId="23" fillId="0" borderId="0" xfId="2" applyNumberFormat="1" applyFont="1"/>
    <xf numFmtId="173" fontId="23" fillId="0" borderId="0" xfId="2" applyNumberFormat="1" applyFont="1" applyFill="1" applyBorder="1"/>
    <xf numFmtId="168" fontId="12" fillId="0" borderId="9" xfId="5" applyNumberFormat="1" applyFont="1" applyBorder="1" applyAlignment="1">
      <alignment horizontal="left"/>
    </xf>
    <xf numFmtId="169" fontId="12" fillId="0" borderId="9" xfId="5" applyNumberFormat="1" applyFont="1" applyBorder="1" applyAlignment="1">
      <alignment horizontal="center"/>
    </xf>
    <xf numFmtId="1" fontId="12" fillId="0" borderId="9" xfId="6" applyNumberFormat="1" applyFont="1" applyBorder="1" applyAlignment="1">
      <alignment horizontal="center" vertical="center" wrapText="1"/>
    </xf>
    <xf numFmtId="7" fontId="12" fillId="0" borderId="0" xfId="5" applyNumberFormat="1" applyFont="1"/>
    <xf numFmtId="0" fontId="23" fillId="14" borderId="3" xfId="5" applyFont="1" applyFill="1" applyBorder="1"/>
    <xf numFmtId="0" fontId="23" fillId="14" borderId="5" xfId="5" applyFont="1" applyFill="1" applyBorder="1"/>
    <xf numFmtId="0" fontId="23" fillId="0" borderId="8" xfId="5" applyFont="1" applyBorder="1"/>
    <xf numFmtId="0" fontId="23" fillId="0" borderId="10" xfId="5" applyFont="1" applyBorder="1"/>
    <xf numFmtId="0" fontId="23" fillId="0" borderId="8" xfId="5" applyFont="1" applyBorder="1" applyAlignment="1">
      <alignment horizontal="right"/>
    </xf>
    <xf numFmtId="0" fontId="23" fillId="0" borderId="13" xfId="5" applyFont="1" applyBorder="1" applyAlignment="1">
      <alignment horizontal="right"/>
    </xf>
    <xf numFmtId="0" fontId="23" fillId="0" borderId="15" xfId="5" applyFont="1" applyBorder="1"/>
    <xf numFmtId="172" fontId="12" fillId="0" borderId="9" xfId="3" applyNumberFormat="1" applyFont="1" applyFill="1" applyBorder="1" applyAlignment="1">
      <alignment horizontal="center" vertical="center"/>
    </xf>
    <xf numFmtId="0" fontId="23" fillId="0" borderId="0" xfId="5" applyFont="1" applyAlignment="1">
      <alignment horizontal="center" vertical="center"/>
    </xf>
    <xf numFmtId="2" fontId="12" fillId="0" borderId="9" xfId="11" applyNumberFormat="1" applyFont="1" applyFill="1" applyBorder="1" applyAlignment="1">
      <alignment horizontal="center" vertical="center"/>
    </xf>
    <xf numFmtId="44" fontId="23" fillId="0" borderId="0" xfId="2" applyFont="1"/>
    <xf numFmtId="179" fontId="12" fillId="0" borderId="9" xfId="1" applyNumberFormat="1" applyFont="1" applyFill="1" applyBorder="1" applyAlignment="1">
      <alignment horizontal="center" vertical="center"/>
    </xf>
    <xf numFmtId="181" fontId="12" fillId="0" borderId="9" xfId="1" applyNumberFormat="1" applyFont="1" applyFill="1" applyBorder="1" applyAlignment="1">
      <alignment horizontal="center" vertical="center"/>
    </xf>
    <xf numFmtId="180" fontId="12" fillId="0" borderId="9" xfId="3" applyNumberFormat="1" applyFont="1" applyFill="1" applyBorder="1" applyAlignment="1">
      <alignment horizontal="center" vertical="center"/>
    </xf>
    <xf numFmtId="9" fontId="12" fillId="8" borderId="9" xfId="3" applyFont="1" applyFill="1" applyBorder="1" applyAlignment="1">
      <alignment horizontal="center"/>
    </xf>
    <xf numFmtId="168" fontId="12" fillId="4" borderId="0" xfId="5" applyNumberFormat="1" applyFont="1" applyFill="1" applyAlignment="1">
      <alignment horizontal="center" vertical="center"/>
    </xf>
    <xf numFmtId="0" fontId="26" fillId="4" borderId="0" xfId="5" applyFont="1" applyFill="1"/>
    <xf numFmtId="180" fontId="12" fillId="0" borderId="9" xfId="11" applyNumberFormat="1" applyFont="1" applyFill="1" applyBorder="1" applyAlignment="1">
      <alignment horizontal="center" vertical="center"/>
    </xf>
    <xf numFmtId="178" fontId="12" fillId="0" borderId="16" xfId="5" applyNumberFormat="1" applyFont="1" applyBorder="1" applyAlignment="1">
      <alignment horizontal="center"/>
    </xf>
    <xf numFmtId="183" fontId="12" fillId="0" borderId="9" xfId="1" applyNumberFormat="1" applyFont="1" applyBorder="1" applyAlignment="1">
      <alignment horizontal="center"/>
    </xf>
    <xf numFmtId="181" fontId="12" fillId="0" borderId="0" xfId="6" applyNumberFormat="1" applyFont="1"/>
    <xf numFmtId="9" fontId="12" fillId="0" borderId="0" xfId="3" applyFont="1" applyFill="1"/>
    <xf numFmtId="4" fontId="12" fillId="0" borderId="0" xfId="6" applyNumberFormat="1" applyFont="1"/>
    <xf numFmtId="180" fontId="12" fillId="0" borderId="0" xfId="6" applyNumberFormat="1" applyFont="1"/>
    <xf numFmtId="0" fontId="23" fillId="0" borderId="0" xfId="6" applyFont="1" applyAlignment="1">
      <alignment wrapText="1"/>
    </xf>
    <xf numFmtId="3" fontId="12" fillId="0" borderId="0" xfId="0" applyNumberFormat="1" applyFont="1" applyAlignment="1">
      <alignment horizontal="left" vertical="center"/>
    </xf>
    <xf numFmtId="2" fontId="12" fillId="0" borderId="9" xfId="8" applyNumberFormat="1" applyFont="1" applyBorder="1" applyAlignment="1">
      <alignment horizontal="center"/>
    </xf>
    <xf numFmtId="0" fontId="12" fillId="4" borderId="0" xfId="8" applyFont="1" applyFill="1" applyAlignment="1">
      <alignment horizontal="center"/>
    </xf>
    <xf numFmtId="2" fontId="12" fillId="0" borderId="0" xfId="8" applyNumberFormat="1" applyFont="1" applyAlignment="1">
      <alignment horizontal="center"/>
    </xf>
    <xf numFmtId="39" fontId="12" fillId="0" borderId="0" xfId="1" applyNumberFormat="1" applyFont="1" applyAlignment="1">
      <alignment horizontal="center"/>
    </xf>
    <xf numFmtId="0" fontId="32" fillId="0" borderId="0" xfId="0" applyFont="1"/>
    <xf numFmtId="0" fontId="12" fillId="0" borderId="0" xfId="0" applyFont="1" applyAlignment="1">
      <alignment vertical="center"/>
    </xf>
    <xf numFmtId="9" fontId="12" fillId="0" borderId="0" xfId="3" applyFont="1" applyFill="1" applyBorder="1" applyAlignment="1">
      <alignment horizontal="center"/>
    </xf>
    <xf numFmtId="9" fontId="12" fillId="0" borderId="0" xfId="3" applyFont="1" applyBorder="1" applyAlignment="1">
      <alignment horizontal="center"/>
    </xf>
    <xf numFmtId="0" fontId="26" fillId="0" borderId="0" xfId="0" applyFont="1"/>
    <xf numFmtId="43" fontId="12" fillId="0" borderId="0" xfId="1" applyFont="1"/>
    <xf numFmtId="189" fontId="12" fillId="0" borderId="9" xfId="0" applyNumberFormat="1" applyFont="1" applyBorder="1" applyAlignment="1">
      <alignment horizontal="center"/>
    </xf>
    <xf numFmtId="168" fontId="12" fillId="0" borderId="9" xfId="0" applyNumberFormat="1" applyFont="1" applyBorder="1" applyAlignment="1">
      <alignment horizontal="center"/>
    </xf>
    <xf numFmtId="7" fontId="12" fillId="0" borderId="0" xfId="0" applyNumberFormat="1" applyFont="1"/>
    <xf numFmtId="170" fontId="12" fillId="0" borderId="0" xfId="0" applyNumberFormat="1" applyFont="1"/>
    <xf numFmtId="37" fontId="12" fillId="0" borderId="0" xfId="1" quotePrefix="1" applyNumberFormat="1" applyFont="1" applyFill="1" applyBorder="1" applyAlignment="1">
      <alignment horizontal="center" vertical="center" wrapText="1"/>
    </xf>
    <xf numFmtId="191" fontId="12" fillId="0" borderId="0" xfId="0" applyNumberFormat="1" applyFont="1" applyAlignment="1">
      <alignment horizontal="center"/>
    </xf>
    <xf numFmtId="184" fontId="12" fillId="0" borderId="0" xfId="0" applyNumberFormat="1" applyFont="1" applyAlignment="1">
      <alignment horizontal="center"/>
    </xf>
    <xf numFmtId="192" fontId="12" fillId="0" borderId="0" xfId="0" applyNumberFormat="1" applyFont="1"/>
    <xf numFmtId="0" fontId="12" fillId="4" borderId="0" xfId="0" applyFont="1" applyFill="1" applyAlignment="1">
      <alignment horizontal="left" vertical="top" wrapText="1"/>
    </xf>
    <xf numFmtId="2" fontId="12" fillId="0" borderId="0" xfId="0" applyNumberFormat="1" applyFont="1" applyAlignment="1">
      <alignment wrapText="1"/>
    </xf>
    <xf numFmtId="189" fontId="12" fillId="0" borderId="0" xfId="0" applyNumberFormat="1" applyFont="1"/>
    <xf numFmtId="168" fontId="12" fillId="0" borderId="19" xfId="0" applyNumberFormat="1" applyFont="1" applyBorder="1" applyAlignment="1">
      <alignment horizontal="center"/>
    </xf>
    <xf numFmtId="2" fontId="12" fillId="0" borderId="0" xfId="3" applyNumberFormat="1" applyFont="1" applyFill="1"/>
    <xf numFmtId="0" fontId="12" fillId="4" borderId="9" xfId="0" applyFont="1" applyFill="1" applyBorder="1" applyAlignment="1">
      <alignment horizontal="center" wrapText="1"/>
    </xf>
    <xf numFmtId="0" fontId="32" fillId="0" borderId="0" xfId="0" applyFont="1" applyAlignment="1">
      <alignment horizontal="left"/>
    </xf>
    <xf numFmtId="168" fontId="12" fillId="4" borderId="9" xfId="0" applyNumberFormat="1" applyFont="1" applyFill="1" applyBorder="1" applyAlignment="1">
      <alignment horizontal="center"/>
    </xf>
    <xf numFmtId="9" fontId="12" fillId="4" borderId="9" xfId="3" applyFont="1" applyFill="1" applyBorder="1" applyAlignment="1">
      <alignment horizontal="center" vertical="center"/>
    </xf>
    <xf numFmtId="0" fontId="12" fillId="0" borderId="0" xfId="0" applyFont="1" applyAlignment="1">
      <alignment horizontal="center" vertical="center"/>
    </xf>
    <xf numFmtId="184" fontId="12" fillId="0" borderId="0" xfId="0" applyNumberFormat="1" applyFont="1"/>
    <xf numFmtId="2" fontId="12" fillId="0" borderId="0" xfId="1" applyNumberFormat="1" applyFont="1"/>
    <xf numFmtId="2" fontId="12" fillId="0" borderId="24" xfId="0" applyNumberFormat="1" applyFont="1" applyBorder="1"/>
    <xf numFmtId="171" fontId="12" fillId="0" borderId="9" xfId="0" applyNumberFormat="1" applyFont="1" applyBorder="1"/>
    <xf numFmtId="2" fontId="12" fillId="0" borderId="9" xfId="13" applyNumberFormat="1" applyFont="1" applyBorder="1" applyAlignment="1">
      <alignment horizontal="center"/>
    </xf>
    <xf numFmtId="179" fontId="12" fillId="0" borderId="0" xfId="9" applyNumberFormat="1" applyFont="1" applyFill="1" applyBorder="1" applyAlignment="1">
      <alignment horizontal="center" vertical="center" wrapText="1"/>
    </xf>
    <xf numFmtId="165" fontId="12" fillId="0" borderId="9" xfId="6" applyNumberFormat="1" applyFont="1" applyBorder="1"/>
    <xf numFmtId="0" fontId="12" fillId="0" borderId="33" xfId="8" applyFont="1" applyBorder="1"/>
    <xf numFmtId="0" fontId="12" fillId="4" borderId="9" xfId="0" applyFont="1" applyFill="1" applyBorder="1" applyAlignment="1">
      <alignment horizontal="left"/>
    </xf>
    <xf numFmtId="180" fontId="12" fillId="0" borderId="9" xfId="8" applyNumberFormat="1" applyFont="1" applyBorder="1" applyAlignment="1">
      <alignment horizontal="center"/>
    </xf>
    <xf numFmtId="180" fontId="12" fillId="4" borderId="9" xfId="8" applyNumberFormat="1" applyFont="1" applyFill="1" applyBorder="1" applyAlignment="1">
      <alignment horizontal="center"/>
    </xf>
    <xf numFmtId="0" fontId="12" fillId="0" borderId="34" xfId="8" applyFont="1" applyBorder="1" applyAlignment="1">
      <alignment horizontal="left"/>
    </xf>
    <xf numFmtId="0" fontId="12" fillId="4" borderId="34" xfId="8" applyFont="1" applyFill="1" applyBorder="1"/>
    <xf numFmtId="0" fontId="12" fillId="0" borderId="22" xfId="8" applyFont="1" applyBorder="1" applyAlignment="1">
      <alignment horizontal="left"/>
    </xf>
    <xf numFmtId="0" fontId="12" fillId="0" borderId="19" xfId="8" applyFont="1" applyBorder="1" applyAlignment="1">
      <alignment horizontal="center"/>
    </xf>
    <xf numFmtId="2" fontId="12" fillId="0" borderId="19" xfId="8" applyNumberFormat="1" applyFont="1" applyBorder="1" applyAlignment="1">
      <alignment horizontal="center"/>
    </xf>
    <xf numFmtId="0" fontId="12" fillId="0" borderId="36" xfId="8" applyFont="1" applyBorder="1"/>
    <xf numFmtId="44" fontId="12" fillId="0" borderId="27" xfId="2" applyFont="1" applyBorder="1"/>
    <xf numFmtId="0" fontId="12" fillId="0" borderId="27" xfId="8" applyFont="1" applyBorder="1"/>
    <xf numFmtId="1" fontId="12" fillId="0" borderId="21" xfId="3" applyNumberFormat="1" applyFont="1" applyBorder="1" applyAlignment="1">
      <alignment horizontal="center"/>
    </xf>
    <xf numFmtId="1" fontId="12" fillId="0" borderId="19" xfId="3" applyNumberFormat="1" applyFont="1" applyBorder="1" applyAlignment="1">
      <alignment horizontal="center"/>
    </xf>
    <xf numFmtId="172" fontId="12" fillId="0" borderId="0" xfId="3" applyNumberFormat="1" applyFont="1" applyBorder="1"/>
    <xf numFmtId="9" fontId="12" fillId="0" borderId="0" xfId="3" applyFont="1" applyBorder="1"/>
    <xf numFmtId="0" fontId="12" fillId="4" borderId="0" xfId="8" applyFont="1" applyFill="1" applyAlignment="1">
      <alignment horizontal="left"/>
    </xf>
    <xf numFmtId="165" fontId="12" fillId="0" borderId="19" xfId="13" applyNumberFormat="1" applyFont="1" applyBorder="1" applyAlignment="1">
      <alignment horizontal="center" vertical="center" wrapText="1"/>
    </xf>
    <xf numFmtId="0" fontId="12" fillId="0" borderId="9" xfId="8" applyFont="1" applyBorder="1" applyAlignment="1">
      <alignment horizontal="center" vertical="center" wrapText="1"/>
    </xf>
    <xf numFmtId="165" fontId="12" fillId="0" borderId="9" xfId="8" applyNumberFormat="1" applyFont="1" applyBorder="1" applyAlignment="1">
      <alignment horizontal="center" vertical="center" wrapText="1"/>
    </xf>
    <xf numFmtId="165" fontId="12" fillId="0" borderId="16" xfId="8" applyNumberFormat="1" applyFont="1" applyBorder="1" applyAlignment="1">
      <alignment horizontal="center" vertical="center" wrapText="1"/>
    </xf>
    <xf numFmtId="1" fontId="12" fillId="0" borderId="9" xfId="13" applyNumberFormat="1" applyFont="1" applyBorder="1" applyAlignment="1">
      <alignment horizontal="center" vertical="center" wrapText="1"/>
    </xf>
    <xf numFmtId="0" fontId="12" fillId="4" borderId="0" xfId="8" applyFont="1" applyFill="1" applyAlignment="1">
      <alignment wrapText="1"/>
    </xf>
    <xf numFmtId="10" fontId="12" fillId="0" borderId="9" xfId="13" applyNumberFormat="1" applyFont="1" applyBorder="1" applyAlignment="1">
      <alignment horizontal="center" vertical="center" wrapText="1"/>
    </xf>
    <xf numFmtId="3" fontId="12" fillId="0" borderId="9" xfId="8" applyNumberFormat="1" applyFont="1" applyBorder="1" applyAlignment="1">
      <alignment horizontal="left" vertical="center" wrapText="1"/>
    </xf>
    <xf numFmtId="9" fontId="12" fillId="0" borderId="9" xfId="13" applyNumberFormat="1" applyFont="1" applyBorder="1" applyAlignment="1">
      <alignment horizontal="left" vertical="center" wrapText="1"/>
    </xf>
    <xf numFmtId="9" fontId="12" fillId="0" borderId="9" xfId="13" applyNumberFormat="1" applyFont="1" applyBorder="1" applyAlignment="1">
      <alignment horizontal="center" vertical="center" wrapText="1"/>
    </xf>
    <xf numFmtId="0" fontId="12" fillId="0" borderId="0" xfId="8" applyFont="1" applyAlignment="1">
      <alignment wrapText="1"/>
    </xf>
    <xf numFmtId="2" fontId="12" fillId="0" borderId="9" xfId="8" applyNumberFormat="1" applyFont="1" applyBorder="1" applyAlignment="1">
      <alignment horizontal="center" wrapText="1"/>
    </xf>
    <xf numFmtId="2" fontId="12" fillId="0" borderId="9" xfId="1" applyNumberFormat="1" applyFont="1" applyBorder="1" applyAlignment="1">
      <alignment horizontal="center"/>
    </xf>
    <xf numFmtId="1" fontId="12" fillId="0" borderId="9" xfId="8" applyNumberFormat="1" applyFont="1" applyBorder="1" applyAlignment="1">
      <alignment horizontal="center"/>
    </xf>
    <xf numFmtId="44" fontId="12" fillId="0" borderId="9" xfId="2" applyFont="1" applyBorder="1" applyAlignment="1">
      <alignment horizontal="center"/>
    </xf>
    <xf numFmtId="0" fontId="23" fillId="0" borderId="0" xfId="13" applyFont="1"/>
    <xf numFmtId="9" fontId="12" fillId="0" borderId="9" xfId="3" applyFont="1" applyBorder="1" applyAlignment="1">
      <alignment horizontal="center" wrapText="1"/>
    </xf>
    <xf numFmtId="170" fontId="12" fillId="0" borderId="9" xfId="2" applyNumberFormat="1" applyFont="1" applyFill="1" applyBorder="1" applyAlignment="1">
      <alignment horizontal="center" vertical="center" wrapText="1"/>
    </xf>
    <xf numFmtId="0" fontId="12" fillId="4" borderId="44" xfId="8" applyFont="1" applyFill="1" applyBorder="1"/>
    <xf numFmtId="0" fontId="12" fillId="4" borderId="45" xfId="8" applyFont="1" applyFill="1" applyBorder="1" applyAlignment="1">
      <alignment horizontal="left"/>
    </xf>
    <xf numFmtId="0" fontId="12" fillId="4" borderId="46" xfId="8" applyFont="1" applyFill="1" applyBorder="1"/>
    <xf numFmtId="0" fontId="12" fillId="0" borderId="45" xfId="8" applyFont="1" applyBorder="1" applyAlignment="1">
      <alignment horizontal="left"/>
    </xf>
    <xf numFmtId="0" fontId="12" fillId="0" borderId="46" xfId="8" applyFont="1" applyBorder="1" applyAlignment="1">
      <alignment horizontal="left"/>
    </xf>
    <xf numFmtId="0" fontId="12" fillId="0" borderId="46" xfId="8" applyFont="1" applyBorder="1"/>
    <xf numFmtId="0" fontId="12" fillId="0" borderId="47" xfId="8" applyFont="1" applyBorder="1"/>
    <xf numFmtId="7" fontId="12" fillId="4" borderId="9" xfId="2" applyNumberFormat="1" applyFont="1" applyFill="1" applyBorder="1" applyAlignment="1">
      <alignment horizontal="center" wrapText="1"/>
    </xf>
    <xf numFmtId="166" fontId="12" fillId="0" borderId="0" xfId="8" applyNumberFormat="1" applyFont="1"/>
    <xf numFmtId="1" fontId="12" fillId="0" borderId="0" xfId="8" applyNumberFormat="1" applyFont="1"/>
    <xf numFmtId="183" fontId="12" fillId="4" borderId="9" xfId="1" applyNumberFormat="1" applyFont="1" applyFill="1" applyBorder="1" applyAlignment="1">
      <alignment horizontal="center"/>
    </xf>
    <xf numFmtId="1" fontId="12" fillId="0" borderId="0" xfId="0" applyNumberFormat="1" applyFont="1" applyAlignment="1">
      <alignment horizontal="center" vertical="center" wrapText="1"/>
    </xf>
    <xf numFmtId="0" fontId="12" fillId="0" borderId="27" xfId="0" applyFont="1" applyBorder="1" applyAlignment="1">
      <alignment horizontal="left" vertical="center"/>
    </xf>
    <xf numFmtId="0" fontId="12" fillId="4" borderId="9" xfId="6" applyFont="1" applyFill="1" applyBorder="1" applyAlignment="1">
      <alignment horizontal="center"/>
    </xf>
    <xf numFmtId="0" fontId="12" fillId="4" borderId="14" xfId="0" applyFont="1" applyFill="1" applyBorder="1" applyAlignment="1">
      <alignment horizontal="center" vertical="center" wrapText="1"/>
    </xf>
    <xf numFmtId="182" fontId="12" fillId="4" borderId="14" xfId="1" applyNumberFormat="1" applyFont="1" applyFill="1" applyBorder="1" applyAlignment="1">
      <alignment horizontal="center"/>
    </xf>
    <xf numFmtId="0" fontId="12" fillId="4" borderId="14" xfId="6" applyFont="1" applyFill="1" applyBorder="1" applyAlignment="1">
      <alignment horizontal="center"/>
    </xf>
    <xf numFmtId="0" fontId="52" fillId="4" borderId="0" xfId="0" applyFont="1" applyFill="1" applyAlignment="1">
      <alignment vertical="center" wrapText="1"/>
    </xf>
    <xf numFmtId="0" fontId="12" fillId="0" borderId="9" xfId="13" applyFont="1" applyBorder="1" applyAlignment="1">
      <alignment horizontal="left"/>
    </xf>
    <xf numFmtId="0" fontId="49" fillId="0" borderId="0" xfId="0" applyFont="1"/>
    <xf numFmtId="39" fontId="12" fillId="4" borderId="0" xfId="1" applyNumberFormat="1" applyFont="1" applyFill="1" applyAlignment="1">
      <alignment horizontal="center"/>
    </xf>
    <xf numFmtId="178" fontId="12" fillId="0" borderId="9" xfId="0" applyNumberFormat="1" applyFont="1" applyBorder="1"/>
    <xf numFmtId="39" fontId="4" fillId="0" borderId="9" xfId="0" applyNumberFormat="1" applyFont="1" applyBorder="1" applyAlignment="1">
      <alignment horizontal="center" vertical="center" wrapText="1"/>
    </xf>
    <xf numFmtId="0" fontId="36" fillId="19" borderId="19" xfId="0" applyFont="1" applyFill="1" applyBorder="1" applyAlignment="1">
      <alignment horizontal="center" wrapText="1"/>
    </xf>
    <xf numFmtId="0" fontId="26" fillId="19" borderId="9" xfId="0" applyFont="1" applyFill="1" applyBorder="1" applyAlignment="1">
      <alignment horizontal="center" wrapText="1"/>
    </xf>
    <xf numFmtId="43" fontId="0" fillId="0" borderId="0" xfId="1" applyFont="1"/>
    <xf numFmtId="7" fontId="0" fillId="0" borderId="0" xfId="1" applyNumberFormat="1" applyFont="1"/>
    <xf numFmtId="0" fontId="26" fillId="19" borderId="30" xfId="0" applyFont="1" applyFill="1" applyBorder="1" applyAlignment="1">
      <alignment horizontal="center" wrapText="1"/>
    </xf>
    <xf numFmtId="0" fontId="26" fillId="21" borderId="9" xfId="0" applyFont="1" applyFill="1" applyBorder="1" applyAlignment="1">
      <alignment horizontal="center" wrapText="1"/>
    </xf>
    <xf numFmtId="0" fontId="60" fillId="24" borderId="9" xfId="0" applyFont="1" applyFill="1" applyBorder="1" applyAlignment="1">
      <alignment horizontal="center" wrapText="1"/>
    </xf>
    <xf numFmtId="171" fontId="48" fillId="13" borderId="9" xfId="0" applyNumberFormat="1" applyFont="1" applyFill="1" applyBorder="1" applyAlignment="1">
      <alignment horizontal="center" wrapText="1"/>
    </xf>
    <xf numFmtId="171" fontId="48" fillId="13" borderId="9" xfId="2" applyNumberFormat="1" applyFont="1" applyFill="1" applyBorder="1" applyAlignment="1">
      <alignment horizontal="center" wrapText="1"/>
    </xf>
    <xf numFmtId="39" fontId="0" fillId="0" borderId="9" xfId="0" applyNumberFormat="1" applyBorder="1"/>
    <xf numFmtId="43" fontId="48" fillId="27" borderId="20" xfId="1" applyFont="1" applyFill="1" applyBorder="1" applyAlignment="1">
      <alignment horizontal="center" wrapText="1"/>
    </xf>
    <xf numFmtId="165" fontId="0" fillId="0" borderId="9" xfId="0" applyNumberFormat="1" applyBorder="1" applyAlignment="1">
      <alignment horizontal="center"/>
    </xf>
    <xf numFmtId="43" fontId="48" fillId="30" borderId="20" xfId="1" applyFont="1" applyFill="1" applyBorder="1" applyAlignment="1">
      <alignment horizontal="center" wrapText="1"/>
    </xf>
    <xf numFmtId="7" fontId="12" fillId="0" borderId="0" xfId="2" applyNumberFormat="1" applyFont="1" applyFill="1" applyBorder="1" applyAlignment="1">
      <alignment horizontal="center"/>
    </xf>
    <xf numFmtId="44" fontId="12" fillId="0" borderId="0" xfId="0" applyNumberFormat="1" applyFont="1"/>
    <xf numFmtId="2" fontId="12" fillId="0" borderId="0" xfId="0" applyNumberFormat="1" applyFont="1" applyAlignment="1">
      <alignment horizontal="left" wrapText="1"/>
    </xf>
    <xf numFmtId="44" fontId="12" fillId="0" borderId="0" xfId="2" applyFont="1" applyFill="1" applyBorder="1"/>
    <xf numFmtId="188" fontId="12" fillId="0" borderId="0" xfId="3" applyNumberFormat="1" applyFont="1" applyFill="1" applyBorder="1"/>
    <xf numFmtId="8" fontId="12" fillId="0" borderId="0" xfId="0" applyNumberFormat="1" applyFont="1" applyAlignment="1">
      <alignment horizontal="left"/>
    </xf>
    <xf numFmtId="5" fontId="4" fillId="4" borderId="9" xfId="2" applyNumberFormat="1" applyFont="1" applyFill="1" applyBorder="1" applyAlignment="1">
      <alignment horizontal="center"/>
    </xf>
    <xf numFmtId="39" fontId="4" fillId="0" borderId="9" xfId="0" applyNumberFormat="1" applyFont="1" applyBorder="1"/>
    <xf numFmtId="0" fontId="12" fillId="4" borderId="9" xfId="0" applyFont="1" applyFill="1" applyBorder="1" applyAlignment="1">
      <alignment vertical="center"/>
    </xf>
    <xf numFmtId="2" fontId="12" fillId="4" borderId="22" xfId="1" applyNumberFormat="1" applyFont="1" applyFill="1" applyBorder="1"/>
    <xf numFmtId="2" fontId="12" fillId="4" borderId="16" xfId="1" applyNumberFormat="1" applyFont="1" applyFill="1" applyBorder="1" applyAlignment="1">
      <alignment horizontal="center"/>
    </xf>
    <xf numFmtId="0" fontId="12" fillId="32" borderId="9" xfId="0" applyFont="1" applyFill="1" applyBorder="1"/>
    <xf numFmtId="0" fontId="0" fillId="18" borderId="0" xfId="0" applyFill="1"/>
    <xf numFmtId="170" fontId="4" fillId="0" borderId="9" xfId="5" applyNumberFormat="1" applyFont="1" applyBorder="1" applyAlignment="1">
      <alignment horizontal="center"/>
    </xf>
    <xf numFmtId="171" fontId="4" fillId="17" borderId="9" xfId="2" applyNumberFormat="1" applyFont="1" applyFill="1" applyBorder="1" applyAlignment="1">
      <alignment horizontal="center"/>
    </xf>
    <xf numFmtId="171" fontId="4" fillId="4" borderId="9" xfId="5" applyNumberFormat="1" applyFont="1" applyFill="1" applyBorder="1" applyAlignment="1">
      <alignment horizontal="center"/>
    </xf>
    <xf numFmtId="0" fontId="5" fillId="12" borderId="0" xfId="0" applyFont="1" applyFill="1"/>
    <xf numFmtId="167" fontId="5" fillId="12" borderId="0" xfId="0" applyNumberFormat="1" applyFont="1" applyFill="1"/>
    <xf numFmtId="2" fontId="4" fillId="0" borderId="9" xfId="0" applyNumberFormat="1" applyFont="1" applyBorder="1"/>
    <xf numFmtId="170" fontId="12" fillId="4" borderId="9" xfId="5" applyNumberFormat="1" applyFont="1" applyFill="1" applyBorder="1" applyAlignment="1">
      <alignment horizontal="center"/>
    </xf>
    <xf numFmtId="171" fontId="1" fillId="4" borderId="9" xfId="5" applyNumberFormat="1" applyFont="1" applyFill="1" applyBorder="1" applyAlignment="1">
      <alignment horizontal="center" vertical="center" wrapText="1"/>
    </xf>
    <xf numFmtId="0" fontId="12" fillId="4" borderId="23" xfId="8" applyFont="1" applyFill="1" applyBorder="1" applyAlignment="1">
      <alignment horizontal="left"/>
    </xf>
    <xf numFmtId="165" fontId="4" fillId="0" borderId="9" xfId="0" applyNumberFormat="1" applyFont="1" applyBorder="1" applyAlignment="1">
      <alignment horizontal="center"/>
    </xf>
    <xf numFmtId="171" fontId="0" fillId="4" borderId="9" xfId="5" applyNumberFormat="1" applyFont="1" applyFill="1" applyBorder="1" applyAlignment="1">
      <alignment horizontal="center"/>
    </xf>
    <xf numFmtId="0" fontId="4" fillId="0" borderId="9" xfId="0" applyFont="1" applyBorder="1"/>
    <xf numFmtId="0" fontId="4" fillId="4" borderId="9" xfId="0" applyFont="1" applyFill="1" applyBorder="1"/>
    <xf numFmtId="43" fontId="4" fillId="0" borderId="9" xfId="1" applyFont="1" applyBorder="1"/>
    <xf numFmtId="168" fontId="12" fillId="4" borderId="9" xfId="5" applyNumberFormat="1" applyFont="1" applyFill="1" applyBorder="1" applyAlignment="1">
      <alignment horizontal="center" vertical="center"/>
    </xf>
    <xf numFmtId="43" fontId="61" fillId="0" borderId="9" xfId="1" applyFont="1" applyBorder="1"/>
    <xf numFmtId="197" fontId="61" fillId="0" borderId="9" xfId="0" applyNumberFormat="1" applyFont="1" applyBorder="1"/>
    <xf numFmtId="0" fontId="4" fillId="0" borderId="9" xfId="0" applyFont="1" applyBorder="1" applyAlignment="1">
      <alignment horizontal="center"/>
    </xf>
    <xf numFmtId="197" fontId="4" fillId="0" borderId="9" xfId="0" applyNumberFormat="1" applyFont="1" applyBorder="1"/>
    <xf numFmtId="44" fontId="4" fillId="0" borderId="9" xfId="2" applyFont="1" applyBorder="1"/>
    <xf numFmtId="0" fontId="12" fillId="0" borderId="9" xfId="5" applyFont="1" applyBorder="1" applyAlignment="1">
      <alignment horizontal="left" vertical="center" wrapText="1"/>
    </xf>
    <xf numFmtId="169" fontId="12" fillId="0" borderId="16" xfId="5" applyNumberFormat="1" applyFont="1" applyBorder="1" applyAlignment="1">
      <alignment horizontal="center"/>
    </xf>
    <xf numFmtId="37" fontId="12" fillId="0" borderId="9" xfId="5" applyNumberFormat="1" applyFont="1" applyBorder="1" applyAlignment="1">
      <alignment horizontal="center"/>
    </xf>
    <xf numFmtId="0" fontId="12" fillId="0" borderId="9" xfId="5" applyFont="1" applyBorder="1"/>
    <xf numFmtId="171" fontId="0" fillId="0" borderId="9" xfId="0" applyNumberFormat="1" applyBorder="1"/>
    <xf numFmtId="168" fontId="12" fillId="4" borderId="9" xfId="0" applyNumberFormat="1" applyFont="1" applyFill="1" applyBorder="1" applyAlignment="1">
      <alignment horizontal="left" vertical="center" wrapText="1"/>
    </xf>
    <xf numFmtId="0" fontId="4" fillId="0" borderId="0" xfId="0" applyFont="1" applyAlignment="1">
      <alignment horizontal="center"/>
    </xf>
    <xf numFmtId="0" fontId="4" fillId="0" borderId="9" xfId="13" applyFont="1" applyBorder="1" applyAlignment="1">
      <alignment horizontal="center"/>
    </xf>
    <xf numFmtId="0" fontId="4" fillId="4" borderId="9" xfId="13" applyFont="1" applyFill="1" applyBorder="1" applyAlignment="1">
      <alignment horizontal="center"/>
    </xf>
    <xf numFmtId="9" fontId="4" fillId="0" borderId="9" xfId="3" applyFont="1" applyBorder="1" applyAlignment="1">
      <alignment horizontal="center" wrapText="1"/>
    </xf>
    <xf numFmtId="0" fontId="11" fillId="0" borderId="0" xfId="5" applyFont="1"/>
    <xf numFmtId="171" fontId="4" fillId="0" borderId="9" xfId="4" applyNumberFormat="1" applyFont="1" applyFill="1" applyBorder="1" applyAlignment="1" applyProtection="1">
      <alignment horizontal="center"/>
      <protection locked="0"/>
    </xf>
    <xf numFmtId="171" fontId="4" fillId="0" borderId="9" xfId="2" applyNumberFormat="1" applyFont="1" applyBorder="1" applyAlignment="1">
      <alignment horizontal="center"/>
    </xf>
    <xf numFmtId="2" fontId="12" fillId="0" borderId="9" xfId="1" applyNumberFormat="1" applyFont="1" applyBorder="1" applyAlignment="1">
      <alignment horizontal="center" wrapText="1"/>
    </xf>
    <xf numFmtId="39" fontId="12" fillId="0" borderId="9" xfId="1" applyNumberFormat="1" applyFont="1" applyFill="1" applyBorder="1" applyAlignment="1">
      <alignment horizontal="center"/>
    </xf>
    <xf numFmtId="171" fontId="12" fillId="0" borderId="9" xfId="5" applyNumberFormat="1" applyFont="1" applyBorder="1" applyAlignment="1">
      <alignment horizontal="center" vertical="center" wrapText="1"/>
    </xf>
    <xf numFmtId="165" fontId="12" fillId="0" borderId="9" xfId="6" applyNumberFormat="1" applyFont="1" applyBorder="1" applyAlignment="1">
      <alignment horizontal="left" vertical="center" wrapText="1" indent="3"/>
    </xf>
    <xf numFmtId="0" fontId="12" fillId="15" borderId="9" xfId="5" applyFont="1" applyFill="1" applyBorder="1" applyAlignment="1">
      <alignment horizontal="center" vertical="center" wrapText="1"/>
    </xf>
    <xf numFmtId="0" fontId="9" fillId="0" borderId="0" xfId="6" applyFont="1" applyAlignment="1">
      <alignment horizontal="center"/>
    </xf>
    <xf numFmtId="165" fontId="0" fillId="0" borderId="9" xfId="0" applyNumberFormat="1" applyBorder="1"/>
    <xf numFmtId="171" fontId="1" fillId="0" borderId="9" xfId="5" applyNumberFormat="1" applyFont="1" applyBorder="1" applyAlignment="1">
      <alignment horizontal="center" vertical="center" wrapText="1"/>
    </xf>
    <xf numFmtId="7" fontId="1" fillId="0" borderId="9" xfId="10" applyNumberFormat="1" applyFont="1" applyFill="1" applyBorder="1" applyAlignment="1">
      <alignment horizontal="center"/>
    </xf>
    <xf numFmtId="2" fontId="1" fillId="0" borderId="9" xfId="10" applyNumberFormat="1" applyFont="1" applyFill="1" applyBorder="1" applyAlignment="1">
      <alignment horizontal="center"/>
    </xf>
    <xf numFmtId="165" fontId="12" fillId="0" borderId="9" xfId="0" applyNumberFormat="1" applyFont="1" applyBorder="1"/>
    <xf numFmtId="9" fontId="4" fillId="0" borderId="9" xfId="13" applyNumberFormat="1" applyFont="1" applyBorder="1" applyAlignment="1">
      <alignment horizontal="center"/>
    </xf>
    <xf numFmtId="172" fontId="12" fillId="0" borderId="9" xfId="16" applyNumberFormat="1" applyFont="1" applyFill="1" applyBorder="1" applyAlignment="1">
      <alignment horizontal="center"/>
    </xf>
    <xf numFmtId="188" fontId="12" fillId="0" borderId="9" xfId="3" applyNumberFormat="1" applyFont="1" applyFill="1" applyBorder="1" applyAlignment="1">
      <alignment horizontal="center"/>
    </xf>
    <xf numFmtId="179" fontId="12" fillId="0" borderId="9" xfId="0" applyNumberFormat="1" applyFont="1" applyBorder="1" applyAlignment="1">
      <alignment horizontal="center"/>
    </xf>
    <xf numFmtId="171" fontId="4" fillId="0" borderId="9" xfId="6" applyNumberFormat="1" applyFont="1" applyBorder="1" applyAlignment="1">
      <alignment horizontal="center"/>
    </xf>
    <xf numFmtId="39" fontId="12" fillId="0" borderId="9" xfId="0" applyNumberFormat="1" applyFont="1" applyBorder="1" applyAlignment="1">
      <alignment horizontal="center"/>
    </xf>
    <xf numFmtId="180" fontId="4" fillId="0" borderId="9" xfId="0" applyNumberFormat="1" applyFont="1" applyBorder="1" applyAlignment="1">
      <alignment horizontal="center"/>
    </xf>
    <xf numFmtId="9" fontId="4" fillId="0" borderId="0" xfId="3" applyFont="1"/>
    <xf numFmtId="172" fontId="4" fillId="4" borderId="9" xfId="3" applyNumberFormat="1" applyFont="1" applyFill="1" applyBorder="1" applyAlignment="1">
      <alignment horizontal="center"/>
    </xf>
    <xf numFmtId="43" fontId="12" fillId="0" borderId="9" xfId="0" applyNumberFormat="1" applyFont="1" applyBorder="1"/>
    <xf numFmtId="43" fontId="12" fillId="4" borderId="9" xfId="0" applyNumberFormat="1" applyFont="1" applyFill="1" applyBorder="1"/>
    <xf numFmtId="170" fontId="12" fillId="0" borderId="9" xfId="0" applyNumberFormat="1" applyFont="1" applyBorder="1"/>
    <xf numFmtId="165" fontId="12" fillId="4" borderId="9" xfId="0" applyNumberFormat="1" applyFont="1" applyFill="1" applyBorder="1" applyAlignment="1">
      <alignment horizontal="left" vertical="top" wrapText="1"/>
    </xf>
    <xf numFmtId="1" fontId="4" fillId="0" borderId="9" xfId="1" applyNumberFormat="1" applyFont="1" applyFill="1" applyBorder="1" applyAlignment="1">
      <alignment horizontal="left" vertical="top" wrapText="1"/>
    </xf>
    <xf numFmtId="1" fontId="4" fillId="0" borderId="9" xfId="0" applyNumberFormat="1" applyFont="1" applyBorder="1" applyAlignment="1">
      <alignment horizontal="left" vertical="top" wrapText="1"/>
    </xf>
    <xf numFmtId="2" fontId="4" fillId="0" borderId="9" xfId="0" applyNumberFormat="1" applyFont="1" applyBorder="1" applyAlignment="1">
      <alignment horizontal="left" vertical="top" wrapText="1"/>
    </xf>
    <xf numFmtId="39" fontId="0" fillId="0" borderId="9" xfId="0" applyNumberFormat="1" applyBorder="1" applyAlignment="1">
      <alignment horizontal="center"/>
    </xf>
    <xf numFmtId="2" fontId="4" fillId="0" borderId="0" xfId="0" applyNumberFormat="1" applyFont="1" applyAlignment="1">
      <alignment horizontal="center"/>
    </xf>
    <xf numFmtId="44" fontId="4" fillId="4" borderId="9" xfId="2" applyFont="1" applyFill="1" applyBorder="1" applyAlignment="1">
      <alignment horizontal="left" vertical="top" wrapText="1"/>
    </xf>
    <xf numFmtId="165" fontId="4" fillId="0" borderId="9" xfId="0" applyNumberFormat="1" applyFont="1" applyBorder="1" applyAlignment="1">
      <alignment horizontal="left" vertical="top" wrapText="1"/>
    </xf>
    <xf numFmtId="2" fontId="12" fillId="0" borderId="9" xfId="0" applyNumberFormat="1" applyFont="1" applyBorder="1" applyAlignment="1">
      <alignment horizontal="left" vertical="top" wrapText="1"/>
    </xf>
    <xf numFmtId="7" fontId="12" fillId="0" borderId="9" xfId="2" applyNumberFormat="1" applyFont="1" applyFill="1" applyBorder="1" applyAlignment="1">
      <alignment horizontal="center"/>
    </xf>
    <xf numFmtId="170" fontId="12" fillId="13" borderId="9" xfId="5" applyNumberFormat="1" applyFont="1" applyFill="1" applyBorder="1" applyAlignment="1">
      <alignment horizontal="center"/>
    </xf>
    <xf numFmtId="39" fontId="12" fillId="4" borderId="9" xfId="8" applyNumberFormat="1" applyFont="1" applyFill="1" applyBorder="1" applyAlignment="1">
      <alignment horizontal="center"/>
    </xf>
    <xf numFmtId="2" fontId="12" fillId="0" borderId="9" xfId="1" applyNumberFormat="1" applyFont="1" applyFill="1" applyBorder="1" applyAlignment="1">
      <alignment horizontal="center"/>
    </xf>
    <xf numFmtId="2" fontId="4" fillId="0" borderId="9" xfId="8" applyNumberFormat="1" applyFont="1" applyBorder="1" applyAlignment="1">
      <alignment horizontal="center" wrapText="1"/>
    </xf>
    <xf numFmtId="0" fontId="4" fillId="0" borderId="9" xfId="8" applyFont="1" applyBorder="1" applyAlignment="1">
      <alignment horizontal="center" wrapText="1"/>
    </xf>
    <xf numFmtId="187" fontId="4" fillId="0" borderId="9" xfId="1" applyNumberFormat="1" applyFont="1" applyBorder="1" applyAlignment="1">
      <alignment horizontal="center"/>
    </xf>
    <xf numFmtId="187" fontId="4" fillId="4" borderId="9" xfId="0" applyNumberFormat="1" applyFont="1" applyFill="1" applyBorder="1" applyAlignment="1">
      <alignment horizontal="center" vertical="center" wrapText="1"/>
    </xf>
    <xf numFmtId="0" fontId="32" fillId="4" borderId="9" xfId="8" applyFont="1" applyFill="1" applyBorder="1" applyAlignment="1">
      <alignment horizontal="left" vertical="center" wrapText="1"/>
    </xf>
    <xf numFmtId="7" fontId="12" fillId="0" borderId="9" xfId="1" applyNumberFormat="1" applyFont="1" applyBorder="1" applyAlignment="1">
      <alignment horizontal="center" wrapText="1"/>
    </xf>
    <xf numFmtId="7" fontId="4" fillId="0" borderId="9" xfId="1" applyNumberFormat="1" applyFont="1" applyBorder="1" applyAlignment="1">
      <alignment horizontal="center" wrapText="1"/>
    </xf>
    <xf numFmtId="165" fontId="1" fillId="0" borderId="9" xfId="1" applyNumberFormat="1" applyFont="1" applyBorder="1" applyAlignment="1">
      <alignment horizontal="center" wrapText="1"/>
    </xf>
    <xf numFmtId="170" fontId="12" fillId="0" borderId="9" xfId="1" applyNumberFormat="1" applyFont="1" applyBorder="1" applyAlignment="1">
      <alignment horizontal="center" wrapText="1"/>
    </xf>
    <xf numFmtId="170" fontId="4" fillId="0" borderId="9" xfId="1" applyNumberFormat="1" applyFont="1" applyBorder="1" applyAlignment="1">
      <alignment horizontal="center" wrapText="1"/>
    </xf>
    <xf numFmtId="185" fontId="4" fillId="0" borderId="9" xfId="0" applyNumberFormat="1" applyFont="1" applyBorder="1" applyAlignment="1">
      <alignment horizontal="center" vertical="center" wrapText="1"/>
    </xf>
    <xf numFmtId="170" fontId="4" fillId="0" borderId="9" xfId="0" applyNumberFormat="1" applyFont="1" applyBorder="1" applyAlignment="1">
      <alignment horizontal="center" vertical="center" wrapText="1"/>
    </xf>
    <xf numFmtId="170" fontId="4" fillId="0" borderId="9" xfId="1" applyNumberFormat="1" applyFont="1" applyFill="1" applyBorder="1" applyAlignment="1">
      <alignment horizontal="center" wrapText="1"/>
    </xf>
    <xf numFmtId="165" fontId="4" fillId="0" borderId="0" xfId="0" applyNumberFormat="1" applyFont="1" applyAlignment="1">
      <alignment horizontal="left" vertical="center" wrapText="1"/>
    </xf>
    <xf numFmtId="7" fontId="4" fillId="0" borderId="0" xfId="2" applyNumberFormat="1" applyFont="1" applyFill="1" applyBorder="1" applyAlignment="1">
      <alignment horizontal="center" wrapText="1"/>
    </xf>
    <xf numFmtId="7" fontId="4" fillId="0" borderId="0" xfId="2" applyNumberFormat="1" applyFont="1" applyBorder="1" applyAlignment="1">
      <alignment horizontal="center" wrapText="1"/>
    </xf>
    <xf numFmtId="7" fontId="12" fillId="0" borderId="0" xfId="2" applyNumberFormat="1" applyFont="1" applyBorder="1" applyAlignment="1">
      <alignment horizontal="center" wrapText="1"/>
    </xf>
    <xf numFmtId="165" fontId="4" fillId="0" borderId="16" xfId="13" applyNumberFormat="1" applyFont="1" applyBorder="1" applyAlignment="1">
      <alignment horizontal="center" vertical="center" wrapText="1"/>
    </xf>
    <xf numFmtId="0" fontId="12" fillId="0" borderId="19" xfId="6" applyFont="1" applyBorder="1"/>
    <xf numFmtId="180" fontId="0" fillId="0" borderId="9" xfId="0" applyNumberFormat="1" applyBorder="1"/>
    <xf numFmtId="180" fontId="4" fillId="0" borderId="9" xfId="0" applyNumberFormat="1" applyFont="1" applyBorder="1"/>
    <xf numFmtId="1" fontId="0" fillId="0" borderId="9" xfId="0" applyNumberFormat="1" applyBorder="1" applyAlignment="1">
      <alignment horizontal="center"/>
    </xf>
    <xf numFmtId="170" fontId="0" fillId="0" borderId="9" xfId="0" applyNumberFormat="1" applyBorder="1" applyAlignment="1">
      <alignment horizontal="center"/>
    </xf>
    <xf numFmtId="9" fontId="0" fillId="0" borderId="9" xfId="0" applyNumberFormat="1" applyBorder="1"/>
    <xf numFmtId="7" fontId="0" fillId="0" borderId="9" xfId="0" applyNumberFormat="1" applyBorder="1"/>
    <xf numFmtId="171" fontId="4" fillId="0" borderId="9" xfId="0" applyNumberFormat="1" applyFont="1" applyBorder="1"/>
    <xf numFmtId="0" fontId="11" fillId="9" borderId="0" xfId="5" applyFont="1" applyFill="1" applyAlignment="1">
      <alignment horizontal="center"/>
    </xf>
    <xf numFmtId="167" fontId="26" fillId="12" borderId="0" xfId="0" applyNumberFormat="1" applyFont="1" applyFill="1" applyAlignment="1">
      <alignment horizontal="center"/>
    </xf>
    <xf numFmtId="0" fontId="25" fillId="0" borderId="0" xfId="5" applyFont="1" applyAlignment="1">
      <alignment horizontal="left"/>
    </xf>
    <xf numFmtId="0" fontId="12" fillId="11" borderId="9" xfId="0" applyFont="1" applyFill="1" applyBorder="1" applyAlignment="1">
      <alignment vertical="center"/>
    </xf>
    <xf numFmtId="0" fontId="12" fillId="0" borderId="9" xfId="0" applyFont="1" applyBorder="1" applyAlignment="1">
      <alignment vertical="center"/>
    </xf>
    <xf numFmtId="2" fontId="12" fillId="0" borderId="9" xfId="0" applyNumberFormat="1" applyFont="1" applyBorder="1" applyAlignment="1">
      <alignment horizontal="center" wrapText="1"/>
    </xf>
    <xf numFmtId="171" fontId="4" fillId="0" borderId="9" xfId="0" applyNumberFormat="1" applyFont="1" applyBorder="1" applyAlignment="1">
      <alignment horizontal="center"/>
    </xf>
    <xf numFmtId="172" fontId="12" fillId="0" borderId="9" xfId="0" applyNumberFormat="1" applyFont="1" applyBorder="1" applyAlignment="1">
      <alignment horizontal="center" vertical="center" wrapText="1"/>
    </xf>
    <xf numFmtId="171" fontId="4" fillId="29" borderId="9" xfId="2" applyNumberFormat="1" applyFont="1" applyFill="1" applyBorder="1" applyAlignment="1">
      <alignment horizontal="center"/>
    </xf>
    <xf numFmtId="171" fontId="4" fillId="27" borderId="9" xfId="2" applyNumberFormat="1" applyFont="1" applyFill="1" applyBorder="1" applyAlignment="1">
      <alignment horizontal="center"/>
    </xf>
    <xf numFmtId="43" fontId="26" fillId="0" borderId="9" xfId="1" applyFont="1" applyBorder="1"/>
    <xf numFmtId="197" fontId="26" fillId="0" borderId="9" xfId="0" applyNumberFormat="1" applyFont="1" applyBorder="1"/>
    <xf numFmtId="197" fontId="12" fillId="0" borderId="9" xfId="0" applyNumberFormat="1" applyFont="1" applyBorder="1"/>
    <xf numFmtId="197" fontId="12" fillId="26" borderId="9" xfId="0" applyNumberFormat="1" applyFont="1" applyFill="1" applyBorder="1"/>
    <xf numFmtId="43" fontId="0" fillId="0" borderId="9" xfId="1" applyFont="1" applyBorder="1"/>
    <xf numFmtId="171" fontId="12" fillId="17" borderId="9" xfId="2" applyNumberFormat="1" applyFont="1" applyFill="1" applyBorder="1" applyAlignment="1">
      <alignment horizontal="center"/>
    </xf>
    <xf numFmtId="44" fontId="4" fillId="0" borderId="9" xfId="2" applyFont="1" applyBorder="1" applyAlignment="1">
      <alignment horizontal="center"/>
    </xf>
    <xf numFmtId="0" fontId="26" fillId="0" borderId="0" xfId="5" applyFont="1" applyAlignment="1">
      <alignment horizontal="center"/>
    </xf>
    <xf numFmtId="1" fontId="12" fillId="0" borderId="9" xfId="1" applyNumberFormat="1" applyFont="1" applyBorder="1" applyAlignment="1">
      <alignment horizontal="center" vertical="center"/>
    </xf>
    <xf numFmtId="1" fontId="12" fillId="4" borderId="9" xfId="1" applyNumberFormat="1" applyFont="1" applyFill="1" applyBorder="1" applyAlignment="1">
      <alignment horizontal="center" vertical="center"/>
    </xf>
    <xf numFmtId="171" fontId="12" fillId="0" borderId="50" xfId="13" applyNumberFormat="1" applyFont="1" applyBorder="1" applyAlignment="1">
      <alignment horizontal="center"/>
    </xf>
    <xf numFmtId="9" fontId="12" fillId="0" borderId="9" xfId="0" applyNumberFormat="1" applyFont="1" applyBorder="1" applyAlignment="1">
      <alignment horizontal="center" vertical="center"/>
    </xf>
    <xf numFmtId="0" fontId="12" fillId="4" borderId="9" xfId="12" applyFont="1" applyFill="1" applyBorder="1" applyAlignment="1">
      <alignment horizontal="center" vertical="center"/>
    </xf>
    <xf numFmtId="0" fontId="26" fillId="12" borderId="9" xfId="0" applyFont="1" applyFill="1" applyBorder="1"/>
    <xf numFmtId="0" fontId="65" fillId="9" borderId="0" xfId="5" applyFont="1" applyFill="1"/>
    <xf numFmtId="0" fontId="12" fillId="12" borderId="0" xfId="0" applyFont="1" applyFill="1"/>
    <xf numFmtId="1" fontId="12" fillId="4" borderId="9" xfId="0" applyNumberFormat="1" applyFont="1" applyFill="1" applyBorder="1" applyAlignment="1">
      <alignment horizontal="left" vertical="top" wrapText="1"/>
    </xf>
    <xf numFmtId="1" fontId="12" fillId="0" borderId="9" xfId="0" applyNumberFormat="1" applyFont="1" applyBorder="1" applyAlignment="1">
      <alignment horizontal="left" vertical="top" wrapText="1"/>
    </xf>
    <xf numFmtId="185" fontId="12" fillId="0" borderId="0" xfId="0" applyNumberFormat="1" applyFont="1"/>
    <xf numFmtId="169" fontId="12" fillId="0" borderId="9" xfId="2" applyNumberFormat="1" applyFont="1" applyFill="1" applyBorder="1" applyAlignment="1">
      <alignment horizontal="center"/>
    </xf>
    <xf numFmtId="178" fontId="12" fillId="0" borderId="9" xfId="0" applyNumberFormat="1" applyFont="1" applyBorder="1" applyAlignment="1">
      <alignment horizontal="left" vertical="center" wrapText="1"/>
    </xf>
    <xf numFmtId="171" fontId="12" fillId="0" borderId="9" xfId="2" applyNumberFormat="1" applyFont="1" applyBorder="1" applyAlignment="1">
      <alignment horizontal="center"/>
    </xf>
    <xf numFmtId="170" fontId="12" fillId="0" borderId="16" xfId="1" applyNumberFormat="1" applyFont="1" applyFill="1" applyBorder="1" applyAlignment="1">
      <alignment horizontal="left" vertical="center" wrapText="1"/>
    </xf>
    <xf numFmtId="0" fontId="12" fillId="0" borderId="19" xfId="6" applyFont="1" applyBorder="1" applyAlignment="1">
      <alignment vertical="center"/>
    </xf>
    <xf numFmtId="2" fontId="23" fillId="0" borderId="0" xfId="5" applyNumberFormat="1" applyFont="1" applyAlignment="1">
      <alignment horizontal="center"/>
    </xf>
    <xf numFmtId="2" fontId="12" fillId="33" borderId="9" xfId="1" applyNumberFormat="1" applyFont="1" applyFill="1" applyBorder="1" applyAlignment="1">
      <alignment horizontal="center"/>
    </xf>
    <xf numFmtId="2" fontId="12" fillId="8" borderId="9" xfId="1" applyNumberFormat="1" applyFont="1" applyFill="1" applyBorder="1"/>
    <xf numFmtId="2" fontId="12" fillId="8" borderId="23" xfId="1" applyNumberFormat="1" applyFont="1" applyFill="1" applyBorder="1"/>
    <xf numFmtId="44" fontId="12" fillId="4" borderId="17" xfId="2" applyFont="1" applyFill="1" applyBorder="1"/>
    <xf numFmtId="44" fontId="12" fillId="0" borderId="24" xfId="2" applyFont="1" applyFill="1" applyBorder="1"/>
    <xf numFmtId="165" fontId="8" fillId="0" borderId="8" xfId="0" applyNumberFormat="1" applyFont="1" applyBorder="1" applyAlignment="1">
      <alignment horizontal="center" vertical="center" wrapText="1"/>
    </xf>
    <xf numFmtId="165" fontId="8" fillId="0" borderId="9" xfId="0" applyNumberFormat="1" applyFont="1" applyBorder="1" applyAlignment="1">
      <alignment horizontal="center" vertical="center" wrapText="1"/>
    </xf>
    <xf numFmtId="0" fontId="8" fillId="0" borderId="10" xfId="0" applyFont="1" applyBorder="1" applyAlignment="1">
      <alignment horizontal="left" vertical="center" wrapText="1"/>
    </xf>
    <xf numFmtId="0" fontId="12" fillId="4" borderId="9" xfId="13" applyFont="1" applyFill="1" applyBorder="1" applyAlignment="1">
      <alignment horizontal="center"/>
    </xf>
    <xf numFmtId="14" fontId="8" fillId="0" borderId="9" xfId="0" applyNumberFormat="1" applyFont="1" applyBorder="1" applyAlignment="1">
      <alignment horizontal="center" vertical="center" wrapText="1"/>
    </xf>
    <xf numFmtId="9" fontId="12" fillId="0" borderId="9" xfId="3" applyFont="1" applyFill="1" applyBorder="1" applyAlignment="1">
      <alignment horizontal="center" wrapText="1"/>
    </xf>
    <xf numFmtId="165" fontId="4" fillId="0" borderId="0" xfId="0" applyNumberFormat="1" applyFont="1" applyAlignment="1">
      <alignment horizontal="center" vertical="center" wrapText="1"/>
    </xf>
    <xf numFmtId="0" fontId="12" fillId="16" borderId="9" xfId="0" applyFont="1" applyFill="1" applyBorder="1" applyAlignment="1">
      <alignment horizontal="left" vertical="top" wrapText="1"/>
    </xf>
    <xf numFmtId="2" fontId="4" fillId="0" borderId="9" xfId="1" applyNumberFormat="1" applyFont="1" applyBorder="1" applyAlignment="1">
      <alignment horizontal="center" wrapText="1"/>
    </xf>
    <xf numFmtId="171" fontId="12" fillId="4" borderId="18" xfId="4" applyNumberFormat="1" applyFont="1" applyFill="1" applyBorder="1" applyAlignment="1" applyProtection="1">
      <alignment horizontal="center"/>
      <protection locked="0"/>
    </xf>
    <xf numFmtId="1" fontId="4" fillId="4" borderId="9" xfId="0" applyNumberFormat="1" applyFont="1" applyFill="1" applyBorder="1" applyAlignment="1">
      <alignment horizontal="left" vertical="top" wrapText="1"/>
    </xf>
    <xf numFmtId="39" fontId="4" fillId="0" borderId="9" xfId="0" applyNumberFormat="1" applyFont="1" applyBorder="1" applyAlignment="1">
      <alignment horizontal="right"/>
    </xf>
    <xf numFmtId="0" fontId="12" fillId="4" borderId="30" xfId="0" applyFont="1" applyFill="1" applyBorder="1" applyAlignment="1">
      <alignment horizontal="left" vertical="top"/>
    </xf>
    <xf numFmtId="165" fontId="4" fillId="0" borderId="9" xfId="6" applyNumberFormat="1" applyFont="1" applyBorder="1" applyAlignment="1">
      <alignment horizontal="left" vertical="center" wrapText="1"/>
    </xf>
    <xf numFmtId="0" fontId="4" fillId="4" borderId="9" xfId="0" applyFont="1" applyFill="1" applyBorder="1" applyAlignment="1">
      <alignment horizontal="left" vertical="top" wrapText="1"/>
    </xf>
    <xf numFmtId="0" fontId="12" fillId="0" borderId="0" xfId="8" applyFont="1" applyAlignment="1">
      <alignment horizontal="left" vertical="center" wrapText="1"/>
    </xf>
    <xf numFmtId="7" fontId="12" fillId="4" borderId="23" xfId="2" applyNumberFormat="1" applyFont="1" applyFill="1" applyBorder="1" applyAlignment="1">
      <alignment horizontal="center" vertical="center" wrapText="1"/>
    </xf>
    <xf numFmtId="7" fontId="4" fillId="4" borderId="23" xfId="2" applyNumberFormat="1" applyFont="1" applyFill="1" applyBorder="1" applyAlignment="1">
      <alignment horizontal="center" vertical="center" wrapText="1"/>
    </xf>
    <xf numFmtId="0" fontId="23" fillId="0" borderId="54" xfId="6" applyFont="1" applyBorder="1"/>
    <xf numFmtId="2" fontId="0" fillId="19" borderId="9" xfId="0" applyNumberFormat="1" applyFill="1" applyBorder="1"/>
    <xf numFmtId="2" fontId="12" fillId="19" borderId="9" xfId="0" applyNumberFormat="1" applyFont="1" applyFill="1" applyBorder="1"/>
    <xf numFmtId="170" fontId="12" fillId="19" borderId="9" xfId="5" applyNumberFormat="1" applyFont="1" applyFill="1" applyBorder="1" applyAlignment="1">
      <alignment horizontal="center"/>
    </xf>
    <xf numFmtId="171" fontId="1" fillId="19" borderId="9" xfId="5" applyNumberFormat="1" applyFont="1" applyFill="1" applyBorder="1" applyAlignment="1">
      <alignment horizontal="center" vertical="center" wrapText="1"/>
    </xf>
    <xf numFmtId="165" fontId="12" fillId="19" borderId="9" xfId="0" applyNumberFormat="1" applyFont="1" applyFill="1" applyBorder="1" applyAlignment="1">
      <alignment horizontal="center"/>
    </xf>
    <xf numFmtId="165" fontId="0" fillId="19" borderId="9" xfId="0" applyNumberFormat="1" applyFill="1" applyBorder="1" applyAlignment="1">
      <alignment horizontal="center"/>
    </xf>
    <xf numFmtId="2" fontId="0" fillId="19" borderId="9" xfId="0" applyNumberFormat="1" applyFill="1" applyBorder="1" applyAlignment="1">
      <alignment horizontal="center"/>
    </xf>
    <xf numFmtId="2" fontId="12" fillId="19" borderId="9" xfId="0" applyNumberFormat="1" applyFont="1" applyFill="1" applyBorder="1" applyAlignment="1">
      <alignment horizontal="center"/>
    </xf>
    <xf numFmtId="187" fontId="0" fillId="0" borderId="9" xfId="0" applyNumberFormat="1" applyBorder="1" applyAlignment="1">
      <alignment horizontal="center"/>
    </xf>
    <xf numFmtId="37" fontId="0" fillId="0" borderId="9" xfId="0" applyNumberFormat="1" applyBorder="1"/>
    <xf numFmtId="170" fontId="0" fillId="0" borderId="9" xfId="0" applyNumberFormat="1" applyBorder="1"/>
    <xf numFmtId="171" fontId="4" fillId="0" borderId="9" xfId="13" applyNumberFormat="1" applyFont="1" applyBorder="1" applyAlignment="1">
      <alignment horizontal="center"/>
    </xf>
    <xf numFmtId="187" fontId="12" fillId="25" borderId="9" xfId="0" applyNumberFormat="1" applyFont="1" applyFill="1" applyBorder="1" applyAlignment="1">
      <alignment horizontal="center" vertical="center" wrapText="1"/>
    </xf>
    <xf numFmtId="39" fontId="12" fillId="25" borderId="9" xfId="0" applyNumberFormat="1" applyFont="1" applyFill="1" applyBorder="1" applyAlignment="1">
      <alignment horizontal="center" vertical="center" wrapText="1"/>
    </xf>
    <xf numFmtId="165" fontId="12" fillId="25" borderId="9" xfId="0" applyNumberFormat="1" applyFont="1" applyFill="1" applyBorder="1" applyAlignment="1">
      <alignment horizontal="center" vertical="center" wrapText="1"/>
    </xf>
    <xf numFmtId="2" fontId="4" fillId="25" borderId="9" xfId="0" applyNumberFormat="1" applyFont="1" applyFill="1" applyBorder="1" applyAlignment="1">
      <alignment horizontal="center"/>
    </xf>
    <xf numFmtId="2" fontId="12" fillId="25" borderId="9" xfId="0" applyNumberFormat="1" applyFont="1" applyFill="1" applyBorder="1" applyAlignment="1">
      <alignment horizontal="center"/>
    </xf>
    <xf numFmtId="0" fontId="23" fillId="0" borderId="0" xfId="5" applyFont="1" applyAlignment="1">
      <alignment vertical="center" wrapText="1"/>
    </xf>
    <xf numFmtId="0" fontId="5" fillId="12" borderId="9" xfId="0" applyFont="1" applyFill="1" applyBorder="1"/>
    <xf numFmtId="168" fontId="0" fillId="0" borderId="9" xfId="1" applyNumberFormat="1" applyFont="1" applyFill="1" applyBorder="1" applyAlignment="1">
      <alignment horizontal="center"/>
    </xf>
    <xf numFmtId="168" fontId="4" fillId="0" borderId="9" xfId="1" applyNumberFormat="1" applyFont="1" applyFill="1" applyBorder="1" applyAlignment="1">
      <alignment horizontal="center"/>
    </xf>
    <xf numFmtId="168" fontId="12" fillId="0" borderId="9" xfId="1" applyNumberFormat="1" applyFont="1" applyFill="1" applyBorder="1" applyAlignment="1">
      <alignment horizontal="center"/>
    </xf>
    <xf numFmtId="168" fontId="16" fillId="0" borderId="9" xfId="1" applyNumberFormat="1" applyFont="1" applyFill="1" applyBorder="1" applyAlignment="1">
      <alignment horizontal="center" vertical="center" wrapText="1"/>
    </xf>
    <xf numFmtId="168" fontId="0" fillId="19" borderId="9" xfId="1" applyNumberFormat="1" applyFont="1" applyFill="1" applyBorder="1" applyAlignment="1">
      <alignment horizontal="center"/>
    </xf>
    <xf numFmtId="168" fontId="12" fillId="19" borderId="9" xfId="1" applyNumberFormat="1" applyFont="1" applyFill="1" applyBorder="1" applyAlignment="1">
      <alignment horizontal="center"/>
    </xf>
    <xf numFmtId="37" fontId="12" fillId="4" borderId="9" xfId="0" applyNumberFormat="1" applyFont="1" applyFill="1" applyBorder="1" applyAlignment="1">
      <alignment horizontal="center" vertical="center" wrapText="1"/>
    </xf>
    <xf numFmtId="171" fontId="12" fillId="0" borderId="9" xfId="13" applyNumberFormat="1" applyFont="1" applyBorder="1" applyAlignment="1">
      <alignment horizontal="center" vertical="center" wrapText="1"/>
    </xf>
    <xf numFmtId="1" fontId="12" fillId="0" borderId="9" xfId="13" applyNumberFormat="1" applyFont="1" applyBorder="1" applyAlignment="1">
      <alignment horizontal="center"/>
    </xf>
    <xf numFmtId="168" fontId="12" fillId="0" borderId="0" xfId="0" applyNumberFormat="1" applyFont="1" applyAlignment="1">
      <alignment horizontal="center"/>
    </xf>
    <xf numFmtId="2" fontId="4" fillId="8" borderId="9" xfId="1" applyNumberFormat="1" applyFont="1" applyFill="1" applyBorder="1" applyAlignment="1">
      <alignment horizontal="center"/>
    </xf>
    <xf numFmtId="44" fontId="4" fillId="8" borderId="9" xfId="0" applyNumberFormat="1" applyFont="1" applyFill="1" applyBorder="1" applyAlignment="1">
      <alignment horizontal="center" wrapText="1"/>
    </xf>
    <xf numFmtId="0" fontId="4" fillId="4" borderId="23" xfId="8" applyFont="1" applyFill="1" applyBorder="1" applyAlignment="1">
      <alignment horizontal="left"/>
    </xf>
    <xf numFmtId="165" fontId="12" fillId="0" borderId="0" xfId="6" applyNumberFormat="1" applyFont="1"/>
    <xf numFmtId="10" fontId="12" fillId="0" borderId="0" xfId="3" applyNumberFormat="1" applyFont="1" applyFill="1"/>
    <xf numFmtId="44" fontId="4" fillId="0" borderId="18" xfId="2" applyFont="1" applyFill="1" applyBorder="1"/>
    <xf numFmtId="43" fontId="26" fillId="0" borderId="0" xfId="1" applyFont="1" applyAlignment="1">
      <alignment horizontal="center"/>
    </xf>
    <xf numFmtId="43" fontId="12" fillId="0" borderId="0" xfId="1" applyFont="1" applyAlignment="1">
      <alignment horizontal="center"/>
    </xf>
    <xf numFmtId="43" fontId="48" fillId="30" borderId="30" xfId="1" applyFont="1" applyFill="1" applyBorder="1" applyAlignment="1">
      <alignment horizontal="center" wrapText="1"/>
    </xf>
    <xf numFmtId="43" fontId="52" fillId="22" borderId="30" xfId="1" applyFont="1" applyFill="1" applyBorder="1" applyAlignment="1">
      <alignment horizontal="center" wrapText="1"/>
    </xf>
    <xf numFmtId="0" fontId="48" fillId="27" borderId="30" xfId="0" applyFont="1" applyFill="1" applyBorder="1" applyAlignment="1">
      <alignment horizontal="center" wrapText="1"/>
    </xf>
    <xf numFmtId="0" fontId="52" fillId="23" borderId="30" xfId="0" applyFont="1" applyFill="1" applyBorder="1" applyAlignment="1">
      <alignment horizontal="center" wrapText="1"/>
    </xf>
    <xf numFmtId="0" fontId="12" fillId="19" borderId="9" xfId="0" applyFont="1" applyFill="1" applyBorder="1" applyAlignment="1">
      <alignment horizontal="center" wrapText="1"/>
    </xf>
    <xf numFmtId="43" fontId="48" fillId="30" borderId="9" xfId="1" applyFont="1" applyFill="1" applyBorder="1" applyAlignment="1">
      <alignment horizontal="center" wrapText="1"/>
    </xf>
    <xf numFmtId="43" fontId="52" fillId="22" borderId="9" xfId="1" applyFont="1" applyFill="1" applyBorder="1" applyAlignment="1">
      <alignment horizontal="center" wrapText="1"/>
    </xf>
    <xf numFmtId="0" fontId="48" fillId="27" borderId="9" xfId="0" applyFont="1" applyFill="1" applyBorder="1" applyAlignment="1">
      <alignment horizontal="center" wrapText="1"/>
    </xf>
    <xf numFmtId="0" fontId="52" fillId="23" borderId="9" xfId="0" applyFont="1" applyFill="1" applyBorder="1" applyAlignment="1">
      <alignment horizontal="center" wrapText="1"/>
    </xf>
    <xf numFmtId="43" fontId="12" fillId="25" borderId="9" xfId="1" applyFont="1" applyFill="1" applyBorder="1"/>
    <xf numFmtId="9" fontId="12" fillId="0" borderId="9" xfId="0" applyNumberFormat="1" applyFont="1" applyBorder="1"/>
    <xf numFmtId="43" fontId="12" fillId="5" borderId="9" xfId="1" applyFont="1" applyFill="1" applyBorder="1"/>
    <xf numFmtId="197" fontId="12" fillId="5" borderId="9" xfId="0" applyNumberFormat="1" applyFont="1" applyFill="1" applyBorder="1"/>
    <xf numFmtId="39" fontId="12" fillId="0" borderId="9" xfId="0" applyNumberFormat="1" applyFont="1" applyBorder="1"/>
    <xf numFmtId="43" fontId="26" fillId="0" borderId="0" xfId="1" applyFont="1"/>
    <xf numFmtId="165" fontId="12" fillId="0" borderId="0" xfId="0" applyNumberFormat="1" applyFont="1" applyAlignment="1">
      <alignment horizontal="center"/>
    </xf>
    <xf numFmtId="171" fontId="12" fillId="0" borderId="0" xfId="0" applyNumberFormat="1" applyFont="1" applyAlignment="1">
      <alignment horizontal="center"/>
    </xf>
    <xf numFmtId="171" fontId="12" fillId="0" borderId="0" xfId="2" applyNumberFormat="1" applyFont="1" applyAlignment="1">
      <alignment horizontal="center"/>
    </xf>
    <xf numFmtId="171" fontId="12" fillId="30" borderId="0" xfId="0" applyNumberFormat="1" applyFont="1" applyFill="1" applyAlignment="1">
      <alignment horizontal="center"/>
    </xf>
    <xf numFmtId="171" fontId="12" fillId="30" borderId="0" xfId="2" applyNumberFormat="1" applyFont="1" applyFill="1" applyAlignment="1">
      <alignment horizontal="center"/>
    </xf>
    <xf numFmtId="0" fontId="12" fillId="18" borderId="0" xfId="0" applyFont="1" applyFill="1"/>
    <xf numFmtId="165" fontId="52" fillId="13" borderId="30" xfId="0" applyNumberFormat="1" applyFont="1" applyFill="1" applyBorder="1" applyAlignment="1">
      <alignment horizontal="center" wrapText="1"/>
    </xf>
    <xf numFmtId="165" fontId="52" fillId="13" borderId="9" xfId="0" applyNumberFormat="1" applyFont="1" applyFill="1" applyBorder="1" applyAlignment="1">
      <alignment horizontal="center" wrapText="1"/>
    </xf>
    <xf numFmtId="0" fontId="52" fillId="13" borderId="9" xfId="0" applyFont="1" applyFill="1" applyBorder="1" applyAlignment="1">
      <alignment horizontal="center" wrapText="1"/>
    </xf>
    <xf numFmtId="171" fontId="52" fillId="13" borderId="9" xfId="0" applyNumberFormat="1" applyFont="1" applyFill="1" applyBorder="1" applyAlignment="1">
      <alignment horizontal="center" wrapText="1"/>
    </xf>
    <xf numFmtId="171" fontId="12" fillId="29" borderId="9" xfId="2" applyNumberFormat="1" applyFont="1" applyFill="1" applyBorder="1" applyAlignment="1">
      <alignment horizontal="center"/>
    </xf>
    <xf numFmtId="171" fontId="12" fillId="27" borderId="9" xfId="2" applyNumberFormat="1" applyFont="1" applyFill="1" applyBorder="1" applyAlignment="1">
      <alignment horizontal="center"/>
    </xf>
    <xf numFmtId="7" fontId="12" fillId="4" borderId="9" xfId="0" applyNumberFormat="1" applyFont="1" applyFill="1" applyBorder="1"/>
    <xf numFmtId="44" fontId="26" fillId="0" borderId="9" xfId="2" applyFont="1" applyBorder="1"/>
    <xf numFmtId="43" fontId="12" fillId="20" borderId="9" xfId="0" applyNumberFormat="1" applyFont="1" applyFill="1" applyBorder="1"/>
    <xf numFmtId="0" fontId="12" fillId="20" borderId="9" xfId="0" applyFont="1" applyFill="1" applyBorder="1"/>
    <xf numFmtId="0" fontId="12" fillId="22" borderId="9" xfId="0" applyFont="1" applyFill="1" applyBorder="1"/>
    <xf numFmtId="0" fontId="12" fillId="33" borderId="9" xfId="0" applyFont="1" applyFill="1" applyBorder="1"/>
    <xf numFmtId="7" fontId="12" fillId="33" borderId="9" xfId="0" applyNumberFormat="1" applyFont="1" applyFill="1" applyBorder="1"/>
    <xf numFmtId="0" fontId="12" fillId="31" borderId="9" xfId="0" applyFont="1" applyFill="1" applyBorder="1"/>
    <xf numFmtId="2" fontId="12" fillId="5" borderId="9" xfId="0" applyNumberFormat="1" applyFont="1" applyFill="1" applyBorder="1" applyAlignment="1">
      <alignment horizontal="center"/>
    </xf>
    <xf numFmtId="44" fontId="12" fillId="5" borderId="9" xfId="2" applyFont="1" applyFill="1" applyBorder="1" applyAlignment="1">
      <alignment horizontal="center"/>
    </xf>
    <xf numFmtId="1" fontId="12" fillId="4" borderId="9" xfId="0" applyNumberFormat="1" applyFont="1" applyFill="1" applyBorder="1"/>
    <xf numFmtId="1" fontId="12" fillId="22" borderId="9" xfId="0" applyNumberFormat="1" applyFont="1" applyFill="1" applyBorder="1"/>
    <xf numFmtId="2" fontId="12" fillId="8" borderId="9" xfId="0" applyNumberFormat="1" applyFont="1" applyFill="1" applyBorder="1" applyAlignment="1">
      <alignment horizontal="center"/>
    </xf>
    <xf numFmtId="171" fontId="12" fillId="17" borderId="9" xfId="0" applyNumberFormat="1" applyFont="1" applyFill="1" applyBorder="1" applyAlignment="1">
      <alignment horizontal="center"/>
    </xf>
    <xf numFmtId="43" fontId="4" fillId="0" borderId="0" xfId="1" applyFont="1"/>
    <xf numFmtId="7" fontId="4" fillId="0" borderId="9" xfId="2" applyNumberFormat="1" applyFont="1" applyBorder="1"/>
    <xf numFmtId="170" fontId="4" fillId="0" borderId="9" xfId="1" applyNumberFormat="1" applyFont="1" applyFill="1" applyBorder="1" applyAlignment="1">
      <alignment horizontal="center"/>
    </xf>
    <xf numFmtId="165" fontId="32" fillId="4" borderId="0" xfId="8" applyNumberFormat="1" applyFont="1" applyFill="1" applyAlignment="1">
      <alignment horizontal="left" vertical="center"/>
    </xf>
    <xf numFmtId="7" fontId="12" fillId="4" borderId="0" xfId="2" applyNumberFormat="1" applyFont="1" applyFill="1" applyBorder="1" applyAlignment="1">
      <alignment horizontal="center"/>
    </xf>
    <xf numFmtId="0" fontId="35" fillId="0" borderId="0" xfId="8" applyFont="1" applyAlignment="1">
      <alignment horizontal="left" vertical="center"/>
    </xf>
    <xf numFmtId="7" fontId="1" fillId="4" borderId="0" xfId="2" applyNumberFormat="1" applyFont="1" applyFill="1" applyBorder="1" applyAlignment="1">
      <alignment horizontal="center"/>
    </xf>
    <xf numFmtId="1" fontId="1" fillId="0" borderId="0" xfId="3" applyNumberFormat="1" applyFont="1" applyBorder="1" applyAlignment="1">
      <alignment horizontal="center"/>
    </xf>
    <xf numFmtId="9" fontId="12" fillId="0" borderId="0" xfId="3" applyFont="1" applyFill="1" applyBorder="1" applyAlignment="1">
      <alignment horizontal="left" vertical="top" wrapText="1"/>
    </xf>
    <xf numFmtId="4" fontId="12" fillId="4" borderId="9" xfId="8" applyNumberFormat="1" applyFont="1" applyFill="1" applyBorder="1" applyAlignment="1">
      <alignment horizontal="center"/>
    </xf>
    <xf numFmtId="0" fontId="12" fillId="4" borderId="9" xfId="0" applyFont="1" applyFill="1" applyBorder="1" applyAlignment="1">
      <alignment horizontal="left" vertical="top"/>
    </xf>
    <xf numFmtId="39" fontId="12" fillId="4" borderId="9" xfId="1" applyNumberFormat="1" applyFont="1" applyFill="1" applyBorder="1" applyAlignment="1">
      <alignment horizontal="left" vertical="top"/>
    </xf>
    <xf numFmtId="0" fontId="12" fillId="16" borderId="9" xfId="0" applyFont="1" applyFill="1" applyBorder="1" applyAlignment="1">
      <alignment horizontal="left" vertical="top"/>
    </xf>
    <xf numFmtId="169" fontId="12" fillId="16" borderId="9" xfId="0" applyNumberFormat="1" applyFont="1" applyFill="1" applyBorder="1" applyAlignment="1">
      <alignment horizontal="left" vertical="top"/>
    </xf>
    <xf numFmtId="166" fontId="12" fillId="0" borderId="9" xfId="0" applyNumberFormat="1" applyFont="1" applyBorder="1" applyAlignment="1">
      <alignment horizontal="center" vertical="center" wrapText="1"/>
    </xf>
    <xf numFmtId="165" fontId="12" fillId="0" borderId="18" xfId="0" applyNumberFormat="1" applyFont="1" applyBorder="1" applyAlignment="1">
      <alignment horizontal="center" vertical="center" wrapText="1"/>
    </xf>
    <xf numFmtId="0" fontId="12" fillId="0" borderId="23" xfId="8" applyFont="1" applyBorder="1" applyAlignment="1">
      <alignment horizontal="left"/>
    </xf>
    <xf numFmtId="165" fontId="12" fillId="0" borderId="27" xfId="0" applyNumberFormat="1" applyFont="1" applyBorder="1" applyAlignment="1">
      <alignment horizontal="left" vertical="center" wrapText="1"/>
    </xf>
    <xf numFmtId="7" fontId="12" fillId="0" borderId="27" xfId="2" applyNumberFormat="1" applyFont="1" applyFill="1" applyBorder="1" applyAlignment="1">
      <alignment horizontal="center" wrapText="1"/>
    </xf>
    <xf numFmtId="0" fontId="12" fillId="11" borderId="54" xfId="5" applyFont="1" applyFill="1" applyBorder="1" applyAlignment="1">
      <alignment horizontal="center" vertical="center" wrapText="1"/>
    </xf>
    <xf numFmtId="0" fontId="23" fillId="0" borderId="54" xfId="6" applyFont="1" applyBorder="1" applyAlignment="1">
      <alignment horizontal="right"/>
    </xf>
    <xf numFmtId="4" fontId="4" fillId="0" borderId="9" xfId="0" applyNumberFormat="1" applyFont="1" applyBorder="1" applyAlignment="1">
      <alignment horizontal="left" vertical="top" wrapText="1"/>
    </xf>
    <xf numFmtId="37" fontId="4" fillId="0" borderId="9" xfId="1" applyNumberFormat="1" applyFont="1" applyBorder="1" applyAlignment="1">
      <alignment horizontal="center" wrapText="1"/>
    </xf>
    <xf numFmtId="168" fontId="4" fillId="0" borderId="9" xfId="1" applyNumberFormat="1" applyFont="1" applyBorder="1" applyAlignment="1"/>
    <xf numFmtId="39" fontId="4" fillId="0" borderId="9" xfId="1" quotePrefix="1" applyNumberFormat="1" applyFont="1" applyFill="1" applyBorder="1" applyAlignment="1">
      <alignment horizontal="center" vertical="center" wrapText="1"/>
    </xf>
    <xf numFmtId="3" fontId="12" fillId="0" borderId="0" xfId="0" applyNumberFormat="1" applyFont="1"/>
    <xf numFmtId="4" fontId="12" fillId="0" borderId="0" xfId="0" applyNumberFormat="1" applyFont="1"/>
    <xf numFmtId="2" fontId="12" fillId="34" borderId="9" xfId="0" applyNumberFormat="1" applyFont="1" applyFill="1" applyBorder="1" applyAlignment="1">
      <alignment horizontal="right"/>
    </xf>
    <xf numFmtId="39" fontId="1" fillId="0" borderId="9" xfId="0" applyNumberFormat="1" applyFont="1" applyBorder="1"/>
    <xf numFmtId="2" fontId="1" fillId="0" borderId="9" xfId="0" applyNumberFormat="1" applyFont="1" applyBorder="1"/>
    <xf numFmtId="165" fontId="1" fillId="0" borderId="9" xfId="3" applyNumberFormat="1" applyFont="1" applyBorder="1" applyAlignment="1">
      <alignment horizontal="center"/>
    </xf>
    <xf numFmtId="0" fontId="26" fillId="0" borderId="0" xfId="8" applyFont="1" applyAlignment="1">
      <alignment horizontal="center"/>
    </xf>
    <xf numFmtId="171" fontId="1" fillId="0" borderId="9" xfId="3" applyNumberFormat="1" applyFont="1" applyBorder="1" applyAlignment="1">
      <alignment horizontal="center"/>
    </xf>
    <xf numFmtId="8" fontId="12" fillId="0" borderId="0" xfId="8" applyNumberFormat="1" applyFont="1"/>
    <xf numFmtId="168" fontId="1" fillId="0" borderId="9" xfId="1" applyNumberFormat="1" applyFont="1" applyBorder="1"/>
    <xf numFmtId="0" fontId="1" fillId="4" borderId="9" xfId="0" applyFont="1" applyFill="1" applyBorder="1" applyAlignment="1">
      <alignment horizontal="left" vertical="top" wrapText="1"/>
    </xf>
    <xf numFmtId="1" fontId="1" fillId="4" borderId="9" xfId="0" applyNumberFormat="1" applyFont="1" applyFill="1" applyBorder="1" applyAlignment="1">
      <alignment horizontal="left" vertical="top" wrapText="1"/>
    </xf>
    <xf numFmtId="2" fontId="1" fillId="0" borderId="9" xfId="0" applyNumberFormat="1" applyFont="1" applyBorder="1" applyAlignment="1">
      <alignment horizontal="left" vertical="top" wrapText="1"/>
    </xf>
    <xf numFmtId="39" fontId="1" fillId="4" borderId="9" xfId="1" applyNumberFormat="1" applyFont="1" applyFill="1" applyBorder="1" applyAlignment="1">
      <alignment horizontal="left" vertical="top"/>
    </xf>
    <xf numFmtId="168" fontId="1" fillId="0" borderId="9" xfId="1" applyNumberFormat="1" applyFont="1" applyBorder="1" applyAlignment="1"/>
    <xf numFmtId="2" fontId="1" fillId="0" borderId="9" xfId="1" applyNumberFormat="1" applyFont="1" applyBorder="1" applyAlignment="1"/>
    <xf numFmtId="2" fontId="1" fillId="0" borderId="0" xfId="3" applyNumberFormat="1" applyFont="1"/>
    <xf numFmtId="2" fontId="1" fillId="0" borderId="0" xfId="0" applyNumberFormat="1" applyFont="1"/>
    <xf numFmtId="4" fontId="1" fillId="0" borderId="9" xfId="0" applyNumberFormat="1" applyFont="1" applyBorder="1"/>
    <xf numFmtId="39" fontId="1" fillId="4" borderId="9" xfId="1" quotePrefix="1" applyNumberFormat="1" applyFont="1" applyFill="1" applyBorder="1" applyAlignment="1">
      <alignment horizontal="center" vertical="center" wrapText="1"/>
    </xf>
    <xf numFmtId="39" fontId="1" fillId="0" borderId="9" xfId="0" applyNumberFormat="1" applyFont="1" applyBorder="1" applyAlignment="1">
      <alignment horizontal="center"/>
    </xf>
    <xf numFmtId="170" fontId="1" fillId="4" borderId="9" xfId="1" quotePrefix="1" applyNumberFormat="1" applyFont="1" applyFill="1" applyBorder="1" applyAlignment="1">
      <alignment horizontal="center" vertical="center" wrapText="1"/>
    </xf>
    <xf numFmtId="37" fontId="1" fillId="0" borderId="0" xfId="0" applyNumberFormat="1" applyFont="1"/>
    <xf numFmtId="185" fontId="1" fillId="0" borderId="0" xfId="0" applyNumberFormat="1" applyFont="1"/>
    <xf numFmtId="0" fontId="4" fillId="0" borderId="9" xfId="0" applyFont="1" applyBorder="1" applyAlignment="1">
      <alignment horizontal="left" vertical="top" wrapText="1"/>
    </xf>
    <xf numFmtId="165" fontId="4" fillId="4" borderId="23" xfId="0" applyNumberFormat="1" applyFont="1" applyFill="1" applyBorder="1" applyAlignment="1">
      <alignment horizontal="center" vertical="center" wrapText="1"/>
    </xf>
    <xf numFmtId="3" fontId="4" fillId="4" borderId="9" xfId="0" applyNumberFormat="1" applyFont="1" applyFill="1" applyBorder="1" applyAlignment="1">
      <alignment horizontal="left" vertical="top" wrapText="1"/>
    </xf>
    <xf numFmtId="3" fontId="12" fillId="36" borderId="9" xfId="0" applyNumberFormat="1" applyFont="1" applyFill="1" applyBorder="1" applyAlignment="1">
      <alignment horizontal="left" vertical="top" wrapText="1"/>
    </xf>
    <xf numFmtId="2" fontId="4" fillId="4" borderId="9" xfId="0" applyNumberFormat="1" applyFont="1" applyFill="1" applyBorder="1" applyAlignment="1">
      <alignment horizontal="left"/>
    </xf>
    <xf numFmtId="2" fontId="12" fillId="4" borderId="9" xfId="0" applyNumberFormat="1" applyFont="1" applyFill="1" applyBorder="1" applyAlignment="1">
      <alignment horizontal="left"/>
    </xf>
    <xf numFmtId="2" fontId="12" fillId="36" borderId="9" xfId="0" applyNumberFormat="1" applyFont="1" applyFill="1" applyBorder="1" applyAlignment="1">
      <alignment horizontal="left" vertical="top" wrapText="1"/>
    </xf>
    <xf numFmtId="2" fontId="12" fillId="34" borderId="9" xfId="0" applyNumberFormat="1" applyFont="1" applyFill="1" applyBorder="1" applyAlignment="1">
      <alignment wrapText="1"/>
    </xf>
    <xf numFmtId="168" fontId="12" fillId="0" borderId="0" xfId="0" applyNumberFormat="1" applyFont="1" applyAlignment="1">
      <alignment horizontal="left"/>
    </xf>
    <xf numFmtId="182" fontId="12" fillId="0" borderId="0" xfId="1" applyNumberFormat="1" applyFont="1" applyFill="1" applyBorder="1" applyAlignment="1">
      <alignment horizontal="center"/>
    </xf>
    <xf numFmtId="190" fontId="12" fillId="0" borderId="0" xfId="0" applyNumberFormat="1" applyFont="1" applyAlignment="1">
      <alignment horizontal="center"/>
    </xf>
    <xf numFmtId="43" fontId="12" fillId="0" borderId="0" xfId="0" applyNumberFormat="1" applyFont="1" applyAlignment="1">
      <alignment horizontal="center"/>
    </xf>
    <xf numFmtId="182" fontId="12" fillId="4" borderId="19" xfId="1" applyNumberFormat="1" applyFont="1" applyFill="1" applyBorder="1" applyAlignment="1">
      <alignment horizontal="center"/>
    </xf>
    <xf numFmtId="182" fontId="12" fillId="4" borderId="23" xfId="1" applyNumberFormat="1" applyFont="1" applyFill="1" applyBorder="1" applyAlignment="1">
      <alignment horizontal="center"/>
    </xf>
    <xf numFmtId="189" fontId="12" fillId="4" borderId="9" xfId="0" applyNumberFormat="1" applyFont="1" applyFill="1" applyBorder="1" applyAlignment="1">
      <alignment horizontal="center"/>
    </xf>
    <xf numFmtId="39" fontId="12" fillId="0" borderId="0" xfId="1" applyNumberFormat="1" applyFont="1" applyFill="1" applyAlignment="1">
      <alignment horizontal="center"/>
    </xf>
    <xf numFmtId="171" fontId="4" fillId="0" borderId="9" xfId="13" applyNumberFormat="1" applyFont="1" applyBorder="1" applyAlignment="1">
      <alignment horizontal="center" vertical="center" wrapText="1"/>
    </xf>
    <xf numFmtId="0" fontId="12" fillId="0" borderId="18" xfId="8" applyFont="1" applyBorder="1" applyAlignment="1">
      <alignment horizontal="center"/>
    </xf>
    <xf numFmtId="39" fontId="12" fillId="0" borderId="0" xfId="1" applyNumberFormat="1" applyFont="1" applyFill="1" applyAlignment="1">
      <alignment horizontal="center" wrapText="1"/>
    </xf>
    <xf numFmtId="37" fontId="4" fillId="4" borderId="9" xfId="0" applyNumberFormat="1" applyFont="1" applyFill="1" applyBorder="1" applyAlignment="1">
      <alignment horizontal="center" vertical="center" wrapText="1"/>
    </xf>
    <xf numFmtId="171" fontId="12" fillId="4" borderId="9" xfId="6" applyNumberFormat="1" applyFont="1" applyFill="1" applyBorder="1" applyAlignment="1">
      <alignment horizontal="center"/>
    </xf>
    <xf numFmtId="0" fontId="23" fillId="4" borderId="9" xfId="6" applyFont="1" applyFill="1" applyBorder="1" applyAlignment="1">
      <alignment horizontal="center"/>
    </xf>
    <xf numFmtId="172" fontId="23" fillId="0" borderId="54" xfId="6" applyNumberFormat="1" applyFont="1" applyBorder="1"/>
    <xf numFmtId="0" fontId="68" fillId="0" borderId="0" xfId="0" applyFont="1" applyAlignment="1">
      <alignment horizontal="left"/>
    </xf>
    <xf numFmtId="0" fontId="12" fillId="4" borderId="19" xfId="8" applyFont="1" applyFill="1" applyBorder="1" applyAlignment="1">
      <alignment horizontal="left" wrapText="1"/>
    </xf>
    <xf numFmtId="0" fontId="12" fillId="4" borderId="23" xfId="8" applyFont="1" applyFill="1" applyBorder="1" applyAlignment="1">
      <alignment horizontal="left" wrapText="1"/>
    </xf>
    <xf numFmtId="2" fontId="12" fillId="0" borderId="20" xfId="1" applyNumberFormat="1" applyFont="1" applyBorder="1"/>
    <xf numFmtId="44" fontId="12" fillId="0" borderId="20" xfId="0" applyNumberFormat="1" applyFont="1" applyBorder="1" applyAlignment="1">
      <alignment horizontal="center"/>
    </xf>
    <xf numFmtId="44" fontId="12" fillId="0" borderId="21" xfId="2" applyFont="1" applyFill="1" applyBorder="1"/>
    <xf numFmtId="2" fontId="12" fillId="8" borderId="25" xfId="1" applyNumberFormat="1" applyFont="1" applyFill="1" applyBorder="1"/>
    <xf numFmtId="44" fontId="12" fillId="0" borderId="25" xfId="0" applyNumberFormat="1" applyFont="1" applyBorder="1" applyAlignment="1">
      <alignment horizontal="center"/>
    </xf>
    <xf numFmtId="2" fontId="12" fillId="8" borderId="19" xfId="1" applyNumberFormat="1" applyFont="1" applyFill="1" applyBorder="1"/>
    <xf numFmtId="2" fontId="12" fillId="0" borderId="16" xfId="1" applyNumberFormat="1" applyFont="1" applyBorder="1"/>
    <xf numFmtId="37" fontId="4" fillId="4" borderId="9" xfId="1" applyNumberFormat="1" applyFont="1" applyFill="1" applyBorder="1" applyAlignment="1">
      <alignment horizontal="center"/>
    </xf>
    <xf numFmtId="37" fontId="12" fillId="4" borderId="9" xfId="1" applyNumberFormat="1" applyFont="1" applyFill="1" applyBorder="1" applyAlignment="1">
      <alignment horizontal="center"/>
    </xf>
    <xf numFmtId="170" fontId="12" fillId="0" borderId="9" xfId="0" applyNumberFormat="1" applyFont="1" applyBorder="1" applyAlignment="1">
      <alignment horizontal="center"/>
    </xf>
    <xf numFmtId="167" fontId="61" fillId="12" borderId="0" xfId="0" applyNumberFormat="1" applyFont="1" applyFill="1"/>
    <xf numFmtId="166" fontId="4" fillId="12" borderId="9" xfId="0" applyNumberFormat="1" applyFont="1" applyFill="1" applyBorder="1" applyAlignment="1">
      <alignment horizontal="center" vertical="center" wrapText="1"/>
    </xf>
    <xf numFmtId="39" fontId="4" fillId="0" borderId="9" xfId="5" applyNumberFormat="1" applyFont="1" applyBorder="1" applyAlignment="1">
      <alignment horizontal="right"/>
    </xf>
    <xf numFmtId="0" fontId="4" fillId="0" borderId="9" xfId="0" applyFont="1" applyBorder="1" applyAlignment="1">
      <alignment horizontal="right"/>
    </xf>
    <xf numFmtId="2" fontId="4" fillId="0" borderId="9" xfId="0" applyNumberFormat="1" applyFont="1" applyBorder="1" applyAlignment="1">
      <alignment horizontal="right"/>
    </xf>
    <xf numFmtId="37" fontId="4" fillId="0" borderId="9" xfId="1" applyNumberFormat="1" applyFont="1" applyFill="1" applyBorder="1" applyAlignment="1">
      <alignment horizontal="center"/>
    </xf>
    <xf numFmtId="0" fontId="61" fillId="12" borderId="0" xfId="0" applyFont="1" applyFill="1"/>
    <xf numFmtId="7" fontId="12" fillId="0" borderId="27" xfId="0" applyNumberFormat="1" applyFont="1" applyBorder="1"/>
    <xf numFmtId="44" fontId="12" fillId="0" borderId="22" xfId="0" applyNumberFormat="1" applyFont="1" applyBorder="1" applyAlignment="1">
      <alignment horizontal="center"/>
    </xf>
    <xf numFmtId="180" fontId="1" fillId="19" borderId="9" xfId="8" applyNumberFormat="1" applyFont="1" applyFill="1" applyBorder="1" applyAlignment="1">
      <alignment horizontal="center"/>
    </xf>
    <xf numFmtId="180" fontId="12" fillId="19" borderId="9" xfId="8" applyNumberFormat="1" applyFont="1" applyFill="1" applyBorder="1" applyAlignment="1">
      <alignment horizontal="center"/>
    </xf>
    <xf numFmtId="180" fontId="4" fillId="19" borderId="9" xfId="8" applyNumberFormat="1" applyFont="1" applyFill="1" applyBorder="1" applyAlignment="1">
      <alignment horizontal="center"/>
    </xf>
    <xf numFmtId="1" fontId="1" fillId="19" borderId="9" xfId="3" applyNumberFormat="1" applyFont="1" applyFill="1" applyBorder="1" applyAlignment="1">
      <alignment horizontal="center"/>
    </xf>
    <xf numFmtId="1" fontId="4" fillId="19" borderId="9" xfId="3" applyNumberFormat="1" applyFont="1" applyFill="1" applyBorder="1" applyAlignment="1">
      <alignment horizontal="center"/>
    </xf>
    <xf numFmtId="1" fontId="12" fillId="19" borderId="9" xfId="3" applyNumberFormat="1" applyFont="1" applyFill="1" applyBorder="1" applyAlignment="1">
      <alignment horizontal="center"/>
    </xf>
    <xf numFmtId="187" fontId="12" fillId="19" borderId="9" xfId="0" applyNumberFormat="1" applyFont="1" applyFill="1" applyBorder="1" applyAlignment="1">
      <alignment horizontal="center" vertical="center" wrapText="1"/>
    </xf>
    <xf numFmtId="39" fontId="4" fillId="19" borderId="9" xfId="0" applyNumberFormat="1" applyFont="1" applyFill="1" applyBorder="1" applyAlignment="1">
      <alignment horizontal="center" vertical="center" wrapText="1"/>
    </xf>
    <xf numFmtId="39" fontId="12" fillId="19" borderId="9" xfId="0" applyNumberFormat="1" applyFont="1" applyFill="1" applyBorder="1" applyAlignment="1">
      <alignment horizontal="center" vertical="center" wrapText="1"/>
    </xf>
    <xf numFmtId="39" fontId="12" fillId="19" borderId="9" xfId="1" applyNumberFormat="1" applyFont="1" applyFill="1" applyBorder="1" applyAlignment="1">
      <alignment horizontal="center"/>
    </xf>
    <xf numFmtId="187" fontId="12" fillId="4" borderId="9" xfId="1" applyNumberFormat="1" applyFont="1" applyFill="1" applyBorder="1" applyAlignment="1">
      <alignment horizontal="center"/>
    </xf>
    <xf numFmtId="0" fontId="0" fillId="4" borderId="9" xfId="0" applyFill="1" applyBorder="1"/>
    <xf numFmtId="39" fontId="4" fillId="4" borderId="9" xfId="0" applyNumberFormat="1" applyFont="1" applyFill="1" applyBorder="1" applyAlignment="1">
      <alignment horizontal="center"/>
    </xf>
    <xf numFmtId="39" fontId="12" fillId="4" borderId="9" xfId="0" applyNumberFormat="1" applyFont="1" applyFill="1" applyBorder="1" applyAlignment="1">
      <alignment horizontal="center"/>
    </xf>
    <xf numFmtId="169" fontId="12" fillId="4" borderId="9" xfId="0" applyNumberFormat="1" applyFont="1" applyFill="1" applyBorder="1" applyAlignment="1">
      <alignment horizontal="center" vertical="center" wrapText="1"/>
    </xf>
    <xf numFmtId="0" fontId="12" fillId="4" borderId="9" xfId="0" applyFont="1" applyFill="1" applyBorder="1" applyAlignment="1">
      <alignment vertical="top" wrapText="1"/>
    </xf>
    <xf numFmtId="170" fontId="4" fillId="4" borderId="9" xfId="1" applyNumberFormat="1" applyFont="1" applyFill="1" applyBorder="1" applyAlignment="1">
      <alignment horizontal="left" vertical="top" wrapText="1"/>
    </xf>
    <xf numFmtId="2" fontId="12" fillId="4" borderId="9" xfId="0" applyNumberFormat="1" applyFont="1" applyFill="1" applyBorder="1" applyAlignment="1">
      <alignment horizontal="center" vertical="top" wrapText="1"/>
    </xf>
    <xf numFmtId="2" fontId="4" fillId="4" borderId="23" xfId="0" applyNumberFormat="1" applyFont="1" applyFill="1" applyBorder="1" applyAlignment="1">
      <alignment horizontal="center" vertical="center" wrapText="1"/>
    </xf>
    <xf numFmtId="3" fontId="12" fillId="4" borderId="9" xfId="0" applyNumberFormat="1" applyFont="1" applyFill="1" applyBorder="1" applyAlignment="1">
      <alignment horizontal="left" vertical="top" wrapText="1"/>
    </xf>
    <xf numFmtId="2" fontId="12" fillId="4" borderId="9" xfId="0" applyNumberFormat="1" applyFont="1" applyFill="1" applyBorder="1" applyAlignment="1">
      <alignment horizontal="center" wrapText="1"/>
    </xf>
    <xf numFmtId="187" fontId="0" fillId="4" borderId="9" xfId="0" applyNumberFormat="1" applyFill="1" applyBorder="1" applyAlignment="1">
      <alignment horizontal="center"/>
    </xf>
    <xf numFmtId="37" fontId="0" fillId="4" borderId="9" xfId="0" applyNumberFormat="1" applyFill="1" applyBorder="1"/>
    <xf numFmtId="9" fontId="0" fillId="4" borderId="9" xfId="0" applyNumberFormat="1" applyFill="1" applyBorder="1"/>
    <xf numFmtId="0" fontId="12" fillId="12" borderId="18" xfId="0" applyFont="1" applyFill="1" applyBorder="1" applyAlignment="1">
      <alignment horizontal="center" vertical="center" wrapText="1"/>
    </xf>
    <xf numFmtId="170" fontId="12" fillId="19" borderId="9" xfId="5" applyNumberFormat="1" applyFont="1" applyFill="1" applyBorder="1"/>
    <xf numFmtId="166" fontId="12" fillId="12" borderId="9" xfId="0" applyNumberFormat="1" applyFont="1" applyFill="1" applyBorder="1" applyAlignment="1">
      <alignment vertical="center" wrapText="1"/>
    </xf>
    <xf numFmtId="1" fontId="4" fillId="4" borderId="9" xfId="0" applyNumberFormat="1" applyFont="1" applyFill="1" applyBorder="1"/>
    <xf numFmtId="4" fontId="12" fillId="0" borderId="9" xfId="0" applyNumberFormat="1" applyFont="1" applyBorder="1" applyAlignment="1">
      <alignment horizontal="left" vertical="top" wrapText="1"/>
    </xf>
    <xf numFmtId="2" fontId="12" fillId="8" borderId="9" xfId="0" applyNumberFormat="1" applyFont="1" applyFill="1" applyBorder="1" applyAlignment="1">
      <alignment horizontal="left" vertical="top" wrapText="1"/>
    </xf>
    <xf numFmtId="39" fontId="12" fillId="0" borderId="9" xfId="1" quotePrefix="1" applyNumberFormat="1" applyFont="1" applyFill="1" applyBorder="1" applyAlignment="1">
      <alignment horizontal="center" vertical="center" wrapText="1"/>
    </xf>
    <xf numFmtId="3" fontId="12" fillId="0" borderId="9" xfId="0" applyNumberFormat="1" applyFont="1" applyBorder="1" applyAlignment="1">
      <alignment horizontal="left" vertical="top" wrapText="1"/>
    </xf>
    <xf numFmtId="0" fontId="12" fillId="4" borderId="23" xfId="8" applyFont="1" applyFill="1" applyBorder="1" applyAlignment="1">
      <alignment horizontal="center"/>
    </xf>
    <xf numFmtId="39" fontId="12" fillId="4" borderId="23" xfId="1" quotePrefix="1" applyNumberFormat="1" applyFont="1" applyFill="1" applyBorder="1" applyAlignment="1">
      <alignment horizontal="center" vertical="center" wrapText="1"/>
    </xf>
    <xf numFmtId="9" fontId="12" fillId="4" borderId="23" xfId="3" applyFont="1" applyFill="1" applyBorder="1" applyAlignment="1">
      <alignment horizontal="center" vertical="center" wrapText="1"/>
    </xf>
    <xf numFmtId="169" fontId="12" fillId="4" borderId="23" xfId="0" applyNumberFormat="1" applyFont="1" applyFill="1" applyBorder="1" applyAlignment="1">
      <alignment horizontal="center" vertical="center" wrapText="1"/>
    </xf>
    <xf numFmtId="165" fontId="12" fillId="4" borderId="23" xfId="0" applyNumberFormat="1" applyFont="1" applyFill="1" applyBorder="1" applyAlignment="1">
      <alignment horizontal="center" vertical="center" wrapText="1"/>
    </xf>
    <xf numFmtId="171" fontId="12" fillId="4" borderId="23" xfId="0" applyNumberFormat="1" applyFont="1" applyFill="1" applyBorder="1" applyAlignment="1">
      <alignment horizontal="center" vertical="center" wrapText="1"/>
    </xf>
    <xf numFmtId="2" fontId="12" fillId="4" borderId="23" xfId="0" applyNumberFormat="1" applyFont="1" applyFill="1" applyBorder="1" applyAlignment="1">
      <alignment horizontal="center" wrapText="1"/>
    </xf>
    <xf numFmtId="2" fontId="12" fillId="0" borderId="0" xfId="13" applyNumberFormat="1" applyFont="1" applyAlignment="1">
      <alignment horizontal="center"/>
    </xf>
    <xf numFmtId="189" fontId="12" fillId="0" borderId="0" xfId="0" applyNumberFormat="1" applyFont="1" applyAlignment="1">
      <alignment horizontal="center"/>
    </xf>
    <xf numFmtId="165" fontId="12" fillId="0" borderId="0" xfId="13" applyNumberFormat="1" applyFont="1" applyAlignment="1">
      <alignment horizontal="center"/>
    </xf>
    <xf numFmtId="0" fontId="12" fillId="11" borderId="23" xfId="0" applyFont="1" applyFill="1" applyBorder="1" applyAlignment="1">
      <alignment horizontal="left" vertical="center" wrapText="1"/>
    </xf>
    <xf numFmtId="0" fontId="12" fillId="11" borderId="23" xfId="0" applyFont="1" applyFill="1" applyBorder="1" applyAlignment="1">
      <alignment horizontal="center" vertical="center" wrapText="1"/>
    </xf>
    <xf numFmtId="168" fontId="12" fillId="0" borderId="0" xfId="1" applyNumberFormat="1" applyFont="1"/>
    <xf numFmtId="0" fontId="23" fillId="4" borderId="0" xfId="6" applyFont="1" applyFill="1"/>
    <xf numFmtId="2" fontId="12" fillId="0" borderId="0" xfId="6" applyNumberFormat="1" applyFont="1" applyAlignment="1">
      <alignment horizontal="center"/>
    </xf>
    <xf numFmtId="2" fontId="12" fillId="8" borderId="9" xfId="1" applyNumberFormat="1" applyFont="1" applyFill="1" applyBorder="1" applyAlignment="1">
      <alignment horizontal="center"/>
    </xf>
    <xf numFmtId="0" fontId="12" fillId="8" borderId="9" xfId="0" applyFont="1" applyFill="1" applyBorder="1" applyAlignment="1">
      <alignment horizontal="center" wrapText="1"/>
    </xf>
    <xf numFmtId="2" fontId="12" fillId="0" borderId="20" xfId="1" applyNumberFormat="1" applyFont="1" applyBorder="1" applyAlignment="1">
      <alignment horizontal="center"/>
    </xf>
    <xf numFmtId="2" fontId="12" fillId="0" borderId="22" xfId="1" applyNumberFormat="1" applyFont="1" applyBorder="1" applyAlignment="1">
      <alignment horizontal="center"/>
    </xf>
    <xf numFmtId="2" fontId="12" fillId="0" borderId="25" xfId="1" applyNumberFormat="1" applyFont="1" applyBorder="1" applyAlignment="1">
      <alignment horizontal="center"/>
    </xf>
    <xf numFmtId="2" fontId="23" fillId="0" borderId="0" xfId="6" applyNumberFormat="1" applyFont="1" applyAlignment="1">
      <alignment horizontal="center"/>
    </xf>
    <xf numFmtId="44" fontId="12" fillId="0" borderId="28" xfId="2" applyFont="1" applyFill="1" applyBorder="1"/>
    <xf numFmtId="2" fontId="12" fillId="0" borderId="16" xfId="1" applyNumberFormat="1" applyFont="1" applyBorder="1" applyAlignment="1">
      <alignment horizontal="center"/>
    </xf>
    <xf numFmtId="44" fontId="12" fillId="0" borderId="17" xfId="2" applyFont="1" applyFill="1" applyBorder="1"/>
    <xf numFmtId="2" fontId="12" fillId="0" borderId="30" xfId="1" applyNumberFormat="1" applyFont="1" applyBorder="1" applyAlignment="1">
      <alignment horizontal="center"/>
    </xf>
    <xf numFmtId="2" fontId="12" fillId="0" borderId="23" xfId="1" applyNumberFormat="1" applyFont="1" applyBorder="1" applyAlignment="1">
      <alignment horizontal="center"/>
    </xf>
    <xf numFmtId="2" fontId="12" fillId="0" borderId="16" xfId="1" applyNumberFormat="1" applyFont="1" applyFill="1" applyBorder="1" applyAlignment="1">
      <alignment horizontal="center"/>
    </xf>
    <xf numFmtId="7" fontId="12" fillId="0" borderId="28" xfId="0" applyNumberFormat="1" applyFont="1" applyBorder="1"/>
    <xf numFmtId="2" fontId="12" fillId="0" borderId="0" xfId="6" applyNumberFormat="1" applyFont="1"/>
    <xf numFmtId="2" fontId="12" fillId="0" borderId="0" xfId="13" applyNumberFormat="1" applyFont="1"/>
    <xf numFmtId="44" fontId="12" fillId="8" borderId="9" xfId="0" applyNumberFormat="1" applyFont="1" applyFill="1" applyBorder="1" applyAlignment="1">
      <alignment horizontal="center" wrapText="1"/>
    </xf>
    <xf numFmtId="44" fontId="12" fillId="8" borderId="9" xfId="1" applyNumberFormat="1" applyFont="1" applyFill="1" applyBorder="1" applyAlignment="1">
      <alignment horizontal="center" wrapText="1"/>
    </xf>
    <xf numFmtId="2" fontId="12" fillId="8" borderId="9" xfId="1" applyNumberFormat="1" applyFont="1" applyFill="1" applyBorder="1" applyAlignment="1">
      <alignment horizontal="center" wrapText="1"/>
    </xf>
    <xf numFmtId="7" fontId="12" fillId="0" borderId="17" xfId="0" applyNumberFormat="1" applyFont="1" applyBorder="1"/>
    <xf numFmtId="7" fontId="12" fillId="4" borderId="17" xfId="0" applyNumberFormat="1" applyFont="1" applyFill="1" applyBorder="1"/>
    <xf numFmtId="2" fontId="12" fillId="8" borderId="22" xfId="1" applyNumberFormat="1" applyFont="1" applyFill="1" applyBorder="1" applyAlignment="1">
      <alignment horizontal="center"/>
    </xf>
    <xf numFmtId="2" fontId="12" fillId="8" borderId="25" xfId="1" applyNumberFormat="1" applyFont="1" applyFill="1" applyBorder="1" applyAlignment="1">
      <alignment horizontal="center"/>
    </xf>
    <xf numFmtId="2" fontId="23" fillId="0" borderId="0" xfId="1" applyNumberFormat="1" applyFont="1"/>
    <xf numFmtId="44" fontId="23" fillId="0" borderId="0" xfId="5" applyNumberFormat="1" applyFont="1" applyAlignment="1">
      <alignment horizontal="center"/>
    </xf>
    <xf numFmtId="2" fontId="23" fillId="0" borderId="0" xfId="1" applyNumberFormat="1" applyFont="1" applyFill="1"/>
    <xf numFmtId="2" fontId="12" fillId="0" borderId="0" xfId="1" applyNumberFormat="1" applyFont="1" applyFill="1"/>
    <xf numFmtId="44" fontId="12" fillId="8" borderId="19" xfId="1" applyNumberFormat="1" applyFont="1" applyFill="1" applyBorder="1" applyAlignment="1">
      <alignment horizontal="center" wrapText="1"/>
    </xf>
    <xf numFmtId="44" fontId="12" fillId="0" borderId="27" xfId="0" applyNumberFormat="1" applyFont="1" applyBorder="1" applyAlignment="1">
      <alignment horizontal="center"/>
    </xf>
    <xf numFmtId="44" fontId="12" fillId="0" borderId="28" xfId="0" applyNumberFormat="1" applyFont="1" applyBorder="1" applyAlignment="1">
      <alignment horizontal="center"/>
    </xf>
    <xf numFmtId="44" fontId="12" fillId="0" borderId="17" xfId="0" applyNumberFormat="1" applyFont="1" applyBorder="1" applyAlignment="1">
      <alignment horizontal="center"/>
    </xf>
    <xf numFmtId="2" fontId="12" fillId="0" borderId="22" xfId="1" applyNumberFormat="1" applyFont="1" applyBorder="1"/>
    <xf numFmtId="44" fontId="12" fillId="0" borderId="0" xfId="0" applyNumberFormat="1" applyFont="1" applyAlignment="1">
      <alignment horizontal="center"/>
    </xf>
    <xf numFmtId="2" fontId="12" fillId="8" borderId="22" xfId="1" applyNumberFormat="1" applyFont="1" applyFill="1" applyBorder="1"/>
    <xf numFmtId="2" fontId="12" fillId="0" borderId="0" xfId="1" applyNumberFormat="1" applyFont="1" applyAlignment="1"/>
    <xf numFmtId="2" fontId="12" fillId="13" borderId="22" xfId="1" applyNumberFormat="1" applyFont="1" applyFill="1" applyBorder="1"/>
    <xf numFmtId="2" fontId="12" fillId="0" borderId="19" xfId="1" applyNumberFormat="1" applyFont="1" applyBorder="1"/>
    <xf numFmtId="2" fontId="12" fillId="8" borderId="30" xfId="1" applyNumberFormat="1" applyFont="1" applyFill="1" applyBorder="1"/>
    <xf numFmtId="0" fontId="23" fillId="0" borderId="0" xfId="5" applyFont="1" applyAlignment="1">
      <alignment horizontal="center" wrapText="1"/>
    </xf>
    <xf numFmtId="7" fontId="12" fillId="0" borderId="9" xfId="0" applyNumberFormat="1" applyFont="1" applyBorder="1" applyAlignment="1">
      <alignment horizontal="center" wrapText="1"/>
    </xf>
    <xf numFmtId="2" fontId="23" fillId="0" borderId="0" xfId="5" applyNumberFormat="1" applyFont="1"/>
    <xf numFmtId="2" fontId="4" fillId="0" borderId="9" xfId="0" applyNumberFormat="1" applyFont="1" applyBorder="1" applyAlignment="1">
      <alignment horizontal="left"/>
    </xf>
    <xf numFmtId="44" fontId="4" fillId="0" borderId="0" xfId="2" applyFont="1"/>
    <xf numFmtId="44" fontId="4" fillId="8" borderId="9" xfId="2" applyFont="1" applyFill="1" applyBorder="1" applyAlignment="1">
      <alignment horizontal="center" wrapText="1"/>
    </xf>
    <xf numFmtId="44" fontId="4" fillId="5" borderId="9" xfId="2" applyFont="1" applyFill="1" applyBorder="1" applyAlignment="1">
      <alignment horizontal="center"/>
    </xf>
    <xf numFmtId="2" fontId="4" fillId="0" borderId="20" xfId="1" applyNumberFormat="1" applyFont="1" applyBorder="1"/>
    <xf numFmtId="44" fontId="4" fillId="0" borderId="0" xfId="0" applyNumberFormat="1" applyFont="1" applyAlignment="1">
      <alignment horizontal="center"/>
    </xf>
    <xf numFmtId="3" fontId="4" fillId="36" borderId="9" xfId="0" applyNumberFormat="1" applyFont="1" applyFill="1" applyBorder="1" applyAlignment="1">
      <alignment horizontal="left" vertical="top" wrapText="1"/>
    </xf>
    <xf numFmtId="2" fontId="4" fillId="36" borderId="9" xfId="0" applyNumberFormat="1" applyFont="1" applyFill="1" applyBorder="1" applyAlignment="1">
      <alignment horizontal="left" vertical="top" wrapText="1"/>
    </xf>
    <xf numFmtId="3" fontId="4" fillId="0" borderId="9" xfId="0" applyNumberFormat="1" applyFont="1" applyBorder="1" applyAlignment="1">
      <alignment horizontal="left" vertical="top" wrapText="1"/>
    </xf>
    <xf numFmtId="39" fontId="12" fillId="0" borderId="0" xfId="0" applyNumberFormat="1" applyFont="1"/>
    <xf numFmtId="180" fontId="12" fillId="0" borderId="9" xfId="0" applyNumberFormat="1" applyFont="1" applyBorder="1" applyAlignment="1">
      <alignment horizontal="center"/>
    </xf>
    <xf numFmtId="37" fontId="12" fillId="0" borderId="9" xfId="1" applyNumberFormat="1" applyFont="1" applyFill="1" applyBorder="1" applyAlignment="1">
      <alignment horizontal="center"/>
    </xf>
    <xf numFmtId="171" fontId="12" fillId="0" borderId="9" xfId="5" applyNumberFormat="1" applyFont="1" applyBorder="1" applyAlignment="1">
      <alignment horizontal="center"/>
    </xf>
    <xf numFmtId="0" fontId="1" fillId="0" borderId="0" xfId="0" applyFont="1" applyAlignment="1">
      <alignment vertical="center"/>
    </xf>
    <xf numFmtId="0" fontId="1" fillId="0" borderId="0" xfId="8" applyFont="1" applyAlignment="1">
      <alignment vertical="center"/>
    </xf>
    <xf numFmtId="0" fontId="12" fillId="0" borderId="0" xfId="8" applyFont="1" applyAlignment="1">
      <alignment vertical="center"/>
    </xf>
    <xf numFmtId="2" fontId="12" fillId="0" borderId="0" xfId="8" applyNumberFormat="1" applyFont="1" applyAlignment="1">
      <alignment horizontal="center" vertical="center"/>
    </xf>
    <xf numFmtId="187" fontId="1" fillId="0" borderId="0" xfId="8" applyNumberFormat="1" applyFont="1" applyAlignment="1">
      <alignment vertical="center"/>
    </xf>
    <xf numFmtId="0" fontId="1" fillId="0" borderId="0" xfId="8" applyFont="1" applyAlignment="1">
      <alignment horizontal="center" vertical="center"/>
    </xf>
    <xf numFmtId="7" fontId="12" fillId="0" borderId="0" xfId="2" applyNumberFormat="1" applyFont="1" applyBorder="1" applyAlignment="1">
      <alignment horizontal="center" vertical="center" wrapText="1"/>
    </xf>
    <xf numFmtId="7" fontId="12" fillId="0" borderId="9" xfId="2" applyNumberFormat="1" applyFont="1" applyBorder="1" applyAlignment="1">
      <alignment horizontal="center" vertical="center" wrapText="1"/>
    </xf>
    <xf numFmtId="0" fontId="1" fillId="0" borderId="9" xfId="8" applyFont="1" applyBorder="1" applyAlignment="1">
      <alignment vertical="center"/>
    </xf>
    <xf numFmtId="167" fontId="64" fillId="12" borderId="0" xfId="0" applyNumberFormat="1" applyFont="1" applyFill="1" applyAlignment="1">
      <alignment horizontal="center" vertical="center"/>
    </xf>
    <xf numFmtId="167" fontId="5" fillId="12" borderId="0" xfId="0" applyNumberFormat="1" applyFont="1" applyFill="1" applyAlignment="1">
      <alignment vertical="center"/>
    </xf>
    <xf numFmtId="167" fontId="5" fillId="12" borderId="0" xfId="0" applyNumberFormat="1" applyFont="1" applyFill="1" applyAlignment="1">
      <alignment horizontal="center" vertical="center"/>
    </xf>
    <xf numFmtId="187" fontId="4" fillId="4" borderId="9" xfId="1" applyNumberFormat="1" applyFont="1" applyFill="1" applyBorder="1" applyAlignment="1">
      <alignment horizontal="center" vertical="center"/>
    </xf>
    <xf numFmtId="0" fontId="12" fillId="0" borderId="16" xfId="0" applyFont="1" applyBorder="1" applyAlignment="1">
      <alignment vertical="center"/>
    </xf>
    <xf numFmtId="7" fontId="12" fillId="0" borderId="27" xfId="0" applyNumberFormat="1" applyFont="1" applyBorder="1" applyAlignment="1">
      <alignment vertical="center"/>
    </xf>
    <xf numFmtId="2" fontId="12" fillId="0" borderId="20" xfId="1" applyNumberFormat="1" applyFont="1" applyBorder="1" applyAlignment="1">
      <alignment horizontal="center" vertical="center"/>
    </xf>
    <xf numFmtId="187" fontId="1" fillId="4" borderId="9" xfId="1" applyNumberFormat="1" applyFont="1" applyFill="1" applyBorder="1" applyAlignment="1">
      <alignment horizontal="center" vertical="center"/>
    </xf>
    <xf numFmtId="44" fontId="12" fillId="8" borderId="9" xfId="1" applyNumberFormat="1" applyFont="1" applyFill="1" applyBorder="1" applyAlignment="1">
      <alignment horizontal="center" vertical="center" wrapText="1"/>
    </xf>
    <xf numFmtId="2" fontId="12" fillId="8" borderId="9" xfId="1" applyNumberFormat="1" applyFont="1" applyFill="1" applyBorder="1" applyAlignment="1">
      <alignment vertical="center"/>
    </xf>
    <xf numFmtId="2" fontId="12" fillId="8" borderId="9" xfId="1" applyNumberFormat="1" applyFont="1" applyFill="1" applyBorder="1" applyAlignment="1">
      <alignment horizontal="center" vertical="center"/>
    </xf>
    <xf numFmtId="0" fontId="12" fillId="10" borderId="18" xfId="0" applyFont="1" applyFill="1" applyBorder="1" applyAlignment="1">
      <alignment horizontal="left" vertical="center"/>
    </xf>
    <xf numFmtId="0" fontId="12" fillId="0" borderId="0" xfId="8" applyFont="1" applyAlignment="1">
      <alignment horizontal="left" vertical="center"/>
    </xf>
    <xf numFmtId="0" fontId="26" fillId="12" borderId="0" xfId="0" applyFont="1" applyFill="1" applyAlignment="1">
      <alignment vertical="center"/>
    </xf>
    <xf numFmtId="10" fontId="29" fillId="0" borderId="9" xfId="7" applyNumberFormat="1" applyFont="1" applyBorder="1" applyAlignment="1">
      <alignment horizontal="center" vertical="center" wrapText="1"/>
    </xf>
    <xf numFmtId="0" fontId="1" fillId="0" borderId="0" xfId="5" applyFont="1" applyAlignment="1">
      <alignment vertical="center"/>
    </xf>
    <xf numFmtId="0" fontId="12" fillId="0" borderId="0" xfId="5" applyFont="1" applyAlignment="1">
      <alignment vertical="center"/>
    </xf>
    <xf numFmtId="0" fontId="1" fillId="9" borderId="0" xfId="5" applyFont="1" applyFill="1" applyAlignment="1">
      <alignment vertical="center"/>
    </xf>
    <xf numFmtId="0" fontId="6" fillId="9" borderId="0" xfId="5" applyFont="1" applyFill="1" applyAlignment="1">
      <alignment vertical="center"/>
    </xf>
    <xf numFmtId="2" fontId="4" fillId="19" borderId="9" xfId="0" applyNumberFormat="1" applyFont="1" applyFill="1" applyBorder="1" applyAlignment="1">
      <alignment vertical="center"/>
    </xf>
    <xf numFmtId="0" fontId="4" fillId="19" borderId="9" xfId="0" applyFont="1" applyFill="1" applyBorder="1" applyAlignment="1">
      <alignment vertical="center"/>
    </xf>
    <xf numFmtId="0" fontId="26" fillId="9" borderId="0" xfId="5" applyFont="1" applyFill="1" applyAlignment="1">
      <alignment vertical="center"/>
    </xf>
    <xf numFmtId="165" fontId="12" fillId="0" borderId="0" xfId="0" applyNumberFormat="1" applyFont="1" applyAlignment="1">
      <alignment horizontal="left" vertical="center" wrapText="1"/>
    </xf>
    <xf numFmtId="170" fontId="4" fillId="0" borderId="50" xfId="1" applyNumberFormat="1" applyFont="1" applyFill="1" applyBorder="1" applyAlignment="1">
      <alignment horizontal="center" vertical="center" wrapText="1"/>
    </xf>
    <xf numFmtId="7" fontId="4" fillId="0" borderId="50" xfId="2" applyNumberFormat="1" applyFont="1" applyFill="1" applyBorder="1" applyAlignment="1">
      <alignment horizontal="center" vertical="center" wrapText="1"/>
    </xf>
    <xf numFmtId="165" fontId="4" fillId="0" borderId="9" xfId="13" applyNumberFormat="1" applyFont="1" applyBorder="1" applyAlignment="1">
      <alignment horizontal="left" vertical="center" wrapText="1"/>
    </xf>
    <xf numFmtId="165" fontId="4" fillId="25" borderId="9" xfId="0" applyNumberFormat="1" applyFont="1" applyFill="1" applyBorder="1" applyAlignment="1">
      <alignment horizontal="center" vertical="center" wrapText="1"/>
    </xf>
    <xf numFmtId="0" fontId="12" fillId="37" borderId="16" xfId="0" applyFont="1" applyFill="1" applyBorder="1" applyAlignment="1">
      <alignment horizontal="left"/>
    </xf>
    <xf numFmtId="0" fontId="23" fillId="37" borderId="0" xfId="5" applyFont="1" applyFill="1"/>
    <xf numFmtId="9" fontId="12" fillId="0" borderId="9" xfId="0" applyNumberFormat="1" applyFont="1" applyBorder="1" applyAlignment="1">
      <alignment horizontal="left" vertical="top" wrapText="1"/>
    </xf>
    <xf numFmtId="39" fontId="12" fillId="0" borderId="9" xfId="1" applyNumberFormat="1" applyFont="1" applyFill="1" applyBorder="1" applyAlignment="1">
      <alignment horizontal="left" vertical="top" wrapText="1"/>
    </xf>
    <xf numFmtId="7" fontId="4" fillId="0" borderId="9" xfId="2" applyNumberFormat="1" applyFont="1" applyFill="1" applyBorder="1" applyAlignment="1">
      <alignment horizontal="left"/>
    </xf>
    <xf numFmtId="39" fontId="12" fillId="4" borderId="19" xfId="1" applyNumberFormat="1" applyFont="1" applyFill="1" applyBorder="1" applyAlignment="1">
      <alignment horizontal="center"/>
    </xf>
    <xf numFmtId="39" fontId="4" fillId="0" borderId="18" xfId="0" applyNumberFormat="1" applyFont="1" applyBorder="1" applyAlignment="1">
      <alignment horizontal="center"/>
    </xf>
    <xf numFmtId="39" fontId="4" fillId="0" borderId="21" xfId="0" applyNumberFormat="1" applyFont="1" applyBorder="1" applyAlignment="1">
      <alignment horizontal="center"/>
    </xf>
    <xf numFmtId="189" fontId="12" fillId="4" borderId="9" xfId="1" quotePrefix="1" applyNumberFormat="1" applyFont="1" applyFill="1" applyBorder="1" applyAlignment="1">
      <alignment horizontal="center" vertical="center" wrapText="1"/>
    </xf>
    <xf numFmtId="44" fontId="13" fillId="0" borderId="0" xfId="2" applyFont="1"/>
    <xf numFmtId="198" fontId="4" fillId="0" borderId="26" xfId="2" applyNumberFormat="1" applyFont="1" applyFill="1" applyBorder="1"/>
    <xf numFmtId="44" fontId="4" fillId="8" borderId="9" xfId="2" applyFont="1" applyFill="1" applyBorder="1"/>
    <xf numFmtId="198" fontId="4" fillId="0" borderId="9" xfId="2" applyNumberFormat="1" applyFont="1" applyFill="1" applyBorder="1"/>
    <xf numFmtId="44" fontId="4" fillId="8" borderId="23" xfId="2" applyFont="1" applyFill="1" applyBorder="1"/>
    <xf numFmtId="2" fontId="4" fillId="8" borderId="23" xfId="1" applyNumberFormat="1" applyFont="1" applyFill="1" applyBorder="1"/>
    <xf numFmtId="44" fontId="4" fillId="4" borderId="9" xfId="2" applyFont="1" applyFill="1" applyBorder="1"/>
    <xf numFmtId="44" fontId="13" fillId="0" borderId="0" xfId="2" applyFont="1" applyAlignment="1">
      <alignment horizontal="center" wrapText="1"/>
    </xf>
    <xf numFmtId="44" fontId="4" fillId="0" borderId="0" xfId="2" applyFont="1" applyAlignment="1">
      <alignment horizontal="center" wrapText="1"/>
    </xf>
    <xf numFmtId="44" fontId="4" fillId="0" borderId="0" xfId="2" applyFont="1" applyFill="1" applyAlignment="1">
      <alignment horizontal="center" wrapText="1"/>
    </xf>
    <xf numFmtId="44" fontId="4" fillId="8" borderId="19" xfId="2" applyFont="1" applyFill="1" applyBorder="1" applyAlignment="1">
      <alignment horizontal="center" wrapText="1"/>
    </xf>
    <xf numFmtId="44" fontId="4" fillId="0" borderId="0" xfId="2" applyFont="1" applyFill="1"/>
    <xf numFmtId="44" fontId="4" fillId="0" borderId="0" xfId="2" applyFont="1" applyFill="1" applyBorder="1"/>
    <xf numFmtId="44" fontId="4" fillId="0" borderId="0" xfId="2" applyFont="1" applyAlignment="1">
      <alignment vertical="center"/>
    </xf>
    <xf numFmtId="44" fontId="4" fillId="8" borderId="9" xfId="2" applyFont="1" applyFill="1" applyBorder="1" applyAlignment="1">
      <alignment horizontal="center" vertical="center" wrapText="1"/>
    </xf>
    <xf numFmtId="0" fontId="4" fillId="0" borderId="0" xfId="0" applyFont="1" applyAlignment="1">
      <alignment vertical="center"/>
    </xf>
    <xf numFmtId="199" fontId="0" fillId="0" borderId="0" xfId="0" applyNumberFormat="1"/>
    <xf numFmtId="167" fontId="61" fillId="12" borderId="0" xfId="0" applyNumberFormat="1" applyFont="1" applyFill="1" applyAlignment="1">
      <alignment horizontal="center"/>
    </xf>
    <xf numFmtId="2" fontId="4" fillId="8" borderId="9" xfId="1" applyNumberFormat="1" applyFont="1" applyFill="1" applyBorder="1"/>
    <xf numFmtId="44" fontId="4" fillId="8" borderId="9" xfId="1" applyNumberFormat="1" applyFont="1" applyFill="1" applyBorder="1" applyAlignment="1">
      <alignment horizontal="center" wrapText="1"/>
    </xf>
    <xf numFmtId="178" fontId="12" fillId="0" borderId="9" xfId="0" applyNumberFormat="1" applyFont="1" applyBorder="1" applyAlignment="1">
      <alignment horizontal="center" wrapText="1"/>
    </xf>
    <xf numFmtId="171" fontId="12" fillId="0" borderId="9" xfId="0" applyNumberFormat="1" applyFont="1" applyBorder="1" applyAlignment="1">
      <alignment horizontal="center" wrapText="1"/>
    </xf>
    <xf numFmtId="0" fontId="5" fillId="4" borderId="0" xfId="0" applyFont="1" applyFill="1" applyAlignment="1">
      <alignment horizontal="left"/>
    </xf>
    <xf numFmtId="0" fontId="61" fillId="4" borderId="0" xfId="0" applyFont="1" applyFill="1" applyAlignment="1">
      <alignment horizontal="left"/>
    </xf>
    <xf numFmtId="0" fontId="61" fillId="4" borderId="58" xfId="0" applyFont="1" applyFill="1" applyBorder="1" applyAlignment="1">
      <alignment horizontal="left"/>
    </xf>
    <xf numFmtId="0" fontId="0" fillId="38" borderId="59" xfId="0" applyFill="1" applyBorder="1"/>
    <xf numFmtId="0" fontId="5" fillId="4" borderId="65" xfId="0" applyFont="1" applyFill="1" applyBorder="1"/>
    <xf numFmtId="0" fontId="5" fillId="4" borderId="13" xfId="0" applyFont="1" applyFill="1" applyBorder="1" applyAlignment="1">
      <alignment horizontal="left" vertical="top" wrapText="1"/>
    </xf>
    <xf numFmtId="0" fontId="5" fillId="4" borderId="66" xfId="0" applyFont="1" applyFill="1" applyBorder="1" applyAlignment="1">
      <alignment horizontal="left" vertical="top" wrapText="1"/>
    </xf>
    <xf numFmtId="0" fontId="5" fillId="4" borderId="11" xfId="0" applyFont="1" applyFill="1" applyBorder="1" applyAlignment="1">
      <alignment horizontal="left" vertical="top" wrapText="1"/>
    </xf>
    <xf numFmtId="0" fontId="5" fillId="4" borderId="67" xfId="0" applyFont="1" applyFill="1" applyBorder="1" applyAlignment="1">
      <alignment horizontal="left" vertical="top" wrapText="1"/>
    </xf>
    <xf numFmtId="0" fontId="0" fillId="4" borderId="68" xfId="0" applyFill="1" applyBorder="1"/>
    <xf numFmtId="196" fontId="12" fillId="4" borderId="3" xfId="0" applyNumberFormat="1" applyFont="1" applyFill="1" applyBorder="1" applyAlignment="1">
      <alignment horizontal="center"/>
    </xf>
    <xf numFmtId="196" fontId="12" fillId="4" borderId="69" xfId="0" applyNumberFormat="1" applyFont="1" applyFill="1" applyBorder="1" applyAlignment="1">
      <alignment horizontal="center"/>
    </xf>
    <xf numFmtId="0" fontId="0" fillId="4" borderId="70" xfId="0" applyFill="1" applyBorder="1"/>
    <xf numFmtId="196" fontId="12" fillId="4" borderId="71" xfId="0" applyNumberFormat="1" applyFont="1" applyFill="1" applyBorder="1"/>
    <xf numFmtId="196" fontId="12" fillId="4" borderId="72" xfId="0" applyNumberFormat="1" applyFont="1" applyFill="1" applyBorder="1"/>
    <xf numFmtId="0" fontId="0" fillId="4" borderId="73" xfId="0" applyFill="1" applyBorder="1"/>
    <xf numFmtId="196" fontId="12" fillId="4" borderId="8" xfId="0" applyNumberFormat="1" applyFont="1" applyFill="1" applyBorder="1" applyAlignment="1">
      <alignment horizontal="center"/>
    </xf>
    <xf numFmtId="196" fontId="12" fillId="4" borderId="74" xfId="0" applyNumberFormat="1" applyFont="1" applyFill="1" applyBorder="1" applyAlignment="1">
      <alignment horizontal="center"/>
    </xf>
    <xf numFmtId="0" fontId="0" fillId="4" borderId="75" xfId="0" applyFill="1" applyBorder="1"/>
    <xf numFmtId="196" fontId="12" fillId="4" borderId="76" xfId="0" applyNumberFormat="1" applyFont="1" applyFill="1" applyBorder="1"/>
    <xf numFmtId="196" fontId="12" fillId="4" borderId="77" xfId="0" applyNumberFormat="1" applyFont="1" applyFill="1" applyBorder="1"/>
    <xf numFmtId="0" fontId="0" fillId="4" borderId="78" xfId="0" applyFill="1" applyBorder="1"/>
    <xf numFmtId="196" fontId="12" fillId="4" borderId="79" xfId="0" applyNumberFormat="1" applyFont="1" applyFill="1" applyBorder="1" applyAlignment="1">
      <alignment horizontal="center"/>
    </xf>
    <xf numFmtId="196" fontId="12" fillId="4" borderId="80" xfId="0" applyNumberFormat="1" applyFont="1" applyFill="1" applyBorder="1" applyAlignment="1">
      <alignment horizontal="center"/>
    </xf>
    <xf numFmtId="0" fontId="0" fillId="4" borderId="81" xfId="0" applyFill="1" applyBorder="1"/>
    <xf numFmtId="196" fontId="12" fillId="4" borderId="82" xfId="0" applyNumberFormat="1" applyFont="1" applyFill="1" applyBorder="1"/>
    <xf numFmtId="196" fontId="12" fillId="4" borderId="83" xfId="0" applyNumberFormat="1" applyFont="1" applyFill="1" applyBorder="1"/>
    <xf numFmtId="0" fontId="5" fillId="4" borderId="58" xfId="0" applyFont="1" applyFill="1" applyBorder="1" applyAlignment="1">
      <alignment horizontal="left"/>
    </xf>
    <xf numFmtId="0" fontId="26" fillId="4" borderId="58" xfId="0" applyFont="1" applyFill="1" applyBorder="1" applyAlignment="1">
      <alignment horizontal="left"/>
    </xf>
    <xf numFmtId="0" fontId="0" fillId="38" borderId="84" xfId="0" applyFill="1" applyBorder="1"/>
    <xf numFmtId="0" fontId="26" fillId="4" borderId="85" xfId="0" applyFont="1" applyFill="1" applyBorder="1" applyAlignment="1">
      <alignment horizontal="left" vertical="top" wrapText="1"/>
    </xf>
    <xf numFmtId="0" fontId="26" fillId="4" borderId="86" xfId="0" applyFont="1" applyFill="1" applyBorder="1" applyAlignment="1">
      <alignment horizontal="left" vertical="top" wrapText="1"/>
    </xf>
    <xf numFmtId="0" fontId="0" fillId="38" borderId="87" xfId="0" applyFill="1" applyBorder="1"/>
    <xf numFmtId="166" fontId="12" fillId="4" borderId="82" xfId="0" applyNumberFormat="1" applyFont="1" applyFill="1" applyBorder="1"/>
    <xf numFmtId="200" fontId="70" fillId="12" borderId="0" xfId="0" applyNumberFormat="1" applyFont="1" applyFill="1"/>
    <xf numFmtId="0" fontId="71" fillId="0" borderId="0" xfId="0" applyFont="1"/>
    <xf numFmtId="201" fontId="71" fillId="0" borderId="0" xfId="0" applyNumberFormat="1" applyFont="1"/>
    <xf numFmtId="43" fontId="26" fillId="4" borderId="9" xfId="1" applyFont="1" applyFill="1" applyBorder="1"/>
    <xf numFmtId="43" fontId="12" fillId="4" borderId="9" xfId="1" applyFont="1" applyFill="1" applyBorder="1"/>
    <xf numFmtId="197" fontId="26" fillId="4" borderId="9" xfId="0" applyNumberFormat="1" applyFont="1" applyFill="1" applyBorder="1"/>
    <xf numFmtId="7" fontId="4" fillId="0" borderId="9" xfId="2" applyNumberFormat="1" applyFont="1" applyBorder="1" applyAlignment="1">
      <alignment horizontal="center"/>
    </xf>
    <xf numFmtId="0" fontId="26" fillId="4" borderId="0" xfId="0" applyFont="1" applyFill="1"/>
    <xf numFmtId="202" fontId="0" fillId="4" borderId="9" xfId="0" applyNumberFormat="1" applyFill="1" applyBorder="1"/>
    <xf numFmtId="202" fontId="0" fillId="0" borderId="0" xfId="0" applyNumberFormat="1"/>
    <xf numFmtId="202" fontId="0" fillId="14" borderId="18" xfId="0" applyNumberFormat="1" applyFill="1" applyBorder="1"/>
    <xf numFmtId="202" fontId="0" fillId="0" borderId="9" xfId="0" applyNumberFormat="1" applyBorder="1"/>
    <xf numFmtId="0" fontId="73" fillId="5" borderId="8" xfId="0" applyFont="1" applyFill="1" applyBorder="1" applyAlignment="1">
      <alignment horizontal="center" vertical="center" wrapText="1"/>
    </xf>
    <xf numFmtId="0" fontId="73" fillId="5" borderId="9" xfId="0" applyFont="1" applyFill="1" applyBorder="1" applyAlignment="1">
      <alignment horizontal="center" vertical="center" wrapText="1"/>
    </xf>
    <xf numFmtId="0" fontId="73" fillId="5" borderId="10"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8" fillId="5" borderId="15" xfId="0" applyFont="1" applyFill="1" applyBorder="1" applyAlignment="1">
      <alignment horizontal="center" vertical="center" wrapText="1"/>
    </xf>
    <xf numFmtId="165" fontId="8" fillId="0" borderId="3" xfId="0" applyNumberFormat="1" applyFont="1" applyBorder="1" applyAlignment="1">
      <alignment horizontal="center" vertical="center" wrapText="1"/>
    </xf>
    <xf numFmtId="14" fontId="8" fillId="0" borderId="4" xfId="0" applyNumberFormat="1" applyFont="1" applyBorder="1" applyAlignment="1">
      <alignment horizontal="center" vertical="center" wrapText="1"/>
    </xf>
    <xf numFmtId="165" fontId="8" fillId="0" borderId="4" xfId="0" applyNumberFormat="1" applyFont="1" applyBorder="1" applyAlignment="1">
      <alignment horizontal="center" vertical="center" wrapText="1"/>
    </xf>
    <xf numFmtId="0" fontId="8" fillId="0" borderId="5" xfId="0" applyFont="1" applyBorder="1" applyAlignment="1">
      <alignment horizontal="left" vertical="center" wrapText="1"/>
    </xf>
    <xf numFmtId="14" fontId="8" fillId="0" borderId="9" xfId="0" applyNumberFormat="1" applyFont="1" applyBorder="1" applyAlignment="1">
      <alignment horizontal="justify" vertical="center" wrapText="1"/>
    </xf>
    <xf numFmtId="165" fontId="8" fillId="0" borderId="13" xfId="0" applyNumberFormat="1" applyFont="1" applyBorder="1" applyAlignment="1">
      <alignment horizontal="center" vertical="center" wrapText="1"/>
    </xf>
    <xf numFmtId="14" fontId="8" fillId="0" borderId="14" xfId="0" applyNumberFormat="1" applyFont="1" applyBorder="1" applyAlignment="1">
      <alignment horizontal="justify" vertical="center" wrapText="1"/>
    </xf>
    <xf numFmtId="165" fontId="8" fillId="0" borderId="14" xfId="0" applyNumberFormat="1" applyFont="1" applyBorder="1" applyAlignment="1">
      <alignment horizontal="center" vertical="center" wrapText="1"/>
    </xf>
    <xf numFmtId="0" fontId="8" fillId="0" borderId="15" xfId="0" applyFont="1" applyBorder="1" applyAlignment="1">
      <alignment horizontal="left" vertical="center" wrapText="1"/>
    </xf>
    <xf numFmtId="0" fontId="23" fillId="0" borderId="0" xfId="0" applyFont="1" applyAlignment="1">
      <alignment horizontal="left"/>
    </xf>
    <xf numFmtId="189" fontId="12" fillId="0" borderId="9" xfId="1" quotePrefix="1" applyNumberFormat="1" applyFont="1" applyFill="1" applyBorder="1" applyAlignment="1">
      <alignment horizontal="center" vertical="center" wrapText="1"/>
    </xf>
    <xf numFmtId="0" fontId="26" fillId="0" borderId="0" xfId="5" applyFont="1" applyAlignment="1">
      <alignment vertical="center"/>
    </xf>
    <xf numFmtId="0" fontId="26" fillId="0" borderId="0" xfId="5" applyFont="1" applyAlignment="1">
      <alignment horizontal="center" vertical="center"/>
    </xf>
    <xf numFmtId="0" fontId="26" fillId="0" borderId="0" xfId="0" applyFont="1" applyAlignment="1">
      <alignment horizontal="center" vertical="center"/>
    </xf>
    <xf numFmtId="0" fontId="12" fillId="4" borderId="0" xfId="0" applyFont="1" applyFill="1" applyAlignment="1">
      <alignment vertical="center"/>
    </xf>
    <xf numFmtId="0" fontId="12" fillId="0" borderId="0" xfId="8" applyFont="1" applyAlignment="1">
      <alignment horizontal="center" vertical="center"/>
    </xf>
    <xf numFmtId="0" fontId="12" fillId="0" borderId="33" xfId="8" applyFont="1" applyBorder="1" applyAlignment="1">
      <alignment vertical="center"/>
    </xf>
    <xf numFmtId="189" fontId="12" fillId="0" borderId="9" xfId="0" applyNumberFormat="1" applyFont="1" applyBorder="1" applyAlignment="1">
      <alignment horizontal="center" vertical="center"/>
    </xf>
    <xf numFmtId="7" fontId="12" fillId="0" borderId="16" xfId="2" applyNumberFormat="1" applyFont="1" applyFill="1" applyBorder="1" applyAlignment="1">
      <alignment horizontal="left" vertical="center" wrapText="1"/>
    </xf>
    <xf numFmtId="7" fontId="12" fillId="0" borderId="27" xfId="2" applyNumberFormat="1" applyFont="1" applyFill="1" applyBorder="1" applyAlignment="1">
      <alignment horizontal="center" vertical="center" wrapText="1"/>
    </xf>
    <xf numFmtId="165" fontId="12" fillId="0" borderId="9" xfId="0" applyNumberFormat="1" applyFont="1" applyBorder="1" applyAlignment="1">
      <alignment horizontal="center" wrapText="1"/>
    </xf>
    <xf numFmtId="178" fontId="12" fillId="4" borderId="9" xfId="0" applyNumberFormat="1" applyFont="1" applyFill="1" applyBorder="1" applyAlignment="1">
      <alignment horizontal="center" wrapText="1"/>
    </xf>
    <xf numFmtId="165" fontId="12" fillId="4" borderId="9" xfId="0" applyNumberFormat="1" applyFont="1" applyFill="1" applyBorder="1" applyAlignment="1">
      <alignment horizontal="center" wrapText="1"/>
    </xf>
    <xf numFmtId="171" fontId="12" fillId="4" borderId="9" xfId="0" applyNumberFormat="1" applyFont="1" applyFill="1" applyBorder="1" applyAlignment="1">
      <alignment horizontal="center" wrapText="1"/>
    </xf>
    <xf numFmtId="0" fontId="12" fillId="30" borderId="0" xfId="0" applyFont="1" applyFill="1" applyAlignment="1">
      <alignment horizontal="center"/>
    </xf>
    <xf numFmtId="202" fontId="12" fillId="4" borderId="9" xfId="0" applyNumberFormat="1" applyFont="1" applyFill="1" applyBorder="1"/>
    <xf numFmtId="43" fontId="12" fillId="39" borderId="9" xfId="1" applyFont="1" applyFill="1" applyBorder="1"/>
    <xf numFmtId="2" fontId="52" fillId="13" borderId="9" xfId="0" applyNumberFormat="1" applyFont="1" applyFill="1" applyBorder="1" applyAlignment="1">
      <alignment horizontal="center" wrapText="1"/>
    </xf>
    <xf numFmtId="2" fontId="4" fillId="5" borderId="9" xfId="0" applyNumberFormat="1" applyFont="1" applyFill="1" applyBorder="1" applyAlignment="1">
      <alignment horizontal="center"/>
    </xf>
    <xf numFmtId="0" fontId="74" fillId="20" borderId="41" xfId="0" applyFont="1" applyFill="1" applyBorder="1" applyAlignment="1">
      <alignment horizontal="center"/>
    </xf>
    <xf numFmtId="9" fontId="0" fillId="20" borderId="88" xfId="0" applyNumberFormat="1" applyFill="1" applyBorder="1" applyAlignment="1">
      <alignment horizontal="center"/>
    </xf>
    <xf numFmtId="9" fontId="0" fillId="20" borderId="89" xfId="0" applyNumberFormat="1" applyFill="1" applyBorder="1" applyAlignment="1">
      <alignment horizontal="center"/>
    </xf>
    <xf numFmtId="0" fontId="75" fillId="20" borderId="39" xfId="0" applyFont="1" applyFill="1" applyBorder="1" applyAlignment="1">
      <alignment horizontal="center"/>
    </xf>
    <xf numFmtId="9" fontId="76" fillId="20" borderId="41" xfId="0" applyNumberFormat="1" applyFont="1" applyFill="1" applyBorder="1" applyAlignment="1">
      <alignment horizontal="center"/>
    </xf>
    <xf numFmtId="0" fontId="75" fillId="20" borderId="40" xfId="0" applyFont="1" applyFill="1" applyBorder="1" applyAlignment="1">
      <alignment horizontal="center"/>
    </xf>
    <xf numFmtId="0" fontId="75" fillId="20" borderId="42" xfId="0" applyFont="1" applyFill="1" applyBorder="1" applyAlignment="1">
      <alignment horizontal="center"/>
    </xf>
    <xf numFmtId="9" fontId="75" fillId="20" borderId="42" xfId="0" applyNumberFormat="1" applyFont="1" applyFill="1" applyBorder="1" applyAlignment="1">
      <alignment horizontal="center"/>
    </xf>
    <xf numFmtId="0" fontId="12" fillId="0" borderId="29" xfId="0" applyFont="1" applyBorder="1"/>
    <xf numFmtId="0" fontId="0" fillId="5" borderId="0" xfId="0" applyFill="1" applyAlignment="1">
      <alignment horizontal="center"/>
    </xf>
    <xf numFmtId="0" fontId="0" fillId="5" borderId="49" xfId="0" applyFill="1" applyBorder="1" applyAlignment="1">
      <alignment horizontal="center"/>
    </xf>
    <xf numFmtId="0" fontId="0" fillId="5" borderId="42" xfId="0" applyFill="1" applyBorder="1" applyAlignment="1">
      <alignment horizontal="center"/>
    </xf>
    <xf numFmtId="0" fontId="0" fillId="5" borderId="89" xfId="0" applyFill="1" applyBorder="1" applyAlignment="1">
      <alignment horizontal="center"/>
    </xf>
    <xf numFmtId="0" fontId="0" fillId="44" borderId="41" xfId="0" applyFill="1" applyBorder="1"/>
    <xf numFmtId="0" fontId="0" fillId="44" borderId="0" xfId="0" applyFill="1"/>
    <xf numFmtId="0" fontId="4" fillId="44" borderId="0" xfId="0" applyFont="1" applyFill="1"/>
    <xf numFmtId="0" fontId="12" fillId="44" borderId="0" xfId="0" applyFont="1" applyFill="1"/>
    <xf numFmtId="0" fontId="0" fillId="44" borderId="42" xfId="0" applyFill="1" applyBorder="1"/>
    <xf numFmtId="199" fontId="0" fillId="44" borderId="41" xfId="0" applyNumberFormat="1" applyFill="1" applyBorder="1"/>
    <xf numFmtId="0" fontId="0" fillId="44" borderId="88" xfId="0" applyFill="1" applyBorder="1"/>
    <xf numFmtId="199" fontId="0" fillId="44" borderId="0" xfId="0" applyNumberFormat="1" applyFill="1"/>
    <xf numFmtId="0" fontId="0" fillId="44" borderId="49" xfId="0" applyFill="1" applyBorder="1"/>
    <xf numFmtId="0" fontId="12" fillId="44" borderId="39" xfId="0" applyFont="1" applyFill="1" applyBorder="1"/>
    <xf numFmtId="0" fontId="12" fillId="44" borderId="41" xfId="0" applyFont="1" applyFill="1" applyBorder="1"/>
    <xf numFmtId="0" fontId="12" fillId="44" borderId="29" xfId="0" applyFont="1" applyFill="1" applyBorder="1"/>
    <xf numFmtId="0" fontId="12" fillId="25" borderId="0" xfId="0" applyFont="1" applyFill="1"/>
    <xf numFmtId="0" fontId="36" fillId="25" borderId="0" xfId="0" applyFont="1" applyFill="1" applyAlignment="1">
      <alignment horizontal="center"/>
    </xf>
    <xf numFmtId="0" fontId="36" fillId="25" borderId="29" xfId="0" applyFont="1" applyFill="1" applyBorder="1" applyAlignment="1">
      <alignment horizontal="center"/>
    </xf>
    <xf numFmtId="0" fontId="36" fillId="20" borderId="52" xfId="0" applyFont="1" applyFill="1" applyBorder="1"/>
    <xf numFmtId="0" fontId="12" fillId="20" borderId="51" xfId="0" applyFont="1" applyFill="1" applyBorder="1"/>
    <xf numFmtId="203" fontId="0" fillId="0" borderId="9" xfId="0" applyNumberFormat="1" applyBorder="1"/>
    <xf numFmtId="203" fontId="4" fillId="0" borderId="9" xfId="0" applyNumberFormat="1" applyFont="1" applyBorder="1"/>
    <xf numFmtId="203" fontId="4" fillId="0" borderId="10" xfId="0" applyNumberFormat="1" applyFont="1" applyBorder="1"/>
    <xf numFmtId="43" fontId="12" fillId="13" borderId="9" xfId="0" applyNumberFormat="1" applyFont="1" applyFill="1" applyBorder="1"/>
    <xf numFmtId="43" fontId="12" fillId="31" borderId="9" xfId="0" applyNumberFormat="1" applyFont="1" applyFill="1" applyBorder="1"/>
    <xf numFmtId="43" fontId="12" fillId="32" borderId="9" xfId="0" applyNumberFormat="1" applyFont="1" applyFill="1" applyBorder="1"/>
    <xf numFmtId="43" fontId="12" fillId="28" borderId="9" xfId="0" applyNumberFormat="1" applyFont="1" applyFill="1" applyBorder="1"/>
    <xf numFmtId="43" fontId="12" fillId="27" borderId="9" xfId="0" applyNumberFormat="1" applyFont="1" applyFill="1" applyBorder="1"/>
    <xf numFmtId="43" fontId="12" fillId="25" borderId="9" xfId="0" applyNumberFormat="1" applyFont="1" applyFill="1" applyBorder="1"/>
    <xf numFmtId="43" fontId="12" fillId="40" borderId="9" xfId="0" applyNumberFormat="1" applyFont="1" applyFill="1" applyBorder="1"/>
    <xf numFmtId="43" fontId="12" fillId="41" borderId="9" xfId="0" applyNumberFormat="1" applyFont="1" applyFill="1" applyBorder="1"/>
    <xf numFmtId="43" fontId="12" fillId="21" borderId="9" xfId="0" applyNumberFormat="1" applyFont="1" applyFill="1" applyBorder="1"/>
    <xf numFmtId="43" fontId="12" fillId="8" borderId="9" xfId="0" applyNumberFormat="1" applyFont="1" applyFill="1" applyBorder="1"/>
    <xf numFmtId="43" fontId="12" fillId="14" borderId="9" xfId="0" applyNumberFormat="1" applyFont="1" applyFill="1" applyBorder="1"/>
    <xf numFmtId="43" fontId="12" fillId="42" borderId="9" xfId="0" applyNumberFormat="1" applyFont="1" applyFill="1" applyBorder="1"/>
    <xf numFmtId="43" fontId="12" fillId="18" borderId="9" xfId="0" applyNumberFormat="1" applyFont="1" applyFill="1" applyBorder="1"/>
    <xf numFmtId="43" fontId="12" fillId="23" borderId="9" xfId="0" applyNumberFormat="1" applyFont="1" applyFill="1" applyBorder="1"/>
    <xf numFmtId="43" fontId="12" fillId="43" borderId="9" xfId="0" applyNumberFormat="1" applyFont="1" applyFill="1" applyBorder="1"/>
    <xf numFmtId="43" fontId="12" fillId="12" borderId="9" xfId="0" applyNumberFormat="1" applyFont="1" applyFill="1" applyBorder="1"/>
    <xf numFmtId="203" fontId="12" fillId="0" borderId="10" xfId="0" applyNumberFormat="1" applyFont="1" applyBorder="1"/>
    <xf numFmtId="203" fontId="12" fillId="0" borderId="18" xfId="0" applyNumberFormat="1" applyFont="1" applyBorder="1"/>
    <xf numFmtId="43" fontId="12" fillId="0" borderId="10" xfId="0" applyNumberFormat="1" applyFont="1" applyBorder="1"/>
    <xf numFmtId="0" fontId="77" fillId="44" borderId="0" xfId="0" applyFont="1" applyFill="1"/>
    <xf numFmtId="0" fontId="80" fillId="44" borderId="0" xfId="0" applyFont="1" applyFill="1"/>
    <xf numFmtId="0" fontId="78" fillId="27" borderId="37" xfId="0" applyFont="1" applyFill="1" applyBorder="1" applyAlignment="1">
      <alignment horizontal="center" wrapText="1"/>
    </xf>
    <xf numFmtId="0" fontId="79" fillId="27" borderId="31" xfId="0" applyFont="1" applyFill="1" applyBorder="1" applyAlignment="1">
      <alignment horizontal="center" wrapText="1"/>
    </xf>
    <xf numFmtId="0" fontId="78" fillId="27" borderId="31" xfId="0" applyFont="1" applyFill="1" applyBorder="1" applyAlignment="1">
      <alignment horizontal="center" wrapText="1"/>
    </xf>
    <xf numFmtId="0" fontId="79" fillId="27" borderId="38" xfId="0" applyFont="1" applyFill="1" applyBorder="1" applyAlignment="1">
      <alignment horizontal="center" wrapText="1"/>
    </xf>
    <xf numFmtId="0" fontId="78" fillId="22" borderId="37" xfId="0" applyFont="1" applyFill="1" applyBorder="1" applyAlignment="1">
      <alignment horizontal="center" wrapText="1"/>
    </xf>
    <xf numFmtId="0" fontId="79" fillId="22" borderId="31" xfId="0" applyFont="1" applyFill="1" applyBorder="1" applyAlignment="1">
      <alignment horizontal="center" wrapText="1"/>
    </xf>
    <xf numFmtId="0" fontId="78" fillId="22" borderId="31" xfId="0" applyFont="1" applyFill="1" applyBorder="1" applyAlignment="1">
      <alignment horizontal="center" wrapText="1"/>
    </xf>
    <xf numFmtId="0" fontId="79" fillId="22" borderId="38" xfId="0" applyFont="1" applyFill="1" applyBorder="1" applyAlignment="1">
      <alignment horizontal="center" wrapText="1"/>
    </xf>
    <xf numFmtId="0" fontId="78" fillId="27" borderId="38" xfId="0" applyFont="1" applyFill="1" applyBorder="1" applyAlignment="1">
      <alignment horizontal="center" wrapText="1"/>
    </xf>
    <xf numFmtId="0" fontId="78" fillId="22" borderId="38" xfId="0" applyFont="1" applyFill="1" applyBorder="1" applyAlignment="1">
      <alignment horizontal="center" wrapText="1"/>
    </xf>
    <xf numFmtId="0" fontId="12" fillId="0" borderId="8" xfId="0" applyFont="1" applyBorder="1"/>
    <xf numFmtId="0" fontId="12" fillId="0" borderId="13" xfId="0" applyFont="1" applyBorder="1"/>
    <xf numFmtId="0" fontId="12" fillId="0" borderId="32" xfId="0" applyFont="1" applyBorder="1"/>
    <xf numFmtId="0" fontId="12" fillId="17" borderId="17" xfId="0" applyFont="1" applyFill="1" applyBorder="1"/>
    <xf numFmtId="0" fontId="12" fillId="17" borderId="18" xfId="0" applyFont="1" applyFill="1" applyBorder="1"/>
    <xf numFmtId="0" fontId="12" fillId="11" borderId="20" xfId="5" applyFont="1" applyFill="1" applyBorder="1" applyAlignment="1">
      <alignment horizontal="center" vertical="center" wrapText="1"/>
    </xf>
    <xf numFmtId="0" fontId="48" fillId="6" borderId="0" xfId="5" applyFont="1" applyFill="1" applyAlignment="1">
      <alignment vertical="center"/>
    </xf>
    <xf numFmtId="0" fontId="12" fillId="0" borderId="0" xfId="0" applyFont="1" applyAlignment="1">
      <alignment vertical="center" wrapText="1"/>
    </xf>
    <xf numFmtId="0" fontId="12" fillId="10" borderId="16" xfId="0" applyFont="1" applyFill="1" applyBorder="1" applyAlignment="1">
      <alignment horizontal="left"/>
    </xf>
    <xf numFmtId="0" fontId="12" fillId="10" borderId="17" xfId="0" applyFont="1" applyFill="1" applyBorder="1" applyAlignment="1">
      <alignment horizontal="left"/>
    </xf>
    <xf numFmtId="0" fontId="12" fillId="11" borderId="19" xfId="5" applyFont="1" applyFill="1" applyBorder="1" applyAlignment="1">
      <alignment horizontal="center" vertical="center" wrapText="1"/>
    </xf>
    <xf numFmtId="0" fontId="12" fillId="0" borderId="9" xfId="0" applyFont="1" applyBorder="1" applyAlignment="1">
      <alignment horizontal="center" vertical="center"/>
    </xf>
    <xf numFmtId="0" fontId="12" fillId="4" borderId="9" xfId="8" applyFont="1" applyFill="1" applyBorder="1" applyAlignment="1">
      <alignment wrapText="1"/>
    </xf>
    <xf numFmtId="0" fontId="12" fillId="4" borderId="9" xfId="0" applyFont="1" applyFill="1" applyBorder="1" applyAlignment="1">
      <alignment horizontal="left" vertical="center" wrapText="1"/>
    </xf>
    <xf numFmtId="0" fontId="12" fillId="4" borderId="19" xfId="0" applyFont="1" applyFill="1" applyBorder="1" applyAlignment="1">
      <alignment horizontal="left" vertical="center" wrapText="1"/>
    </xf>
    <xf numFmtId="0" fontId="12" fillId="4" borderId="23" xfId="0" applyFont="1" applyFill="1" applyBorder="1" applyAlignment="1">
      <alignment horizontal="left" vertical="center" wrapText="1"/>
    </xf>
    <xf numFmtId="0" fontId="12" fillId="11" borderId="9" xfId="0" applyFont="1" applyFill="1" applyBorder="1" applyAlignment="1">
      <alignment horizontal="center" vertical="center" wrapText="1"/>
    </xf>
    <xf numFmtId="165" fontId="12" fillId="0" borderId="9" xfId="13" applyNumberFormat="1" applyFont="1" applyBorder="1" applyAlignment="1">
      <alignment horizontal="left" vertical="center" wrapText="1"/>
    </xf>
    <xf numFmtId="0" fontId="12" fillId="0" borderId="23" xfId="0" applyFont="1" applyBorder="1" applyAlignment="1">
      <alignment horizontal="left" vertical="center"/>
    </xf>
    <xf numFmtId="165" fontId="12" fillId="0" borderId="9" xfId="6" applyNumberFormat="1" applyFont="1" applyBorder="1" applyAlignment="1">
      <alignment horizontal="left" vertical="center" wrapText="1"/>
    </xf>
    <xf numFmtId="0" fontId="12" fillId="0" borderId="18" xfId="0" applyFont="1" applyBorder="1" applyAlignment="1">
      <alignment horizontal="left" vertical="center" wrapText="1"/>
    </xf>
    <xf numFmtId="0" fontId="12" fillId="0" borderId="9" xfId="6" applyFont="1" applyBorder="1" applyAlignment="1">
      <alignment wrapText="1"/>
    </xf>
    <xf numFmtId="0" fontId="12" fillId="0" borderId="9" xfId="0" applyFont="1" applyBorder="1" applyAlignment="1">
      <alignment horizontal="left" vertical="center" wrapText="1"/>
    </xf>
    <xf numFmtId="0" fontId="12" fillId="0" borderId="9" xfId="0" applyFont="1" applyBorder="1"/>
    <xf numFmtId="0" fontId="12" fillId="4" borderId="9" xfId="8" applyFont="1" applyFill="1" applyBorder="1" applyAlignment="1">
      <alignment horizontal="left" vertical="center" wrapText="1"/>
    </xf>
    <xf numFmtId="0" fontId="12" fillId="0" borderId="19" xfId="0" applyFont="1" applyBorder="1" applyAlignment="1">
      <alignment horizontal="left" vertical="center" wrapText="1"/>
    </xf>
    <xf numFmtId="165" fontId="12" fillId="0" borderId="16" xfId="13" applyNumberFormat="1" applyFont="1" applyBorder="1" applyAlignment="1">
      <alignment horizontal="center" vertical="center" wrapText="1"/>
    </xf>
    <xf numFmtId="0" fontId="12" fillId="11" borderId="16" xfId="0" applyFont="1" applyFill="1" applyBorder="1" applyAlignment="1">
      <alignment horizontal="center" vertical="center" wrapText="1"/>
    </xf>
    <xf numFmtId="0" fontId="12" fillId="11" borderId="18" xfId="0" applyFont="1" applyFill="1" applyBorder="1" applyAlignment="1">
      <alignment horizontal="center" vertical="center" wrapText="1"/>
    </xf>
    <xf numFmtId="0" fontId="12" fillId="0" borderId="9" xfId="0" applyFont="1" applyBorder="1" applyAlignment="1">
      <alignment vertical="center" wrapText="1"/>
    </xf>
    <xf numFmtId="0" fontId="12" fillId="0" borderId="9" xfId="0" applyFont="1" applyBorder="1" applyAlignment="1">
      <alignment horizontal="left" vertical="center"/>
    </xf>
    <xf numFmtId="0" fontId="12" fillId="4" borderId="9" xfId="0" applyFont="1" applyFill="1" applyBorder="1" applyAlignment="1">
      <alignment vertical="center" wrapText="1"/>
    </xf>
    <xf numFmtId="7" fontId="12" fillId="0" borderId="9" xfId="2" applyNumberFormat="1" applyFont="1" applyFill="1" applyBorder="1" applyAlignment="1">
      <alignment horizontal="left"/>
    </xf>
    <xf numFmtId="165" fontId="12" fillId="0" borderId="9" xfId="8" applyNumberFormat="1" applyFont="1" applyBorder="1" applyAlignment="1">
      <alignment horizontal="left"/>
    </xf>
    <xf numFmtId="0" fontId="12" fillId="0" borderId="30" xfId="0" applyFont="1" applyBorder="1" applyAlignment="1">
      <alignment horizontal="left" vertical="center" wrapText="1"/>
    </xf>
    <xf numFmtId="0" fontId="12" fillId="4" borderId="23" xfId="0" applyFont="1" applyFill="1" applyBorder="1" applyAlignment="1">
      <alignment vertical="center" wrapText="1"/>
    </xf>
    <xf numFmtId="0" fontId="32" fillId="0" borderId="19" xfId="8" applyFont="1" applyBorder="1" applyAlignment="1">
      <alignment horizontal="left" vertical="center"/>
    </xf>
    <xf numFmtId="0" fontId="32" fillId="0" borderId="9" xfId="8" applyFont="1" applyBorder="1" applyAlignment="1">
      <alignment horizontal="left" vertical="center"/>
    </xf>
    <xf numFmtId="0" fontId="12" fillId="0" borderId="9" xfId="0" applyFont="1" applyBorder="1" applyAlignment="1">
      <alignment horizontal="left" wrapText="1"/>
    </xf>
    <xf numFmtId="0" fontId="12" fillId="4" borderId="30" xfId="0" applyFont="1" applyFill="1" applyBorder="1" applyAlignment="1">
      <alignment horizontal="left" vertical="center" wrapText="1"/>
    </xf>
    <xf numFmtId="0" fontId="12" fillId="4" borderId="19" xfId="0" applyFont="1" applyFill="1" applyBorder="1" applyAlignment="1">
      <alignment horizontal="left" vertical="center"/>
    </xf>
    <xf numFmtId="0" fontId="12" fillId="4" borderId="23" xfId="0" applyFont="1" applyFill="1" applyBorder="1" applyAlignment="1">
      <alignment horizontal="left" vertical="center"/>
    </xf>
    <xf numFmtId="0" fontId="12" fillId="4" borderId="9" xfId="0" applyFont="1" applyFill="1" applyBorder="1" applyAlignment="1">
      <alignment horizontal="left" vertical="top" wrapText="1"/>
    </xf>
    <xf numFmtId="0" fontId="12" fillId="10" borderId="18" xfId="0" applyFont="1" applyFill="1" applyBorder="1" applyAlignment="1">
      <alignment horizontal="left"/>
    </xf>
    <xf numFmtId="0" fontId="12" fillId="11" borderId="19" xfId="0" applyFont="1" applyFill="1" applyBorder="1" applyAlignment="1">
      <alignment horizontal="center" vertical="center" wrapText="1"/>
    </xf>
    <xf numFmtId="0" fontId="12" fillId="4" borderId="9" xfId="8" applyFont="1" applyFill="1" applyBorder="1" applyAlignment="1">
      <alignment horizontal="left" vertical="center"/>
    </xf>
    <xf numFmtId="0" fontId="12" fillId="4" borderId="9" xfId="8" applyFont="1" applyFill="1" applyBorder="1" applyAlignment="1">
      <alignment horizontal="left"/>
    </xf>
    <xf numFmtId="0" fontId="12" fillId="4" borderId="9" xfId="8" applyFont="1" applyFill="1" applyBorder="1" applyAlignment="1">
      <alignment horizontal="center"/>
    </xf>
    <xf numFmtId="0" fontId="12" fillId="4" borderId="23" xfId="0" applyFont="1" applyFill="1" applyBorder="1" applyAlignment="1">
      <alignment horizontal="left" vertical="top" wrapText="1"/>
    </xf>
    <xf numFmtId="0" fontId="12" fillId="0" borderId="0" xfId="0" applyFont="1" applyAlignment="1">
      <alignment horizontal="center" vertical="center" wrapText="1"/>
    </xf>
    <xf numFmtId="0" fontId="12" fillId="0" borderId="9" xfId="0" applyFont="1" applyBorder="1" applyAlignment="1">
      <alignment horizontal="left" vertical="top" wrapText="1"/>
    </xf>
    <xf numFmtId="0" fontId="12" fillId="0" borderId="0" xfId="8" applyFont="1" applyAlignment="1">
      <alignment horizontal="left" wrapText="1"/>
    </xf>
    <xf numFmtId="0" fontId="12" fillId="0" borderId="9" xfId="8" applyFont="1" applyBorder="1" applyAlignment="1">
      <alignment wrapText="1"/>
    </xf>
    <xf numFmtId="0" fontId="12" fillId="0" borderId="9" xfId="8" applyFont="1" applyBorder="1" applyAlignment="1">
      <alignment horizontal="left" vertical="center" wrapText="1"/>
    </xf>
    <xf numFmtId="165" fontId="12" fillId="0" borderId="9" xfId="0" applyNumberFormat="1" applyFont="1" applyBorder="1" applyAlignment="1">
      <alignment horizontal="left" vertical="center" wrapText="1"/>
    </xf>
    <xf numFmtId="0" fontId="12" fillId="0" borderId="14" xfId="0" applyFont="1" applyBorder="1"/>
    <xf numFmtId="0" fontId="12" fillId="0" borderId="9" xfId="0" applyFont="1" applyBorder="1" applyAlignment="1">
      <alignment horizontal="left"/>
    </xf>
    <xf numFmtId="165" fontId="12" fillId="0" borderId="19" xfId="13" applyNumberFormat="1" applyFont="1" applyBorder="1" applyAlignment="1">
      <alignment horizontal="left" vertical="center" wrapText="1"/>
    </xf>
    <xf numFmtId="165" fontId="12" fillId="0" borderId="9" xfId="13" applyNumberFormat="1" applyFont="1" applyBorder="1" applyAlignment="1">
      <alignment horizontal="center" vertical="center" wrapText="1"/>
    </xf>
    <xf numFmtId="0" fontId="12" fillId="4" borderId="9" xfId="0" applyFont="1" applyFill="1" applyBorder="1" applyAlignment="1">
      <alignment horizontal="center" vertical="center" wrapText="1"/>
    </xf>
    <xf numFmtId="0" fontId="12" fillId="11" borderId="20" xfId="0" applyFont="1" applyFill="1" applyBorder="1" applyAlignment="1">
      <alignment horizontal="center" vertical="center" wrapText="1"/>
    </xf>
    <xf numFmtId="0" fontId="12" fillId="0" borderId="27" xfId="0" applyFont="1" applyBorder="1" applyAlignment="1">
      <alignment horizontal="center" vertical="center" wrapText="1"/>
    </xf>
    <xf numFmtId="0" fontId="35" fillId="0" borderId="19" xfId="8" applyFont="1" applyBorder="1" applyAlignment="1">
      <alignment horizontal="left" vertical="center"/>
    </xf>
    <xf numFmtId="0" fontId="12" fillId="0" borderId="19" xfId="8" applyFont="1" applyBorder="1"/>
    <xf numFmtId="0" fontId="32" fillId="4" borderId="19" xfId="8" applyFont="1" applyFill="1" applyBorder="1" applyAlignment="1">
      <alignment horizontal="left" vertical="center"/>
    </xf>
    <xf numFmtId="0" fontId="12" fillId="0" borderId="19" xfId="8" applyFont="1" applyBorder="1" applyAlignment="1">
      <alignment horizontal="left" vertical="center" wrapText="1"/>
    </xf>
    <xf numFmtId="0" fontId="12" fillId="0" borderId="9" xfId="8" applyFont="1" applyBorder="1" applyAlignment="1">
      <alignment horizontal="left" vertical="center"/>
    </xf>
    <xf numFmtId="165" fontId="12" fillId="0" borderId="19" xfId="8" applyNumberFormat="1" applyFont="1" applyBorder="1" applyAlignment="1">
      <alignment horizontal="left" vertical="center"/>
    </xf>
    <xf numFmtId="165" fontId="12" fillId="0" borderId="9" xfId="8" applyNumberFormat="1" applyFont="1" applyBorder="1" applyAlignment="1">
      <alignment horizontal="left" vertical="center"/>
    </xf>
    <xf numFmtId="9" fontId="12" fillId="0" borderId="19" xfId="3" applyFont="1" applyFill="1" applyBorder="1" applyAlignment="1">
      <alignment horizontal="left" vertical="center" wrapText="1"/>
    </xf>
    <xf numFmtId="0" fontId="12" fillId="11" borderId="21" xfId="0" applyFont="1" applyFill="1" applyBorder="1" applyAlignment="1">
      <alignment horizontal="center" vertical="center" wrapText="1"/>
    </xf>
    <xf numFmtId="0" fontId="1" fillId="0" borderId="23" xfId="0" applyFont="1" applyBorder="1" applyAlignment="1">
      <alignment horizontal="left" vertical="center" wrapText="1"/>
    </xf>
    <xf numFmtId="0" fontId="1" fillId="0" borderId="9" xfId="0" applyFont="1" applyBorder="1" applyAlignment="1">
      <alignment horizontal="left" vertical="center" wrapText="1"/>
    </xf>
    <xf numFmtId="0" fontId="12" fillId="0" borderId="19" xfId="8" applyFont="1" applyBorder="1" applyAlignment="1">
      <alignment horizontal="left" vertical="center"/>
    </xf>
    <xf numFmtId="0" fontId="12" fillId="11" borderId="9" xfId="0" applyFont="1" applyFill="1" applyBorder="1" applyAlignment="1">
      <alignment vertical="center" wrapText="1"/>
    </xf>
    <xf numFmtId="0" fontId="12" fillId="0" borderId="9" xfId="8" applyFont="1" applyBorder="1"/>
    <xf numFmtId="165" fontId="12" fillId="0" borderId="19" xfId="0" applyNumberFormat="1" applyFont="1" applyBorder="1" applyAlignment="1">
      <alignment horizontal="left" vertical="center" wrapText="1"/>
    </xf>
    <xf numFmtId="0" fontId="12" fillId="11" borderId="9" xfId="5" applyFont="1" applyFill="1" applyBorder="1" applyAlignment="1">
      <alignment horizontal="center" vertical="center" wrapText="1"/>
    </xf>
    <xf numFmtId="0" fontId="12" fillId="15" borderId="9" xfId="0" applyFont="1" applyFill="1" applyBorder="1" applyAlignment="1">
      <alignment horizontal="center" vertical="center" wrapText="1"/>
    </xf>
    <xf numFmtId="0" fontId="12" fillId="15" borderId="27" xfId="0" applyFont="1" applyFill="1" applyBorder="1" applyAlignment="1">
      <alignment horizontal="center" vertical="center" wrapText="1"/>
    </xf>
    <xf numFmtId="0" fontId="12" fillId="15" borderId="21" xfId="0" applyFont="1" applyFill="1" applyBorder="1" applyAlignment="1">
      <alignment horizontal="center" vertical="center" wrapText="1"/>
    </xf>
    <xf numFmtId="0" fontId="12" fillId="0" borderId="0" xfId="0" applyFont="1" applyAlignment="1">
      <alignment horizontal="left" vertical="top" wrapText="1"/>
    </xf>
    <xf numFmtId="0" fontId="12" fillId="10" borderId="16" xfId="0" applyFont="1" applyFill="1" applyBorder="1" applyAlignment="1">
      <alignment horizontal="left" vertical="center"/>
    </xf>
    <xf numFmtId="0" fontId="12" fillId="10" borderId="17" xfId="0" applyFont="1" applyFill="1" applyBorder="1" applyAlignment="1">
      <alignment horizontal="left" vertical="center"/>
    </xf>
    <xf numFmtId="0" fontId="12" fillId="0" borderId="9" xfId="8" applyFont="1" applyBorder="1" applyAlignment="1">
      <alignment vertical="center" wrapText="1"/>
    </xf>
    <xf numFmtId="0" fontId="12" fillId="0" borderId="9" xfId="8" applyFont="1" applyBorder="1" applyAlignment="1">
      <alignment vertical="center"/>
    </xf>
    <xf numFmtId="165" fontId="32" fillId="0" borderId="9" xfId="8" applyNumberFormat="1" applyFont="1" applyBorder="1" applyAlignment="1">
      <alignment horizontal="left" vertical="center"/>
    </xf>
    <xf numFmtId="0" fontId="12" fillId="4" borderId="9" xfId="0" applyFont="1" applyFill="1" applyBorder="1"/>
    <xf numFmtId="0" fontId="12" fillId="4" borderId="9" xfId="0" applyFont="1" applyFill="1" applyBorder="1" applyAlignment="1">
      <alignment horizontal="left" wrapText="1"/>
    </xf>
    <xf numFmtId="0" fontId="12" fillId="11" borderId="9" xfId="0" applyFont="1" applyFill="1" applyBorder="1" applyAlignment="1">
      <alignment horizontal="left" vertical="center" wrapText="1"/>
    </xf>
    <xf numFmtId="0" fontId="49" fillId="0" borderId="9" xfId="0" applyFont="1" applyBorder="1" applyAlignment="1">
      <alignment horizontal="left" vertical="center" wrapText="1"/>
    </xf>
    <xf numFmtId="0" fontId="12" fillId="0" borderId="9" xfId="0" applyFont="1" applyBorder="1" applyAlignment="1">
      <alignment horizontal="center" vertical="center" wrapText="1"/>
    </xf>
    <xf numFmtId="0" fontId="12" fillId="0" borderId="16" xfId="0" applyFont="1" applyBorder="1"/>
    <xf numFmtId="0" fontId="12" fillId="11" borderId="25" xfId="0" applyFont="1" applyFill="1" applyBorder="1" applyAlignment="1">
      <alignment horizontal="center" vertical="center" wrapText="1"/>
    </xf>
    <xf numFmtId="0" fontId="12" fillId="11" borderId="28" xfId="0" applyFont="1" applyFill="1" applyBorder="1" applyAlignment="1">
      <alignment horizontal="center" vertical="center" wrapText="1"/>
    </xf>
    <xf numFmtId="0" fontId="12" fillId="0" borderId="0" xfId="6" applyFont="1" applyAlignment="1">
      <alignment horizontal="left" vertical="center" wrapText="1"/>
    </xf>
    <xf numFmtId="0" fontId="12" fillId="0" borderId="0" xfId="0" applyFont="1" applyAlignment="1">
      <alignment horizontal="left" wrapText="1"/>
    </xf>
    <xf numFmtId="0" fontId="62" fillId="0" borderId="0" xfId="0" applyFont="1"/>
    <xf numFmtId="1" fontId="0" fillId="0" borderId="0" xfId="0" applyNumberFormat="1"/>
    <xf numFmtId="179" fontId="12" fillId="0" borderId="0" xfId="9" applyNumberFormat="1" applyFont="1" applyFill="1" applyBorder="1" applyAlignment="1">
      <alignment horizontal="left" vertical="center"/>
    </xf>
    <xf numFmtId="0" fontId="83" fillId="0" borderId="0" xfId="5" applyFont="1"/>
    <xf numFmtId="164" fontId="12" fillId="0" borderId="0" xfId="0" applyNumberFormat="1" applyFont="1"/>
    <xf numFmtId="165" fontId="4" fillId="0" borderId="9" xfId="8" applyNumberFormat="1" applyFont="1" applyBorder="1" applyAlignment="1">
      <alignment horizontal="center"/>
    </xf>
    <xf numFmtId="0" fontId="4" fillId="0" borderId="0" xfId="8" applyFont="1"/>
    <xf numFmtId="165" fontId="4" fillId="4" borderId="16" xfId="13" applyNumberFormat="1" applyFont="1" applyFill="1" applyBorder="1" applyAlignment="1">
      <alignment horizontal="center" vertical="center" wrapText="1"/>
    </xf>
    <xf numFmtId="9" fontId="4" fillId="0" borderId="9" xfId="3" applyFont="1" applyBorder="1" applyAlignment="1">
      <alignment horizontal="center"/>
    </xf>
    <xf numFmtId="0" fontId="1" fillId="0" borderId="9" xfId="0" applyFont="1" applyBorder="1" applyAlignment="1">
      <alignment horizontal="center" vertical="center"/>
    </xf>
    <xf numFmtId="0" fontId="12" fillId="0" borderId="19" xfId="0" applyFont="1" applyBorder="1" applyAlignment="1">
      <alignment horizontal="left" vertical="center"/>
    </xf>
    <xf numFmtId="39" fontId="12" fillId="0" borderId="0" xfId="1" applyNumberFormat="1" applyFont="1" applyFill="1" applyBorder="1" applyAlignment="1">
      <alignment horizontal="center"/>
    </xf>
    <xf numFmtId="2" fontId="12" fillId="0" borderId="0" xfId="8" applyNumberFormat="1" applyFont="1"/>
    <xf numFmtId="2" fontId="12" fillId="0" borderId="0" xfId="2" applyNumberFormat="1" applyFont="1" applyFill="1" applyBorder="1"/>
    <xf numFmtId="44" fontId="12" fillId="0" borderId="0" xfId="2" applyFont="1" applyFill="1" applyBorder="1" applyAlignment="1">
      <alignment wrapText="1"/>
    </xf>
    <xf numFmtId="183" fontId="12" fillId="0" borderId="0" xfId="1" applyNumberFormat="1" applyFont="1" applyFill="1" applyBorder="1" applyAlignment="1">
      <alignment horizontal="center"/>
    </xf>
    <xf numFmtId="166" fontId="12" fillId="0" borderId="0" xfId="0" applyNumberFormat="1" applyFont="1" applyAlignment="1">
      <alignment horizontal="center" vertical="center" wrapText="1"/>
    </xf>
    <xf numFmtId="2" fontId="12" fillId="0" borderId="20" xfId="1" applyNumberFormat="1" applyFont="1" applyFill="1" applyBorder="1"/>
    <xf numFmtId="2" fontId="12" fillId="0" borderId="22" xfId="1" applyNumberFormat="1" applyFont="1" applyFill="1" applyBorder="1"/>
    <xf numFmtId="2" fontId="12" fillId="4" borderId="9" xfId="5" applyNumberFormat="1" applyFont="1" applyFill="1" applyBorder="1" applyAlignment="1">
      <alignment horizontal="center"/>
    </xf>
    <xf numFmtId="0" fontId="9" fillId="9" borderId="0" xfId="5" applyFill="1" applyAlignment="1">
      <alignment horizontal="center"/>
    </xf>
    <xf numFmtId="2" fontId="1" fillId="8" borderId="9" xfId="1" applyNumberFormat="1" applyFont="1" applyFill="1" applyBorder="1" applyAlignment="1">
      <alignment horizontal="center"/>
    </xf>
    <xf numFmtId="2" fontId="1" fillId="8" borderId="9" xfId="1" applyNumberFormat="1" applyFont="1" applyFill="1" applyBorder="1"/>
    <xf numFmtId="44" fontId="1" fillId="8" borderId="9" xfId="1" applyNumberFormat="1" applyFont="1" applyFill="1" applyBorder="1" applyAlignment="1">
      <alignment horizontal="center" wrapText="1"/>
    </xf>
    <xf numFmtId="0" fontId="1" fillId="0" borderId="9" xfId="6" applyBorder="1"/>
    <xf numFmtId="43" fontId="1" fillId="0" borderId="16" xfId="1" applyFont="1" applyBorder="1"/>
    <xf numFmtId="7" fontId="1" fillId="0" borderId="17" xfId="0" applyNumberFormat="1" applyFont="1" applyBorder="1"/>
    <xf numFmtId="39" fontId="1" fillId="0" borderId="9" xfId="1" applyNumberFormat="1" applyFont="1" applyBorder="1" applyAlignment="1">
      <alignment horizontal="center"/>
    </xf>
    <xf numFmtId="0" fontId="1" fillId="4" borderId="9" xfId="0" applyFont="1" applyFill="1" applyBorder="1"/>
    <xf numFmtId="165" fontId="1" fillId="4" borderId="9" xfId="0" applyNumberFormat="1" applyFont="1" applyFill="1" applyBorder="1" applyAlignment="1">
      <alignment horizontal="center" vertical="center" wrapText="1"/>
    </xf>
    <xf numFmtId="165" fontId="1" fillId="25" borderId="9" xfId="0" applyNumberFormat="1" applyFont="1" applyFill="1" applyBorder="1" applyAlignment="1">
      <alignment horizontal="center" vertical="center" wrapText="1"/>
    </xf>
    <xf numFmtId="165" fontId="1" fillId="0" borderId="0" xfId="0" applyNumberFormat="1" applyFont="1" applyAlignment="1">
      <alignment horizontal="center" vertical="center" wrapText="1"/>
    </xf>
    <xf numFmtId="43" fontId="1" fillId="0" borderId="0" xfId="1" applyFont="1" applyBorder="1"/>
    <xf numFmtId="7" fontId="1" fillId="0" borderId="0" xfId="0" applyNumberFormat="1" applyFont="1"/>
    <xf numFmtId="0" fontId="9" fillId="4" borderId="0" xfId="5" applyFill="1"/>
    <xf numFmtId="187" fontId="1" fillId="0" borderId="0" xfId="6" applyNumberFormat="1"/>
    <xf numFmtId="2" fontId="1" fillId="4" borderId="9" xfId="13" applyNumberFormat="1" applyFill="1" applyBorder="1" applyAlignment="1">
      <alignment horizontal="center" vertical="center" wrapText="1"/>
    </xf>
    <xf numFmtId="2" fontId="1" fillId="0" borderId="9" xfId="13" applyNumberFormat="1" applyBorder="1" applyAlignment="1">
      <alignment horizontal="center" vertical="center" wrapText="1"/>
    </xf>
    <xf numFmtId="0" fontId="1" fillId="4" borderId="0" xfId="6" applyFill="1"/>
    <xf numFmtId="0" fontId="1" fillId="0" borderId="0" xfId="13"/>
    <xf numFmtId="2" fontId="1" fillId="0" borderId="9" xfId="13" applyNumberFormat="1" applyBorder="1" applyAlignment="1">
      <alignment horizontal="center"/>
    </xf>
    <xf numFmtId="187" fontId="1" fillId="25" borderId="9" xfId="1" applyNumberFormat="1" applyFont="1" applyFill="1" applyBorder="1" applyAlignment="1">
      <alignment horizontal="center"/>
    </xf>
    <xf numFmtId="165" fontId="1" fillId="25" borderId="9" xfId="13" applyNumberFormat="1" applyFill="1" applyBorder="1" applyAlignment="1">
      <alignment horizontal="center"/>
    </xf>
    <xf numFmtId="1" fontId="1" fillId="0" borderId="9" xfId="13" applyNumberFormat="1" applyBorder="1" applyAlignment="1">
      <alignment horizontal="center" vertical="center" wrapText="1"/>
    </xf>
    <xf numFmtId="165" fontId="1" fillId="0" borderId="9" xfId="13" applyNumberFormat="1" applyBorder="1" applyAlignment="1">
      <alignment horizontal="left" vertical="center" wrapText="1"/>
    </xf>
    <xf numFmtId="165" fontId="1" fillId="0" borderId="9" xfId="13" applyNumberFormat="1" applyBorder="1" applyAlignment="1">
      <alignment horizontal="center" vertical="center" wrapText="1"/>
    </xf>
    <xf numFmtId="0" fontId="12" fillId="0" borderId="35" xfId="8" applyFont="1" applyBorder="1"/>
    <xf numFmtId="4" fontId="12" fillId="0" borderId="9" xfId="8" applyNumberFormat="1" applyFont="1" applyBorder="1" applyAlignment="1">
      <alignment horizontal="center"/>
    </xf>
    <xf numFmtId="0" fontId="1" fillId="0" borderId="0" xfId="6" applyAlignment="1">
      <alignment horizontal="center"/>
    </xf>
    <xf numFmtId="165" fontId="1" fillId="0" borderId="9" xfId="6" applyNumberFormat="1" applyBorder="1" applyAlignment="1">
      <alignment horizontal="center" vertical="center"/>
    </xf>
    <xf numFmtId="171" fontId="1" fillId="4" borderId="9" xfId="13" applyNumberFormat="1" applyFill="1" applyBorder="1" applyAlignment="1">
      <alignment horizontal="center" vertical="center"/>
    </xf>
    <xf numFmtId="1" fontId="1" fillId="0" borderId="16" xfId="13" applyNumberFormat="1" applyBorder="1" applyAlignment="1">
      <alignment horizontal="center" vertical="center" wrapText="1"/>
    </xf>
    <xf numFmtId="165" fontId="1" fillId="0" borderId="16" xfId="13" applyNumberFormat="1" applyBorder="1" applyAlignment="1">
      <alignment horizontal="center" vertical="center" wrapText="1"/>
    </xf>
    <xf numFmtId="1" fontId="1" fillId="0" borderId="9" xfId="13" applyNumberFormat="1" applyBorder="1" applyAlignment="1">
      <alignment horizontal="left" vertical="center" wrapText="1"/>
    </xf>
    <xf numFmtId="171" fontId="1" fillId="0" borderId="9" xfId="13" applyNumberFormat="1" applyBorder="1" applyAlignment="1">
      <alignment horizontal="center"/>
    </xf>
    <xf numFmtId="187" fontId="1" fillId="19" borderId="9" xfId="1" applyNumberFormat="1" applyFont="1" applyFill="1" applyBorder="1" applyAlignment="1">
      <alignment horizontal="center"/>
    </xf>
    <xf numFmtId="0" fontId="1" fillId="0" borderId="9" xfId="8" applyFont="1" applyBorder="1"/>
    <xf numFmtId="0" fontId="1" fillId="0" borderId="27" xfId="0" applyFont="1" applyBorder="1"/>
    <xf numFmtId="10" fontId="1" fillId="0" borderId="9" xfId="13" applyNumberFormat="1" applyBorder="1" applyAlignment="1">
      <alignment horizontal="center" vertical="center" wrapText="1"/>
    </xf>
    <xf numFmtId="9" fontId="1" fillId="0" borderId="9" xfId="13" applyNumberFormat="1" applyBorder="1" applyAlignment="1">
      <alignment horizontal="center" vertical="center" wrapText="1"/>
    </xf>
    <xf numFmtId="0" fontId="1" fillId="0" borderId="19" xfId="8" applyFont="1" applyBorder="1" applyAlignment="1">
      <alignment horizontal="left" vertical="center" wrapText="1"/>
    </xf>
    <xf numFmtId="39" fontId="12" fillId="0" borderId="0" xfId="1" applyNumberFormat="1" applyFont="1" applyAlignment="1">
      <alignment horizontal="left"/>
    </xf>
    <xf numFmtId="165" fontId="1" fillId="4" borderId="9" xfId="13" applyNumberFormat="1" applyFill="1" applyBorder="1" applyAlignment="1">
      <alignment horizontal="center" vertical="center" wrapText="1"/>
    </xf>
    <xf numFmtId="1" fontId="1" fillId="4" borderId="9" xfId="13" applyNumberFormat="1" applyFill="1" applyBorder="1" applyAlignment="1">
      <alignment horizontal="center" vertical="center" wrapText="1"/>
    </xf>
    <xf numFmtId="0" fontId="12" fillId="0" borderId="44" xfId="8" applyFont="1" applyBorder="1"/>
    <xf numFmtId="165" fontId="1" fillId="0" borderId="9" xfId="8" applyNumberFormat="1" applyFont="1" applyBorder="1" applyAlignment="1">
      <alignment horizontal="center"/>
    </xf>
    <xf numFmtId="0" fontId="1" fillId="4" borderId="9" xfId="8" applyFont="1" applyFill="1" applyBorder="1" applyAlignment="1">
      <alignment horizontal="center"/>
    </xf>
    <xf numFmtId="0" fontId="4" fillId="0" borderId="9" xfId="8" applyFont="1" applyBorder="1" applyAlignment="1">
      <alignment horizontal="center"/>
    </xf>
    <xf numFmtId="165" fontId="1" fillId="0" borderId="9" xfId="0" applyNumberFormat="1" applyFont="1" applyBorder="1" applyAlignment="1">
      <alignment horizontal="left" vertical="center" wrapText="1"/>
    </xf>
    <xf numFmtId="0" fontId="4" fillId="4" borderId="9" xfId="8" applyFont="1" applyFill="1" applyBorder="1" applyAlignment="1">
      <alignment horizontal="center"/>
    </xf>
    <xf numFmtId="0" fontId="12" fillId="0" borderId="43" xfId="8" applyFont="1" applyBorder="1"/>
    <xf numFmtId="0" fontId="12" fillId="0" borderId="48" xfId="8" applyFont="1" applyBorder="1" applyAlignment="1">
      <alignment horizontal="center"/>
    </xf>
    <xf numFmtId="187" fontId="4" fillId="4" borderId="9" xfId="1" applyNumberFormat="1" applyFont="1" applyFill="1" applyBorder="1" applyAlignment="1">
      <alignment horizontal="center"/>
    </xf>
    <xf numFmtId="0" fontId="32" fillId="0" borderId="0" xfId="8" applyFont="1" applyAlignment="1">
      <alignment horizontal="left" vertical="center"/>
    </xf>
    <xf numFmtId="2" fontId="1" fillId="0" borderId="9" xfId="8" applyNumberFormat="1" applyFont="1" applyBorder="1" applyAlignment="1">
      <alignment horizontal="center"/>
    </xf>
    <xf numFmtId="171" fontId="12" fillId="4" borderId="18" xfId="2" applyNumberFormat="1" applyFont="1" applyFill="1" applyBorder="1" applyAlignment="1">
      <alignment horizontal="center"/>
    </xf>
    <xf numFmtId="39" fontId="1" fillId="0" borderId="9" xfId="8" applyNumberFormat="1" applyFont="1" applyBorder="1" applyAlignment="1">
      <alignment horizontal="center"/>
    </xf>
    <xf numFmtId="2" fontId="4" fillId="0" borderId="9" xfId="8" applyNumberFormat="1" applyFont="1" applyBorder="1" applyAlignment="1">
      <alignment horizontal="center"/>
    </xf>
    <xf numFmtId="2" fontId="12" fillId="4" borderId="9" xfId="1" applyNumberFormat="1" applyFont="1" applyFill="1" applyBorder="1" applyAlignment="1">
      <alignment horizontal="center"/>
    </xf>
    <xf numFmtId="4" fontId="4" fillId="0" borderId="9" xfId="8" applyNumberFormat="1" applyFont="1" applyBorder="1" applyAlignment="1">
      <alignment horizontal="center"/>
    </xf>
    <xf numFmtId="2" fontId="1" fillId="0" borderId="9" xfId="6" applyNumberFormat="1" applyBorder="1" applyAlignment="1">
      <alignment horizontal="center"/>
    </xf>
    <xf numFmtId="0" fontId="1" fillId="4" borderId="0" xfId="6" applyFill="1" applyAlignment="1">
      <alignment horizontal="center"/>
    </xf>
    <xf numFmtId="0" fontId="1" fillId="12" borderId="0" xfId="0" applyFont="1" applyFill="1"/>
    <xf numFmtId="165" fontId="1" fillId="0" borderId="9" xfId="6" applyNumberFormat="1" applyBorder="1" applyAlignment="1">
      <alignment horizontal="left" vertical="center" wrapText="1"/>
    </xf>
    <xf numFmtId="0" fontId="1" fillId="0" borderId="9" xfId="6" applyBorder="1" applyAlignment="1">
      <alignment horizontal="center"/>
    </xf>
    <xf numFmtId="165" fontId="1" fillId="4" borderId="9" xfId="6" applyNumberFormat="1" applyFill="1" applyBorder="1" applyAlignment="1">
      <alignment horizontal="left" vertical="center" wrapText="1"/>
    </xf>
    <xf numFmtId="165" fontId="1" fillId="0" borderId="23" xfId="6" applyNumberFormat="1" applyBorder="1" applyAlignment="1">
      <alignment horizontal="center" vertical="center"/>
    </xf>
    <xf numFmtId="0" fontId="4" fillId="0" borderId="0" xfId="8" applyFont="1" applyAlignment="1">
      <alignment horizontal="center"/>
    </xf>
    <xf numFmtId="181" fontId="12" fillId="0" borderId="0" xfId="8" applyNumberFormat="1" applyFont="1"/>
    <xf numFmtId="0" fontId="12" fillId="0" borderId="0" xfId="8" applyFont="1" applyAlignment="1">
      <alignment horizontal="left" vertical="top" wrapText="1"/>
    </xf>
    <xf numFmtId="0" fontId="12" fillId="0" borderId="0" xfId="8" applyFont="1" applyAlignment="1">
      <alignment vertical="top" wrapText="1"/>
    </xf>
    <xf numFmtId="3" fontId="1" fillId="0" borderId="0" xfId="6" applyNumberFormat="1"/>
    <xf numFmtId="10" fontId="12" fillId="0" borderId="9" xfId="3" applyNumberFormat="1" applyFont="1" applyFill="1" applyBorder="1" applyAlignment="1">
      <alignment horizontal="center"/>
    </xf>
    <xf numFmtId="37" fontId="1" fillId="0" borderId="9" xfId="1" applyNumberFormat="1" applyFont="1" applyBorder="1" applyAlignment="1">
      <alignment horizontal="center"/>
    </xf>
    <xf numFmtId="37" fontId="4" fillId="0" borderId="9" xfId="1" applyNumberFormat="1" applyFont="1" applyBorder="1" applyAlignment="1">
      <alignment horizontal="center"/>
    </xf>
    <xf numFmtId="0" fontId="32" fillId="0" borderId="9" xfId="8" applyFont="1" applyBorder="1" applyAlignment="1">
      <alignment horizontal="left"/>
    </xf>
    <xf numFmtId="187" fontId="12" fillId="0" borderId="9" xfId="1" applyNumberFormat="1" applyFont="1" applyFill="1" applyBorder="1" applyAlignment="1">
      <alignment horizontal="center"/>
    </xf>
    <xf numFmtId="187" fontId="4" fillId="0" borderId="9" xfId="1" applyNumberFormat="1" applyFont="1" applyFill="1" applyBorder="1" applyAlignment="1">
      <alignment horizontal="center"/>
    </xf>
    <xf numFmtId="172" fontId="1" fillId="0" borderId="9" xfId="3" applyNumberFormat="1" applyFont="1" applyBorder="1" applyAlignment="1">
      <alignment horizontal="center"/>
    </xf>
    <xf numFmtId="172" fontId="12" fillId="0" borderId="9" xfId="3" applyNumberFormat="1" applyFont="1" applyBorder="1" applyAlignment="1">
      <alignment horizontal="center"/>
    </xf>
    <xf numFmtId="172" fontId="12" fillId="0" borderId="9" xfId="3" applyNumberFormat="1" applyFont="1" applyFill="1" applyBorder="1" applyAlignment="1">
      <alignment horizontal="center"/>
    </xf>
    <xf numFmtId="167" fontId="1" fillId="0" borderId="0" xfId="0" applyNumberFormat="1" applyFont="1"/>
    <xf numFmtId="165" fontId="1" fillId="0" borderId="9" xfId="0" applyNumberFormat="1" applyFont="1" applyBorder="1" applyAlignment="1">
      <alignment horizontal="center" vertical="center"/>
    </xf>
    <xf numFmtId="39" fontId="1" fillId="0" borderId="9" xfId="0" applyNumberFormat="1" applyFont="1" applyBorder="1" applyAlignment="1">
      <alignment horizontal="center" vertical="center"/>
    </xf>
    <xf numFmtId="3" fontId="1" fillId="0" borderId="9" xfId="0" applyNumberFormat="1" applyFont="1" applyBorder="1" applyAlignment="1">
      <alignment horizontal="center" vertical="center"/>
    </xf>
    <xf numFmtId="9" fontId="1" fillId="0" borderId="9" xfId="0" applyNumberFormat="1" applyFont="1" applyBorder="1" applyAlignment="1">
      <alignment horizontal="center" vertical="center"/>
    </xf>
    <xf numFmtId="178" fontId="1" fillId="0" borderId="9" xfId="0" applyNumberFormat="1" applyFont="1" applyBorder="1" applyAlignment="1">
      <alignment horizontal="center" vertical="center"/>
    </xf>
    <xf numFmtId="171" fontId="4" fillId="4" borderId="9" xfId="13" applyNumberFormat="1" applyFont="1" applyFill="1" applyBorder="1" applyAlignment="1">
      <alignment horizontal="center"/>
    </xf>
    <xf numFmtId="2" fontId="12" fillId="4" borderId="9" xfId="0" applyNumberFormat="1" applyFont="1" applyFill="1" applyBorder="1" applyAlignment="1">
      <alignment wrapText="1"/>
    </xf>
    <xf numFmtId="2" fontId="4" fillId="0" borderId="0" xfId="1" applyNumberFormat="1" applyFont="1"/>
    <xf numFmtId="7" fontId="4" fillId="4" borderId="0" xfId="0" applyNumberFormat="1" applyFont="1" applyFill="1"/>
    <xf numFmtId="44" fontId="4" fillId="0" borderId="0" xfId="0" applyNumberFormat="1" applyFont="1"/>
    <xf numFmtId="0" fontId="4" fillId="4" borderId="9" xfId="0" applyFont="1" applyFill="1" applyBorder="1" applyAlignment="1">
      <alignment horizontal="left" vertical="top"/>
    </xf>
    <xf numFmtId="165" fontId="12" fillId="0" borderId="9" xfId="0" applyNumberFormat="1" applyFont="1" applyBorder="1" applyAlignment="1">
      <alignment horizontal="left" vertical="top" wrapText="1"/>
    </xf>
    <xf numFmtId="9" fontId="4" fillId="0" borderId="9" xfId="3" applyFont="1" applyFill="1" applyBorder="1" applyAlignment="1">
      <alignment horizontal="left"/>
    </xf>
    <xf numFmtId="9" fontId="4" fillId="0" borderId="9" xfId="0" applyNumberFormat="1" applyFont="1" applyBorder="1" applyAlignment="1">
      <alignment horizontal="left" vertical="top" wrapText="1"/>
    </xf>
    <xf numFmtId="0" fontId="12" fillId="0" borderId="30" xfId="0" applyFont="1" applyBorder="1" applyAlignment="1">
      <alignment vertical="center" wrapText="1"/>
    </xf>
    <xf numFmtId="43" fontId="23" fillId="0" borderId="0" xfId="5" applyNumberFormat="1" applyFont="1"/>
    <xf numFmtId="0" fontId="84" fillId="45" borderId="9" xfId="0" applyFont="1" applyFill="1" applyBorder="1" applyAlignment="1">
      <alignment horizontal="center" vertical="center"/>
    </xf>
    <xf numFmtId="9" fontId="12" fillId="0" borderId="9" xfId="0" applyNumberFormat="1" applyFont="1" applyBorder="1" applyAlignment="1">
      <alignment horizontal="left" vertical="center" wrapText="1"/>
    </xf>
    <xf numFmtId="0" fontId="12" fillId="15" borderId="9" xfId="0" applyFont="1" applyFill="1" applyBorder="1" applyAlignment="1">
      <alignment horizontal="left" vertical="center" wrapText="1"/>
    </xf>
    <xf numFmtId="0" fontId="1" fillId="0" borderId="0" xfId="0" applyFont="1" applyAlignment="1">
      <alignment horizontal="right"/>
    </xf>
    <xf numFmtId="2" fontId="12" fillId="8" borderId="9" xfId="0" applyNumberFormat="1" applyFont="1" applyFill="1" applyBorder="1" applyAlignment="1">
      <alignment horizontal="center" vertical="center" wrapText="1"/>
    </xf>
    <xf numFmtId="179" fontId="12" fillId="23" borderId="9" xfId="0" applyNumberFormat="1" applyFont="1" applyFill="1" applyBorder="1" applyAlignment="1">
      <alignment horizontal="center" vertical="center" wrapText="1"/>
    </xf>
    <xf numFmtId="165" fontId="12" fillId="17" borderId="9" xfId="0" applyNumberFormat="1" applyFont="1" applyFill="1" applyBorder="1" applyAlignment="1">
      <alignment horizontal="center" vertical="center" wrapText="1"/>
    </xf>
    <xf numFmtId="179" fontId="12" fillId="46" borderId="9" xfId="0" applyNumberFormat="1" applyFont="1" applyFill="1" applyBorder="1" applyAlignment="1">
      <alignment horizontal="center" vertical="center" wrapText="1"/>
    </xf>
    <xf numFmtId="2" fontId="12" fillId="17" borderId="9" xfId="0" applyNumberFormat="1" applyFont="1" applyFill="1" applyBorder="1" applyAlignment="1">
      <alignment horizontal="center" vertical="center" wrapText="1"/>
    </xf>
    <xf numFmtId="39" fontId="12" fillId="17" borderId="9" xfId="1" applyNumberFormat="1" applyFont="1" applyFill="1" applyBorder="1" applyAlignment="1">
      <alignment horizontal="center" vertical="center" wrapText="1"/>
    </xf>
    <xf numFmtId="170" fontId="12" fillId="17" borderId="9" xfId="1" applyNumberFormat="1" applyFont="1" applyFill="1" applyBorder="1" applyAlignment="1">
      <alignment horizontal="center" vertical="center" wrapText="1"/>
    </xf>
    <xf numFmtId="37" fontId="12" fillId="17" borderId="9" xfId="1" applyNumberFormat="1" applyFont="1" applyFill="1" applyBorder="1" applyAlignment="1">
      <alignment horizontal="center" vertical="center" wrapText="1"/>
    </xf>
    <xf numFmtId="44" fontId="12" fillId="46" borderId="9" xfId="2" applyFont="1" applyFill="1" applyBorder="1" applyAlignment="1">
      <alignment horizontal="center" vertical="center" wrapText="1"/>
    </xf>
    <xf numFmtId="0" fontId="0" fillId="0" borderId="9" xfId="0" applyBorder="1" applyAlignment="1">
      <alignment wrapText="1"/>
    </xf>
    <xf numFmtId="9" fontId="12" fillId="8" borderId="9" xfId="3" applyFont="1" applyFill="1" applyBorder="1" applyAlignment="1">
      <alignment horizontal="center" vertical="center" wrapText="1"/>
    </xf>
    <xf numFmtId="9" fontId="12" fillId="46" borderId="9" xfId="3" applyFont="1" applyFill="1" applyBorder="1" applyAlignment="1">
      <alignment horizontal="center" vertical="center" wrapText="1"/>
    </xf>
    <xf numFmtId="9" fontId="12" fillId="17" borderId="9" xfId="3" applyFont="1" applyFill="1" applyBorder="1" applyAlignment="1">
      <alignment horizontal="center" vertical="center" wrapText="1"/>
    </xf>
    <xf numFmtId="4" fontId="12" fillId="46" borderId="9" xfId="0" applyNumberFormat="1" applyFont="1" applyFill="1" applyBorder="1" applyAlignment="1">
      <alignment horizontal="center" vertical="center" wrapText="1"/>
    </xf>
    <xf numFmtId="181" fontId="12" fillId="46" borderId="9" xfId="0" applyNumberFormat="1" applyFont="1" applyFill="1" applyBorder="1" applyAlignment="1">
      <alignment horizontal="center" vertical="center" wrapText="1"/>
    </xf>
    <xf numFmtId="44" fontId="12" fillId="23" borderId="9" xfId="2" applyFont="1" applyFill="1" applyBorder="1" applyAlignment="1">
      <alignment horizontal="center" vertical="center" wrapText="1"/>
    </xf>
    <xf numFmtId="172" fontId="12" fillId="46" borderId="9" xfId="3" applyNumberFormat="1" applyFont="1" applyFill="1" applyBorder="1" applyAlignment="1">
      <alignment horizontal="center" vertical="center" wrapText="1"/>
    </xf>
    <xf numFmtId="37" fontId="12" fillId="17" borderId="9" xfId="1" applyNumberFormat="1" applyFont="1" applyFill="1" applyBorder="1" applyAlignment="1">
      <alignment horizontal="center" wrapText="1"/>
    </xf>
    <xf numFmtId="9" fontId="12" fillId="47" borderId="9" xfId="3" applyFont="1" applyFill="1" applyBorder="1" applyAlignment="1">
      <alignment horizontal="center" vertical="center" wrapText="1"/>
    </xf>
    <xf numFmtId="1" fontId="12" fillId="17" borderId="9" xfId="3" applyNumberFormat="1" applyFont="1" applyFill="1" applyBorder="1" applyAlignment="1">
      <alignment horizontal="center"/>
    </xf>
    <xf numFmtId="2" fontId="12" fillId="17" borderId="9" xfId="3" applyNumberFormat="1" applyFont="1" applyFill="1" applyBorder="1" applyAlignment="1">
      <alignment horizontal="center"/>
    </xf>
    <xf numFmtId="165" fontId="12" fillId="17" borderId="9" xfId="3" applyNumberFormat="1" applyFont="1" applyFill="1" applyBorder="1" applyAlignment="1">
      <alignment horizontal="center"/>
    </xf>
    <xf numFmtId="10" fontId="12" fillId="17" borderId="9" xfId="3" applyNumberFormat="1" applyFont="1" applyFill="1" applyBorder="1" applyAlignment="1">
      <alignment horizontal="center"/>
    </xf>
    <xf numFmtId="9" fontId="12" fillId="17" borderId="9" xfId="3" applyFont="1" applyFill="1" applyBorder="1" applyAlignment="1">
      <alignment horizontal="center"/>
    </xf>
    <xf numFmtId="170" fontId="12" fillId="12" borderId="9" xfId="1" applyNumberFormat="1" applyFont="1" applyFill="1" applyBorder="1" applyAlignment="1">
      <alignment horizontal="center"/>
    </xf>
    <xf numFmtId="170" fontId="12" fillId="17" borderId="9" xfId="1" applyNumberFormat="1" applyFont="1" applyFill="1" applyBorder="1" applyAlignment="1">
      <alignment horizontal="center"/>
    </xf>
    <xf numFmtId="7" fontId="12" fillId="12" borderId="9" xfId="2" applyNumberFormat="1" applyFont="1" applyFill="1" applyBorder="1" applyAlignment="1">
      <alignment horizontal="center"/>
    </xf>
    <xf numFmtId="171" fontId="12" fillId="12" borderId="9" xfId="3" applyNumberFormat="1" applyFont="1" applyFill="1" applyBorder="1" applyAlignment="1">
      <alignment horizontal="center"/>
    </xf>
    <xf numFmtId="1" fontId="12" fillId="8" borderId="9" xfId="1" applyNumberFormat="1" applyFont="1" applyFill="1" applyBorder="1" applyAlignment="1">
      <alignment horizontal="center" vertical="center"/>
    </xf>
    <xf numFmtId="0" fontId="12" fillId="46" borderId="9" xfId="3" applyNumberFormat="1" applyFont="1" applyFill="1" applyBorder="1" applyAlignment="1">
      <alignment horizontal="center" vertical="center" wrapText="1"/>
    </xf>
    <xf numFmtId="1" fontId="12" fillId="8" borderId="9" xfId="3" applyNumberFormat="1" applyFont="1" applyFill="1" applyBorder="1" applyAlignment="1">
      <alignment horizontal="center"/>
    </xf>
    <xf numFmtId="0" fontId="12" fillId="17" borderId="9" xfId="3" applyNumberFormat="1" applyFont="1" applyFill="1" applyBorder="1" applyAlignment="1">
      <alignment horizontal="center" vertical="center" wrapText="1"/>
    </xf>
    <xf numFmtId="180" fontId="12" fillId="17" borderId="9" xfId="3" applyNumberFormat="1" applyFont="1" applyFill="1" applyBorder="1" applyAlignment="1">
      <alignment horizontal="center"/>
    </xf>
    <xf numFmtId="7" fontId="12" fillId="17" borderId="9" xfId="2" applyNumberFormat="1" applyFont="1" applyFill="1" applyBorder="1" applyAlignment="1">
      <alignment horizontal="center" wrapText="1"/>
    </xf>
    <xf numFmtId="165" fontId="12" fillId="12" borderId="9" xfId="8" applyNumberFormat="1" applyFont="1" applyFill="1" applyBorder="1" applyAlignment="1">
      <alignment horizontal="center"/>
    </xf>
    <xf numFmtId="165" fontId="12" fillId="17" borderId="9" xfId="8" applyNumberFormat="1" applyFont="1" applyFill="1" applyBorder="1" applyAlignment="1">
      <alignment horizontal="center"/>
    </xf>
    <xf numFmtId="10" fontId="12" fillId="46" borderId="9" xfId="3" applyNumberFormat="1" applyFont="1" applyFill="1" applyBorder="1" applyAlignment="1">
      <alignment horizontal="center" vertical="center" wrapText="1"/>
    </xf>
    <xf numFmtId="44" fontId="12" fillId="12" borderId="9" xfId="2" applyFont="1" applyFill="1" applyBorder="1" applyAlignment="1">
      <alignment horizontal="center"/>
    </xf>
    <xf numFmtId="180" fontId="12" fillId="8" borderId="9" xfId="8" applyNumberFormat="1" applyFont="1" applyFill="1" applyBorder="1" applyAlignment="1">
      <alignment horizontal="center"/>
    </xf>
    <xf numFmtId="10" fontId="12" fillId="8" borderId="9" xfId="3" applyNumberFormat="1" applyFont="1" applyFill="1" applyBorder="1" applyAlignment="1">
      <alignment horizontal="center" vertical="center" wrapText="1"/>
    </xf>
    <xf numFmtId="44" fontId="12" fillId="8" borderId="9" xfId="2" applyFont="1" applyFill="1" applyBorder="1" applyAlignment="1">
      <alignment horizontal="center" vertical="center" wrapText="1"/>
    </xf>
    <xf numFmtId="2" fontId="12" fillId="23" borderId="9" xfId="3" applyNumberFormat="1" applyFont="1" applyFill="1" applyBorder="1" applyAlignment="1">
      <alignment horizontal="center"/>
    </xf>
    <xf numFmtId="2" fontId="12" fillId="8" borderId="9" xfId="3" applyNumberFormat="1" applyFont="1" applyFill="1" applyBorder="1" applyAlignment="1">
      <alignment horizontal="center"/>
    </xf>
    <xf numFmtId="7" fontId="12" fillId="8" borderId="9" xfId="2" applyNumberFormat="1" applyFont="1" applyFill="1" applyBorder="1" applyAlignment="1">
      <alignment horizontal="center"/>
    </xf>
    <xf numFmtId="0" fontId="12" fillId="8" borderId="9" xfId="8" applyFont="1" applyFill="1" applyBorder="1" applyAlignment="1">
      <alignment horizontal="center" vertical="center" wrapText="1"/>
    </xf>
    <xf numFmtId="165" fontId="12" fillId="8" borderId="9" xfId="8" applyNumberFormat="1" applyFont="1" applyFill="1" applyBorder="1" applyAlignment="1">
      <alignment horizontal="center" vertical="center" wrapText="1"/>
    </xf>
    <xf numFmtId="165" fontId="12" fillId="8" borderId="16" xfId="8" applyNumberFormat="1" applyFont="1" applyFill="1" applyBorder="1" applyAlignment="1">
      <alignment horizontal="center" vertical="center" wrapText="1"/>
    </xf>
    <xf numFmtId="9" fontId="12" fillId="8" borderId="9" xfId="0" applyNumberFormat="1" applyFont="1" applyFill="1" applyBorder="1" applyAlignment="1">
      <alignment horizontal="center" vertical="center" wrapText="1"/>
    </xf>
    <xf numFmtId="39" fontId="12" fillId="8" borderId="9" xfId="1" applyNumberFormat="1" applyFont="1" applyFill="1" applyBorder="1" applyAlignment="1">
      <alignment horizontal="center" wrapText="1"/>
    </xf>
    <xf numFmtId="10" fontId="12" fillId="46" borderId="9" xfId="3" applyNumberFormat="1" applyFont="1" applyFill="1" applyBorder="1" applyAlignment="1">
      <alignment horizontal="center"/>
    </xf>
    <xf numFmtId="2" fontId="12" fillId="7" borderId="9" xfId="3" applyNumberFormat="1" applyFont="1" applyFill="1" applyBorder="1" applyAlignment="1">
      <alignment horizontal="center"/>
    </xf>
    <xf numFmtId="1" fontId="12" fillId="23" borderId="9" xfId="3" applyNumberFormat="1" applyFont="1" applyFill="1" applyBorder="1" applyAlignment="1">
      <alignment horizontal="center"/>
    </xf>
    <xf numFmtId="39" fontId="12" fillId="8" borderId="9" xfId="1" applyNumberFormat="1" applyFont="1" applyFill="1" applyBorder="1" applyAlignment="1">
      <alignment horizontal="center" vertical="center" wrapText="1"/>
    </xf>
    <xf numFmtId="165" fontId="12" fillId="8" borderId="9" xfId="6" applyNumberFormat="1" applyFont="1" applyFill="1" applyBorder="1" applyAlignment="1">
      <alignment horizontal="center" vertical="center" wrapText="1"/>
    </xf>
    <xf numFmtId="2" fontId="12" fillId="8" borderId="9" xfId="6" applyNumberFormat="1" applyFont="1" applyFill="1" applyBorder="1" applyAlignment="1">
      <alignment horizontal="center" vertical="center" wrapText="1"/>
    </xf>
    <xf numFmtId="9" fontId="12" fillId="8" borderId="9" xfId="3" applyFont="1" applyFill="1" applyBorder="1" applyAlignment="1">
      <alignment horizontal="center" wrapText="1"/>
    </xf>
    <xf numFmtId="7" fontId="12" fillId="8" borderId="9" xfId="2" applyNumberFormat="1" applyFont="1" applyFill="1" applyBorder="1" applyAlignment="1">
      <alignment horizontal="center" wrapText="1"/>
    </xf>
    <xf numFmtId="172" fontId="12" fillId="7" borderId="9" xfId="3" applyNumberFormat="1" applyFont="1" applyFill="1" applyBorder="1" applyAlignment="1">
      <alignment horizontal="center"/>
    </xf>
    <xf numFmtId="7" fontId="12" fillId="8" borderId="9" xfId="1" applyNumberFormat="1" applyFont="1" applyFill="1" applyBorder="1" applyAlignment="1">
      <alignment horizontal="center" vertical="center" wrapText="1"/>
    </xf>
    <xf numFmtId="3" fontId="12" fillId="46" borderId="9" xfId="0" applyNumberFormat="1" applyFont="1" applyFill="1" applyBorder="1" applyAlignment="1">
      <alignment horizontal="center" vertical="center" wrapText="1"/>
    </xf>
    <xf numFmtId="39" fontId="12" fillId="8" borderId="9" xfId="1" applyNumberFormat="1" applyFont="1" applyFill="1" applyBorder="1" applyAlignment="1">
      <alignment horizontal="center"/>
    </xf>
    <xf numFmtId="0" fontId="12" fillId="0" borderId="0" xfId="6" applyFont="1" applyAlignment="1">
      <alignment horizontal="left" vertical="center"/>
    </xf>
    <xf numFmtId="0" fontId="12" fillId="0" borderId="0" xfId="12" applyFont="1" applyAlignment="1">
      <alignment horizontal="center" vertical="center"/>
    </xf>
    <xf numFmtId="182" fontId="12" fillId="0" borderId="0" xfId="1" applyNumberFormat="1" applyFont="1" applyFill="1" applyBorder="1" applyAlignment="1">
      <alignment horizontal="center" vertical="center"/>
    </xf>
    <xf numFmtId="39" fontId="1" fillId="0" borderId="0" xfId="8" applyNumberFormat="1" applyFont="1" applyAlignment="1">
      <alignment horizontal="center"/>
    </xf>
    <xf numFmtId="2" fontId="4" fillId="0" borderId="0" xfId="8" applyNumberFormat="1" applyFont="1" applyAlignment="1">
      <alignment horizontal="center"/>
    </xf>
    <xf numFmtId="2" fontId="12" fillId="0" borderId="0" xfId="0" applyNumberFormat="1" applyFont="1" applyAlignment="1">
      <alignment horizontal="center" vertical="center" wrapText="1"/>
    </xf>
    <xf numFmtId="2" fontId="4" fillId="0" borderId="0" xfId="0" applyNumberFormat="1" applyFont="1" applyAlignment="1">
      <alignment horizontal="center" vertical="center" wrapText="1"/>
    </xf>
    <xf numFmtId="2" fontId="12" fillId="0" borderId="0" xfId="1" applyNumberFormat="1" applyFont="1" applyBorder="1" applyAlignment="1">
      <alignment horizontal="center"/>
    </xf>
    <xf numFmtId="198" fontId="4" fillId="0" borderId="0" xfId="2" applyNumberFormat="1" applyFont="1" applyFill="1" applyBorder="1"/>
    <xf numFmtId="1" fontId="4" fillId="8" borderId="9" xfId="13" applyNumberFormat="1" applyFont="1" applyFill="1" applyBorder="1" applyAlignment="1">
      <alignment horizontal="center" vertical="center" wrapText="1"/>
    </xf>
    <xf numFmtId="1" fontId="12" fillId="8" borderId="9" xfId="13" applyNumberFormat="1" applyFont="1" applyFill="1" applyBorder="1" applyAlignment="1">
      <alignment horizontal="center" vertical="center" wrapText="1"/>
    </xf>
    <xf numFmtId="0" fontId="12" fillId="34" borderId="9" xfId="0" applyFont="1" applyFill="1" applyBorder="1"/>
    <xf numFmtId="1" fontId="12" fillId="0" borderId="9" xfId="0" applyNumberFormat="1" applyFont="1" applyBorder="1" applyAlignment="1">
      <alignment vertical="center"/>
    </xf>
    <xf numFmtId="1" fontId="12" fillId="0" borderId="9" xfId="0" applyNumberFormat="1" applyFont="1" applyBorder="1"/>
    <xf numFmtId="1" fontId="12" fillId="35" borderId="9" xfId="0" applyNumberFormat="1" applyFont="1" applyFill="1" applyBorder="1"/>
    <xf numFmtId="0" fontId="12" fillId="0" borderId="9" xfId="0" applyFont="1" applyBorder="1" applyAlignment="1">
      <alignment vertical="top" wrapText="1"/>
    </xf>
    <xf numFmtId="0" fontId="12" fillId="16" borderId="9" xfId="0" applyFont="1" applyFill="1" applyBorder="1" applyAlignment="1">
      <alignment vertical="top"/>
    </xf>
    <xf numFmtId="9" fontId="12" fillId="4" borderId="9" xfId="3" applyFont="1" applyFill="1" applyBorder="1" applyAlignment="1"/>
    <xf numFmtId="0" fontId="12" fillId="4" borderId="0" xfId="0" applyFont="1" applyFill="1" applyAlignment="1">
      <alignment vertical="top" wrapText="1"/>
    </xf>
    <xf numFmtId="7" fontId="12" fillId="4" borderId="0" xfId="2" applyNumberFormat="1" applyFont="1" applyFill="1" applyBorder="1" applyAlignment="1">
      <alignment horizontal="center" vertical="center" wrapText="1"/>
    </xf>
    <xf numFmtId="2" fontId="12" fillId="4" borderId="0" xfId="0" applyNumberFormat="1" applyFont="1" applyFill="1"/>
    <xf numFmtId="9" fontId="12" fillId="4" borderId="0" xfId="3" applyFont="1" applyFill="1" applyBorder="1" applyAlignment="1"/>
    <xf numFmtId="7" fontId="4" fillId="4" borderId="0" xfId="2" applyNumberFormat="1" applyFont="1" applyFill="1" applyBorder="1" applyAlignment="1">
      <alignment horizontal="center" vertical="center" wrapText="1"/>
    </xf>
    <xf numFmtId="9" fontId="12" fillId="4" borderId="0" xfId="3" applyFont="1" applyFill="1" applyBorder="1" applyAlignment="1">
      <alignment horizontal="left" vertical="top" wrapText="1"/>
    </xf>
    <xf numFmtId="7" fontId="12" fillId="8" borderId="9" xfId="2" applyNumberFormat="1" applyFont="1" applyFill="1" applyBorder="1" applyAlignment="1">
      <alignment horizontal="center" vertical="center" wrapText="1"/>
    </xf>
    <xf numFmtId="3" fontId="12" fillId="8" borderId="9" xfId="0" applyNumberFormat="1" applyFont="1" applyFill="1" applyBorder="1" applyAlignment="1">
      <alignment horizontal="center" vertical="top" wrapText="1"/>
    </xf>
    <xf numFmtId="3" fontId="12" fillId="48" borderId="9" xfId="0" applyNumberFormat="1" applyFont="1" applyFill="1" applyBorder="1" applyAlignment="1">
      <alignment horizontal="center" vertical="top" wrapText="1"/>
    </xf>
    <xf numFmtId="2" fontId="12" fillId="48" borderId="9" xfId="0" applyNumberFormat="1" applyFont="1" applyFill="1" applyBorder="1" applyAlignment="1">
      <alignment horizontal="center" vertical="top" wrapText="1"/>
    </xf>
    <xf numFmtId="2" fontId="12" fillId="8" borderId="9" xfId="0" applyNumberFormat="1" applyFont="1" applyFill="1" applyBorder="1" applyAlignment="1">
      <alignment horizontal="center" vertical="top" wrapText="1"/>
    </xf>
    <xf numFmtId="1" fontId="12" fillId="0" borderId="9" xfId="0" applyNumberFormat="1" applyFont="1" applyBorder="1" applyAlignment="1">
      <alignment horizontal="left"/>
    </xf>
    <xf numFmtId="0" fontId="12" fillId="0" borderId="9" xfId="0" applyFont="1" applyBorder="1" applyAlignment="1">
      <alignment horizontal="left" vertical="top"/>
    </xf>
    <xf numFmtId="0" fontId="12" fillId="8" borderId="9" xfId="0" applyFont="1" applyFill="1" applyBorder="1" applyAlignment="1">
      <alignment horizontal="center"/>
    </xf>
    <xf numFmtId="0" fontId="12" fillId="16" borderId="9" xfId="0" applyFont="1" applyFill="1" applyBorder="1" applyAlignment="1">
      <alignment vertical="center"/>
    </xf>
    <xf numFmtId="43" fontId="12" fillId="16" borderId="9" xfId="1" applyFont="1" applyFill="1" applyBorder="1" applyAlignment="1">
      <alignment horizontal="left" vertical="top"/>
    </xf>
    <xf numFmtId="9" fontId="12" fillId="0" borderId="0" xfId="0" applyNumberFormat="1" applyFont="1" applyAlignment="1">
      <alignment horizontal="left" vertical="top" wrapText="1"/>
    </xf>
    <xf numFmtId="0" fontId="12" fillId="16" borderId="0" xfId="0" applyFont="1" applyFill="1" applyAlignment="1">
      <alignment horizontal="left" vertical="center" wrapText="1"/>
    </xf>
    <xf numFmtId="9" fontId="12" fillId="4" borderId="0" xfId="0" applyNumberFormat="1" applyFont="1" applyFill="1" applyAlignment="1">
      <alignment horizontal="left" vertical="top" wrapText="1"/>
    </xf>
    <xf numFmtId="9" fontId="4" fillId="4" borderId="0" xfId="0" applyNumberFormat="1" applyFont="1" applyFill="1" applyAlignment="1">
      <alignment horizontal="left" vertical="top" wrapText="1"/>
    </xf>
    <xf numFmtId="0" fontId="12" fillId="8" borderId="9" xfId="0" applyFont="1" applyFill="1" applyBorder="1" applyAlignment="1">
      <alignment horizontal="center" vertical="top" wrapText="1"/>
    </xf>
    <xf numFmtId="1" fontId="12" fillId="8" borderId="9" xfId="0" applyNumberFormat="1" applyFont="1" applyFill="1" applyBorder="1" applyAlignment="1">
      <alignment horizontal="center" vertical="top" wrapText="1"/>
    </xf>
    <xf numFmtId="4" fontId="12" fillId="8" borderId="9" xfId="0" applyNumberFormat="1" applyFont="1" applyFill="1" applyBorder="1" applyAlignment="1">
      <alignment horizontal="center" vertical="top" wrapText="1"/>
    </xf>
    <xf numFmtId="9" fontId="12" fillId="20" borderId="9" xfId="0" applyNumberFormat="1" applyFont="1" applyFill="1" applyBorder="1" applyAlignment="1">
      <alignment horizontal="center" vertical="top" wrapText="1"/>
    </xf>
    <xf numFmtId="9" fontId="12" fillId="20" borderId="9" xfId="3" applyFont="1" applyFill="1" applyBorder="1" applyAlignment="1">
      <alignment horizontal="center" vertical="top" wrapText="1"/>
    </xf>
    <xf numFmtId="1" fontId="12" fillId="4" borderId="9" xfId="0" applyNumberFormat="1" applyFont="1" applyFill="1" applyBorder="1" applyAlignment="1">
      <alignment horizontal="left" vertical="top"/>
    </xf>
    <xf numFmtId="2" fontId="49" fillId="0" borderId="9" xfId="0" applyNumberFormat="1" applyFont="1" applyBorder="1" applyAlignment="1">
      <alignment vertical="center" wrapText="1"/>
    </xf>
    <xf numFmtId="10" fontId="12" fillId="0" borderId="9" xfId="0" applyNumberFormat="1" applyFont="1" applyBorder="1" applyAlignment="1">
      <alignment horizontal="left" vertical="top"/>
    </xf>
    <xf numFmtId="7" fontId="12" fillId="4" borderId="9" xfId="0" applyNumberFormat="1" applyFont="1" applyFill="1" applyBorder="1" applyAlignment="1">
      <alignment horizontal="center"/>
    </xf>
    <xf numFmtId="1" fontId="12" fillId="8" borderId="9" xfId="1" applyNumberFormat="1" applyFont="1" applyFill="1" applyBorder="1" applyAlignment="1">
      <alignment horizontal="center" vertical="top" wrapText="1"/>
    </xf>
    <xf numFmtId="9" fontId="12" fillId="20" borderId="9" xfId="0" applyNumberFormat="1" applyFont="1" applyFill="1" applyBorder="1" applyAlignment="1">
      <alignment horizontal="center" vertical="top"/>
    </xf>
    <xf numFmtId="7" fontId="12" fillId="8" borderId="9" xfId="2" applyNumberFormat="1" applyFont="1" applyFill="1" applyBorder="1" applyAlignment="1">
      <alignment horizontal="center" vertical="top" wrapText="1"/>
    </xf>
    <xf numFmtId="7" fontId="12" fillId="4" borderId="9" xfId="2" applyNumberFormat="1" applyFont="1" applyFill="1" applyBorder="1" applyAlignment="1">
      <alignment horizontal="center" vertical="top" wrapText="1"/>
    </xf>
    <xf numFmtId="1" fontId="12" fillId="8" borderId="9" xfId="0" applyNumberFormat="1" applyFont="1" applyFill="1" applyBorder="1" applyAlignment="1">
      <alignment horizontal="center" vertical="top"/>
    </xf>
    <xf numFmtId="0" fontId="12" fillId="17" borderId="9" xfId="0" applyFont="1" applyFill="1" applyBorder="1" applyAlignment="1">
      <alignment horizontal="center" vertical="top" wrapText="1"/>
    </xf>
    <xf numFmtId="39" fontId="12" fillId="17" borderId="9" xfId="1" applyNumberFormat="1" applyFont="1" applyFill="1" applyBorder="1" applyAlignment="1">
      <alignment horizontal="center" vertical="top"/>
    </xf>
    <xf numFmtId="1" fontId="12" fillId="17" borderId="9" xfId="0" applyNumberFormat="1" applyFont="1" applyFill="1" applyBorder="1" applyAlignment="1">
      <alignment horizontal="center" vertical="top" wrapText="1"/>
    </xf>
    <xf numFmtId="170" fontId="12" fillId="17" borderId="9" xfId="1" applyNumberFormat="1" applyFont="1" applyFill="1" applyBorder="1" applyAlignment="1">
      <alignment horizontal="center" vertical="top" wrapText="1"/>
    </xf>
    <xf numFmtId="3" fontId="12" fillId="17" borderId="9" xfId="0" applyNumberFormat="1" applyFont="1" applyFill="1" applyBorder="1" applyAlignment="1">
      <alignment horizontal="center" vertical="top" wrapText="1"/>
    </xf>
    <xf numFmtId="0" fontId="12" fillId="17" borderId="9" xfId="0" applyFont="1" applyFill="1" applyBorder="1" applyAlignment="1">
      <alignment horizontal="center" vertical="top"/>
    </xf>
    <xf numFmtId="165" fontId="12" fillId="17" borderId="9" xfId="13" applyNumberFormat="1" applyFont="1" applyFill="1" applyBorder="1" applyAlignment="1">
      <alignment horizontal="center" vertical="center" wrapText="1"/>
    </xf>
    <xf numFmtId="1" fontId="12" fillId="17" borderId="9" xfId="13" applyNumberFormat="1" applyFont="1" applyFill="1" applyBorder="1" applyAlignment="1">
      <alignment horizontal="center" vertical="center" wrapText="1"/>
    </xf>
    <xf numFmtId="172" fontId="12" fillId="17" borderId="9" xfId="3" applyNumberFormat="1" applyFont="1" applyFill="1" applyBorder="1" applyAlignment="1">
      <alignment horizontal="center"/>
    </xf>
    <xf numFmtId="37" fontId="12" fillId="17" borderId="9" xfId="1" applyNumberFormat="1" applyFont="1" applyFill="1" applyBorder="1" applyAlignment="1">
      <alignment horizontal="center"/>
    </xf>
    <xf numFmtId="165" fontId="12" fillId="17" borderId="9" xfId="6" applyNumberFormat="1" applyFont="1" applyFill="1" applyBorder="1" applyAlignment="1">
      <alignment horizontal="center" vertical="center" wrapText="1"/>
    </xf>
    <xf numFmtId="39" fontId="12" fillId="17" borderId="9" xfId="1" applyNumberFormat="1" applyFont="1" applyFill="1" applyBorder="1" applyAlignment="1">
      <alignment horizontal="center" wrapText="1"/>
    </xf>
    <xf numFmtId="9" fontId="12" fillId="17" borderId="9" xfId="0" applyNumberFormat="1" applyFont="1" applyFill="1" applyBorder="1" applyAlignment="1">
      <alignment horizontal="center" vertical="center" wrapText="1"/>
    </xf>
    <xf numFmtId="170" fontId="12" fillId="17" borderId="9" xfId="2" applyNumberFormat="1" applyFont="1" applyFill="1" applyBorder="1" applyAlignment="1">
      <alignment horizontal="center" vertical="center" wrapText="1"/>
    </xf>
    <xf numFmtId="0" fontId="12" fillId="17" borderId="9" xfId="0" applyFont="1" applyFill="1" applyBorder="1" applyAlignment="1">
      <alignment horizontal="center" vertical="center" wrapText="1"/>
    </xf>
    <xf numFmtId="0" fontId="12" fillId="17" borderId="9" xfId="0" applyFont="1" applyFill="1" applyBorder="1" applyAlignment="1">
      <alignment horizontal="center" vertical="center"/>
    </xf>
    <xf numFmtId="2" fontId="12" fillId="17" borderId="9" xfId="0" applyNumberFormat="1" applyFont="1" applyFill="1" applyBorder="1" applyAlignment="1">
      <alignment horizontal="center" vertical="center"/>
    </xf>
    <xf numFmtId="10" fontId="12" fillId="17" borderId="9" xfId="13" applyNumberFormat="1" applyFont="1" applyFill="1" applyBorder="1" applyAlignment="1">
      <alignment horizontal="center" vertical="center" wrapText="1"/>
    </xf>
    <xf numFmtId="165" fontId="12" fillId="17" borderId="9" xfId="8" applyNumberFormat="1" applyFont="1" applyFill="1" applyBorder="1" applyAlignment="1">
      <alignment horizontal="center" vertical="center"/>
    </xf>
    <xf numFmtId="180" fontId="12" fillId="17" borderId="9" xfId="8" applyNumberFormat="1" applyFont="1" applyFill="1" applyBorder="1" applyAlignment="1">
      <alignment horizontal="center" vertical="center"/>
    </xf>
    <xf numFmtId="0" fontId="12" fillId="17" borderId="9" xfId="8" applyFont="1" applyFill="1" applyBorder="1" applyAlignment="1">
      <alignment horizontal="center" vertical="center"/>
    </xf>
    <xf numFmtId="0" fontId="82" fillId="4" borderId="0" xfId="0" applyFont="1" applyFill="1"/>
    <xf numFmtId="10" fontId="12" fillId="0" borderId="9" xfId="7" applyNumberFormat="1" applyFont="1" applyBorder="1" applyAlignment="1">
      <alignment horizontal="center" vertical="center" wrapText="1"/>
    </xf>
    <xf numFmtId="2" fontId="12" fillId="12" borderId="9" xfId="1" applyNumberFormat="1" applyFont="1" applyFill="1" applyBorder="1" applyAlignment="1">
      <alignment horizontal="center" wrapText="1"/>
    </xf>
    <xf numFmtId="189" fontId="12" fillId="12" borderId="9" xfId="5" applyNumberFormat="1" applyFont="1" applyFill="1" applyBorder="1" applyAlignment="1">
      <alignment horizontal="center"/>
    </xf>
    <xf numFmtId="4" fontId="12" fillId="8" borderId="9" xfId="0" applyNumberFormat="1" applyFont="1" applyFill="1" applyBorder="1" applyAlignment="1">
      <alignment horizontal="center" vertical="center" wrapText="1"/>
    </xf>
    <xf numFmtId="39" fontId="12" fillId="12" borderId="9" xfId="5" applyNumberFormat="1" applyFont="1" applyFill="1" applyBorder="1" applyAlignment="1">
      <alignment horizontal="center"/>
    </xf>
    <xf numFmtId="39" fontId="12" fillId="17" borderId="9" xfId="5" applyNumberFormat="1" applyFont="1" applyFill="1" applyBorder="1" applyAlignment="1">
      <alignment horizontal="center"/>
    </xf>
    <xf numFmtId="170" fontId="12" fillId="12" borderId="9" xfId="5" applyNumberFormat="1" applyFont="1" applyFill="1" applyBorder="1" applyAlignment="1">
      <alignment horizontal="center"/>
    </xf>
    <xf numFmtId="189" fontId="12" fillId="17" borderId="9" xfId="5" applyNumberFormat="1" applyFont="1" applyFill="1" applyBorder="1" applyAlignment="1">
      <alignment horizontal="center"/>
    </xf>
    <xf numFmtId="171" fontId="12" fillId="17" borderId="9" xfId="4" applyNumberFormat="1" applyFont="1" applyFill="1" applyBorder="1" applyAlignment="1" applyProtection="1">
      <alignment horizontal="center"/>
      <protection locked="0"/>
    </xf>
    <xf numFmtId="9" fontId="12" fillId="17" borderId="9" xfId="7" applyFont="1" applyFill="1" applyBorder="1" applyAlignment="1">
      <alignment horizontal="center" vertical="center" wrapText="1"/>
    </xf>
    <xf numFmtId="10" fontId="12" fillId="17" borderId="9" xfId="7" applyNumberFormat="1" applyFont="1" applyFill="1" applyBorder="1" applyAlignment="1">
      <alignment horizontal="center" vertical="center" wrapText="1"/>
    </xf>
    <xf numFmtId="2" fontId="12" fillId="17" borderId="9" xfId="0" applyNumberFormat="1" applyFont="1" applyFill="1" applyBorder="1" applyAlignment="1">
      <alignment horizontal="center"/>
    </xf>
    <xf numFmtId="10" fontId="4" fillId="0" borderId="9" xfId="7" applyNumberFormat="1" applyFont="1" applyBorder="1" applyAlignment="1">
      <alignment horizontal="center" vertical="center" wrapText="1"/>
    </xf>
    <xf numFmtId="167" fontId="5" fillId="12" borderId="9" xfId="0" applyNumberFormat="1" applyFont="1" applyFill="1" applyBorder="1"/>
    <xf numFmtId="39" fontId="1" fillId="0" borderId="9" xfId="5" applyNumberFormat="1" applyFont="1" applyBorder="1" applyAlignment="1">
      <alignment horizontal="center"/>
    </xf>
    <xf numFmtId="167" fontId="5" fillId="12" borderId="9" xfId="0" applyNumberFormat="1" applyFont="1" applyFill="1" applyBorder="1" applyAlignment="1">
      <alignment horizontal="center"/>
    </xf>
    <xf numFmtId="1" fontId="4" fillId="4" borderId="9" xfId="0" applyNumberFormat="1" applyFont="1" applyFill="1" applyBorder="1" applyAlignment="1">
      <alignment horizontal="left" vertical="top"/>
    </xf>
    <xf numFmtId="0" fontId="1" fillId="0" borderId="9" xfId="3" applyNumberFormat="1" applyFont="1" applyFill="1" applyBorder="1" applyAlignment="1">
      <alignment horizontal="center"/>
    </xf>
    <xf numFmtId="0" fontId="12" fillId="0" borderId="9" xfId="3" applyNumberFormat="1" applyFont="1" applyFill="1" applyBorder="1" applyAlignment="1">
      <alignment horizontal="center"/>
    </xf>
    <xf numFmtId="10" fontId="4" fillId="0" borderId="9" xfId="0" applyNumberFormat="1" applyFont="1" applyBorder="1" applyAlignment="1">
      <alignment horizontal="left" vertical="top"/>
    </xf>
    <xf numFmtId="7" fontId="1" fillId="4" borderId="9" xfId="0" applyNumberFormat="1" applyFont="1" applyFill="1" applyBorder="1" applyAlignment="1">
      <alignment horizontal="center"/>
    </xf>
    <xf numFmtId="7" fontId="4" fillId="4" borderId="9" xfId="0" applyNumberFormat="1" applyFont="1" applyFill="1" applyBorder="1" applyAlignment="1">
      <alignment horizontal="center"/>
    </xf>
    <xf numFmtId="0" fontId="12" fillId="12" borderId="19" xfId="0" applyFont="1" applyFill="1" applyBorder="1" applyAlignment="1">
      <alignment horizontal="center" vertical="center" wrapText="1"/>
    </xf>
    <xf numFmtId="9" fontId="1" fillId="0" borderId="9" xfId="3" applyFont="1" applyFill="1" applyBorder="1" applyAlignment="1">
      <alignment horizontal="left" vertical="center" wrapText="1"/>
    </xf>
    <xf numFmtId="0" fontId="12" fillId="4" borderId="9" xfId="8" quotePrefix="1" applyFont="1" applyFill="1" applyBorder="1" applyAlignment="1">
      <alignment wrapText="1"/>
    </xf>
    <xf numFmtId="0" fontId="31" fillId="0" borderId="0" xfId="0" applyFont="1"/>
    <xf numFmtId="3" fontId="12" fillId="12" borderId="9" xfId="0" applyNumberFormat="1" applyFont="1" applyFill="1" applyBorder="1" applyAlignment="1">
      <alignment horizontal="center" vertical="center"/>
    </xf>
    <xf numFmtId="9" fontId="12" fillId="12" borderId="9" xfId="0" applyNumberFormat="1" applyFont="1" applyFill="1" applyBorder="1" applyAlignment="1">
      <alignment horizontal="center" vertical="center"/>
    </xf>
    <xf numFmtId="172" fontId="12" fillId="17" borderId="9" xfId="3" applyNumberFormat="1" applyFont="1" applyFill="1" applyBorder="1" applyAlignment="1">
      <alignment horizontal="center" vertical="center" wrapText="1"/>
    </xf>
    <xf numFmtId="0" fontId="23" fillId="0" borderId="0" xfId="5" applyFont="1" applyAlignment="1">
      <alignment horizontal="center" vertical="center" wrapText="1"/>
    </xf>
    <xf numFmtId="168" fontId="12" fillId="0" borderId="0" xfId="5" applyNumberFormat="1" applyFont="1" applyAlignment="1">
      <alignment horizontal="center"/>
    </xf>
    <xf numFmtId="0" fontId="12" fillId="11" borderId="25" xfId="5" applyFont="1" applyFill="1" applyBorder="1" applyAlignment="1">
      <alignment horizontal="center" vertical="center" wrapText="1"/>
    </xf>
    <xf numFmtId="165" fontId="12" fillId="4" borderId="0" xfId="6" applyNumberFormat="1" applyFont="1" applyFill="1" applyAlignment="1">
      <alignment horizontal="left" vertical="center" wrapText="1" indent="3"/>
    </xf>
    <xf numFmtId="177" fontId="12" fillId="0" borderId="9" xfId="9" applyNumberFormat="1" applyFont="1" applyFill="1" applyBorder="1" applyAlignment="1">
      <alignment horizontal="center" vertical="center"/>
    </xf>
    <xf numFmtId="177" fontId="12" fillId="0" borderId="9" xfId="9" applyNumberFormat="1" applyFont="1" applyFill="1" applyBorder="1" applyAlignment="1">
      <alignment horizontal="center"/>
    </xf>
    <xf numFmtId="177" fontId="12" fillId="0" borderId="9" xfId="9" applyNumberFormat="1" applyFont="1" applyFill="1" applyBorder="1" applyAlignment="1">
      <alignment horizontal="center" vertical="center" wrapText="1"/>
    </xf>
    <xf numFmtId="177" fontId="12" fillId="0" borderId="9" xfId="9" applyNumberFormat="1" applyFont="1" applyFill="1" applyBorder="1" applyAlignment="1">
      <alignment horizontal="center" vertical="top" wrapText="1"/>
    </xf>
    <xf numFmtId="0" fontId="0" fillId="4" borderId="0" xfId="0" applyFill="1" applyAlignment="1">
      <alignment vertical="center"/>
    </xf>
    <xf numFmtId="0" fontId="86" fillId="45" borderId="19" xfId="0" applyFont="1" applyFill="1" applyBorder="1" applyAlignment="1">
      <alignment horizontal="center" vertical="center" wrapText="1"/>
    </xf>
    <xf numFmtId="173" fontId="12" fillId="0" borderId="9" xfId="2" applyNumberFormat="1" applyFont="1" applyBorder="1"/>
    <xf numFmtId="173" fontId="0" fillId="0" borderId="9" xfId="2" applyNumberFormat="1" applyFont="1" applyBorder="1"/>
    <xf numFmtId="0" fontId="4" fillId="0" borderId="33" xfId="8" applyFont="1" applyBorder="1"/>
    <xf numFmtId="0" fontId="4" fillId="8" borderId="9" xfId="0" applyFont="1" applyFill="1" applyBorder="1"/>
    <xf numFmtId="187" fontId="4" fillId="0" borderId="0" xfId="8" applyNumberFormat="1" applyFont="1"/>
    <xf numFmtId="2" fontId="4" fillId="0" borderId="20" xfId="1" applyNumberFormat="1" applyFont="1" applyBorder="1" applyAlignment="1">
      <alignment horizontal="center"/>
    </xf>
    <xf numFmtId="0" fontId="4" fillId="4" borderId="26" xfId="8" applyFont="1" applyFill="1" applyBorder="1" applyAlignment="1">
      <alignment horizontal="left"/>
    </xf>
    <xf numFmtId="187" fontId="4" fillId="4" borderId="16" xfId="1" applyNumberFormat="1" applyFont="1" applyFill="1" applyBorder="1" applyAlignment="1">
      <alignment horizontal="center"/>
    </xf>
    <xf numFmtId="187" fontId="4" fillId="4" borderId="16" xfId="0" applyNumberFormat="1" applyFont="1" applyFill="1" applyBorder="1" applyAlignment="1">
      <alignment horizontal="center" vertical="center" wrapText="1"/>
    </xf>
    <xf numFmtId="39" fontId="4" fillId="4" borderId="16" xfId="0" applyNumberFormat="1" applyFont="1" applyFill="1" applyBorder="1" applyAlignment="1">
      <alignment horizontal="center" vertical="center" wrapText="1"/>
    </xf>
    <xf numFmtId="1" fontId="4" fillId="0" borderId="9" xfId="13" applyNumberFormat="1" applyFont="1" applyBorder="1" applyAlignment="1">
      <alignment horizontal="left" vertical="center" wrapText="1"/>
    </xf>
    <xf numFmtId="2" fontId="4" fillId="0" borderId="9" xfId="13" applyNumberFormat="1" applyFont="1" applyBorder="1" applyAlignment="1">
      <alignment horizontal="left" vertical="center" wrapText="1"/>
    </xf>
    <xf numFmtId="0" fontId="87" fillId="0" borderId="0" xfId="6" applyFont="1"/>
    <xf numFmtId="0" fontId="87" fillId="0" borderId="0" xfId="5" applyFont="1"/>
    <xf numFmtId="0" fontId="88" fillId="0" borderId="0" xfId="6" applyFont="1"/>
    <xf numFmtId="0" fontId="88" fillId="0" borderId="0" xfId="5" applyFont="1"/>
    <xf numFmtId="0" fontId="88" fillId="0" borderId="0" xfId="5" applyFont="1" applyAlignment="1">
      <alignment horizontal="left" vertical="top" wrapText="1"/>
    </xf>
    <xf numFmtId="1" fontId="0" fillId="0" borderId="9" xfId="0" applyNumberFormat="1" applyBorder="1"/>
    <xf numFmtId="206" fontId="1" fillId="0" borderId="9" xfId="5" applyNumberFormat="1" applyFont="1" applyBorder="1" applyAlignment="1">
      <alignment horizontal="center" vertical="center" wrapText="1"/>
    </xf>
    <xf numFmtId="206" fontId="0" fillId="0" borderId="9" xfId="0" applyNumberFormat="1" applyBorder="1"/>
    <xf numFmtId="206" fontId="87" fillId="0" borderId="0" xfId="5" applyNumberFormat="1" applyFont="1"/>
    <xf numFmtId="206" fontId="9" fillId="0" borderId="0" xfId="5" applyNumberFormat="1"/>
    <xf numFmtId="171" fontId="4" fillId="0" borderId="9" xfId="5" applyNumberFormat="1" applyFont="1" applyBorder="1" applyAlignment="1">
      <alignment horizontal="center" vertical="center" wrapText="1"/>
    </xf>
    <xf numFmtId="37" fontId="4" fillId="0" borderId="9" xfId="5" applyNumberFormat="1" applyFont="1" applyBorder="1" applyAlignment="1">
      <alignment horizontal="center"/>
    </xf>
    <xf numFmtId="37" fontId="12" fillId="0" borderId="0" xfId="5" applyNumberFormat="1" applyFont="1"/>
    <xf numFmtId="5" fontId="12" fillId="0" borderId="0" xfId="5" applyNumberFormat="1" applyFont="1"/>
    <xf numFmtId="175" fontId="12" fillId="8" borderId="9" xfId="9" applyNumberFormat="1" applyFont="1" applyFill="1" applyBorder="1" applyAlignment="1">
      <alignment horizontal="center"/>
    </xf>
    <xf numFmtId="0" fontId="88" fillId="0" borderId="0" xfId="5" applyFont="1" applyAlignment="1">
      <alignment wrapText="1"/>
    </xf>
    <xf numFmtId="166" fontId="88" fillId="0" borderId="0" xfId="5" applyNumberFormat="1" applyFont="1" applyAlignment="1">
      <alignment horizontal="left"/>
    </xf>
    <xf numFmtId="166" fontId="88" fillId="0" borderId="0" xfId="5" applyNumberFormat="1" applyFont="1" applyAlignment="1">
      <alignment horizontal="center"/>
    </xf>
    <xf numFmtId="0" fontId="32" fillId="0" borderId="0" xfId="5" applyFont="1"/>
    <xf numFmtId="7" fontId="4" fillId="0" borderId="9" xfId="0" applyNumberFormat="1" applyFont="1" applyBorder="1"/>
    <xf numFmtId="0" fontId="88" fillId="0" borderId="0" xfId="5" applyFont="1" applyAlignment="1">
      <alignment horizontal="left"/>
    </xf>
    <xf numFmtId="1" fontId="9" fillId="0" borderId="0" xfId="5" applyNumberFormat="1"/>
    <xf numFmtId="2" fontId="1" fillId="4" borderId="9" xfId="5" applyNumberFormat="1" applyFont="1" applyFill="1" applyBorder="1" applyAlignment="1">
      <alignment horizontal="center"/>
    </xf>
    <xf numFmtId="171" fontId="1" fillId="4" borderId="9" xfId="5" applyNumberFormat="1" applyFont="1" applyFill="1" applyBorder="1" applyAlignment="1">
      <alignment horizontal="center"/>
    </xf>
    <xf numFmtId="39" fontId="0" fillId="0" borderId="9" xfId="5" applyNumberFormat="1" applyFont="1" applyBorder="1" applyAlignment="1">
      <alignment horizontal="center"/>
    </xf>
    <xf numFmtId="175" fontId="23" fillId="0" borderId="0" xfId="5" applyNumberFormat="1" applyFont="1"/>
    <xf numFmtId="43" fontId="23" fillId="0" borderId="0" xfId="1" applyFont="1"/>
    <xf numFmtId="170" fontId="0" fillId="0" borderId="9" xfId="5" applyNumberFormat="1" applyFont="1" applyBorder="1" applyAlignment="1">
      <alignment horizontal="center"/>
    </xf>
    <xf numFmtId="37" fontId="12" fillId="0" borderId="9" xfId="0" applyNumberFormat="1" applyFont="1" applyBorder="1"/>
    <xf numFmtId="37" fontId="0" fillId="0" borderId="9" xfId="5" applyNumberFormat="1" applyFont="1" applyBorder="1" applyAlignment="1">
      <alignment horizontal="center"/>
    </xf>
    <xf numFmtId="37" fontId="0" fillId="0" borderId="9" xfId="0" applyNumberFormat="1" applyBorder="1" applyAlignment="1">
      <alignment horizontal="center"/>
    </xf>
    <xf numFmtId="1" fontId="4" fillId="0" borderId="9" xfId="5" applyNumberFormat="1" applyFont="1" applyBorder="1" applyAlignment="1">
      <alignment horizontal="center"/>
    </xf>
    <xf numFmtId="1" fontId="0" fillId="0" borderId="9" xfId="5" applyNumberFormat="1" applyFont="1" applyBorder="1" applyAlignment="1">
      <alignment horizontal="center"/>
    </xf>
    <xf numFmtId="171" fontId="4" fillId="0" borderId="9" xfId="5" applyNumberFormat="1" applyFont="1" applyBorder="1" applyAlignment="1">
      <alignment horizontal="center"/>
    </xf>
    <xf numFmtId="206" fontId="12" fillId="0" borderId="0" xfId="5" applyNumberFormat="1" applyFont="1"/>
    <xf numFmtId="171" fontId="4" fillId="4" borderId="9" xfId="5" applyNumberFormat="1" applyFont="1" applyFill="1" applyBorder="1"/>
    <xf numFmtId="171" fontId="0" fillId="4" borderId="9" xfId="5" quotePrefix="1" applyNumberFormat="1" applyFont="1" applyFill="1" applyBorder="1"/>
    <xf numFmtId="168" fontId="12" fillId="0" borderId="9" xfId="1" applyNumberFormat="1" applyFont="1" applyBorder="1"/>
    <xf numFmtId="168" fontId="0" fillId="0" borderId="9" xfId="1" applyNumberFormat="1" applyFont="1" applyBorder="1"/>
    <xf numFmtId="168" fontId="0" fillId="0" borderId="9" xfId="1" applyNumberFormat="1" applyFont="1" applyBorder="1" applyAlignment="1">
      <alignment horizontal="center"/>
    </xf>
    <xf numFmtId="37" fontId="9" fillId="0" borderId="0" xfId="5" applyNumberFormat="1"/>
    <xf numFmtId="0" fontId="50" fillId="0" borderId="0" xfId="5" applyFont="1" applyAlignment="1">
      <alignment horizontal="center" wrapText="1"/>
    </xf>
    <xf numFmtId="168" fontId="23" fillId="0" borderId="0" xfId="1" applyNumberFormat="1" applyFont="1"/>
    <xf numFmtId="191" fontId="12" fillId="4" borderId="9" xfId="1" applyNumberFormat="1" applyFont="1" applyFill="1" applyBorder="1" applyAlignment="1">
      <alignment horizontal="left" vertical="center" wrapText="1" indent="3"/>
    </xf>
    <xf numFmtId="168" fontId="12" fillId="4" borderId="9" xfId="1" applyNumberFormat="1" applyFont="1" applyFill="1" applyBorder="1" applyAlignment="1">
      <alignment horizontal="left" vertical="center" wrapText="1" indent="3"/>
    </xf>
    <xf numFmtId="37" fontId="18" fillId="0" borderId="0" xfId="7" applyNumberFormat="1" applyFont="1">
      <alignment horizontal="right" vertical="center" wrapText="1" readingOrder="1"/>
    </xf>
    <xf numFmtId="37" fontId="23" fillId="0" borderId="0" xfId="5" applyNumberFormat="1" applyFont="1"/>
    <xf numFmtId="168" fontId="4" fillId="0" borderId="9" xfId="1" applyNumberFormat="1" applyFont="1" applyBorder="1" applyAlignment="1">
      <alignment horizontal="center"/>
    </xf>
    <xf numFmtId="1" fontId="12" fillId="0" borderId="9" xfId="0" applyNumberFormat="1" applyFont="1" applyBorder="1" applyAlignment="1">
      <alignment horizontal="center"/>
    </xf>
    <xf numFmtId="206" fontId="4" fillId="0" borderId="9" xfId="0" applyNumberFormat="1" applyFont="1" applyBorder="1"/>
    <xf numFmtId="205" fontId="12" fillId="0" borderId="9" xfId="1" applyNumberFormat="1" applyFont="1" applyBorder="1"/>
    <xf numFmtId="205" fontId="4" fillId="0" borderId="9" xfId="1" applyNumberFormat="1" applyFont="1" applyBorder="1" applyAlignment="1">
      <alignment horizontal="center"/>
    </xf>
    <xf numFmtId="9" fontId="12" fillId="0" borderId="9" xfId="3" applyFont="1" applyBorder="1"/>
    <xf numFmtId="43" fontId="1" fillId="0" borderId="9" xfId="1" applyFont="1" applyFill="1" applyBorder="1" applyAlignment="1">
      <alignment horizontal="center"/>
    </xf>
    <xf numFmtId="43" fontId="50" fillId="0" borderId="0" xfId="5" applyNumberFormat="1" applyFont="1" applyAlignment="1">
      <alignment horizontal="center" wrapText="1"/>
    </xf>
    <xf numFmtId="178" fontId="0" fillId="0" borderId="9" xfId="0" applyNumberFormat="1" applyBorder="1" applyAlignment="1">
      <alignment horizontal="center"/>
    </xf>
    <xf numFmtId="178" fontId="0" fillId="0" borderId="9" xfId="0" applyNumberFormat="1" applyBorder="1"/>
    <xf numFmtId="2" fontId="4" fillId="0" borderId="9" xfId="5" applyNumberFormat="1" applyFont="1" applyBorder="1" applyAlignment="1">
      <alignment horizontal="center"/>
    </xf>
    <xf numFmtId="39" fontId="1" fillId="4" borderId="9" xfId="1" applyNumberFormat="1" applyFont="1" applyFill="1" applyBorder="1" applyAlignment="1">
      <alignment horizontal="center" vertical="center" wrapText="1"/>
    </xf>
    <xf numFmtId="39" fontId="0" fillId="0" borderId="9" xfId="1" applyNumberFormat="1" applyFont="1" applyBorder="1" applyAlignment="1">
      <alignment horizontal="center"/>
    </xf>
    <xf numFmtId="4" fontId="1" fillId="4" borderId="9" xfId="5" applyNumberFormat="1" applyFont="1" applyFill="1" applyBorder="1" applyAlignment="1">
      <alignment horizontal="center" vertical="center" wrapText="1"/>
    </xf>
    <xf numFmtId="4" fontId="0" fillId="0" borderId="9" xfId="0" applyNumberFormat="1" applyBorder="1" applyAlignment="1">
      <alignment horizontal="center"/>
    </xf>
    <xf numFmtId="4" fontId="4" fillId="0" borderId="9" xfId="0" applyNumberFormat="1" applyFont="1" applyBorder="1" applyAlignment="1">
      <alignment horizontal="center"/>
    </xf>
    <xf numFmtId="43" fontId="0" fillId="0" borderId="9" xfId="1" applyFont="1" applyBorder="1" applyAlignment="1">
      <alignment horizontal="center"/>
    </xf>
    <xf numFmtId="185" fontId="12" fillId="0" borderId="9" xfId="0" applyNumberFormat="1" applyFont="1" applyBorder="1"/>
    <xf numFmtId="185" fontId="12" fillId="0" borderId="0" xfId="0" applyNumberFormat="1" applyFont="1" applyAlignment="1">
      <alignment horizontal="centerContinuous"/>
    </xf>
    <xf numFmtId="0" fontId="12" fillId="0" borderId="0" xfId="0" applyFont="1" applyAlignment="1">
      <alignment horizontal="centerContinuous"/>
    </xf>
    <xf numFmtId="188" fontId="12" fillId="0" borderId="0" xfId="3" applyNumberFormat="1" applyFont="1" applyFill="1"/>
    <xf numFmtId="196" fontId="12" fillId="0" borderId="0" xfId="3" applyNumberFormat="1" applyFont="1" applyFill="1" applyBorder="1"/>
    <xf numFmtId="0" fontId="22" fillId="0" borderId="9" xfId="18" applyBorder="1"/>
    <xf numFmtId="190" fontId="12" fillId="0" borderId="0" xfId="1" applyNumberFormat="1" applyFont="1" applyFill="1"/>
    <xf numFmtId="0" fontId="5" fillId="4" borderId="0" xfId="0" applyFont="1" applyFill="1" applyAlignment="1">
      <alignment vertical="center"/>
    </xf>
    <xf numFmtId="187" fontId="12" fillId="49" borderId="9" xfId="5" applyNumberFormat="1" applyFont="1" applyFill="1" applyBorder="1" applyAlignment="1">
      <alignment horizontal="center"/>
    </xf>
    <xf numFmtId="9" fontId="12" fillId="49" borderId="9" xfId="3" applyFont="1" applyFill="1" applyBorder="1" applyAlignment="1">
      <alignment horizontal="center"/>
    </xf>
    <xf numFmtId="180" fontId="12" fillId="49" borderId="9" xfId="0" applyNumberFormat="1" applyFont="1" applyFill="1" applyBorder="1" applyAlignment="1">
      <alignment horizontal="center"/>
    </xf>
    <xf numFmtId="175" fontId="12" fillId="49" borderId="9" xfId="9" applyNumberFormat="1" applyFont="1" applyFill="1" applyBorder="1" applyAlignment="1">
      <alignment horizontal="center" vertical="center"/>
    </xf>
    <xf numFmtId="177" fontId="12" fillId="49" borderId="9" xfId="9" applyNumberFormat="1" applyFont="1" applyFill="1" applyBorder="1" applyAlignment="1">
      <alignment horizontal="center" vertical="center"/>
    </xf>
    <xf numFmtId="7" fontId="12" fillId="49" borderId="9" xfId="10" applyNumberFormat="1" applyFont="1" applyFill="1" applyBorder="1" applyAlignment="1">
      <alignment horizontal="center"/>
    </xf>
    <xf numFmtId="172" fontId="12" fillId="49" borderId="9" xfId="11" applyNumberFormat="1" applyFont="1" applyFill="1" applyBorder="1" applyAlignment="1">
      <alignment horizontal="center" vertical="center"/>
    </xf>
    <xf numFmtId="5" fontId="12" fillId="49" borderId="9" xfId="10" applyNumberFormat="1" applyFont="1" applyFill="1" applyBorder="1" applyAlignment="1">
      <alignment horizontal="center"/>
    </xf>
    <xf numFmtId="9" fontId="12" fillId="49" borderId="9" xfId="11" applyFont="1" applyFill="1" applyBorder="1" applyAlignment="1">
      <alignment horizontal="center" vertical="center"/>
    </xf>
    <xf numFmtId="168" fontId="12" fillId="49" borderId="9" xfId="1" applyNumberFormat="1" applyFont="1" applyFill="1" applyBorder="1" applyAlignment="1">
      <alignment horizontal="center" vertical="center"/>
    </xf>
    <xf numFmtId="1" fontId="12" fillId="49" borderId="9" xfId="11" applyNumberFormat="1" applyFont="1" applyFill="1" applyBorder="1" applyAlignment="1">
      <alignment horizontal="center" vertical="center"/>
    </xf>
    <xf numFmtId="175" fontId="12" fillId="49" borderId="9" xfId="9" applyNumberFormat="1" applyFont="1" applyFill="1" applyBorder="1" applyAlignment="1">
      <alignment horizontal="center"/>
    </xf>
    <xf numFmtId="206" fontId="12" fillId="49" borderId="9" xfId="5" applyNumberFormat="1" applyFont="1" applyFill="1" applyBorder="1" applyAlignment="1">
      <alignment horizontal="center"/>
    </xf>
    <xf numFmtId="171" fontId="12" fillId="49" borderId="9" xfId="5" applyNumberFormat="1" applyFont="1" applyFill="1" applyBorder="1" applyAlignment="1">
      <alignment horizontal="center"/>
    </xf>
    <xf numFmtId="2" fontId="12" fillId="49" borderId="9" xfId="0" applyNumberFormat="1" applyFont="1" applyFill="1" applyBorder="1" applyAlignment="1">
      <alignment horizontal="center"/>
    </xf>
    <xf numFmtId="37" fontId="12" fillId="49" borderId="9" xfId="1" applyNumberFormat="1" applyFont="1" applyFill="1" applyBorder="1" applyAlignment="1">
      <alignment horizontal="center"/>
    </xf>
    <xf numFmtId="2" fontId="12" fillId="49" borderId="9" xfId="5" applyNumberFormat="1" applyFont="1" applyFill="1" applyBorder="1" applyAlignment="1">
      <alignment horizontal="center" vertical="center"/>
    </xf>
    <xf numFmtId="1" fontId="12" fillId="49" borderId="9" xfId="5" applyNumberFormat="1" applyFont="1" applyFill="1" applyBorder="1" applyAlignment="1">
      <alignment horizontal="center" vertical="center"/>
    </xf>
    <xf numFmtId="2" fontId="12" fillId="49" borderId="9" xfId="11" applyNumberFormat="1" applyFont="1" applyFill="1" applyBorder="1" applyAlignment="1">
      <alignment horizontal="center" vertical="center"/>
    </xf>
    <xf numFmtId="176" fontId="12" fillId="49" borderId="9" xfId="9" applyNumberFormat="1" applyFont="1" applyFill="1" applyBorder="1" applyAlignment="1">
      <alignment horizontal="center"/>
    </xf>
    <xf numFmtId="1" fontId="12" fillId="49" borderId="9" xfId="11" applyNumberFormat="1" applyFont="1" applyFill="1" applyBorder="1" applyAlignment="1">
      <alignment horizontal="center"/>
    </xf>
    <xf numFmtId="2" fontId="12" fillId="49" borderId="9" xfId="5" applyNumberFormat="1" applyFont="1" applyFill="1" applyBorder="1" applyAlignment="1">
      <alignment horizontal="center"/>
    </xf>
    <xf numFmtId="1" fontId="12" fillId="49" borderId="9" xfId="10" applyNumberFormat="1" applyFont="1" applyFill="1" applyBorder="1" applyAlignment="1">
      <alignment horizontal="center"/>
    </xf>
    <xf numFmtId="178" fontId="12" fillId="49" borderId="9" xfId="5" applyNumberFormat="1" applyFont="1" applyFill="1" applyBorder="1" applyAlignment="1">
      <alignment horizontal="center" vertical="center"/>
    </xf>
    <xf numFmtId="9" fontId="12" fillId="49" borderId="9" xfId="3" applyFont="1" applyFill="1" applyBorder="1" applyAlignment="1">
      <alignment horizontal="center" vertical="center"/>
    </xf>
    <xf numFmtId="0" fontId="23" fillId="49" borderId="0" xfId="5" applyFont="1" applyFill="1"/>
    <xf numFmtId="174" fontId="12" fillId="49" borderId="9" xfId="9" applyNumberFormat="1" applyFont="1" applyFill="1" applyBorder="1" applyAlignment="1">
      <alignment horizontal="center"/>
    </xf>
    <xf numFmtId="168" fontId="12" fillId="49" borderId="9" xfId="5" applyNumberFormat="1" applyFont="1" applyFill="1" applyBorder="1" applyAlignment="1">
      <alignment horizontal="center" vertical="center"/>
    </xf>
    <xf numFmtId="165" fontId="12" fillId="49" borderId="9" xfId="5" applyNumberFormat="1" applyFont="1" applyFill="1" applyBorder="1" applyAlignment="1">
      <alignment horizontal="center" vertical="center"/>
    </xf>
    <xf numFmtId="3" fontId="12" fillId="49" borderId="9" xfId="1" applyNumberFormat="1" applyFont="1" applyFill="1" applyBorder="1" applyAlignment="1">
      <alignment horizontal="center" vertical="center"/>
    </xf>
    <xf numFmtId="1" fontId="12" fillId="49" borderId="9" xfId="3" applyNumberFormat="1" applyFont="1" applyFill="1" applyBorder="1" applyAlignment="1">
      <alignment horizontal="center" vertical="center"/>
    </xf>
    <xf numFmtId="1" fontId="12" fillId="49" borderId="9" xfId="3" applyNumberFormat="1" applyFont="1" applyFill="1" applyBorder="1" applyAlignment="1">
      <alignment horizontal="center"/>
    </xf>
    <xf numFmtId="0" fontId="59" fillId="4" borderId="0" xfId="0" applyFont="1" applyFill="1"/>
    <xf numFmtId="0" fontId="58" fillId="4" borderId="0" xfId="0" applyFont="1" applyFill="1"/>
    <xf numFmtId="0" fontId="57" fillId="4" borderId="0" xfId="0" applyFont="1" applyFill="1"/>
    <xf numFmtId="0" fontId="47" fillId="4" borderId="0" xfId="0" applyFont="1" applyFill="1"/>
    <xf numFmtId="0" fontId="56" fillId="4" borderId="0" xfId="0" applyFont="1" applyFill="1"/>
    <xf numFmtId="168" fontId="12" fillId="4" borderId="9" xfId="5" applyNumberFormat="1" applyFont="1" applyFill="1" applyBorder="1"/>
    <xf numFmtId="0" fontId="82" fillId="4" borderId="0" xfId="0" applyFont="1" applyFill="1" applyAlignment="1">
      <alignment vertical="center"/>
    </xf>
    <xf numFmtId="0" fontId="12" fillId="0" borderId="19" xfId="6" applyFont="1" applyBorder="1" applyAlignment="1">
      <alignment wrapText="1"/>
    </xf>
    <xf numFmtId="0" fontId="12" fillId="0" borderId="50" xfId="6" applyFont="1" applyBorder="1" applyAlignment="1">
      <alignment wrapText="1"/>
    </xf>
    <xf numFmtId="2" fontId="12" fillId="0" borderId="9" xfId="1" applyNumberFormat="1" applyFont="1" applyFill="1" applyBorder="1"/>
    <xf numFmtId="2" fontId="12" fillId="0" borderId="9" xfId="1" applyNumberFormat="1" applyFont="1" applyFill="1" applyBorder="1" applyAlignment="1">
      <alignment horizontal="center" wrapText="1"/>
    </xf>
    <xf numFmtId="44" fontId="4" fillId="0" borderId="9" xfId="2" applyFont="1" applyFill="1" applyBorder="1" applyAlignment="1">
      <alignment horizontal="center" wrapText="1"/>
    </xf>
    <xf numFmtId="0" fontId="1" fillId="0" borderId="0" xfId="13" applyAlignment="1">
      <alignment wrapText="1"/>
    </xf>
    <xf numFmtId="3" fontId="1" fillId="0" borderId="9" xfId="6" applyNumberFormat="1" applyBorder="1"/>
    <xf numFmtId="165" fontId="12" fillId="0" borderId="9" xfId="13" applyNumberFormat="1" applyFont="1" applyBorder="1" applyAlignment="1">
      <alignment vertical="center" wrapText="1"/>
    </xf>
    <xf numFmtId="2" fontId="12" fillId="0" borderId="16" xfId="1" applyNumberFormat="1" applyFont="1" applyFill="1" applyBorder="1"/>
    <xf numFmtId="7" fontId="12" fillId="0" borderId="9" xfId="0" applyNumberFormat="1" applyFont="1" applyBorder="1"/>
    <xf numFmtId="0" fontId="26" fillId="0" borderId="0" xfId="13" applyFont="1" applyAlignment="1">
      <alignment horizontal="left"/>
    </xf>
    <xf numFmtId="2" fontId="23" fillId="0" borderId="0" xfId="6" applyNumberFormat="1" applyFont="1"/>
    <xf numFmtId="180" fontId="12" fillId="0" borderId="9" xfId="13" applyNumberFormat="1" applyFont="1" applyBorder="1" applyAlignment="1">
      <alignment horizontal="center" vertical="center" wrapText="1"/>
    </xf>
    <xf numFmtId="180" fontId="4" fillId="0" borderId="9" xfId="13" applyNumberFormat="1" applyFont="1" applyBorder="1" applyAlignment="1">
      <alignment horizontal="center" vertical="center" wrapText="1"/>
    </xf>
    <xf numFmtId="0" fontId="1" fillId="0" borderId="9" xfId="13" applyBorder="1" applyAlignment="1">
      <alignment horizontal="center"/>
    </xf>
    <xf numFmtId="9" fontId="1" fillId="0" borderId="9" xfId="13" applyNumberFormat="1" applyBorder="1" applyAlignment="1">
      <alignment horizontal="center"/>
    </xf>
    <xf numFmtId="9" fontId="12" fillId="0" borderId="9" xfId="13" applyNumberFormat="1" applyFont="1" applyBorder="1" applyAlignment="1">
      <alignment horizontal="center"/>
    </xf>
    <xf numFmtId="0" fontId="12" fillId="0" borderId="9" xfId="13" applyFont="1" applyBorder="1" applyAlignment="1">
      <alignment horizontal="left" vertical="center" wrapText="1"/>
    </xf>
    <xf numFmtId="180" fontId="1" fillId="0" borderId="9" xfId="13" applyNumberFormat="1" applyBorder="1" applyAlignment="1">
      <alignment horizontal="center" vertical="center" wrapText="1"/>
    </xf>
    <xf numFmtId="0" fontId="28" fillId="0" borderId="0" xfId="6" applyFont="1" applyAlignment="1">
      <alignment horizontal="left" vertical="center" wrapText="1"/>
    </xf>
    <xf numFmtId="0" fontId="28" fillId="0" borderId="0" xfId="6" applyFont="1" applyAlignment="1">
      <alignment horizontal="center" vertical="center" wrapText="1"/>
    </xf>
    <xf numFmtId="165" fontId="12" fillId="4" borderId="9" xfId="13" applyNumberFormat="1" applyFont="1" applyFill="1" applyBorder="1" applyAlignment="1">
      <alignment horizontal="left" vertical="center" wrapText="1"/>
    </xf>
    <xf numFmtId="165" fontId="12" fillId="0" borderId="19" xfId="8" applyNumberFormat="1" applyFont="1" applyBorder="1" applyAlignment="1">
      <alignment horizontal="center" vertical="center"/>
    </xf>
    <xf numFmtId="0" fontId="49" fillId="0" borderId="9" xfId="8" applyFont="1" applyBorder="1" applyAlignment="1">
      <alignment wrapText="1"/>
    </xf>
    <xf numFmtId="2" fontId="4" fillId="4" borderId="9" xfId="6" applyNumberFormat="1" applyFont="1" applyFill="1" applyBorder="1" applyAlignment="1">
      <alignment horizontal="center"/>
    </xf>
    <xf numFmtId="165" fontId="12" fillId="4" borderId="9" xfId="13" applyNumberFormat="1" applyFont="1" applyFill="1" applyBorder="1" applyAlignment="1">
      <alignment vertical="center" wrapText="1"/>
    </xf>
    <xf numFmtId="165" fontId="1" fillId="4" borderId="9" xfId="13" applyNumberFormat="1" applyFill="1" applyBorder="1" applyAlignment="1">
      <alignment horizontal="left" vertical="center" wrapText="1"/>
    </xf>
    <xf numFmtId="180" fontId="12" fillId="4" borderId="9" xfId="13" applyNumberFormat="1" applyFont="1" applyFill="1" applyBorder="1" applyAlignment="1">
      <alignment horizontal="center" vertical="center" wrapText="1"/>
    </xf>
    <xf numFmtId="180" fontId="4" fillId="4" borderId="9" xfId="13" applyNumberFormat="1" applyFont="1" applyFill="1" applyBorder="1" applyAlignment="1">
      <alignment horizontal="center" vertical="center" wrapText="1"/>
    </xf>
    <xf numFmtId="2" fontId="12" fillId="8" borderId="9" xfId="13" applyNumberFormat="1" applyFont="1" applyFill="1" applyBorder="1" applyAlignment="1">
      <alignment horizontal="center" vertical="center" wrapText="1"/>
    </xf>
    <xf numFmtId="2" fontId="4" fillId="4" borderId="9" xfId="13" applyNumberFormat="1" applyFont="1" applyFill="1" applyBorder="1" applyAlignment="1">
      <alignment horizontal="center" vertical="center" wrapText="1"/>
    </xf>
    <xf numFmtId="2" fontId="12" fillId="17" borderId="9" xfId="13" applyNumberFormat="1" applyFont="1" applyFill="1" applyBorder="1" applyAlignment="1">
      <alignment horizontal="center" vertical="center" wrapText="1"/>
    </xf>
    <xf numFmtId="2" fontId="12" fillId="4" borderId="9" xfId="13" applyNumberFormat="1" applyFont="1" applyFill="1" applyBorder="1" applyAlignment="1">
      <alignment horizontal="left" vertical="center" wrapText="1"/>
    </xf>
    <xf numFmtId="0" fontId="1" fillId="4" borderId="9" xfId="13" applyFill="1" applyBorder="1" applyAlignment="1">
      <alignment horizontal="center"/>
    </xf>
    <xf numFmtId="0" fontId="12" fillId="4" borderId="9" xfId="13" applyFont="1" applyFill="1" applyBorder="1" applyAlignment="1">
      <alignment horizontal="left" wrapText="1"/>
    </xf>
    <xf numFmtId="9" fontId="1" fillId="4" borderId="9" xfId="13" applyNumberFormat="1" applyFill="1" applyBorder="1" applyAlignment="1">
      <alignment horizontal="center"/>
    </xf>
    <xf numFmtId="9" fontId="4" fillId="4" borderId="9" xfId="13" applyNumberFormat="1" applyFont="1" applyFill="1" applyBorder="1" applyAlignment="1">
      <alignment horizontal="center"/>
    </xf>
    <xf numFmtId="9" fontId="12" fillId="4" borderId="9" xfId="13" applyNumberFormat="1" applyFont="1" applyFill="1" applyBorder="1" applyAlignment="1">
      <alignment horizontal="center"/>
    </xf>
    <xf numFmtId="0" fontId="12" fillId="4" borderId="9" xfId="13" applyFont="1" applyFill="1" applyBorder="1" applyAlignment="1">
      <alignment horizontal="left" vertical="center" wrapText="1"/>
    </xf>
    <xf numFmtId="0" fontId="12" fillId="4" borderId="9" xfId="13" applyFont="1" applyFill="1" applyBorder="1" applyAlignment="1">
      <alignment horizontal="left" vertical="center"/>
    </xf>
    <xf numFmtId="0" fontId="12" fillId="46" borderId="9" xfId="13" applyFont="1" applyFill="1" applyBorder="1" applyAlignment="1">
      <alignment horizontal="center"/>
    </xf>
    <xf numFmtId="2" fontId="1" fillId="4" borderId="9" xfId="13" applyNumberFormat="1" applyFill="1" applyBorder="1" applyAlignment="1">
      <alignment horizontal="center"/>
    </xf>
    <xf numFmtId="2" fontId="12" fillId="4" borderId="9" xfId="13" applyNumberFormat="1" applyFont="1" applyFill="1" applyBorder="1" applyAlignment="1">
      <alignment horizontal="center"/>
    </xf>
    <xf numFmtId="2" fontId="12" fillId="17" borderId="9" xfId="13" applyNumberFormat="1" applyFont="1" applyFill="1" applyBorder="1" applyAlignment="1">
      <alignment horizontal="center"/>
    </xf>
    <xf numFmtId="186" fontId="12" fillId="12" borderId="9" xfId="13" applyNumberFormat="1" applyFont="1" applyFill="1" applyBorder="1" applyAlignment="1">
      <alignment horizontal="center" vertical="center" wrapText="1"/>
    </xf>
    <xf numFmtId="180" fontId="1" fillId="4" borderId="9" xfId="13" applyNumberFormat="1" applyFill="1" applyBorder="1" applyAlignment="1">
      <alignment horizontal="center" vertical="center" wrapText="1"/>
    </xf>
    <xf numFmtId="165" fontId="12" fillId="17" borderId="9" xfId="6" applyNumberFormat="1" applyFont="1" applyFill="1" applyBorder="1" applyAlignment="1">
      <alignment horizontal="center"/>
    </xf>
    <xf numFmtId="165" fontId="1" fillId="4" borderId="9" xfId="6" applyNumberFormat="1" applyFill="1" applyBorder="1" applyAlignment="1">
      <alignment horizontal="center"/>
    </xf>
    <xf numFmtId="204" fontId="12" fillId="4" borderId="9" xfId="8" applyNumberFormat="1" applyFont="1" applyFill="1" applyBorder="1" applyAlignment="1">
      <alignment horizontal="center"/>
    </xf>
    <xf numFmtId="0" fontId="12" fillId="25" borderId="9" xfId="0" applyFont="1" applyFill="1" applyBorder="1" applyAlignment="1">
      <alignment horizontal="center" vertical="center" wrapText="1"/>
    </xf>
    <xf numFmtId="171" fontId="12" fillId="17" borderId="9" xfId="6" applyNumberFormat="1" applyFont="1" applyFill="1" applyBorder="1" applyAlignment="1">
      <alignment horizontal="center"/>
    </xf>
    <xf numFmtId="169" fontId="12" fillId="4" borderId="9" xfId="8" applyNumberFormat="1" applyFont="1" applyFill="1" applyBorder="1" applyAlignment="1">
      <alignment horizontal="center"/>
    </xf>
    <xf numFmtId="168" fontId="12" fillId="4" borderId="9" xfId="5" applyNumberFormat="1" applyFont="1" applyFill="1" applyBorder="1" applyAlignment="1">
      <alignment horizontal="left" vertical="top" wrapText="1"/>
    </xf>
    <xf numFmtId="43" fontId="12" fillId="0" borderId="9" xfId="1" applyFont="1" applyFill="1" applyBorder="1"/>
    <xf numFmtId="180" fontId="26" fillId="0" borderId="0" xfId="6" applyNumberFormat="1" applyFont="1" applyAlignment="1">
      <alignment horizontal="center"/>
    </xf>
    <xf numFmtId="1" fontId="12" fillId="0" borderId="0" xfId="13" applyNumberFormat="1" applyFont="1" applyAlignment="1">
      <alignment horizontal="center"/>
    </xf>
    <xf numFmtId="0" fontId="12" fillId="0" borderId="34" xfId="8" applyFont="1" applyBorder="1" applyAlignment="1">
      <alignment horizontal="center"/>
    </xf>
    <xf numFmtId="0" fontId="12" fillId="0" borderId="0" xfId="8" applyFont="1" applyAlignment="1">
      <alignment horizontal="center" vertical="top" wrapText="1"/>
    </xf>
    <xf numFmtId="0" fontId="23" fillId="0" borderId="0" xfId="0" applyFont="1" applyAlignment="1">
      <alignment horizontal="center"/>
    </xf>
    <xf numFmtId="170" fontId="12" fillId="0" borderId="0" xfId="5" applyNumberFormat="1" applyFont="1" applyAlignment="1">
      <alignment horizontal="center"/>
    </xf>
    <xf numFmtId="1" fontId="12" fillId="0" borderId="0" xfId="11" applyNumberFormat="1" applyFont="1" applyFill="1" applyBorder="1" applyAlignment="1">
      <alignment horizontal="center" vertical="center"/>
    </xf>
    <xf numFmtId="0" fontId="8" fillId="4" borderId="10" xfId="0" applyFont="1" applyFill="1" applyBorder="1" applyAlignment="1">
      <alignment horizontal="left" vertical="center" wrapText="1"/>
    </xf>
    <xf numFmtId="168" fontId="12" fillId="4" borderId="9" xfId="5" applyNumberFormat="1" applyFont="1" applyFill="1" applyBorder="1" applyAlignment="1">
      <alignment horizontal="center"/>
    </xf>
    <xf numFmtId="172" fontId="66" fillId="0" borderId="54" xfId="0" applyNumberFormat="1" applyFont="1" applyBorder="1"/>
    <xf numFmtId="172" fontId="23" fillId="0" borderId="54" xfId="3" applyNumberFormat="1" applyFont="1" applyBorder="1"/>
    <xf numFmtId="168" fontId="12" fillId="0" borderId="9" xfId="1" applyNumberFormat="1" applyFont="1" applyBorder="1" applyAlignment="1">
      <alignment horizontal="center"/>
    </xf>
    <xf numFmtId="0" fontId="12" fillId="0" borderId="0" xfId="5" applyFont="1" applyAlignment="1">
      <alignment horizontal="center"/>
    </xf>
    <xf numFmtId="0" fontId="12" fillId="4" borderId="9" xfId="5" applyFont="1" applyFill="1" applyBorder="1"/>
    <xf numFmtId="178" fontId="12" fillId="0" borderId="9" xfId="5" applyNumberFormat="1" applyFont="1" applyBorder="1" applyAlignment="1">
      <alignment horizontal="center"/>
    </xf>
    <xf numFmtId="176" fontId="12" fillId="49" borderId="9" xfId="9" applyNumberFormat="1" applyFont="1" applyFill="1" applyBorder="1" applyAlignment="1">
      <alignment horizontal="center" vertical="center"/>
    </xf>
    <xf numFmtId="174" fontId="12" fillId="49" borderId="9" xfId="9" applyNumberFormat="1" applyFont="1" applyFill="1" applyBorder="1" applyAlignment="1">
      <alignment horizontal="center" vertical="center"/>
    </xf>
    <xf numFmtId="7" fontId="12" fillId="0" borderId="9" xfId="10" applyNumberFormat="1" applyFont="1" applyFill="1" applyBorder="1" applyAlignment="1">
      <alignment horizontal="center"/>
    </xf>
    <xf numFmtId="0" fontId="85" fillId="11" borderId="9" xfId="5" applyFont="1" applyFill="1" applyBorder="1" applyAlignment="1">
      <alignment horizontal="center" vertical="center" wrapText="1"/>
    </xf>
    <xf numFmtId="165" fontId="12" fillId="49" borderId="9" xfId="11" applyNumberFormat="1" applyFont="1" applyFill="1" applyBorder="1" applyAlignment="1">
      <alignment horizontal="center" vertical="center"/>
    </xf>
    <xf numFmtId="3" fontId="12" fillId="0" borderId="9" xfId="1" applyNumberFormat="1" applyFont="1" applyFill="1" applyBorder="1" applyAlignment="1">
      <alignment horizontal="center" vertical="center"/>
    </xf>
    <xf numFmtId="2" fontId="49" fillId="49" borderId="9" xfId="11" applyNumberFormat="1" applyFont="1" applyFill="1" applyBorder="1" applyAlignment="1">
      <alignment horizontal="center" vertical="center"/>
    </xf>
    <xf numFmtId="4" fontId="12" fillId="0" borderId="9" xfId="1" applyNumberFormat="1" applyFont="1" applyFill="1" applyBorder="1" applyAlignment="1">
      <alignment horizontal="center" vertical="center"/>
    </xf>
    <xf numFmtId="4" fontId="12" fillId="49" borderId="9" xfId="1" applyNumberFormat="1" applyFont="1" applyFill="1" applyBorder="1" applyAlignment="1">
      <alignment horizontal="center" vertical="center"/>
    </xf>
    <xf numFmtId="206" fontId="12" fillId="4" borderId="9" xfId="5" applyNumberFormat="1" applyFont="1" applyFill="1" applyBorder="1" applyAlignment="1">
      <alignment horizontal="center"/>
    </xf>
    <xf numFmtId="180" fontId="12" fillId="0" borderId="9" xfId="3" applyNumberFormat="1" applyFont="1" applyBorder="1" applyAlignment="1">
      <alignment horizontal="center" vertical="center"/>
    </xf>
    <xf numFmtId="1" fontId="12" fillId="0" borderId="9" xfId="3" applyNumberFormat="1" applyFont="1" applyBorder="1" applyAlignment="1">
      <alignment horizontal="center" vertical="center"/>
    </xf>
    <xf numFmtId="0" fontId="92" fillId="0" borderId="0" xfId="0" applyFont="1"/>
    <xf numFmtId="4" fontId="12" fillId="4" borderId="9" xfId="6" applyNumberFormat="1" applyFont="1" applyFill="1" applyBorder="1" applyAlignment="1">
      <alignment horizontal="center"/>
    </xf>
    <xf numFmtId="2" fontId="12" fillId="4" borderId="9" xfId="6" applyNumberFormat="1" applyFont="1" applyFill="1" applyBorder="1" applyAlignment="1">
      <alignment horizontal="center"/>
    </xf>
    <xf numFmtId="169" fontId="12" fillId="4" borderId="9" xfId="6" applyNumberFormat="1" applyFont="1" applyFill="1" applyBorder="1" applyAlignment="1">
      <alignment horizontal="center"/>
    </xf>
    <xf numFmtId="7" fontId="12" fillId="4" borderId="9" xfId="2" applyNumberFormat="1" applyFont="1" applyFill="1" applyBorder="1"/>
    <xf numFmtId="2" fontId="12" fillId="46" borderId="9" xfId="13" applyNumberFormat="1" applyFont="1" applyFill="1" applyBorder="1" applyAlignment="1">
      <alignment horizontal="center"/>
    </xf>
    <xf numFmtId="7" fontId="12" fillId="46" borderId="9" xfId="2" applyNumberFormat="1" applyFont="1" applyFill="1" applyBorder="1" applyAlignment="1">
      <alignment horizontal="center"/>
    </xf>
    <xf numFmtId="169" fontId="12" fillId="0" borderId="9" xfId="8" applyNumberFormat="1" applyFont="1" applyBorder="1" applyAlignment="1">
      <alignment horizontal="center"/>
    </xf>
    <xf numFmtId="182" fontId="12" fillId="0" borderId="9" xfId="1" applyNumberFormat="1" applyFont="1" applyBorder="1" applyAlignment="1">
      <alignment horizontal="center"/>
    </xf>
    <xf numFmtId="0" fontId="95" fillId="0" borderId="0" xfId="0" applyFont="1" applyAlignment="1">
      <alignment wrapText="1"/>
    </xf>
    <xf numFmtId="9" fontId="12" fillId="19" borderId="9" xfId="3" applyFont="1" applyFill="1" applyBorder="1" applyAlignment="1">
      <alignment horizontal="center" vertical="center" wrapText="1"/>
    </xf>
    <xf numFmtId="2" fontId="12" fillId="17" borderId="9" xfId="1" applyNumberFormat="1" applyFont="1" applyFill="1" applyBorder="1" applyAlignment="1">
      <alignment horizontal="center" wrapText="1"/>
    </xf>
    <xf numFmtId="44" fontId="12" fillId="19" borderId="9" xfId="2" applyFont="1" applyFill="1" applyBorder="1" applyAlignment="1">
      <alignment horizontal="center" vertical="center" wrapText="1"/>
    </xf>
    <xf numFmtId="0" fontId="96" fillId="0" borderId="0" xfId="0" applyFont="1"/>
    <xf numFmtId="171" fontId="12" fillId="8" borderId="9" xfId="3" applyNumberFormat="1" applyFont="1" applyFill="1" applyBorder="1" applyAlignment="1">
      <alignment horizontal="center"/>
    </xf>
    <xf numFmtId="0" fontId="66" fillId="16" borderId="9" xfId="0" applyFont="1" applyFill="1" applyBorder="1" applyAlignment="1">
      <alignment horizontal="center" vertical="center"/>
    </xf>
    <xf numFmtId="0" fontId="51" fillId="45" borderId="9" xfId="0" applyFont="1" applyFill="1" applyBorder="1" applyAlignment="1">
      <alignment horizontal="center" vertical="center"/>
    </xf>
    <xf numFmtId="2" fontId="12" fillId="17" borderId="9" xfId="0" applyNumberFormat="1" applyFont="1" applyFill="1" applyBorder="1" applyAlignment="1">
      <alignment horizontal="center" vertical="top" wrapText="1"/>
    </xf>
    <xf numFmtId="39" fontId="12" fillId="0" borderId="18" xfId="0" applyNumberFormat="1" applyFont="1" applyBorder="1" applyAlignment="1">
      <alignment horizontal="center"/>
    </xf>
    <xf numFmtId="0" fontId="12" fillId="0" borderId="19" xfId="0" applyFont="1" applyBorder="1" applyAlignment="1">
      <alignment horizontal="center"/>
    </xf>
    <xf numFmtId="39" fontId="12" fillId="0" borderId="21" xfId="0" applyNumberFormat="1" applyFont="1" applyBorder="1" applyAlignment="1">
      <alignment horizontal="center"/>
    </xf>
    <xf numFmtId="169" fontId="12" fillId="0" borderId="19" xfId="0" applyNumberFormat="1" applyFont="1" applyBorder="1" applyAlignment="1">
      <alignment horizontal="center" vertical="center" wrapText="1"/>
    </xf>
    <xf numFmtId="9" fontId="12" fillId="4" borderId="9" xfId="3" applyFont="1" applyFill="1" applyBorder="1"/>
    <xf numFmtId="171" fontId="12" fillId="4" borderId="9" xfId="0" applyNumberFormat="1" applyFont="1" applyFill="1" applyBorder="1" applyAlignment="1">
      <alignment horizontal="center"/>
    </xf>
    <xf numFmtId="44" fontId="12" fillId="4" borderId="9" xfId="2" applyFont="1" applyFill="1" applyBorder="1" applyAlignment="1">
      <alignment horizontal="center" vertical="center" wrapText="1"/>
    </xf>
    <xf numFmtId="165" fontId="12" fillId="17" borderId="9" xfId="0" applyNumberFormat="1" applyFont="1" applyFill="1" applyBorder="1" applyAlignment="1">
      <alignment horizontal="center" vertical="top" wrapText="1"/>
    </xf>
    <xf numFmtId="0" fontId="12" fillId="4" borderId="23" xfId="0" applyFont="1" applyFill="1" applyBorder="1" applyAlignment="1">
      <alignment horizontal="center"/>
    </xf>
    <xf numFmtId="0" fontId="97" fillId="0" borderId="0" xfId="5" applyFont="1"/>
    <xf numFmtId="0" fontId="98" fillId="0" borderId="9" xfId="0" applyFont="1" applyBorder="1" applyAlignment="1">
      <alignment wrapText="1"/>
    </xf>
    <xf numFmtId="0" fontId="98" fillId="0" borderId="9" xfId="0" applyFont="1" applyBorder="1"/>
    <xf numFmtId="165" fontId="12" fillId="0" borderId="19" xfId="8" applyNumberFormat="1" applyFont="1" applyBorder="1" applyAlignment="1">
      <alignment horizontal="center"/>
    </xf>
    <xf numFmtId="0" fontId="49" fillId="4" borderId="9" xfId="8" applyFont="1" applyFill="1" applyBorder="1"/>
    <xf numFmtId="0" fontId="49" fillId="4" borderId="9" xfId="8" applyFont="1" applyFill="1" applyBorder="1" applyAlignment="1">
      <alignment wrapText="1"/>
    </xf>
    <xf numFmtId="9" fontId="12" fillId="17" borderId="9" xfId="13" applyNumberFormat="1" applyFont="1" applyFill="1" applyBorder="1" applyAlignment="1">
      <alignment horizontal="center" vertical="center" wrapText="1"/>
    </xf>
    <xf numFmtId="0" fontId="12" fillId="4" borderId="4" xfId="8" applyFont="1" applyFill="1" applyBorder="1" applyAlignment="1">
      <alignment wrapText="1"/>
    </xf>
    <xf numFmtId="171" fontId="12" fillId="0" borderId="19" xfId="4" applyNumberFormat="1" applyFont="1" applyFill="1" applyBorder="1" applyAlignment="1" applyProtection="1">
      <alignment horizontal="center"/>
      <protection locked="0"/>
    </xf>
    <xf numFmtId="171" fontId="12" fillId="0" borderId="19" xfId="4" applyNumberFormat="1" applyFont="1" applyFill="1" applyBorder="1" applyProtection="1">
      <protection locked="0"/>
    </xf>
    <xf numFmtId="165" fontId="12" fillId="0" borderId="16" xfId="0" applyNumberFormat="1" applyFont="1" applyBorder="1" applyAlignment="1">
      <alignment horizontal="center" vertical="center" wrapText="1"/>
    </xf>
    <xf numFmtId="171" fontId="12" fillId="0" borderId="9" xfId="4" applyNumberFormat="1" applyFont="1" applyFill="1" applyBorder="1" applyProtection="1">
      <protection locked="0"/>
    </xf>
    <xf numFmtId="171" fontId="12" fillId="17" borderId="9" xfId="0" applyNumberFormat="1" applyFont="1" applyFill="1" applyBorder="1" applyAlignment="1">
      <alignment horizontal="center" vertical="center" wrapText="1"/>
    </xf>
    <xf numFmtId="0" fontId="12" fillId="4" borderId="14" xfId="0" applyFont="1" applyFill="1" applyBorder="1" applyAlignment="1">
      <alignment horizontal="center"/>
    </xf>
    <xf numFmtId="4" fontId="12" fillId="0" borderId="14" xfId="8" applyNumberFormat="1" applyFont="1" applyBorder="1" applyAlignment="1">
      <alignment horizontal="center"/>
    </xf>
    <xf numFmtId="189" fontId="12" fillId="0" borderId="14" xfId="0" applyNumberFormat="1" applyFont="1" applyBorder="1" applyAlignment="1">
      <alignment horizontal="center"/>
    </xf>
    <xf numFmtId="165" fontId="12" fillId="0" borderId="14" xfId="6" applyNumberFormat="1" applyFont="1" applyBorder="1" applyAlignment="1">
      <alignment horizontal="center"/>
    </xf>
    <xf numFmtId="171" fontId="12" fillId="4" borderId="14" xfId="13" applyNumberFormat="1" applyFont="1" applyFill="1" applyBorder="1" applyAlignment="1">
      <alignment horizontal="center" vertical="center"/>
    </xf>
    <xf numFmtId="0" fontId="12" fillId="17" borderId="9" xfId="6" applyFont="1" applyFill="1" applyBorder="1" applyAlignment="1">
      <alignment horizontal="center"/>
    </xf>
    <xf numFmtId="165" fontId="12" fillId="17" borderId="16" xfId="0" applyNumberFormat="1" applyFont="1" applyFill="1" applyBorder="1" applyAlignment="1">
      <alignment vertical="center" wrapText="1"/>
    </xf>
    <xf numFmtId="0" fontId="98" fillId="0" borderId="0" xfId="0" applyFont="1" applyAlignment="1">
      <alignment wrapText="1"/>
    </xf>
    <xf numFmtId="165" fontId="12" fillId="17" borderId="18" xfId="0" applyNumberFormat="1" applyFont="1" applyFill="1" applyBorder="1" applyAlignment="1">
      <alignment vertical="center" wrapText="1"/>
    </xf>
    <xf numFmtId="171" fontId="12" fillId="17" borderId="16" xfId="0" applyNumberFormat="1" applyFont="1" applyFill="1" applyBorder="1" applyAlignment="1">
      <alignment vertical="center" wrapText="1"/>
    </xf>
    <xf numFmtId="171" fontId="12" fillId="17" borderId="18" xfId="0" applyNumberFormat="1" applyFont="1" applyFill="1" applyBorder="1" applyAlignment="1">
      <alignment vertical="center" wrapText="1"/>
    </xf>
    <xf numFmtId="171" fontId="12" fillId="17" borderId="9" xfId="13" applyNumberFormat="1" applyFont="1" applyFill="1" applyBorder="1" applyAlignment="1">
      <alignment horizontal="center"/>
    </xf>
    <xf numFmtId="164" fontId="7" fillId="0" borderId="0" xfId="0" applyNumberFormat="1" applyFont="1" applyAlignment="1">
      <alignment horizontal="center" wrapText="1"/>
    </xf>
    <xf numFmtId="164" fontId="0" fillId="0" borderId="0" xfId="0" applyNumberFormat="1" applyAlignment="1">
      <alignment horizontal="center" wrapText="1"/>
    </xf>
    <xf numFmtId="198" fontId="4" fillId="0" borderId="19" xfId="2" applyNumberFormat="1" applyFont="1" applyFill="1" applyBorder="1"/>
    <xf numFmtId="198" fontId="4" fillId="0" borderId="30" xfId="2" applyNumberFormat="1" applyFont="1" applyFill="1" applyBorder="1"/>
    <xf numFmtId="198" fontId="4" fillId="0" borderId="23" xfId="2" applyNumberFormat="1" applyFont="1" applyFill="1" applyBorder="1"/>
    <xf numFmtId="198" fontId="47" fillId="0" borderId="19" xfId="2" applyNumberFormat="1" applyFont="1" applyFill="1" applyBorder="1"/>
    <xf numFmtId="198" fontId="47" fillId="0" borderId="23" xfId="2" applyNumberFormat="1" applyFont="1" applyFill="1" applyBorder="1"/>
    <xf numFmtId="198" fontId="47" fillId="0" borderId="30" xfId="2" applyNumberFormat="1" applyFont="1" applyFill="1" applyBorder="1"/>
    <xf numFmtId="44" fontId="47" fillId="0" borderId="19" xfId="2" applyFont="1" applyFill="1" applyBorder="1"/>
    <xf numFmtId="44" fontId="47" fillId="0" borderId="30" xfId="2" applyFont="1" applyFill="1" applyBorder="1"/>
    <xf numFmtId="44" fontId="47" fillId="0" borderId="23" xfId="2" applyFont="1" applyFill="1" applyBorder="1"/>
    <xf numFmtId="198" fontId="47" fillId="0" borderId="9" xfId="2" applyNumberFormat="1" applyFont="1" applyFill="1" applyBorder="1"/>
    <xf numFmtId="198" fontId="47" fillId="0" borderId="30" xfId="2" applyNumberFormat="1" applyFont="1" applyFill="1" applyBorder="1" applyAlignment="1">
      <alignment horizontal="center"/>
    </xf>
    <xf numFmtId="198" fontId="4" fillId="0" borderId="30" xfId="2" applyNumberFormat="1" applyFont="1" applyFill="1" applyBorder="1" applyAlignment="1">
      <alignment horizontal="center"/>
    </xf>
    <xf numFmtId="43" fontId="12" fillId="0" borderId="19" xfId="1" applyFont="1" applyBorder="1"/>
    <xf numFmtId="198" fontId="100" fillId="0" borderId="19" xfId="2" applyNumberFormat="1" applyFont="1" applyFill="1" applyBorder="1" applyAlignment="1">
      <alignment horizontal="right"/>
    </xf>
    <xf numFmtId="198" fontId="100" fillId="0" borderId="30" xfId="2" applyNumberFormat="1" applyFont="1" applyFill="1" applyBorder="1" applyAlignment="1">
      <alignment horizontal="right"/>
    </xf>
    <xf numFmtId="198" fontId="4" fillId="0" borderId="9" xfId="2" applyNumberFormat="1" applyFont="1" applyFill="1" applyBorder="1" applyAlignment="1">
      <alignment horizontal="right"/>
    </xf>
    <xf numFmtId="198" fontId="4" fillId="0" borderId="19" xfId="2" applyNumberFormat="1" applyFont="1" applyFill="1" applyBorder="1" applyAlignment="1">
      <alignment horizontal="right"/>
    </xf>
    <xf numFmtId="198" fontId="4" fillId="0" borderId="30" xfId="2" applyNumberFormat="1" applyFont="1" applyFill="1" applyBorder="1" applyAlignment="1">
      <alignment horizontal="right"/>
    </xf>
    <xf numFmtId="198" fontId="4" fillId="0" borderId="23" xfId="2" applyNumberFormat="1" applyFont="1" applyFill="1" applyBorder="1" applyAlignment="1">
      <alignment horizontal="right"/>
    </xf>
    <xf numFmtId="198" fontId="101" fillId="0" borderId="19" xfId="2" applyNumberFormat="1" applyFont="1" applyFill="1" applyBorder="1" applyAlignment="1">
      <alignment horizontal="right"/>
    </xf>
    <xf numFmtId="198" fontId="101" fillId="0" borderId="30" xfId="2" applyNumberFormat="1" applyFont="1" applyFill="1" applyBorder="1" applyAlignment="1">
      <alignment horizontal="right"/>
    </xf>
    <xf numFmtId="198" fontId="101" fillId="0" borderId="23" xfId="2" applyNumberFormat="1" applyFont="1" applyFill="1" applyBorder="1" applyAlignment="1">
      <alignment horizontal="right"/>
    </xf>
    <xf numFmtId="198" fontId="102" fillId="0" borderId="19" xfId="2" applyNumberFormat="1" applyFont="1" applyFill="1" applyBorder="1" applyAlignment="1">
      <alignment horizontal="right"/>
    </xf>
    <xf numFmtId="198" fontId="102" fillId="0" borderId="30" xfId="2" applyNumberFormat="1" applyFont="1" applyFill="1" applyBorder="1" applyAlignment="1">
      <alignment horizontal="right"/>
    </xf>
    <xf numFmtId="198" fontId="102" fillId="0" borderId="23" xfId="2" applyNumberFormat="1" applyFont="1" applyFill="1" applyBorder="1" applyAlignment="1">
      <alignment horizontal="right"/>
    </xf>
    <xf numFmtId="198" fontId="103" fillId="0" borderId="30" xfId="2" applyNumberFormat="1" applyFont="1" applyFill="1" applyBorder="1" applyAlignment="1">
      <alignment horizontal="right"/>
    </xf>
    <xf numFmtId="198" fontId="103" fillId="0" borderId="23" xfId="2" applyNumberFormat="1" applyFont="1" applyFill="1" applyBorder="1" applyAlignment="1">
      <alignment horizontal="right"/>
    </xf>
    <xf numFmtId="198" fontId="104" fillId="0" borderId="19" xfId="2" applyNumberFormat="1" applyFont="1" applyFill="1" applyBorder="1" applyAlignment="1">
      <alignment horizontal="right"/>
    </xf>
    <xf numFmtId="198" fontId="104" fillId="0" borderId="30" xfId="2" applyNumberFormat="1" applyFont="1" applyFill="1" applyBorder="1" applyAlignment="1">
      <alignment horizontal="right"/>
    </xf>
    <xf numFmtId="198" fontId="104" fillId="0" borderId="23" xfId="2" applyNumberFormat="1" applyFont="1" applyFill="1" applyBorder="1" applyAlignment="1">
      <alignment horizontal="right"/>
    </xf>
    <xf numFmtId="7" fontId="4" fillId="0" borderId="30" xfId="0" applyNumberFormat="1" applyFont="1" applyBorder="1"/>
    <xf numFmtId="7" fontId="4" fillId="0" borderId="23" xfId="0" applyNumberFormat="1" applyFont="1" applyBorder="1"/>
    <xf numFmtId="0" fontId="26" fillId="24" borderId="0" xfId="5" applyFont="1" applyFill="1"/>
    <xf numFmtId="188" fontId="26" fillId="24" borderId="0" xfId="3" applyNumberFormat="1" applyFont="1" applyFill="1" applyBorder="1"/>
    <xf numFmtId="0" fontId="26" fillId="24" borderId="0" xfId="6" applyFont="1" applyFill="1"/>
    <xf numFmtId="0" fontId="12" fillId="0" borderId="30" xfId="8" applyFont="1" applyBorder="1" applyAlignment="1">
      <alignment horizontal="left" vertical="center"/>
    </xf>
    <xf numFmtId="0" fontId="12" fillId="0" borderId="19" xfId="6" applyFont="1" applyBorder="1" applyAlignment="1">
      <alignment horizontal="left" vertical="center"/>
    </xf>
    <xf numFmtId="0" fontId="12" fillId="0" borderId="19" xfId="0" applyFont="1" applyBorder="1" applyAlignment="1">
      <alignment vertical="center" wrapText="1"/>
    </xf>
    <xf numFmtId="0" fontId="4" fillId="0" borderId="9" xfId="8" applyFont="1" applyBorder="1" applyAlignment="1">
      <alignment horizontal="left" vertical="center"/>
    </xf>
    <xf numFmtId="0" fontId="4" fillId="0" borderId="23" xfId="8" applyFont="1" applyBorder="1" applyAlignment="1">
      <alignment horizontal="left" vertical="center"/>
    </xf>
    <xf numFmtId="165" fontId="1" fillId="0" borderId="19" xfId="13" applyNumberFormat="1" applyBorder="1" applyAlignment="1">
      <alignment horizontal="left" vertical="center" wrapText="1"/>
    </xf>
    <xf numFmtId="165" fontId="1" fillId="0" borderId="23" xfId="13" applyNumberFormat="1" applyBorder="1" applyAlignment="1">
      <alignment horizontal="left" vertical="center" wrapText="1"/>
    </xf>
    <xf numFmtId="0" fontId="12" fillId="0" borderId="18" xfId="0" applyFont="1" applyBorder="1" applyAlignment="1">
      <alignment vertical="center" wrapText="1"/>
    </xf>
    <xf numFmtId="0" fontId="12" fillId="0" borderId="19" xfId="8" applyFont="1" applyBorder="1" applyAlignment="1">
      <alignment vertical="center"/>
    </xf>
    <xf numFmtId="0" fontId="12" fillId="0" borderId="30" xfId="8" applyFont="1" applyBorder="1" applyAlignment="1">
      <alignment vertical="center"/>
    </xf>
    <xf numFmtId="0" fontId="32" fillId="0" borderId="9" xfId="8" applyFont="1" applyBorder="1" applyAlignment="1">
      <alignment vertical="center"/>
    </xf>
    <xf numFmtId="0" fontId="12" fillId="0" borderId="19" xfId="0" applyFont="1" applyBorder="1" applyAlignment="1">
      <alignment vertical="center"/>
    </xf>
    <xf numFmtId="0" fontId="32" fillId="0" borderId="19" xfId="8" applyFont="1" applyBorder="1" applyAlignment="1">
      <alignment vertical="center"/>
    </xf>
    <xf numFmtId="165" fontId="12" fillId="0" borderId="19" xfId="13" applyNumberFormat="1" applyFont="1" applyBorder="1" applyAlignment="1">
      <alignment vertical="center" wrapText="1"/>
    </xf>
    <xf numFmtId="165" fontId="12" fillId="0" borderId="9" xfId="8" applyNumberFormat="1" applyFont="1" applyBorder="1" applyAlignment="1">
      <alignment vertical="center"/>
    </xf>
    <xf numFmtId="165" fontId="12" fillId="0" borderId="9" xfId="0" applyNumberFormat="1" applyFont="1" applyBorder="1" applyAlignment="1">
      <alignment vertical="center" wrapText="1"/>
    </xf>
    <xf numFmtId="9" fontId="12" fillId="0" borderId="19" xfId="3" applyFont="1" applyFill="1" applyBorder="1" applyAlignment="1">
      <alignment vertical="center" wrapText="1"/>
    </xf>
    <xf numFmtId="0" fontId="12" fillId="0" borderId="20" xfId="6" applyFont="1" applyBorder="1" applyAlignment="1">
      <alignment vertical="center"/>
    </xf>
    <xf numFmtId="0" fontId="12" fillId="0" borderId="9" xfId="6" applyFont="1" applyBorder="1" applyAlignment="1">
      <alignment horizontal="center" vertical="center"/>
    </xf>
    <xf numFmtId="165" fontId="32" fillId="0" borderId="50" xfId="8" applyNumberFormat="1" applyFont="1" applyBorder="1" applyAlignment="1">
      <alignment vertical="center"/>
    </xf>
    <xf numFmtId="0" fontId="12" fillId="4" borderId="9" xfId="0" applyFont="1" applyFill="1" applyBorder="1" applyAlignment="1">
      <alignment horizontal="left" vertical="center"/>
    </xf>
    <xf numFmtId="0" fontId="86" fillId="45" borderId="9" xfId="0" applyFont="1" applyFill="1" applyBorder="1" applyAlignment="1">
      <alignment horizontal="center" vertical="center" wrapText="1"/>
    </xf>
    <xf numFmtId="0" fontId="14" fillId="16" borderId="9" xfId="0" applyFont="1" applyFill="1" applyBorder="1" applyAlignment="1">
      <alignment horizontal="center" vertical="center"/>
    </xf>
    <xf numFmtId="173" fontId="14" fillId="16" borderId="16" xfId="2" applyNumberFormat="1" applyFont="1" applyFill="1" applyBorder="1" applyAlignment="1">
      <alignment horizontal="center" vertical="center"/>
    </xf>
    <xf numFmtId="0" fontId="12" fillId="4" borderId="19" xfId="8" applyFont="1" applyFill="1" applyBorder="1" applyAlignment="1">
      <alignment horizontal="left" vertical="center" wrapText="1"/>
    </xf>
    <xf numFmtId="172" fontId="12" fillId="17" borderId="21" xfId="3" applyNumberFormat="1" applyFont="1" applyFill="1" applyBorder="1" applyAlignment="1">
      <alignment horizontal="center"/>
    </xf>
    <xf numFmtId="0" fontId="49" fillId="0" borderId="19" xfId="6" applyFont="1" applyBorder="1"/>
    <xf numFmtId="0" fontId="12" fillId="4" borderId="23" xfId="8" applyFont="1" applyFill="1" applyBorder="1" applyAlignment="1">
      <alignment horizontal="left" vertical="center"/>
    </xf>
    <xf numFmtId="176" fontId="4" fillId="49" borderId="9" xfId="9" applyNumberFormat="1" applyFont="1" applyFill="1" applyBorder="1" applyAlignment="1">
      <alignment horizontal="center"/>
    </xf>
    <xf numFmtId="2" fontId="4" fillId="49" borderId="9" xfId="11" applyNumberFormat="1" applyFont="1" applyFill="1" applyBorder="1" applyAlignment="1">
      <alignment horizontal="center" vertical="center"/>
    </xf>
    <xf numFmtId="175" fontId="12" fillId="0" borderId="9" xfId="9" applyNumberFormat="1" applyFont="1" applyBorder="1" applyAlignment="1">
      <alignment horizontal="center"/>
    </xf>
    <xf numFmtId="39" fontId="0" fillId="4" borderId="9" xfId="1" applyNumberFormat="1" applyFont="1" applyFill="1" applyBorder="1" applyAlignment="1">
      <alignment horizontal="center" vertical="center" wrapText="1"/>
    </xf>
    <xf numFmtId="4" fontId="0" fillId="4" borderId="9" xfId="5" applyNumberFormat="1" applyFont="1" applyFill="1" applyBorder="1" applyAlignment="1">
      <alignment horizontal="center" vertical="center" wrapText="1"/>
    </xf>
    <xf numFmtId="171" fontId="0" fillId="4" borderId="9" xfId="5" applyNumberFormat="1" applyFont="1" applyFill="1" applyBorder="1" applyAlignment="1">
      <alignment horizontal="center" vertical="center" wrapText="1"/>
    </xf>
    <xf numFmtId="198" fontId="4" fillId="0" borderId="9" xfId="2" applyNumberFormat="1" applyFont="1" applyBorder="1"/>
    <xf numFmtId="0" fontId="0" fillId="0" borderId="0" xfId="0" applyAlignment="1">
      <alignment vertical="center"/>
    </xf>
    <xf numFmtId="0" fontId="0" fillId="0" borderId="0" xfId="5" applyFont="1" applyAlignment="1">
      <alignment vertical="center"/>
    </xf>
    <xf numFmtId="0" fontId="49" fillId="0" borderId="0" xfId="0" applyFont="1" applyAlignment="1">
      <alignment vertical="center"/>
    </xf>
    <xf numFmtId="0" fontId="49" fillId="0" borderId="0" xfId="0" applyFont="1" applyAlignment="1">
      <alignment horizontal="center" vertical="center"/>
    </xf>
    <xf numFmtId="0" fontId="49" fillId="4" borderId="0" xfId="0" applyFont="1" applyFill="1" applyAlignment="1">
      <alignment vertical="center"/>
    </xf>
    <xf numFmtId="0" fontId="106" fillId="0" borderId="0" xfId="0" applyFont="1" applyAlignment="1">
      <alignment vertical="center"/>
    </xf>
    <xf numFmtId="2" fontId="12" fillId="0" borderId="0" xfId="0" applyNumberFormat="1" applyFont="1" applyAlignment="1">
      <alignment vertical="center"/>
    </xf>
    <xf numFmtId="2" fontId="0" fillId="8" borderId="9" xfId="1" applyNumberFormat="1" applyFont="1" applyFill="1" applyBorder="1" applyAlignment="1">
      <alignment vertical="center"/>
    </xf>
    <xf numFmtId="0" fontId="12" fillId="8" borderId="9" xfId="0" applyFont="1" applyFill="1" applyBorder="1" applyAlignment="1">
      <alignment vertical="center"/>
    </xf>
    <xf numFmtId="0" fontId="0" fillId="8" borderId="9" xfId="0" applyFill="1" applyBorder="1" applyAlignment="1">
      <alignment horizontal="center" vertical="center" wrapText="1"/>
    </xf>
    <xf numFmtId="182" fontId="12" fillId="0" borderId="9" xfId="1" applyNumberFormat="1" applyFont="1" applyBorder="1" applyAlignment="1">
      <alignment horizontal="center" vertical="center"/>
    </xf>
    <xf numFmtId="39" fontId="12" fillId="0" borderId="9" xfId="1" applyNumberFormat="1" applyFont="1" applyBorder="1" applyAlignment="1">
      <alignment horizontal="center" vertical="center"/>
    </xf>
    <xf numFmtId="184" fontId="12" fillId="0" borderId="9" xfId="1" applyNumberFormat="1" applyFont="1" applyBorder="1" applyAlignment="1">
      <alignment horizontal="center" vertical="center"/>
    </xf>
    <xf numFmtId="44" fontId="12" fillId="0" borderId="9" xfId="2" applyFont="1" applyBorder="1" applyAlignment="1">
      <alignment vertical="center"/>
    </xf>
    <xf numFmtId="2" fontId="4" fillId="0" borderId="9" xfId="0" applyNumberFormat="1" applyFont="1" applyBorder="1" applyAlignment="1">
      <alignment vertical="center"/>
    </xf>
    <xf numFmtId="0" fontId="0" fillId="0" borderId="9" xfId="0" applyBorder="1" applyAlignment="1">
      <alignment vertical="center"/>
    </xf>
    <xf numFmtId="207" fontId="0" fillId="0" borderId="0" xfId="3" applyNumberFormat="1" applyFont="1" applyAlignment="1">
      <alignment vertical="center"/>
    </xf>
    <xf numFmtId="43" fontId="0" fillId="0" borderId="22" xfId="1" applyFont="1" applyBorder="1" applyAlignment="1">
      <alignment vertical="center"/>
    </xf>
    <xf numFmtId="7" fontId="0" fillId="0" borderId="0" xfId="0" applyNumberFormat="1" applyAlignment="1">
      <alignment vertical="center"/>
    </xf>
    <xf numFmtId="0" fontId="12" fillId="0" borderId="0" xfId="13" applyFont="1" applyAlignment="1">
      <alignment vertical="center"/>
    </xf>
    <xf numFmtId="2" fontId="12" fillId="0" borderId="9" xfId="12" applyNumberFormat="1" applyFont="1" applyBorder="1" applyAlignment="1">
      <alignment horizontal="center" vertical="center"/>
    </xf>
    <xf numFmtId="208" fontId="12" fillId="0" borderId="24" xfId="2" applyNumberFormat="1" applyFont="1" applyBorder="1" applyAlignment="1">
      <alignment vertical="center"/>
    </xf>
    <xf numFmtId="0" fontId="26" fillId="12" borderId="9" xfId="0" applyFont="1" applyFill="1" applyBorder="1" applyAlignment="1">
      <alignment vertical="center"/>
    </xf>
    <xf numFmtId="167" fontId="5" fillId="12" borderId="9" xfId="0" applyNumberFormat="1" applyFont="1" applyFill="1" applyBorder="1" applyAlignment="1">
      <alignment vertical="center"/>
    </xf>
    <xf numFmtId="2" fontId="12" fillId="0" borderId="9" xfId="0" applyNumberFormat="1" applyFont="1" applyBorder="1" applyAlignment="1">
      <alignment vertical="center"/>
    </xf>
    <xf numFmtId="2" fontId="0" fillId="0" borderId="9" xfId="0" applyNumberFormat="1" applyBorder="1" applyAlignment="1">
      <alignment vertical="center"/>
    </xf>
    <xf numFmtId="2" fontId="12" fillId="8" borderId="9" xfId="0" applyNumberFormat="1" applyFont="1" applyFill="1" applyBorder="1" applyAlignment="1">
      <alignment horizontal="center" vertical="center"/>
    </xf>
    <xf numFmtId="2" fontId="12" fillId="4" borderId="9" xfId="14" applyNumberFormat="1" applyFont="1" applyFill="1" applyBorder="1" applyAlignment="1">
      <alignment vertical="center"/>
    </xf>
    <xf numFmtId="168" fontId="12" fillId="0" borderId="9" xfId="5" applyNumberFormat="1" applyFont="1" applyBorder="1" applyAlignment="1">
      <alignment horizontal="center" vertical="center" wrapText="1"/>
    </xf>
    <xf numFmtId="168" fontId="12" fillId="0" borderId="9" xfId="5" applyNumberFormat="1" applyFont="1" applyBorder="1" applyAlignment="1">
      <alignment vertical="center"/>
    </xf>
    <xf numFmtId="39" fontId="12" fillId="17" borderId="9" xfId="5" applyNumberFormat="1" applyFont="1" applyFill="1" applyBorder="1" applyAlignment="1">
      <alignment horizontal="center" vertical="center"/>
    </xf>
    <xf numFmtId="39" fontId="12" fillId="0" borderId="9" xfId="5" applyNumberFormat="1" applyFont="1" applyBorder="1" applyAlignment="1">
      <alignment horizontal="center" vertical="center"/>
    </xf>
    <xf numFmtId="39" fontId="4" fillId="0" borderId="9" xfId="5" applyNumberFormat="1" applyFont="1" applyBorder="1" applyAlignment="1">
      <alignment horizontal="center" vertical="center"/>
    </xf>
    <xf numFmtId="39" fontId="0" fillId="0" borderId="9" xfId="5" applyNumberFormat="1" applyFont="1" applyBorder="1" applyAlignment="1">
      <alignment horizontal="center" vertical="center"/>
    </xf>
    <xf numFmtId="0" fontId="12" fillId="0" borderId="9" xfId="8" applyFont="1" applyBorder="1" applyAlignment="1">
      <alignment horizontal="center" vertical="center"/>
    </xf>
    <xf numFmtId="44" fontId="12" fillId="17" borderId="9" xfId="2" applyFont="1" applyFill="1" applyBorder="1" applyAlignment="1">
      <alignment horizontal="center" vertical="center"/>
    </xf>
    <xf numFmtId="44" fontId="4" fillId="0" borderId="9" xfId="2" applyFont="1" applyBorder="1" applyAlignment="1">
      <alignment horizontal="center" vertical="center"/>
    </xf>
    <xf numFmtId="0" fontId="32" fillId="4" borderId="9" xfId="8" applyFont="1" applyFill="1" applyBorder="1" applyAlignment="1">
      <alignment horizontal="center" vertical="center"/>
    </xf>
    <xf numFmtId="0" fontId="32" fillId="4" borderId="9" xfId="8" applyFont="1" applyFill="1" applyBorder="1" applyAlignment="1">
      <alignment vertical="center"/>
    </xf>
    <xf numFmtId="168" fontId="1" fillId="0" borderId="9" xfId="1" applyNumberFormat="1" applyFont="1" applyFill="1" applyBorder="1" applyAlignment="1">
      <alignment horizontal="center"/>
    </xf>
    <xf numFmtId="165" fontId="1" fillId="0" borderId="9" xfId="0" applyNumberFormat="1" applyFont="1" applyBorder="1" applyAlignment="1">
      <alignment horizontal="center"/>
    </xf>
    <xf numFmtId="170" fontId="1" fillId="0" borderId="9" xfId="0" applyNumberFormat="1" applyFont="1" applyBorder="1" applyAlignment="1">
      <alignment horizontal="center"/>
    </xf>
    <xf numFmtId="165" fontId="1" fillId="0" borderId="9" xfId="0" applyNumberFormat="1" applyFont="1" applyBorder="1"/>
    <xf numFmtId="171" fontId="1" fillId="0" borderId="9" xfId="0" applyNumberFormat="1" applyFont="1" applyBorder="1"/>
    <xf numFmtId="2" fontId="12" fillId="0" borderId="9" xfId="0" applyNumberFormat="1" applyFont="1" applyBorder="1" applyAlignment="1">
      <alignment horizontal="right"/>
    </xf>
    <xf numFmtId="39" fontId="12" fillId="0" borderId="9" xfId="5" applyNumberFormat="1" applyFont="1" applyBorder="1" applyAlignment="1">
      <alignment horizontal="right"/>
    </xf>
    <xf numFmtId="198" fontId="12" fillId="0" borderId="30" xfId="2" applyNumberFormat="1" applyFont="1" applyFill="1" applyBorder="1"/>
    <xf numFmtId="0" fontId="82" fillId="4" borderId="0" xfId="0" applyFont="1" applyFill="1" applyAlignment="1">
      <alignment horizontal="left" vertical="center" wrapText="1"/>
    </xf>
    <xf numFmtId="0" fontId="3" fillId="4" borderId="0" xfId="0" applyFont="1" applyFill="1" applyAlignment="1">
      <alignment horizontal="center"/>
    </xf>
    <xf numFmtId="0" fontId="0" fillId="4" borderId="0" xfId="0" applyFill="1"/>
    <xf numFmtId="0" fontId="72" fillId="0" borderId="0" xfId="0" applyFont="1" applyAlignment="1">
      <alignment horizontal="center" wrapText="1"/>
    </xf>
    <xf numFmtId="0" fontId="73" fillId="5" borderId="2" xfId="0" applyFont="1" applyFill="1" applyBorder="1" applyAlignment="1">
      <alignment horizontal="center" vertical="center" wrapText="1"/>
    </xf>
    <xf numFmtId="0" fontId="12" fillId="5" borderId="6" xfId="0" applyFont="1" applyFill="1" applyBorder="1" applyAlignment="1">
      <alignment wrapText="1"/>
    </xf>
    <xf numFmtId="0" fontId="12" fillId="5" borderId="7" xfId="0" applyFont="1" applyFill="1" applyBorder="1" applyAlignment="1">
      <alignment horizontal="center" vertical="center" wrapText="1"/>
    </xf>
    <xf numFmtId="0" fontId="12" fillId="5" borderId="12" xfId="0" applyFont="1" applyFill="1" applyBorder="1" applyAlignment="1">
      <alignment horizontal="center" vertical="center" wrapText="1"/>
    </xf>
    <xf numFmtId="0" fontId="73" fillId="5" borderId="3" xfId="0" applyFont="1" applyFill="1" applyBorder="1" applyAlignment="1">
      <alignment horizontal="center" vertical="center"/>
    </xf>
    <xf numFmtId="0" fontId="12" fillId="5" borderId="4" xfId="0" applyFont="1" applyFill="1" applyBorder="1" applyAlignment="1">
      <alignment horizontal="center" vertical="center"/>
    </xf>
    <xf numFmtId="0" fontId="12" fillId="5" borderId="5" xfId="0" applyFont="1" applyFill="1" applyBorder="1" applyAlignment="1">
      <alignment horizontal="center" vertical="center"/>
    </xf>
    <xf numFmtId="0" fontId="23" fillId="0" borderId="52" xfId="5" applyFont="1" applyBorder="1" applyAlignment="1">
      <alignment horizontal="center" wrapText="1"/>
    </xf>
    <xf numFmtId="0" fontId="12" fillId="0" borderId="53" xfId="0" applyFont="1" applyBorder="1" applyAlignment="1">
      <alignment horizontal="center" wrapText="1"/>
    </xf>
    <xf numFmtId="0" fontId="0" fillId="0" borderId="53" xfId="0" applyBorder="1" applyAlignment="1">
      <alignment horizontal="center" wrapText="1"/>
    </xf>
    <xf numFmtId="0" fontId="12" fillId="17" borderId="16" xfId="5" applyFont="1" applyFill="1" applyBorder="1" applyAlignment="1">
      <alignment horizontal="left"/>
    </xf>
    <xf numFmtId="0" fontId="49" fillId="17" borderId="17" xfId="5" applyFont="1" applyFill="1" applyBorder="1" applyAlignment="1">
      <alignment horizontal="left"/>
    </xf>
    <xf numFmtId="0" fontId="49" fillId="17" borderId="17" xfId="6" applyFont="1" applyFill="1" applyBorder="1"/>
    <xf numFmtId="0" fontId="49" fillId="17" borderId="17" xfId="0" applyFont="1" applyFill="1" applyBorder="1"/>
    <xf numFmtId="0" fontId="49" fillId="17" borderId="18" xfId="0" applyFont="1" applyFill="1" applyBorder="1"/>
    <xf numFmtId="0" fontId="12" fillId="10" borderId="16" xfId="5" applyFont="1" applyFill="1" applyBorder="1" applyAlignment="1">
      <alignment horizontal="left"/>
    </xf>
    <xf numFmtId="0" fontId="12" fillId="10" borderId="17" xfId="5" applyFont="1" applyFill="1" applyBorder="1" applyAlignment="1">
      <alignment horizontal="left"/>
    </xf>
    <xf numFmtId="0" fontId="12" fillId="0" borderId="17" xfId="6" applyFont="1" applyBorder="1"/>
    <xf numFmtId="0" fontId="12" fillId="0" borderId="17" xfId="0" applyFont="1" applyBorder="1"/>
    <xf numFmtId="0" fontId="12" fillId="0" borderId="18" xfId="0" applyFont="1" applyBorder="1"/>
    <xf numFmtId="0" fontId="48" fillId="7" borderId="9" xfId="5" applyFont="1" applyFill="1" applyBorder="1" applyAlignment="1">
      <alignment horizontal="center" vertical="center" wrapText="1"/>
    </xf>
    <xf numFmtId="0" fontId="52" fillId="0" borderId="9" xfId="0" applyFont="1" applyBorder="1" applyAlignment="1">
      <alignment wrapText="1"/>
    </xf>
    <xf numFmtId="166" fontId="48" fillId="8" borderId="9" xfId="5" applyNumberFormat="1" applyFont="1" applyFill="1" applyBorder="1" applyAlignment="1">
      <alignment horizontal="center" vertical="center" wrapText="1"/>
    </xf>
    <xf numFmtId="0" fontId="48" fillId="0" borderId="0" xfId="5" applyFont="1" applyAlignment="1">
      <alignment vertical="center" wrapText="1"/>
    </xf>
    <xf numFmtId="0" fontId="12" fillId="17" borderId="17" xfId="5" applyFont="1" applyFill="1" applyBorder="1" applyAlignment="1">
      <alignment horizontal="left"/>
    </xf>
    <xf numFmtId="0" fontId="12" fillId="17" borderId="17" xfId="6" applyFont="1" applyFill="1" applyBorder="1"/>
    <xf numFmtId="0" fontId="12" fillId="17" borderId="17" xfId="0" applyFont="1" applyFill="1" applyBorder="1"/>
    <xf numFmtId="0" fontId="12" fillId="17" borderId="18" xfId="0" applyFont="1" applyFill="1" applyBorder="1"/>
    <xf numFmtId="0" fontId="21" fillId="6" borderId="0" xfId="5" applyFont="1" applyFill="1" applyAlignment="1">
      <alignment horizontal="left"/>
    </xf>
    <xf numFmtId="0" fontId="23" fillId="0" borderId="0" xfId="5" applyFont="1" applyAlignment="1">
      <alignment horizontal="center"/>
    </xf>
    <xf numFmtId="0" fontId="66" fillId="0" borderId="0" xfId="0" applyFont="1" applyAlignment="1">
      <alignment horizontal="left" vertical="top" wrapText="1"/>
    </xf>
    <xf numFmtId="0" fontId="12" fillId="11" borderId="20" xfId="5" applyFont="1" applyFill="1" applyBorder="1" applyAlignment="1">
      <alignment horizontal="center" vertical="center" wrapText="1"/>
    </xf>
    <xf numFmtId="0" fontId="12" fillId="11" borderId="21" xfId="5" applyFont="1" applyFill="1" applyBorder="1" applyAlignment="1">
      <alignment horizontal="center" vertical="center" wrapText="1"/>
    </xf>
    <xf numFmtId="0" fontId="50" fillId="0" borderId="0" xfId="5" applyFont="1" applyAlignment="1">
      <alignment horizontal="center" wrapText="1"/>
    </xf>
    <xf numFmtId="0" fontId="12" fillId="17" borderId="18" xfId="5" applyFont="1" applyFill="1" applyBorder="1" applyAlignment="1">
      <alignment horizontal="left"/>
    </xf>
    <xf numFmtId="165" fontId="12" fillId="0" borderId="9" xfId="13" applyNumberFormat="1" applyFont="1" applyBorder="1" applyAlignment="1">
      <alignment horizontal="left" vertical="center" wrapText="1"/>
    </xf>
    <xf numFmtId="165" fontId="12" fillId="4" borderId="9" xfId="13" applyNumberFormat="1" applyFont="1" applyFill="1" applyBorder="1" applyAlignment="1">
      <alignment horizontal="left" vertical="center" wrapText="1"/>
    </xf>
    <xf numFmtId="165" fontId="54" fillId="4" borderId="9" xfId="17" applyNumberFormat="1" applyFont="1" applyFill="1" applyBorder="1" applyAlignment="1">
      <alignment horizontal="left" vertical="center" wrapText="1"/>
    </xf>
    <xf numFmtId="0" fontId="0" fillId="4" borderId="19" xfId="13" applyFont="1" applyFill="1" applyBorder="1" applyAlignment="1">
      <alignment horizontal="left" vertical="center" wrapText="1"/>
    </xf>
    <xf numFmtId="0" fontId="0" fillId="4" borderId="30" xfId="13" applyFont="1" applyFill="1" applyBorder="1" applyAlignment="1">
      <alignment horizontal="left" vertical="center" wrapText="1"/>
    </xf>
    <xf numFmtId="0" fontId="0" fillId="4" borderId="23" xfId="13" applyFont="1" applyFill="1" applyBorder="1" applyAlignment="1">
      <alignment horizontal="left" vertical="center" wrapText="1"/>
    </xf>
    <xf numFmtId="165" fontId="12" fillId="4" borderId="9" xfId="13" applyNumberFormat="1" applyFont="1" applyFill="1" applyBorder="1" applyAlignment="1">
      <alignment horizontal="center" vertical="center" wrapText="1"/>
    </xf>
    <xf numFmtId="0" fontId="21" fillId="6" borderId="0" xfId="5" applyFont="1" applyFill="1" applyAlignment="1">
      <alignment vertical="center"/>
    </xf>
    <xf numFmtId="0" fontId="53" fillId="0" borderId="0" xfId="0" applyFont="1" applyAlignment="1">
      <alignment vertical="center"/>
    </xf>
    <xf numFmtId="0" fontId="89" fillId="0" borderId="0" xfId="0" applyFont="1" applyAlignment="1">
      <alignment vertical="center"/>
    </xf>
    <xf numFmtId="0" fontId="52" fillId="0" borderId="0" xfId="0" applyFont="1" applyAlignment="1">
      <alignment vertical="center" wrapText="1"/>
    </xf>
    <xf numFmtId="0" fontId="12" fillId="0" borderId="0" xfId="0" applyFont="1" applyAlignment="1">
      <alignment vertical="center" wrapText="1"/>
    </xf>
    <xf numFmtId="0" fontId="12" fillId="10" borderId="16" xfId="0" applyFont="1" applyFill="1" applyBorder="1" applyAlignment="1">
      <alignment horizontal="left"/>
    </xf>
    <xf numFmtId="0" fontId="12" fillId="10" borderId="17" xfId="0" applyFont="1" applyFill="1" applyBorder="1" applyAlignment="1">
      <alignment horizontal="left"/>
    </xf>
    <xf numFmtId="0" fontId="12" fillId="0" borderId="9" xfId="13" applyFont="1" applyBorder="1" applyAlignment="1">
      <alignment horizontal="left" vertical="center" wrapText="1"/>
    </xf>
    <xf numFmtId="0" fontId="1" fillId="0" borderId="17" xfId="0" applyFont="1" applyBorder="1"/>
    <xf numFmtId="0" fontId="1" fillId="0" borderId="18" xfId="0" applyFont="1" applyBorder="1"/>
    <xf numFmtId="0" fontId="12" fillId="11" borderId="9" xfId="0" applyFont="1" applyFill="1" applyBorder="1" applyAlignment="1">
      <alignment horizontal="center" vertical="center" wrapText="1"/>
    </xf>
    <xf numFmtId="0" fontId="12" fillId="0" borderId="19" xfId="8" applyFont="1" applyBorder="1" applyAlignment="1">
      <alignment horizontal="left" vertical="center"/>
    </xf>
    <xf numFmtId="0" fontId="12" fillId="0" borderId="30" xfId="8" applyFont="1" applyBorder="1" applyAlignment="1">
      <alignment horizontal="left" vertical="center"/>
    </xf>
    <xf numFmtId="0" fontId="32" fillId="0" borderId="19" xfId="8" applyFont="1" applyBorder="1" applyAlignment="1">
      <alignment horizontal="left" vertical="center"/>
    </xf>
    <xf numFmtId="0" fontId="32" fillId="0" borderId="30" xfId="8" applyFont="1" applyBorder="1" applyAlignment="1">
      <alignment horizontal="left" vertical="center"/>
    </xf>
    <xf numFmtId="0" fontId="49" fillId="0" borderId="16" xfId="8" applyFont="1" applyBorder="1" applyAlignment="1">
      <alignment horizontal="left" wrapText="1"/>
    </xf>
    <xf numFmtId="0" fontId="49" fillId="0" borderId="18" xfId="8" applyFont="1" applyBorder="1" applyAlignment="1">
      <alignment horizontal="left" wrapText="1"/>
    </xf>
    <xf numFmtId="0" fontId="12" fillId="0" borderId="16" xfId="8" applyFont="1" applyBorder="1" applyAlignment="1">
      <alignment horizontal="left" wrapText="1"/>
    </xf>
    <xf numFmtId="0" fontId="12" fillId="0" borderId="18" xfId="8" applyFont="1" applyBorder="1" applyAlignment="1">
      <alignment horizontal="left" wrapText="1"/>
    </xf>
    <xf numFmtId="0" fontId="12" fillId="0" borderId="20" xfId="8" applyFont="1" applyBorder="1" applyAlignment="1">
      <alignment horizontal="left" wrapText="1"/>
    </xf>
    <xf numFmtId="0" fontId="12" fillId="0" borderId="21" xfId="8" applyFont="1" applyBorder="1" applyAlignment="1">
      <alignment horizontal="left" wrapText="1"/>
    </xf>
    <xf numFmtId="0" fontId="12" fillId="0" borderId="20" xfId="8" applyFont="1" applyBorder="1" applyAlignment="1">
      <alignment horizontal="left" vertical="center" wrapText="1"/>
    </xf>
    <xf numFmtId="0" fontId="12" fillId="0" borderId="21" xfId="8" applyFont="1" applyBorder="1" applyAlignment="1">
      <alignment horizontal="left" vertical="center" wrapText="1"/>
    </xf>
    <xf numFmtId="0" fontId="12" fillId="0" borderId="22" xfId="8" applyFont="1" applyBorder="1" applyAlignment="1">
      <alignment horizontal="left" vertical="center" wrapText="1"/>
    </xf>
    <xf numFmtId="0" fontId="12" fillId="0" borderId="24" xfId="8" applyFont="1" applyBorder="1" applyAlignment="1">
      <alignment horizontal="left" vertical="center" wrapText="1"/>
    </xf>
    <xf numFmtId="0" fontId="12" fillId="0" borderId="25" xfId="8" applyFont="1" applyBorder="1" applyAlignment="1">
      <alignment horizontal="left" vertical="center" wrapText="1"/>
    </xf>
    <xf numFmtId="0" fontId="12" fillId="0" borderId="26" xfId="8" applyFont="1" applyBorder="1" applyAlignment="1">
      <alignment horizontal="left" vertical="center" wrapText="1"/>
    </xf>
    <xf numFmtId="0" fontId="12" fillId="0" borderId="23" xfId="8" applyFont="1" applyBorder="1" applyAlignment="1">
      <alignment horizontal="left" vertical="center"/>
    </xf>
    <xf numFmtId="0" fontId="32" fillId="0" borderId="23" xfId="8" applyFont="1" applyBorder="1" applyAlignment="1">
      <alignment horizontal="left" vertical="center"/>
    </xf>
    <xf numFmtId="0" fontId="12" fillId="0" borderId="19" xfId="8" applyFont="1" applyBorder="1" applyAlignment="1">
      <alignment vertical="center" wrapText="1"/>
    </xf>
    <xf numFmtId="0" fontId="12" fillId="0" borderId="30" xfId="8" applyFont="1" applyBorder="1" applyAlignment="1">
      <alignment vertical="center" wrapText="1"/>
    </xf>
    <xf numFmtId="0" fontId="12" fillId="0" borderId="30" xfId="0" applyFont="1" applyBorder="1" applyAlignment="1">
      <alignment vertical="center" wrapText="1"/>
    </xf>
    <xf numFmtId="0" fontId="12" fillId="0" borderId="16" xfId="8" applyFont="1" applyBorder="1" applyAlignment="1">
      <alignment horizontal="left" vertical="center" wrapText="1"/>
    </xf>
    <xf numFmtId="0" fontId="12" fillId="0" borderId="18" xfId="8" applyFont="1" applyBorder="1" applyAlignment="1">
      <alignment horizontal="left" vertical="center" wrapText="1"/>
    </xf>
    <xf numFmtId="0" fontId="6" fillId="0" borderId="0" xfId="0" applyFont="1" applyAlignment="1">
      <alignment vertical="center"/>
    </xf>
    <xf numFmtId="0" fontId="4" fillId="0" borderId="0" xfId="0" applyFont="1" applyAlignment="1">
      <alignment vertical="center"/>
    </xf>
    <xf numFmtId="0" fontId="12" fillId="17" borderId="16" xfId="0" applyFont="1" applyFill="1" applyBorder="1" applyAlignment="1">
      <alignment horizontal="left"/>
    </xf>
    <xf numFmtId="0" fontId="12" fillId="17" borderId="17" xfId="0" applyFont="1" applyFill="1" applyBorder="1" applyAlignment="1">
      <alignment horizontal="left"/>
    </xf>
    <xf numFmtId="0" fontId="12" fillId="0" borderId="9" xfId="0" applyFont="1" applyBorder="1" applyAlignment="1">
      <alignment horizontal="left" vertical="center"/>
    </xf>
    <xf numFmtId="0" fontId="12" fillId="0" borderId="9" xfId="8" applyFont="1" applyBorder="1" applyAlignment="1">
      <alignment horizontal="left"/>
    </xf>
    <xf numFmtId="0" fontId="12" fillId="0" borderId="9" xfId="0" applyFont="1" applyBorder="1" applyAlignment="1">
      <alignment horizontal="left" vertical="center" wrapText="1"/>
    </xf>
    <xf numFmtId="0" fontId="26" fillId="0" borderId="0" xfId="5" applyFont="1" applyAlignment="1">
      <alignment vertical="center" wrapText="1"/>
    </xf>
    <xf numFmtId="168" fontId="12" fillId="0" borderId="9" xfId="5" applyNumberFormat="1" applyFont="1" applyBorder="1" applyAlignment="1">
      <alignment horizontal="left" vertical="top" wrapText="1"/>
    </xf>
    <xf numFmtId="168" fontId="12" fillId="0" borderId="9" xfId="5" applyNumberFormat="1" applyFont="1" applyBorder="1" applyAlignment="1">
      <alignment horizontal="left" vertical="center" wrapText="1"/>
    </xf>
    <xf numFmtId="0" fontId="12" fillId="10" borderId="16" xfId="0" applyFont="1" applyFill="1" applyBorder="1" applyAlignment="1">
      <alignment horizontal="left" vertical="center"/>
    </xf>
    <xf numFmtId="0" fontId="12" fillId="10" borderId="17" xfId="0" applyFont="1" applyFill="1" applyBorder="1" applyAlignment="1">
      <alignment horizontal="left" vertical="center"/>
    </xf>
    <xf numFmtId="0" fontId="12" fillId="0" borderId="17" xfId="0" applyFont="1" applyBorder="1" applyAlignment="1">
      <alignment vertical="center"/>
    </xf>
    <xf numFmtId="0" fontId="12" fillId="0" borderId="18" xfId="0" applyFont="1" applyBorder="1" applyAlignment="1">
      <alignment vertical="center"/>
    </xf>
    <xf numFmtId="0" fontId="26" fillId="6" borderId="0" xfId="5" applyFont="1" applyFill="1" applyAlignment="1">
      <alignment vertical="center"/>
    </xf>
    <xf numFmtId="0" fontId="12" fillId="0" borderId="0" xfId="0" applyFont="1" applyAlignment="1">
      <alignment vertical="center"/>
    </xf>
    <xf numFmtId="0" fontId="12" fillId="0" borderId="20" xfId="0" applyFont="1" applyBorder="1" applyAlignment="1">
      <alignment horizontal="left" vertical="center" wrapText="1"/>
    </xf>
    <xf numFmtId="0" fontId="12" fillId="0" borderId="27" xfId="0" applyFont="1" applyBorder="1" applyAlignment="1">
      <alignment horizontal="left" vertical="center" wrapText="1"/>
    </xf>
    <xf numFmtId="0" fontId="12" fillId="0" borderId="21" xfId="0" applyFont="1" applyBorder="1" applyAlignment="1">
      <alignment horizontal="left" vertical="center" wrapText="1"/>
    </xf>
    <xf numFmtId="0" fontId="12" fillId="0" borderId="93" xfId="0" applyFont="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20" xfId="0" applyFont="1" applyBorder="1" applyAlignment="1">
      <alignment horizontal="left" vertical="center"/>
    </xf>
    <xf numFmtId="0" fontId="12" fillId="0" borderId="27" xfId="0" applyFont="1" applyBorder="1" applyAlignment="1">
      <alignment horizontal="left" vertical="center"/>
    </xf>
    <xf numFmtId="0" fontId="12" fillId="0" borderId="21" xfId="0" applyFont="1" applyBorder="1" applyAlignment="1">
      <alignment horizontal="left" vertical="center"/>
    </xf>
    <xf numFmtId="0" fontId="12" fillId="0" borderId="90" xfId="8" applyFont="1" applyBorder="1" applyAlignment="1">
      <alignment horizontal="left" vertical="center" wrapText="1"/>
    </xf>
    <xf numFmtId="0" fontId="12" fillId="0" borderId="91" xfId="8" applyFont="1" applyBorder="1" applyAlignment="1">
      <alignment horizontal="left" vertical="center" wrapText="1"/>
    </xf>
    <xf numFmtId="0" fontId="12" fillId="0" borderId="92" xfId="8" applyFont="1" applyBorder="1" applyAlignment="1">
      <alignment horizontal="left" vertical="center" wrapText="1"/>
    </xf>
    <xf numFmtId="168" fontId="12" fillId="0" borderId="9" xfId="5" applyNumberFormat="1" applyFont="1" applyBorder="1" applyAlignment="1">
      <alignment horizontal="center" vertical="center"/>
    </xf>
    <xf numFmtId="0" fontId="12" fillId="0" borderId="9" xfId="5" quotePrefix="1" applyFont="1" applyBorder="1" applyAlignment="1">
      <alignment horizontal="left" vertical="center" wrapText="1"/>
    </xf>
    <xf numFmtId="0" fontId="12" fillId="0" borderId="9" xfId="5" applyFont="1" applyBorder="1" applyAlignment="1">
      <alignment horizontal="left" vertical="center" wrapText="1"/>
    </xf>
    <xf numFmtId="168" fontId="12" fillId="0" borderId="20" xfId="5" applyNumberFormat="1" applyFont="1" applyBorder="1" applyAlignment="1">
      <alignment horizontal="left" vertical="center" wrapText="1"/>
    </xf>
    <xf numFmtId="168" fontId="12" fillId="0" borderId="27" xfId="5" applyNumberFormat="1" applyFont="1" applyBorder="1" applyAlignment="1">
      <alignment horizontal="left" vertical="center" wrapText="1"/>
    </xf>
    <xf numFmtId="168" fontId="12" fillId="0" borderId="21" xfId="5" applyNumberFormat="1" applyFont="1" applyBorder="1" applyAlignment="1">
      <alignment horizontal="left" vertical="center" wrapText="1"/>
    </xf>
    <xf numFmtId="0" fontId="0" fillId="0" borderId="17" xfId="0" applyBorder="1" applyAlignment="1">
      <alignment vertical="center"/>
    </xf>
    <xf numFmtId="0" fontId="0" fillId="0" borderId="18" xfId="0" applyBorder="1" applyAlignment="1">
      <alignment vertical="center"/>
    </xf>
    <xf numFmtId="0" fontId="12" fillId="11" borderId="9" xfId="5" applyFont="1" applyFill="1" applyBorder="1" applyAlignment="1">
      <alignment horizontal="center" vertical="center" wrapText="1"/>
    </xf>
    <xf numFmtId="168" fontId="12" fillId="0" borderId="9" xfId="5" applyNumberFormat="1" applyFont="1" applyBorder="1" applyAlignment="1">
      <alignment vertical="center"/>
    </xf>
    <xf numFmtId="0" fontId="12" fillId="4" borderId="9" xfId="8" applyFont="1" applyFill="1" applyBorder="1" applyAlignment="1">
      <alignment horizontal="left" vertical="center" wrapText="1"/>
    </xf>
    <xf numFmtId="0" fontId="12" fillId="4" borderId="9" xfId="8" applyFont="1" applyFill="1" applyBorder="1" applyAlignment="1">
      <alignment horizontal="center"/>
    </xf>
    <xf numFmtId="0" fontId="12" fillId="4" borderId="9" xfId="8" quotePrefix="1" applyFont="1" applyFill="1" applyBorder="1" applyAlignment="1">
      <alignment wrapText="1"/>
    </xf>
    <xf numFmtId="0" fontId="12" fillId="0" borderId="9" xfId="0" applyFont="1" applyBorder="1" applyAlignment="1">
      <alignment wrapText="1"/>
    </xf>
    <xf numFmtId="0" fontId="12" fillId="4" borderId="9" xfId="8" applyFont="1" applyFill="1" applyBorder="1" applyAlignment="1">
      <alignment horizontal="left"/>
    </xf>
    <xf numFmtId="0" fontId="84" fillId="45" borderId="9" xfId="0" applyFont="1" applyFill="1" applyBorder="1" applyAlignment="1">
      <alignment horizontal="center" vertical="center"/>
    </xf>
    <xf numFmtId="0" fontId="12" fillId="4" borderId="9" xfId="0" applyFont="1" applyFill="1" applyBorder="1" applyAlignment="1">
      <alignment horizontal="left" vertical="top" wrapText="1"/>
    </xf>
    <xf numFmtId="0" fontId="12" fillId="4" borderId="9" xfId="0" applyFont="1" applyFill="1" applyBorder="1" applyAlignment="1">
      <alignment horizontal="left" vertical="center" wrapText="1"/>
    </xf>
    <xf numFmtId="0" fontId="12" fillId="0" borderId="9" xfId="0" applyFont="1" applyBorder="1" applyAlignment="1">
      <alignment horizontal="left" vertical="top" wrapText="1"/>
    </xf>
    <xf numFmtId="0" fontId="12" fillId="16" borderId="9" xfId="0" applyFont="1" applyFill="1" applyBorder="1" applyAlignment="1">
      <alignment horizontal="left" vertical="center" wrapText="1"/>
    </xf>
    <xf numFmtId="0" fontId="12" fillId="0" borderId="9" xfId="0" applyFont="1" applyBorder="1" applyAlignment="1">
      <alignment horizontal="center" vertical="center" wrapText="1"/>
    </xf>
    <xf numFmtId="0" fontId="12" fillId="4" borderId="9" xfId="0" applyFont="1" applyFill="1" applyBorder="1" applyAlignment="1">
      <alignment horizontal="center" vertical="center" wrapText="1"/>
    </xf>
    <xf numFmtId="0" fontId="12" fillId="16" borderId="9" xfId="0" applyFont="1" applyFill="1" applyBorder="1" applyAlignment="1">
      <alignment horizontal="left" vertical="top"/>
    </xf>
    <xf numFmtId="168" fontId="12" fillId="16" borderId="9" xfId="0" applyNumberFormat="1" applyFont="1" applyFill="1" applyBorder="1" applyAlignment="1">
      <alignment horizontal="left" vertical="top"/>
    </xf>
    <xf numFmtId="168" fontId="12" fillId="4" borderId="9" xfId="0" applyNumberFormat="1" applyFont="1" applyFill="1" applyBorder="1" applyAlignment="1">
      <alignment horizontal="left" vertical="top"/>
    </xf>
    <xf numFmtId="168" fontId="12" fillId="0" borderId="9" xfId="0" applyNumberFormat="1" applyFont="1" applyBorder="1" applyAlignment="1">
      <alignment horizontal="left" vertical="top"/>
    </xf>
    <xf numFmtId="0" fontId="12" fillId="16" borderId="9" xfId="0" applyFont="1" applyFill="1" applyBorder="1" applyAlignment="1">
      <alignment horizontal="left" vertical="top" wrapText="1"/>
    </xf>
    <xf numFmtId="0" fontId="12" fillId="4" borderId="9" xfId="0" applyFont="1" applyFill="1" applyBorder="1" applyAlignment="1">
      <alignment vertical="center" wrapText="1"/>
    </xf>
    <xf numFmtId="0" fontId="12" fillId="0" borderId="9" xfId="0" applyFont="1" applyBorder="1" applyAlignment="1">
      <alignment horizontal="center" vertical="top" wrapText="1"/>
    </xf>
    <xf numFmtId="0" fontId="12" fillId="4" borderId="9" xfId="0" applyFont="1" applyFill="1" applyBorder="1" applyAlignment="1">
      <alignment horizontal="left" vertical="top"/>
    </xf>
    <xf numFmtId="0" fontId="48" fillId="6" borderId="0" xfId="5" applyFont="1" applyFill="1" applyAlignment="1">
      <alignment vertical="center"/>
    </xf>
    <xf numFmtId="0" fontId="12" fillId="4" borderId="9" xfId="8" applyFont="1" applyFill="1" applyBorder="1" applyAlignment="1">
      <alignment horizontal="left" vertical="center"/>
    </xf>
    <xf numFmtId="0" fontId="32" fillId="4" borderId="19" xfId="8" applyFont="1" applyFill="1" applyBorder="1" applyAlignment="1">
      <alignment horizontal="left" vertical="center" wrapText="1"/>
    </xf>
    <xf numFmtId="0" fontId="32" fillId="4" borderId="30" xfId="8" applyFont="1" applyFill="1" applyBorder="1" applyAlignment="1">
      <alignment horizontal="left" vertical="center" wrapText="1"/>
    </xf>
    <xf numFmtId="0" fontId="32" fillId="4" borderId="23" xfId="8" applyFont="1" applyFill="1" applyBorder="1" applyAlignment="1">
      <alignment horizontal="left" vertical="center" wrapText="1"/>
    </xf>
    <xf numFmtId="0" fontId="12" fillId="4" borderId="16" xfId="8" applyFont="1" applyFill="1" applyBorder="1" applyAlignment="1">
      <alignment horizontal="left"/>
    </xf>
    <xf numFmtId="0" fontId="12" fillId="4" borderId="17" xfId="8" applyFont="1" applyFill="1" applyBorder="1" applyAlignment="1">
      <alignment horizontal="left"/>
    </xf>
    <xf numFmtId="0" fontId="12" fillId="4" borderId="18" xfId="8" applyFont="1" applyFill="1" applyBorder="1" applyAlignment="1">
      <alignment horizontal="left"/>
    </xf>
    <xf numFmtId="0" fontId="12" fillId="4" borderId="19" xfId="8" applyFont="1" applyFill="1" applyBorder="1" applyAlignment="1">
      <alignment horizontal="left" vertical="center"/>
    </xf>
    <xf numFmtId="0" fontId="12" fillId="4" borderId="30" xfId="8" applyFont="1" applyFill="1" applyBorder="1" applyAlignment="1">
      <alignment horizontal="left" vertical="center"/>
    </xf>
    <xf numFmtId="0" fontId="12" fillId="4" borderId="23" xfId="8" applyFont="1" applyFill="1" applyBorder="1" applyAlignment="1">
      <alignment horizontal="left" vertical="center"/>
    </xf>
    <xf numFmtId="0" fontId="12" fillId="4" borderId="19" xfId="8" applyFont="1" applyFill="1" applyBorder="1" applyAlignment="1">
      <alignment horizontal="left" vertical="center" wrapText="1"/>
    </xf>
    <xf numFmtId="0" fontId="12" fillId="4" borderId="30" xfId="8" applyFont="1" applyFill="1" applyBorder="1" applyAlignment="1">
      <alignment horizontal="left" vertical="center" wrapText="1"/>
    </xf>
    <xf numFmtId="0" fontId="12" fillId="4" borderId="23" xfId="8" applyFont="1" applyFill="1" applyBorder="1" applyAlignment="1">
      <alignment horizontal="left" vertical="center" wrapText="1"/>
    </xf>
    <xf numFmtId="0" fontId="12" fillId="4" borderId="19" xfId="8" applyFont="1" applyFill="1" applyBorder="1" applyAlignment="1">
      <alignment horizontal="center" vertical="center" wrapText="1"/>
    </xf>
    <xf numFmtId="0" fontId="12" fillId="4" borderId="30" xfId="8" applyFont="1" applyFill="1" applyBorder="1" applyAlignment="1">
      <alignment horizontal="center" vertical="center" wrapText="1"/>
    </xf>
    <xf numFmtId="0" fontId="12" fillId="4" borderId="23" xfId="8" applyFont="1" applyFill="1" applyBorder="1" applyAlignment="1">
      <alignment horizontal="center" vertical="center" wrapText="1"/>
    </xf>
    <xf numFmtId="0" fontId="12" fillId="10" borderId="18" xfId="0" applyFont="1" applyFill="1" applyBorder="1" applyAlignment="1">
      <alignment horizontal="left"/>
    </xf>
    <xf numFmtId="0" fontId="12" fillId="16" borderId="19" xfId="0" applyFont="1" applyFill="1" applyBorder="1" applyAlignment="1">
      <alignment horizontal="left" vertical="center" wrapText="1"/>
    </xf>
    <xf numFmtId="0" fontId="12" fillId="16" borderId="30" xfId="0" applyFont="1" applyFill="1" applyBorder="1" applyAlignment="1">
      <alignment horizontal="left" vertical="center" wrapText="1"/>
    </xf>
    <xf numFmtId="0" fontId="12" fillId="4" borderId="19" xfId="0" applyFont="1" applyFill="1" applyBorder="1" applyAlignment="1">
      <alignment horizontal="left" vertical="center" wrapText="1"/>
    </xf>
    <xf numFmtId="0" fontId="12" fillId="4" borderId="30" xfId="0" applyFont="1" applyFill="1" applyBorder="1" applyAlignment="1">
      <alignment horizontal="left" vertical="center" wrapText="1"/>
    </xf>
    <xf numFmtId="0" fontId="12" fillId="16" borderId="19" xfId="0" applyFont="1" applyFill="1" applyBorder="1" applyAlignment="1">
      <alignment horizontal="center" vertical="center" wrapText="1"/>
    </xf>
    <xf numFmtId="0" fontId="12" fillId="16" borderId="30" xfId="0" applyFont="1" applyFill="1" applyBorder="1" applyAlignment="1">
      <alignment horizontal="center" vertical="center" wrapText="1"/>
    </xf>
    <xf numFmtId="0" fontId="12" fillId="16" borderId="9" xfId="0" applyFont="1" applyFill="1" applyBorder="1" applyAlignment="1">
      <alignment horizontal="center" vertical="center" wrapText="1"/>
    </xf>
    <xf numFmtId="0" fontId="12" fillId="16" borderId="9" xfId="0" applyFont="1" applyFill="1" applyBorder="1" applyAlignment="1">
      <alignment horizontal="center" vertical="top" wrapText="1"/>
    </xf>
    <xf numFmtId="0" fontId="4" fillId="16" borderId="9" xfId="0" applyFont="1" applyFill="1" applyBorder="1" applyAlignment="1">
      <alignment horizontal="left" vertical="center" wrapText="1"/>
    </xf>
    <xf numFmtId="0" fontId="12" fillId="4" borderId="23" xfId="0" applyFont="1" applyFill="1" applyBorder="1" applyAlignment="1">
      <alignment horizontal="left" vertical="center" wrapText="1"/>
    </xf>
    <xf numFmtId="0" fontId="12" fillId="0" borderId="9" xfId="0" applyFont="1" applyBorder="1" applyAlignment="1">
      <alignment horizontal="left" vertical="top"/>
    </xf>
    <xf numFmtId="0" fontId="12" fillId="4" borderId="30" xfId="0" applyFont="1" applyFill="1" applyBorder="1" applyAlignment="1">
      <alignment horizontal="center" vertical="center" wrapText="1"/>
    </xf>
    <xf numFmtId="0" fontId="12" fillId="11" borderId="9" xfId="0" applyFont="1" applyFill="1" applyBorder="1" applyAlignment="1">
      <alignment horizontal="left" vertical="center" wrapText="1"/>
    </xf>
    <xf numFmtId="0" fontId="12" fillId="0" borderId="19" xfId="0" applyFont="1" applyBorder="1" applyAlignment="1">
      <alignment horizontal="left" vertical="center" wrapText="1"/>
    </xf>
    <xf numFmtId="0" fontId="12" fillId="0" borderId="30" xfId="0" applyFont="1" applyBorder="1" applyAlignment="1">
      <alignment horizontal="left" vertical="center" wrapText="1"/>
    </xf>
    <xf numFmtId="0" fontId="12" fillId="16" borderId="19" xfId="0" applyFont="1" applyFill="1" applyBorder="1" applyAlignment="1">
      <alignment vertical="center" wrapText="1"/>
    </xf>
    <xf numFmtId="0" fontId="12" fillId="16" borderId="30" xfId="0" applyFont="1" applyFill="1" applyBorder="1" applyAlignment="1">
      <alignment vertical="center" wrapText="1"/>
    </xf>
    <xf numFmtId="0" fontId="12" fillId="0" borderId="23" xfId="0" applyFont="1" applyBorder="1" applyAlignment="1">
      <alignment horizontal="left" vertical="center" wrapText="1"/>
    </xf>
    <xf numFmtId="0" fontId="12" fillId="0" borderId="19" xfId="8" applyFont="1" applyBorder="1" applyAlignment="1">
      <alignment horizontal="left" vertical="center" wrapText="1"/>
    </xf>
    <xf numFmtId="0" fontId="12" fillId="0" borderId="23" xfId="8" applyFont="1" applyBorder="1" applyAlignment="1">
      <alignment horizontal="left" vertical="center" wrapText="1"/>
    </xf>
    <xf numFmtId="165" fontId="12" fillId="0" borderId="16" xfId="13" applyNumberFormat="1" applyFont="1" applyBorder="1" applyAlignment="1">
      <alignment horizontal="left" vertical="center" wrapText="1"/>
    </xf>
    <xf numFmtId="165" fontId="12" fillId="0" borderId="18" xfId="13" applyNumberFormat="1" applyFont="1" applyBorder="1" applyAlignment="1">
      <alignment horizontal="left" vertical="center" wrapText="1"/>
    </xf>
    <xf numFmtId="168" fontId="12" fillId="0" borderId="9" xfId="5" applyNumberFormat="1" applyFont="1" applyBorder="1" applyAlignment="1">
      <alignment horizontal="left" vertical="center"/>
    </xf>
    <xf numFmtId="0" fontId="12" fillId="0" borderId="9" xfId="0" applyFont="1" applyBorder="1" applyAlignment="1">
      <alignment horizontal="left"/>
    </xf>
    <xf numFmtId="0" fontId="12" fillId="0" borderId="9" xfId="0" applyFont="1" applyBorder="1"/>
    <xf numFmtId="165" fontId="12" fillId="0" borderId="19" xfId="13" applyNumberFormat="1" applyFont="1" applyBorder="1" applyAlignment="1">
      <alignment horizontal="left" vertical="center" wrapText="1"/>
    </xf>
    <xf numFmtId="0" fontId="12" fillId="0" borderId="16" xfId="0" applyFont="1" applyBorder="1" applyAlignment="1">
      <alignment horizontal="left" vertical="center" wrapText="1"/>
    </xf>
    <xf numFmtId="0" fontId="12" fillId="0" borderId="16" xfId="8" applyFont="1" applyBorder="1" applyAlignment="1">
      <alignment wrapText="1"/>
    </xf>
    <xf numFmtId="0" fontId="12" fillId="0" borderId="18" xfId="8" applyFont="1" applyBorder="1" applyAlignment="1">
      <alignment wrapText="1"/>
    </xf>
    <xf numFmtId="0" fontId="12" fillId="0" borderId="9" xfId="8" applyFont="1" applyBorder="1" applyAlignment="1">
      <alignment wrapText="1"/>
    </xf>
    <xf numFmtId="165" fontId="12" fillId="0" borderId="23" xfId="13" applyNumberFormat="1" applyFont="1" applyBorder="1" applyAlignment="1">
      <alignment horizontal="left" vertical="center" wrapText="1"/>
    </xf>
    <xf numFmtId="165" fontId="4" fillId="0" borderId="19" xfId="13" applyNumberFormat="1" applyFont="1" applyBorder="1" applyAlignment="1">
      <alignment horizontal="left" vertical="center" wrapText="1"/>
    </xf>
    <xf numFmtId="165" fontId="4" fillId="0" borderId="23" xfId="13" applyNumberFormat="1" applyFont="1" applyBorder="1" applyAlignment="1">
      <alignment horizontal="left" vertical="center" wrapText="1"/>
    </xf>
    <xf numFmtId="0" fontId="12" fillId="15" borderId="16" xfId="0" applyFont="1" applyFill="1" applyBorder="1" applyAlignment="1">
      <alignment horizontal="center" vertical="center" wrapText="1"/>
    </xf>
    <xf numFmtId="0" fontId="12" fillId="15" borderId="17" xfId="0" applyFont="1" applyFill="1" applyBorder="1" applyAlignment="1">
      <alignment horizontal="center" vertical="center" wrapText="1"/>
    </xf>
    <xf numFmtId="0" fontId="12" fillId="15" borderId="18" xfId="0" applyFont="1" applyFill="1" applyBorder="1" applyAlignment="1">
      <alignment horizontal="center" vertical="center" wrapText="1"/>
    </xf>
    <xf numFmtId="0" fontId="12" fillId="11" borderId="9" xfId="5" applyFont="1" applyFill="1" applyBorder="1" applyAlignment="1">
      <alignment horizontal="left" vertical="center" wrapText="1"/>
    </xf>
    <xf numFmtId="165" fontId="12" fillId="0" borderId="19" xfId="6" applyNumberFormat="1" applyFont="1" applyBorder="1" applyAlignment="1">
      <alignment horizontal="left" vertical="center" wrapText="1"/>
    </xf>
    <xf numFmtId="165" fontId="12" fillId="0" borderId="23" xfId="6" applyNumberFormat="1" applyFont="1" applyBorder="1" applyAlignment="1">
      <alignment horizontal="left" vertical="center" wrapText="1"/>
    </xf>
    <xf numFmtId="0" fontId="12" fillId="17" borderId="9" xfId="0" applyFont="1" applyFill="1" applyBorder="1" applyAlignment="1">
      <alignment horizontal="left"/>
    </xf>
    <xf numFmtId="0" fontId="12" fillId="17" borderId="9" xfId="0" applyFont="1" applyFill="1" applyBorder="1"/>
    <xf numFmtId="165" fontId="12" fillId="0" borderId="25" xfId="13" applyNumberFormat="1" applyFont="1" applyBorder="1" applyAlignment="1">
      <alignment horizontal="left" vertical="center" wrapText="1"/>
    </xf>
    <xf numFmtId="165" fontId="49" fillId="0" borderId="9" xfId="13" applyNumberFormat="1" applyFont="1" applyBorder="1" applyAlignment="1">
      <alignment vertical="center" wrapText="1"/>
    </xf>
    <xf numFmtId="0" fontId="32" fillId="0" borderId="9" xfId="8" applyFont="1" applyBorder="1" applyAlignment="1">
      <alignment horizontal="left" vertical="center"/>
    </xf>
    <xf numFmtId="0" fontId="12" fillId="0" borderId="9" xfId="8" applyFont="1" applyBorder="1" applyAlignment="1">
      <alignment horizontal="left" vertical="center" wrapText="1"/>
    </xf>
    <xf numFmtId="0" fontId="12" fillId="0" borderId="9" xfId="8" applyFont="1" applyBorder="1" applyAlignment="1">
      <alignment vertical="center" wrapText="1"/>
    </xf>
    <xf numFmtId="0" fontId="12" fillId="0" borderId="9" xfId="0" applyFont="1" applyBorder="1" applyAlignment="1">
      <alignment vertical="center" wrapText="1"/>
    </xf>
    <xf numFmtId="0" fontId="12" fillId="0" borderId="19" xfId="8" applyFont="1" applyBorder="1"/>
    <xf numFmtId="0" fontId="12" fillId="0" borderId="30" xfId="0" applyFont="1" applyBorder="1"/>
    <xf numFmtId="0" fontId="12" fillId="0" borderId="23" xfId="0" applyFont="1" applyBorder="1"/>
    <xf numFmtId="0" fontId="12" fillId="0" borderId="20" xfId="8" applyFont="1" applyBorder="1" applyAlignment="1">
      <alignment wrapText="1"/>
    </xf>
    <xf numFmtId="0" fontId="12" fillId="0" borderId="27" xfId="8" applyFont="1" applyBorder="1" applyAlignment="1">
      <alignment wrapText="1"/>
    </xf>
    <xf numFmtId="165" fontId="12" fillId="0" borderId="30" xfId="13" applyNumberFormat="1" applyFont="1" applyBorder="1" applyAlignment="1">
      <alignment horizontal="left" vertical="center" wrapText="1"/>
    </xf>
    <xf numFmtId="0" fontId="12" fillId="4" borderId="16" xfId="0" applyFont="1" applyFill="1" applyBorder="1" applyAlignment="1">
      <alignment horizontal="left" vertical="center" wrapText="1"/>
    </xf>
    <xf numFmtId="0" fontId="12" fillId="4" borderId="17" xfId="0" applyFont="1" applyFill="1" applyBorder="1" applyAlignment="1">
      <alignment horizontal="left" vertical="center" wrapText="1"/>
    </xf>
    <xf numFmtId="0" fontId="12" fillId="4" borderId="18" xfId="0" applyFont="1" applyFill="1" applyBorder="1" applyAlignment="1">
      <alignment horizontal="left" vertical="center" wrapText="1"/>
    </xf>
    <xf numFmtId="0" fontId="35" fillId="0" borderId="19" xfId="8" applyFont="1" applyBorder="1" applyAlignment="1">
      <alignment horizontal="left" vertical="center"/>
    </xf>
    <xf numFmtId="0" fontId="35" fillId="0" borderId="30" xfId="8" applyFont="1" applyBorder="1" applyAlignment="1">
      <alignment horizontal="left" vertical="center"/>
    </xf>
    <xf numFmtId="0" fontId="1" fillId="0" borderId="30" xfId="0" applyFont="1" applyBorder="1" applyAlignment="1">
      <alignment horizontal="left" vertical="center"/>
    </xf>
    <xf numFmtId="0" fontId="1" fillId="0" borderId="23" xfId="0" applyFont="1" applyBorder="1" applyAlignment="1">
      <alignment horizontal="left" vertical="center"/>
    </xf>
    <xf numFmtId="165" fontId="12" fillId="0" borderId="9" xfId="13" applyNumberFormat="1" applyFont="1" applyBorder="1" applyAlignment="1">
      <alignment horizontal="center" vertical="center" wrapText="1"/>
    </xf>
    <xf numFmtId="0" fontId="35" fillId="0" borderId="23" xfId="8" applyFont="1" applyBorder="1" applyAlignment="1">
      <alignment horizontal="left" vertical="center"/>
    </xf>
    <xf numFmtId="0" fontId="35" fillId="4" borderId="19" xfId="8" applyFont="1" applyFill="1" applyBorder="1" applyAlignment="1">
      <alignment horizontal="left" vertical="center"/>
    </xf>
    <xf numFmtId="0" fontId="35" fillId="4" borderId="30" xfId="8" applyFont="1" applyFill="1" applyBorder="1" applyAlignment="1">
      <alignment horizontal="left" vertical="center"/>
    </xf>
    <xf numFmtId="0" fontId="35" fillId="4" borderId="23" xfId="8" applyFont="1" applyFill="1" applyBorder="1" applyAlignment="1">
      <alignment horizontal="left" vertical="center"/>
    </xf>
    <xf numFmtId="0" fontId="49" fillId="4" borderId="9" xfId="8" applyFont="1" applyFill="1" applyBorder="1" applyAlignment="1">
      <alignment horizontal="left" vertical="center" wrapText="1"/>
    </xf>
    <xf numFmtId="165" fontId="1" fillId="0" borderId="30" xfId="13" applyNumberFormat="1" applyBorder="1" applyAlignment="1">
      <alignment horizontal="left" vertical="center" wrapText="1"/>
    </xf>
    <xf numFmtId="165" fontId="1" fillId="0" borderId="23" xfId="13" applyNumberFormat="1" applyBorder="1" applyAlignment="1">
      <alignment horizontal="left" vertical="center" wrapText="1"/>
    </xf>
    <xf numFmtId="165" fontId="12" fillId="0" borderId="17" xfId="13" applyNumberFormat="1" applyFont="1" applyBorder="1" applyAlignment="1">
      <alignment horizontal="left" vertical="center" wrapText="1"/>
    </xf>
    <xf numFmtId="165" fontId="12" fillId="0" borderId="9" xfId="13" applyNumberFormat="1" applyFont="1" applyBorder="1" applyAlignment="1">
      <alignment vertical="center" wrapText="1"/>
    </xf>
    <xf numFmtId="165" fontId="1" fillId="0" borderId="19" xfId="13" applyNumberFormat="1" applyBorder="1" applyAlignment="1">
      <alignment horizontal="left" vertical="center" wrapText="1"/>
    </xf>
    <xf numFmtId="2" fontId="12" fillId="0" borderId="9" xfId="13" applyNumberFormat="1" applyFont="1" applyBorder="1" applyAlignment="1">
      <alignment horizontal="left" vertical="center" wrapText="1"/>
    </xf>
    <xf numFmtId="165" fontId="12" fillId="0" borderId="20" xfId="13" applyNumberFormat="1" applyFont="1" applyBorder="1" applyAlignment="1">
      <alignment horizontal="left" vertical="center" wrapText="1"/>
    </xf>
    <xf numFmtId="165" fontId="12" fillId="0" borderId="27" xfId="13" applyNumberFormat="1" applyFont="1" applyBorder="1" applyAlignment="1">
      <alignment horizontal="left" vertical="center" wrapText="1"/>
    </xf>
    <xf numFmtId="165" fontId="12" fillId="0" borderId="21" xfId="13" applyNumberFormat="1" applyFont="1" applyBorder="1" applyAlignment="1">
      <alignment horizontal="left" vertical="center" wrapText="1"/>
    </xf>
    <xf numFmtId="165" fontId="12" fillId="0" borderId="28" xfId="13" applyNumberFormat="1" applyFont="1" applyBorder="1" applyAlignment="1">
      <alignment horizontal="left" vertical="center" wrapText="1"/>
    </xf>
    <xf numFmtId="165" fontId="12" fillId="0" borderId="26" xfId="13" applyNumberFormat="1" applyFont="1" applyBorder="1" applyAlignment="1">
      <alignment horizontal="left" vertical="center" wrapText="1"/>
    </xf>
    <xf numFmtId="0" fontId="12" fillId="0" borderId="30" xfId="0" applyFont="1" applyBorder="1" applyAlignment="1">
      <alignment horizontal="left" vertical="center"/>
    </xf>
    <xf numFmtId="0" fontId="12" fillId="0" borderId="23" xfId="0" applyFont="1" applyBorder="1" applyAlignment="1">
      <alignment horizontal="left" vertical="center"/>
    </xf>
    <xf numFmtId="0" fontId="12" fillId="0" borderId="9" xfId="8" applyFont="1" applyBorder="1" applyAlignment="1">
      <alignment horizontal="left" vertical="center"/>
    </xf>
    <xf numFmtId="0" fontId="12" fillId="0" borderId="19" xfId="8" applyFont="1" applyBorder="1" applyAlignment="1">
      <alignment wrapText="1"/>
    </xf>
    <xf numFmtId="0" fontId="12" fillId="0" borderId="23" xfId="0" applyFont="1" applyBorder="1" applyAlignment="1">
      <alignment wrapText="1"/>
    </xf>
    <xf numFmtId="0" fontId="12" fillId="0" borderId="30" xfId="0" applyFont="1" applyBorder="1" applyAlignment="1">
      <alignment wrapText="1"/>
    </xf>
    <xf numFmtId="0" fontId="49" fillId="0" borderId="9" xfId="0" applyFont="1" applyBorder="1" applyAlignment="1">
      <alignment horizontal="left" vertical="center" wrapText="1"/>
    </xf>
    <xf numFmtId="0" fontId="49" fillId="0" borderId="16" xfId="0" applyFont="1" applyBorder="1" applyAlignment="1">
      <alignment horizontal="left" vertical="center" wrapText="1"/>
    </xf>
    <xf numFmtId="0" fontId="49" fillId="0" borderId="9" xfId="0" applyFont="1" applyBorder="1" applyAlignment="1">
      <alignment vertical="center" wrapText="1"/>
    </xf>
    <xf numFmtId="0" fontId="12" fillId="4" borderId="9" xfId="8" applyFont="1" applyFill="1" applyBorder="1" applyAlignment="1">
      <alignment wrapText="1"/>
    </xf>
    <xf numFmtId="0" fontId="12" fillId="4" borderId="16" xfId="8" applyFont="1" applyFill="1" applyBorder="1" applyAlignment="1">
      <alignment wrapText="1"/>
    </xf>
    <xf numFmtId="0" fontId="12" fillId="11" borderId="16" xfId="0" applyFont="1" applyFill="1" applyBorder="1" applyAlignment="1">
      <alignment horizontal="center" vertical="center" wrapText="1"/>
    </xf>
    <xf numFmtId="3" fontId="12" fillId="0" borderId="9" xfId="0" applyNumberFormat="1" applyFont="1" applyBorder="1" applyAlignment="1">
      <alignment horizontal="left" vertical="center" wrapText="1"/>
    </xf>
    <xf numFmtId="3" fontId="12" fillId="0" borderId="16" xfId="0" applyNumberFormat="1" applyFont="1" applyBorder="1" applyAlignment="1">
      <alignment horizontal="left" vertical="center" wrapText="1"/>
    </xf>
    <xf numFmtId="0" fontId="1" fillId="0" borderId="19" xfId="8" applyFont="1" applyBorder="1" applyAlignment="1">
      <alignment horizontal="left" vertical="center" wrapText="1"/>
    </xf>
    <xf numFmtId="0" fontId="1" fillId="0" borderId="30" xfId="8" applyFont="1" applyBorder="1" applyAlignment="1">
      <alignment horizontal="left" vertical="center" wrapText="1"/>
    </xf>
    <xf numFmtId="0" fontId="1" fillId="0" borderId="23" xfId="8" applyFont="1" applyBorder="1" applyAlignment="1">
      <alignment horizontal="left" vertical="center" wrapText="1"/>
    </xf>
    <xf numFmtId="0" fontId="12" fillId="0" borderId="21" xfId="8" applyFont="1" applyBorder="1" applyAlignment="1">
      <alignment wrapText="1"/>
    </xf>
    <xf numFmtId="0" fontId="12" fillId="0" borderId="22" xfId="0" applyFont="1" applyBorder="1" applyAlignment="1">
      <alignment wrapText="1"/>
    </xf>
    <xf numFmtId="0" fontId="12" fillId="0" borderId="0" xfId="0" applyFont="1" applyAlignment="1">
      <alignment wrapText="1"/>
    </xf>
    <xf numFmtId="0" fontId="12" fillId="0" borderId="24" xfId="0" applyFont="1" applyBorder="1" applyAlignment="1">
      <alignment wrapText="1"/>
    </xf>
    <xf numFmtId="0" fontId="12" fillId="0" borderId="25" xfId="0" applyFont="1" applyBorder="1" applyAlignment="1">
      <alignment wrapText="1"/>
    </xf>
    <xf numFmtId="0" fontId="12" fillId="0" borderId="28" xfId="0" applyFont="1" applyBorder="1" applyAlignment="1">
      <alignment wrapText="1"/>
    </xf>
    <xf numFmtId="0" fontId="12" fillId="0" borderId="26" xfId="0" applyFont="1" applyBorder="1" applyAlignment="1">
      <alignment wrapText="1"/>
    </xf>
    <xf numFmtId="0" fontId="49" fillId="0" borderId="9" xfId="8" applyFont="1" applyBorder="1" applyAlignment="1">
      <alignment wrapText="1"/>
    </xf>
    <xf numFmtId="0" fontId="12" fillId="0" borderId="30" xfId="8" applyFont="1" applyBorder="1" applyAlignment="1">
      <alignment horizontal="left" vertical="center" wrapText="1"/>
    </xf>
    <xf numFmtId="0" fontId="12" fillId="0" borderId="27" xfId="8" applyFont="1" applyBorder="1" applyAlignment="1">
      <alignment horizontal="left" wrapText="1"/>
    </xf>
    <xf numFmtId="0" fontId="12" fillId="0" borderId="22" xfId="8" applyFont="1" applyBorder="1" applyAlignment="1">
      <alignment horizontal="left" wrapText="1"/>
    </xf>
    <xf numFmtId="0" fontId="12" fillId="0" borderId="0" xfId="8" applyFont="1" applyAlignment="1">
      <alignment horizontal="left" wrapText="1"/>
    </xf>
    <xf numFmtId="0" fontId="12" fillId="0" borderId="24" xfId="8" applyFont="1" applyBorder="1" applyAlignment="1">
      <alignment horizontal="left" wrapText="1"/>
    </xf>
    <xf numFmtId="0" fontId="12" fillId="4" borderId="9" xfId="8" applyFont="1" applyFill="1" applyBorder="1" applyAlignment="1">
      <alignment vertical="top" wrapText="1"/>
    </xf>
    <xf numFmtId="0" fontId="12" fillId="4" borderId="16" xfId="8" applyFont="1" applyFill="1" applyBorder="1" applyAlignment="1">
      <alignment vertical="top" wrapText="1"/>
    </xf>
    <xf numFmtId="0" fontId="12" fillId="0" borderId="19" xfId="8" applyFont="1" applyBorder="1" applyAlignment="1">
      <alignment horizontal="center" vertical="center" wrapText="1"/>
    </xf>
    <xf numFmtId="0" fontId="12" fillId="0" borderId="30" xfId="8" applyFont="1" applyBorder="1" applyAlignment="1">
      <alignment horizontal="center" vertical="center" wrapText="1"/>
    </xf>
    <xf numFmtId="0" fontId="12" fillId="0" borderId="23" xfId="8" applyFont="1" applyBorder="1" applyAlignment="1">
      <alignment horizontal="center" vertical="center" wrapText="1"/>
    </xf>
    <xf numFmtId="0" fontId="12" fillId="0" borderId="19" xfId="8" applyFont="1" applyBorder="1" applyAlignment="1">
      <alignment horizontal="center"/>
    </xf>
    <xf numFmtId="0" fontId="12" fillId="0" borderId="30" xfId="8" applyFont="1" applyBorder="1" applyAlignment="1">
      <alignment horizontal="center"/>
    </xf>
    <xf numFmtId="0" fontId="12" fillId="0" borderId="23" xfId="8" applyFont="1" applyBorder="1" applyAlignment="1">
      <alignment horizontal="center"/>
    </xf>
    <xf numFmtId="165" fontId="12" fillId="0" borderId="19" xfId="8" applyNumberFormat="1" applyFont="1" applyBorder="1" applyAlignment="1">
      <alignment horizontal="left" vertical="center"/>
    </xf>
    <xf numFmtId="165" fontId="12" fillId="0" borderId="30" xfId="8" applyNumberFormat="1" applyFont="1" applyBorder="1" applyAlignment="1">
      <alignment horizontal="left" vertical="center"/>
    </xf>
    <xf numFmtId="165" fontId="12" fillId="0" borderId="23" xfId="8" applyNumberFormat="1" applyFont="1" applyBorder="1" applyAlignment="1">
      <alignment horizontal="left" vertical="center"/>
    </xf>
    <xf numFmtId="165" fontId="12" fillId="0" borderId="19" xfId="8" applyNumberFormat="1" applyFont="1" applyBorder="1" applyAlignment="1">
      <alignment horizontal="center" vertical="center"/>
    </xf>
    <xf numFmtId="165" fontId="12" fillId="0" borderId="30" xfId="8" applyNumberFormat="1" applyFont="1" applyBorder="1" applyAlignment="1">
      <alignment horizontal="center" vertical="center"/>
    </xf>
    <xf numFmtId="165" fontId="12" fillId="0" borderId="23" xfId="8" applyNumberFormat="1" applyFont="1" applyBorder="1" applyAlignment="1">
      <alignment horizontal="center" vertical="center"/>
    </xf>
    <xf numFmtId="0" fontId="12" fillId="11" borderId="17" xfId="0" applyFont="1" applyFill="1" applyBorder="1" applyAlignment="1">
      <alignment horizontal="center" vertical="center" wrapText="1"/>
    </xf>
    <xf numFmtId="0" fontId="12" fillId="11" borderId="18" xfId="0" applyFont="1" applyFill="1" applyBorder="1" applyAlignment="1">
      <alignment horizontal="center" vertical="center" wrapText="1"/>
    </xf>
    <xf numFmtId="165" fontId="12" fillId="0" borderId="20" xfId="13" applyNumberFormat="1" applyFont="1" applyBorder="1" applyAlignment="1">
      <alignment horizontal="center" vertical="center" wrapText="1"/>
    </xf>
    <xf numFmtId="165" fontId="12" fillId="0" borderId="27" xfId="13" applyNumberFormat="1" applyFont="1" applyBorder="1" applyAlignment="1">
      <alignment horizontal="center" vertical="center" wrapText="1"/>
    </xf>
    <xf numFmtId="165" fontId="12" fillId="0" borderId="21" xfId="13" applyNumberFormat="1" applyFont="1" applyBorder="1" applyAlignment="1">
      <alignment horizontal="center" vertical="center" wrapText="1"/>
    </xf>
    <xf numFmtId="165" fontId="12" fillId="0" borderId="16" xfId="13" applyNumberFormat="1" applyFont="1" applyBorder="1" applyAlignment="1">
      <alignment horizontal="center" vertical="center" wrapText="1"/>
    </xf>
    <xf numFmtId="165" fontId="12" fillId="0" borderId="17" xfId="13" applyNumberFormat="1" applyFont="1" applyBorder="1" applyAlignment="1">
      <alignment horizontal="center" vertical="center" wrapText="1"/>
    </xf>
    <xf numFmtId="165" fontId="12" fillId="0" borderId="18" xfId="13" applyNumberFormat="1" applyFont="1" applyBorder="1" applyAlignment="1">
      <alignment horizontal="center" vertical="center" wrapText="1"/>
    </xf>
    <xf numFmtId="165" fontId="26" fillId="0" borderId="9" xfId="13" applyNumberFormat="1" applyFont="1" applyBorder="1" applyAlignment="1">
      <alignment horizontal="left" vertical="center"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165" fontId="1" fillId="0" borderId="9" xfId="13" applyNumberFormat="1" applyBorder="1" applyAlignment="1">
      <alignment horizontal="left" vertical="center" wrapText="1"/>
    </xf>
    <xf numFmtId="0" fontId="1" fillId="0" borderId="9" xfId="0" applyFont="1" applyBorder="1" applyAlignment="1">
      <alignment horizontal="left" vertical="center" wrapText="1"/>
    </xf>
    <xf numFmtId="0" fontId="12" fillId="11" borderId="20" xfId="0" applyFont="1" applyFill="1" applyBorder="1" applyAlignment="1">
      <alignment horizontal="center" vertical="center" wrapText="1"/>
    </xf>
    <xf numFmtId="0" fontId="12" fillId="11" borderId="27" xfId="0" applyFont="1" applyFill="1" applyBorder="1" applyAlignment="1">
      <alignment horizontal="center" vertical="center" wrapText="1"/>
    </xf>
    <xf numFmtId="0" fontId="12" fillId="11" borderId="21" xfId="0" applyFont="1" applyFill="1" applyBorder="1" applyAlignment="1">
      <alignment horizontal="center" vertical="center" wrapText="1"/>
    </xf>
    <xf numFmtId="3" fontId="12" fillId="0" borderId="18" xfId="0" applyNumberFormat="1" applyFont="1" applyBorder="1" applyAlignment="1">
      <alignment horizontal="left" vertical="center" wrapText="1"/>
    </xf>
    <xf numFmtId="165" fontId="49" fillId="0" borderId="25" xfId="6" applyNumberFormat="1" applyFont="1" applyBorder="1" applyAlignment="1">
      <alignment vertical="center" wrapText="1"/>
    </xf>
    <xf numFmtId="165" fontId="49" fillId="0" borderId="28" xfId="6" applyNumberFormat="1" applyFont="1" applyBorder="1" applyAlignment="1">
      <alignment vertical="center" wrapText="1"/>
    </xf>
    <xf numFmtId="165" fontId="49" fillId="0" borderId="16" xfId="6" applyNumberFormat="1" applyFont="1" applyBorder="1" applyAlignment="1">
      <alignment vertical="center" wrapText="1"/>
    </xf>
    <xf numFmtId="165" fontId="49" fillId="0" borderId="17" xfId="6" applyNumberFormat="1" applyFont="1" applyBorder="1" applyAlignment="1">
      <alignment vertical="center" wrapText="1"/>
    </xf>
    <xf numFmtId="165" fontId="49" fillId="0" borderId="18" xfId="6" applyNumberFormat="1" applyFont="1" applyBorder="1" applyAlignment="1">
      <alignment vertical="center" wrapText="1"/>
    </xf>
    <xf numFmtId="0" fontId="49" fillId="0" borderId="16" xfId="8" applyFont="1" applyBorder="1" applyAlignment="1">
      <alignment horizontal="left"/>
    </xf>
    <xf numFmtId="0" fontId="49" fillId="0" borderId="17" xfId="8" applyFont="1" applyBorder="1" applyAlignment="1">
      <alignment horizontal="left"/>
    </xf>
    <xf numFmtId="0" fontId="49" fillId="0" borderId="18" xfId="8" applyFont="1" applyBorder="1" applyAlignment="1">
      <alignment horizontal="left"/>
    </xf>
    <xf numFmtId="165" fontId="49" fillId="0" borderId="16" xfId="6" applyNumberFormat="1" applyFont="1" applyBorder="1" applyAlignment="1">
      <alignment horizontal="left" vertical="center" wrapText="1"/>
    </xf>
    <xf numFmtId="165" fontId="49" fillId="0" borderId="17" xfId="6" applyNumberFormat="1" applyFont="1" applyBorder="1" applyAlignment="1">
      <alignment horizontal="left" vertical="center" wrapText="1"/>
    </xf>
    <xf numFmtId="165" fontId="49" fillId="0" borderId="18" xfId="6" applyNumberFormat="1" applyFont="1" applyBorder="1" applyAlignment="1">
      <alignment horizontal="left" vertical="center" wrapText="1"/>
    </xf>
    <xf numFmtId="165" fontId="12" fillId="0" borderId="16" xfId="6" applyNumberFormat="1" applyFont="1" applyBorder="1" applyAlignment="1">
      <alignment horizontal="left" vertical="center" wrapText="1"/>
    </xf>
    <xf numFmtId="165" fontId="12" fillId="0" borderId="17" xfId="6" applyNumberFormat="1" applyFont="1" applyBorder="1" applyAlignment="1">
      <alignment horizontal="left" vertical="center" wrapText="1"/>
    </xf>
    <xf numFmtId="165" fontId="12" fillId="0" borderId="18" xfId="6" applyNumberFormat="1" applyFont="1" applyBorder="1" applyAlignment="1">
      <alignment horizontal="left" vertical="center" wrapText="1"/>
    </xf>
    <xf numFmtId="165" fontId="49" fillId="0" borderId="20" xfId="6" applyNumberFormat="1" applyFont="1" applyBorder="1" applyAlignment="1">
      <alignment vertical="center" wrapText="1"/>
    </xf>
    <xf numFmtId="165" fontId="49" fillId="0" borderId="27" xfId="6" applyNumberFormat="1" applyFont="1" applyBorder="1" applyAlignment="1">
      <alignment vertical="center" wrapText="1"/>
    </xf>
    <xf numFmtId="165" fontId="49" fillId="0" borderId="21" xfId="6" applyNumberFormat="1" applyFont="1" applyBorder="1" applyAlignment="1">
      <alignment vertical="center" wrapText="1"/>
    </xf>
    <xf numFmtId="3" fontId="12" fillId="0" borderId="17" xfId="0" applyNumberFormat="1" applyFont="1" applyBorder="1" applyAlignment="1">
      <alignment horizontal="left" vertical="center" wrapText="1"/>
    </xf>
    <xf numFmtId="165" fontId="49" fillId="0" borderId="9" xfId="6" applyNumberFormat="1" applyFont="1" applyBorder="1" applyAlignment="1">
      <alignment vertical="center" wrapText="1"/>
    </xf>
    <xf numFmtId="165" fontId="12" fillId="0" borderId="16" xfId="13" applyNumberFormat="1" applyFont="1" applyBorder="1" applyAlignment="1">
      <alignment vertical="center" wrapText="1"/>
    </xf>
    <xf numFmtId="165" fontId="12" fillId="0" borderId="17" xfId="13" applyNumberFormat="1" applyFont="1" applyBorder="1" applyAlignment="1">
      <alignment vertical="center" wrapText="1"/>
    </xf>
    <xf numFmtId="165" fontId="12" fillId="0" borderId="18" xfId="13" applyNumberFormat="1" applyFont="1" applyBorder="1" applyAlignment="1">
      <alignment vertical="center" wrapText="1"/>
    </xf>
    <xf numFmtId="165" fontId="49" fillId="0" borderId="9" xfId="13" applyNumberFormat="1" applyFont="1" applyBorder="1" applyAlignment="1">
      <alignment horizontal="left" vertical="center" wrapText="1"/>
    </xf>
    <xf numFmtId="0" fontId="1" fillId="0" borderId="19" xfId="0" applyFont="1" applyBorder="1" applyAlignment="1">
      <alignment horizontal="left" vertical="center" wrapText="1"/>
    </xf>
    <xf numFmtId="0" fontId="1" fillId="0" borderId="23" xfId="0" applyFont="1" applyBorder="1" applyAlignment="1">
      <alignment horizontal="left" vertical="center" wrapText="1"/>
    </xf>
    <xf numFmtId="165" fontId="12" fillId="0" borderId="19" xfId="0" applyNumberFormat="1" applyFont="1" applyBorder="1" applyAlignment="1">
      <alignment horizontal="left" vertical="center" wrapText="1"/>
    </xf>
    <xf numFmtId="165" fontId="12" fillId="0" borderId="30" xfId="0" applyNumberFormat="1" applyFont="1" applyBorder="1" applyAlignment="1">
      <alignment horizontal="left" vertical="center" wrapText="1"/>
    </xf>
    <xf numFmtId="165" fontId="12" fillId="0" borderId="23" xfId="0" applyNumberFormat="1" applyFont="1" applyBorder="1" applyAlignment="1">
      <alignment horizontal="left" vertical="center" wrapText="1"/>
    </xf>
    <xf numFmtId="165" fontId="12" fillId="0" borderId="22" xfId="13" applyNumberFormat="1" applyFont="1" applyBorder="1" applyAlignment="1">
      <alignment vertical="center" wrapText="1"/>
    </xf>
    <xf numFmtId="165" fontId="12" fillId="0" borderId="0" xfId="13" applyNumberFormat="1" applyFont="1" applyAlignment="1">
      <alignment vertical="center" wrapText="1"/>
    </xf>
    <xf numFmtId="0" fontId="12" fillId="4" borderId="18" xfId="8" applyFont="1" applyFill="1" applyBorder="1" applyAlignment="1">
      <alignment wrapText="1"/>
    </xf>
    <xf numFmtId="0" fontId="12" fillId="4" borderId="16" xfId="0" applyFont="1" applyFill="1" applyBorder="1" applyAlignment="1">
      <alignment vertical="center" wrapText="1"/>
    </xf>
    <xf numFmtId="0" fontId="12" fillId="4" borderId="17" xfId="0" applyFont="1" applyFill="1" applyBorder="1" applyAlignment="1">
      <alignment vertical="center" wrapText="1"/>
    </xf>
    <xf numFmtId="0" fontId="12" fillId="4" borderId="18" xfId="0" applyFont="1" applyFill="1" applyBorder="1" applyAlignment="1">
      <alignment vertical="center" wrapText="1"/>
    </xf>
    <xf numFmtId="0" fontId="49" fillId="4" borderId="16" xfId="0" applyFont="1" applyFill="1" applyBorder="1" applyAlignment="1">
      <alignment vertical="center" wrapText="1"/>
    </xf>
    <xf numFmtId="0" fontId="49" fillId="4" borderId="17" xfId="0" applyFont="1" applyFill="1" applyBorder="1" applyAlignment="1">
      <alignment vertical="center" wrapText="1"/>
    </xf>
    <xf numFmtId="0" fontId="49" fillId="4" borderId="18" xfId="0" applyFont="1" applyFill="1" applyBorder="1" applyAlignment="1">
      <alignment vertical="center" wrapText="1"/>
    </xf>
    <xf numFmtId="0" fontId="12" fillId="0" borderId="16" xfId="8" applyFont="1" applyBorder="1" applyAlignment="1">
      <alignment horizontal="center" wrapText="1"/>
    </xf>
    <xf numFmtId="0" fontId="12" fillId="0" borderId="18" xfId="8" applyFont="1" applyBorder="1" applyAlignment="1">
      <alignment horizontal="center" wrapText="1"/>
    </xf>
    <xf numFmtId="0" fontId="12" fillId="0" borderId="16" xfId="0" applyFont="1" applyBorder="1" applyAlignment="1">
      <alignment vertical="center" wrapText="1"/>
    </xf>
    <xf numFmtId="0" fontId="12" fillId="0" borderId="17" xfId="0" applyFont="1" applyBorder="1" applyAlignment="1">
      <alignment vertical="center" wrapText="1"/>
    </xf>
    <xf numFmtId="0" fontId="12" fillId="0" borderId="18" xfId="0" applyFont="1" applyBorder="1" applyAlignment="1">
      <alignment vertical="center" wrapText="1"/>
    </xf>
    <xf numFmtId="0" fontId="12" fillId="11" borderId="19" xfId="0" applyFont="1" applyFill="1" applyBorder="1" applyAlignment="1">
      <alignment horizontal="center" vertical="center" wrapText="1"/>
    </xf>
    <xf numFmtId="0" fontId="12" fillId="0" borderId="23" xfId="0" applyFont="1" applyBorder="1" applyAlignment="1">
      <alignment horizontal="center" vertical="center" wrapText="1"/>
    </xf>
    <xf numFmtId="0" fontId="12" fillId="0" borderId="19" xfId="8" applyFont="1" applyBorder="1" applyAlignment="1">
      <alignment horizontal="left" vertical="top" wrapText="1"/>
    </xf>
    <xf numFmtId="0" fontId="12" fillId="0" borderId="30" xfId="8" applyFont="1" applyBorder="1" applyAlignment="1">
      <alignment horizontal="left" vertical="top" wrapText="1"/>
    </xf>
    <xf numFmtId="168" fontId="12" fillId="0" borderId="19" xfId="5" applyNumberFormat="1" applyFont="1" applyBorder="1" applyAlignment="1">
      <alignment horizontal="left" vertical="center"/>
    </xf>
    <xf numFmtId="168" fontId="12" fillId="0" borderId="30" xfId="5" applyNumberFormat="1" applyFont="1" applyBorder="1" applyAlignment="1">
      <alignment horizontal="left" vertical="center"/>
    </xf>
    <xf numFmtId="168" fontId="12" fillId="0" borderId="23" xfId="5" applyNumberFormat="1" applyFont="1" applyBorder="1" applyAlignment="1">
      <alignment horizontal="left" vertical="center"/>
    </xf>
    <xf numFmtId="165" fontId="12" fillId="0" borderId="16" xfId="6" applyNumberFormat="1" applyFont="1" applyBorder="1" applyAlignment="1">
      <alignment vertical="center" wrapText="1"/>
    </xf>
    <xf numFmtId="165" fontId="12" fillId="0" borderId="17" xfId="6" applyNumberFormat="1" applyFont="1" applyBorder="1" applyAlignment="1">
      <alignment vertical="center" wrapText="1"/>
    </xf>
    <xf numFmtId="165" fontId="12" fillId="0" borderId="18" xfId="6" applyNumberFormat="1" applyFont="1" applyBorder="1" applyAlignment="1">
      <alignment vertical="center" wrapText="1"/>
    </xf>
    <xf numFmtId="0" fontId="12" fillId="4" borderId="16" xfId="8" applyFont="1" applyFill="1" applyBorder="1"/>
    <xf numFmtId="0" fontId="12" fillId="4" borderId="18" xfId="8" applyFont="1" applyFill="1" applyBorder="1"/>
    <xf numFmtId="0" fontId="49" fillId="0" borderId="18" xfId="0" applyFont="1" applyBorder="1" applyAlignment="1">
      <alignment horizontal="left" vertical="center" wrapText="1"/>
    </xf>
    <xf numFmtId="165" fontId="12" fillId="4" borderId="9" xfId="0" applyNumberFormat="1" applyFont="1" applyFill="1" applyBorder="1" applyAlignment="1">
      <alignment horizontal="left" vertical="center" wrapText="1"/>
    </xf>
    <xf numFmtId="165" fontId="12" fillId="0" borderId="9" xfId="0" applyNumberFormat="1" applyFont="1" applyBorder="1" applyAlignment="1">
      <alignment horizontal="left" vertical="center" wrapText="1"/>
    </xf>
    <xf numFmtId="0" fontId="12" fillId="0" borderId="9" xfId="8" applyFont="1" applyBorder="1" applyAlignment="1">
      <alignment horizontal="left" vertical="top" wrapText="1"/>
    </xf>
    <xf numFmtId="165" fontId="12" fillId="0" borderId="9" xfId="8" applyNumberFormat="1" applyFont="1" applyBorder="1" applyAlignment="1">
      <alignment horizontal="left" wrapText="1"/>
    </xf>
    <xf numFmtId="0" fontId="12" fillId="0" borderId="22" xfId="0" applyFont="1" applyBorder="1" applyAlignment="1">
      <alignment horizontal="left" vertical="center" wrapText="1"/>
    </xf>
    <xf numFmtId="0" fontId="12" fillId="0" borderId="0" xfId="0" applyFont="1" applyAlignment="1">
      <alignment horizontal="left" vertical="center" wrapText="1"/>
    </xf>
    <xf numFmtId="0" fontId="12" fillId="0" borderId="24" xfId="0" applyFont="1" applyBorder="1" applyAlignment="1">
      <alignment horizontal="left" vertical="center" wrapText="1"/>
    </xf>
    <xf numFmtId="0" fontId="12" fillId="0" borderId="25" xfId="0" applyFont="1" applyBorder="1" applyAlignment="1">
      <alignment horizontal="left" vertical="center" wrapText="1"/>
    </xf>
    <xf numFmtId="0" fontId="12" fillId="0" borderId="28" xfId="0" applyFont="1" applyBorder="1" applyAlignment="1">
      <alignment horizontal="left" vertical="center" wrapText="1"/>
    </xf>
    <xf numFmtId="0" fontId="12" fillId="0" borderId="26" xfId="0" applyFont="1" applyBorder="1" applyAlignment="1">
      <alignment horizontal="left" vertical="center" wrapText="1"/>
    </xf>
    <xf numFmtId="165" fontId="4" fillId="0" borderId="30" xfId="13" applyNumberFormat="1" applyFont="1" applyBorder="1" applyAlignment="1">
      <alignment horizontal="left" vertical="center" wrapText="1"/>
    </xf>
    <xf numFmtId="165" fontId="12" fillId="0" borderId="19" xfId="0" applyNumberFormat="1" applyFont="1" applyBorder="1" applyAlignment="1">
      <alignment vertical="center" wrapText="1"/>
    </xf>
    <xf numFmtId="165" fontId="12" fillId="0" borderId="30" xfId="0" applyNumberFormat="1" applyFont="1" applyBorder="1" applyAlignment="1">
      <alignment vertical="center" wrapText="1"/>
    </xf>
    <xf numFmtId="165" fontId="12" fillId="0" borderId="23" xfId="0" applyNumberFormat="1" applyFont="1" applyBorder="1" applyAlignment="1">
      <alignment vertical="center" wrapText="1"/>
    </xf>
    <xf numFmtId="0" fontId="99" fillId="0" borderId="9" xfId="0" applyFont="1" applyBorder="1" applyAlignment="1">
      <alignment horizontal="left" vertical="center" wrapText="1"/>
    </xf>
    <xf numFmtId="0" fontId="18" fillId="0" borderId="16" xfId="0" applyFont="1" applyBorder="1" applyAlignment="1">
      <alignment horizontal="left"/>
    </xf>
    <xf numFmtId="0" fontId="18" fillId="0" borderId="17" xfId="0" applyFont="1" applyBorder="1" applyAlignment="1">
      <alignment horizontal="left"/>
    </xf>
    <xf numFmtId="0" fontId="18" fillId="0" borderId="18" xfId="0" applyFont="1" applyBorder="1" applyAlignment="1">
      <alignment horizontal="left"/>
    </xf>
    <xf numFmtId="0" fontId="12" fillId="0" borderId="19" xfId="8" applyFont="1" applyBorder="1" applyAlignment="1">
      <alignment horizontal="left" wrapText="1"/>
    </xf>
    <xf numFmtId="0" fontId="12" fillId="0" borderId="23" xfId="0" applyFont="1" applyBorder="1" applyAlignment="1">
      <alignment horizontal="left" wrapText="1"/>
    </xf>
    <xf numFmtId="0" fontId="12" fillId="15" borderId="20" xfId="0" applyFont="1" applyFill="1" applyBorder="1" applyAlignment="1">
      <alignment horizontal="center" vertical="center" wrapText="1"/>
    </xf>
    <xf numFmtId="0" fontId="12" fillId="15" borderId="27" xfId="0" applyFont="1" applyFill="1" applyBorder="1" applyAlignment="1">
      <alignment horizontal="center" vertical="center" wrapText="1"/>
    </xf>
    <xf numFmtId="0" fontId="12" fillId="15" borderId="21" xfId="0" applyFont="1" applyFill="1" applyBorder="1" applyAlignment="1">
      <alignment horizontal="center" vertical="center" wrapText="1"/>
    </xf>
    <xf numFmtId="0" fontId="12" fillId="15" borderId="25" xfId="0" applyFont="1" applyFill="1" applyBorder="1" applyAlignment="1">
      <alignment horizontal="center" vertical="center" wrapText="1"/>
    </xf>
    <xf numFmtId="0" fontId="12" fillId="15" borderId="28" xfId="0" applyFont="1" applyFill="1" applyBorder="1" applyAlignment="1">
      <alignment horizontal="center" vertical="center" wrapText="1"/>
    </xf>
    <xf numFmtId="0" fontId="12" fillId="15" borderId="26" xfId="0" applyFont="1" applyFill="1" applyBorder="1" applyAlignment="1">
      <alignment horizontal="center" vertical="center" wrapText="1"/>
    </xf>
    <xf numFmtId="165" fontId="1" fillId="0" borderId="9" xfId="6" applyNumberFormat="1" applyBorder="1" applyAlignment="1">
      <alignment horizontal="left" vertical="center" wrapText="1"/>
    </xf>
    <xf numFmtId="0" fontId="12" fillId="0" borderId="0" xfId="6" applyFont="1" applyAlignment="1">
      <alignment horizontal="left" vertical="center" wrapText="1"/>
    </xf>
    <xf numFmtId="0" fontId="12" fillId="0" borderId="0" xfId="0" applyFont="1" applyAlignment="1">
      <alignment horizontal="left" wrapText="1"/>
    </xf>
    <xf numFmtId="0" fontId="21" fillId="6" borderId="55" xfId="5" applyFont="1" applyFill="1" applyBorder="1" applyAlignment="1">
      <alignment vertical="center"/>
    </xf>
    <xf numFmtId="0" fontId="1" fillId="0" borderId="56" xfId="0" applyFont="1" applyBorder="1" applyAlignment="1">
      <alignment vertical="center"/>
    </xf>
    <xf numFmtId="0" fontId="1" fillId="0" borderId="57" xfId="0" applyFont="1" applyBorder="1" applyAlignment="1">
      <alignment vertical="center"/>
    </xf>
    <xf numFmtId="0" fontId="12" fillId="0" borderId="0" xfId="6" applyFont="1" applyAlignment="1">
      <alignment horizontal="left" wrapText="1"/>
    </xf>
    <xf numFmtId="0" fontId="81" fillId="9" borderId="39" xfId="0" applyFont="1" applyFill="1" applyBorder="1" applyAlignment="1">
      <alignment horizontal="center" vertical="center"/>
    </xf>
    <xf numFmtId="0" fontId="62" fillId="20" borderId="41" xfId="0" applyFont="1" applyFill="1" applyBorder="1" applyAlignment="1">
      <alignment wrapText="1"/>
    </xf>
    <xf numFmtId="43" fontId="52" fillId="22" borderId="20" xfId="1" applyFont="1" applyFill="1" applyBorder="1" applyAlignment="1">
      <alignment horizontal="center" wrapText="1"/>
    </xf>
    <xf numFmtId="43" fontId="52" fillId="23" borderId="20" xfId="1" applyFont="1" applyFill="1" applyBorder="1" applyAlignment="1">
      <alignment horizontal="center" wrapText="1"/>
    </xf>
    <xf numFmtId="0" fontId="36" fillId="27" borderId="39" xfId="0" applyFont="1" applyFill="1" applyBorder="1" applyAlignment="1">
      <alignment horizontal="center" vertical="center" wrapText="1"/>
    </xf>
    <xf numFmtId="0" fontId="36" fillId="22" borderId="39" xfId="0" applyFont="1" applyFill="1" applyBorder="1" applyAlignment="1">
      <alignment horizontal="center" vertical="center"/>
    </xf>
    <xf numFmtId="0" fontId="62" fillId="0" borderId="0" xfId="0" applyFont="1"/>
    <xf numFmtId="0" fontId="48" fillId="7" borderId="19" xfId="0" applyFont="1" applyFill="1" applyBorder="1" applyAlignment="1">
      <alignment horizontal="center" wrapText="1"/>
    </xf>
    <xf numFmtId="0" fontId="48" fillId="22" borderId="19" xfId="0" applyFont="1" applyFill="1" applyBorder="1" applyAlignment="1">
      <alignment horizontal="center" wrapText="1"/>
    </xf>
    <xf numFmtId="171" fontId="48" fillId="13" borderId="19" xfId="0" applyNumberFormat="1" applyFont="1" applyFill="1" applyBorder="1" applyAlignment="1">
      <alignment horizontal="center" wrapText="1"/>
    </xf>
    <xf numFmtId="171" fontId="48" fillId="13" borderId="19" xfId="2" applyNumberFormat="1" applyFont="1" applyFill="1" applyBorder="1" applyAlignment="1">
      <alignment horizontal="center" wrapText="1"/>
    </xf>
    <xf numFmtId="0" fontId="36" fillId="19" borderId="21" xfId="0" applyFont="1" applyFill="1" applyBorder="1" applyAlignment="1">
      <alignment horizontal="center" wrapText="1"/>
    </xf>
    <xf numFmtId="0" fontId="48" fillId="24" borderId="19" xfId="0" applyFont="1" applyFill="1" applyBorder="1" applyAlignment="1">
      <alignment horizontal="center" wrapText="1"/>
    </xf>
    <xf numFmtId="0" fontId="36" fillId="19" borderId="20" xfId="0" applyFont="1" applyFill="1" applyBorder="1" applyAlignment="1">
      <alignment horizontal="center" wrapText="1"/>
    </xf>
    <xf numFmtId="2" fontId="48" fillId="13" borderId="19" xfId="0" applyNumberFormat="1" applyFont="1" applyFill="1" applyBorder="1" applyAlignment="1">
      <alignment horizontal="center" wrapText="1"/>
    </xf>
    <xf numFmtId="165" fontId="48" fillId="13" borderId="20" xfId="0" applyNumberFormat="1" applyFont="1" applyFill="1" applyBorder="1" applyAlignment="1">
      <alignment horizontal="center" wrapText="1"/>
    </xf>
    <xf numFmtId="0" fontId="25" fillId="19" borderId="19" xfId="0" applyFont="1" applyFill="1" applyBorder="1" applyAlignment="1">
      <alignment horizontal="center" wrapText="1"/>
    </xf>
    <xf numFmtId="0" fontId="5" fillId="4" borderId="60" xfId="0" applyFont="1" applyFill="1" applyBorder="1" applyAlignment="1">
      <alignment horizontal="center"/>
    </xf>
    <xf numFmtId="0" fontId="5" fillId="4" borderId="61" xfId="0" applyFont="1" applyFill="1" applyBorder="1" applyAlignment="1">
      <alignment horizontal="center"/>
    </xf>
    <xf numFmtId="0" fontId="5" fillId="4" borderId="62" xfId="0" applyFont="1" applyFill="1" applyBorder="1" applyAlignment="1">
      <alignment horizontal="center"/>
    </xf>
    <xf numFmtId="0" fontId="5" fillId="4" borderId="63" xfId="0" applyFont="1" applyFill="1" applyBorder="1" applyAlignment="1">
      <alignment horizontal="center"/>
    </xf>
    <xf numFmtId="0" fontId="5" fillId="4" borderId="64" xfId="0" applyFont="1" applyFill="1" applyBorder="1" applyAlignment="1">
      <alignment horizontal="center"/>
    </xf>
  </cellXfs>
  <cellStyles count="23">
    <cellStyle name="Comma" xfId="1" builtinId="3"/>
    <cellStyle name="Comma 2 4" xfId="9" xr:uid="{00000000-0005-0000-0000-000001000000}"/>
    <cellStyle name="Currency" xfId="2" builtinId="4"/>
    <cellStyle name="Currency 2" xfId="19" xr:uid="{00000000-0005-0000-0000-000003000000}"/>
    <cellStyle name="Currency 2 2 2 5" xfId="10" xr:uid="{00000000-0005-0000-0000-000004000000}"/>
    <cellStyle name="Hyperlink" xfId="17" builtinId="8"/>
    <cellStyle name="Input" xfId="4" builtinId="20"/>
    <cellStyle name="Neutral 2" xfId="14" xr:uid="{00000000-0005-0000-0000-000007000000}"/>
    <cellStyle name="Normal" xfId="0" builtinId="0"/>
    <cellStyle name="Normal 10" xfId="22" xr:uid="{DFAD8AE4-1F3C-4530-9972-9A61C8666158}"/>
    <cellStyle name="Normal 2 2 2 2 33" xfId="13" xr:uid="{00000000-0005-0000-0000-000009000000}"/>
    <cellStyle name="Normal 2 4 21" xfId="6" xr:uid="{00000000-0005-0000-0000-00000A000000}"/>
    <cellStyle name="Normal 20 11" xfId="5" xr:uid="{00000000-0005-0000-0000-00000B000000}"/>
    <cellStyle name="Normal 3 40" xfId="12" xr:uid="{00000000-0005-0000-0000-00000C000000}"/>
    <cellStyle name="Normal 3 56" xfId="8" xr:uid="{00000000-0005-0000-0000-00000D000000}"/>
    <cellStyle name="Normal 4" xfId="21" xr:uid="{E956A955-E89A-4C97-AC27-9A7140FBADB4}"/>
    <cellStyle name="Normal_Avoided Cost Benefits" xfId="18" xr:uid="{00000000-0005-0000-0000-00000E000000}"/>
    <cellStyle name="Percent" xfId="3" builtinId="5"/>
    <cellStyle name="Percent 2" xfId="20" xr:uid="{00000000-0005-0000-0000-000010000000}"/>
    <cellStyle name="Percent 2 2" xfId="11" xr:uid="{00000000-0005-0000-0000-000011000000}"/>
    <cellStyle name="Percent 3" xfId="16" xr:uid="{00000000-0005-0000-0000-000012000000}"/>
    <cellStyle name="Percent 7" xfId="15" xr:uid="{00000000-0005-0000-0000-000013000000}"/>
    <cellStyle name="Percent 8 12" xfId="7" xr:uid="{00000000-0005-0000-0000-000014000000}"/>
  </cellStyles>
  <dxfs count="242">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auto="1"/>
      </font>
    </dxf>
    <dxf>
      <fill>
        <patternFill>
          <bgColor rgb="FFFF66CC"/>
        </patternFill>
      </fill>
    </dxf>
    <dxf>
      <font>
        <color rgb="FF9C0006"/>
      </font>
      <fill>
        <patternFill>
          <bgColor rgb="FFFFC7CE"/>
        </patternFill>
      </fill>
    </dxf>
    <dxf>
      <font>
        <color rgb="FF9C0006"/>
      </font>
      <fill>
        <patternFill>
          <bgColor rgb="FFFFC7CE"/>
        </patternFill>
      </fill>
    </dxf>
    <dxf>
      <font>
        <color auto="1"/>
      </font>
    </dxf>
    <dxf>
      <font>
        <color rgb="FFFF0000"/>
      </font>
    </dxf>
    <dxf>
      <font>
        <color rgb="FFFF0000"/>
      </font>
    </dxf>
    <dxf>
      <font>
        <color auto="1"/>
      </font>
    </dxf>
    <dxf>
      <font>
        <color auto="1"/>
      </font>
    </dxf>
    <dxf>
      <font>
        <color rgb="FFFF0000"/>
      </font>
    </dxf>
    <dxf>
      <font>
        <color auto="1"/>
      </font>
    </dxf>
    <dxf>
      <font>
        <color rgb="FFFF0000"/>
      </font>
    </dxf>
    <dxf>
      <font>
        <color rgb="FFFF0000"/>
      </font>
    </dxf>
    <dxf>
      <font>
        <color auto="1"/>
      </font>
    </dxf>
    <dxf>
      <font>
        <color auto="1"/>
      </font>
    </dxf>
    <dxf>
      <font>
        <color rgb="FFFF0000"/>
      </font>
    </dxf>
    <dxf>
      <font>
        <color rgb="FFFF0000"/>
      </font>
    </dxf>
    <dxf>
      <font>
        <color auto="1"/>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strike val="0"/>
        <color rgb="FFFF0000"/>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auto="1"/>
      </font>
    </dxf>
    <dxf>
      <font>
        <color rgb="FFFF0000"/>
      </font>
    </dxf>
    <dxf>
      <font>
        <color auto="1"/>
      </font>
    </dxf>
    <dxf>
      <font>
        <color rgb="FFFF0000"/>
      </font>
    </dxf>
    <dxf>
      <font>
        <color auto="1"/>
      </font>
    </dxf>
    <dxf>
      <font>
        <color rgb="FFFF0000"/>
      </font>
      <fill>
        <patternFill patternType="none">
          <bgColor auto="1"/>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FF0000"/>
      </font>
    </dxf>
    <dxf>
      <font>
        <color auto="1"/>
      </font>
    </dxf>
    <dxf>
      <fill>
        <patternFill>
          <bgColor rgb="FFFF66CC"/>
        </patternFill>
      </fill>
    </dxf>
    <dxf>
      <fill>
        <patternFill>
          <bgColor rgb="FFFF66FF"/>
        </patternFill>
      </fill>
    </dxf>
    <dxf>
      <fill>
        <patternFill>
          <bgColor rgb="FFFF66CC"/>
        </patternFill>
      </fill>
    </dxf>
    <dxf>
      <font>
        <color rgb="FF9C0006"/>
      </font>
      <fill>
        <patternFill>
          <bgColor rgb="FFFFC7CE"/>
        </patternFill>
      </fill>
    </dxf>
    <dxf>
      <font>
        <color rgb="FF9C0006"/>
      </font>
      <fill>
        <patternFill>
          <bgColor rgb="FFFFC7CE"/>
        </patternFill>
      </fill>
    </dxf>
    <dxf>
      <font>
        <color rgb="FFFF0000"/>
      </font>
    </dxf>
    <dxf>
      <font>
        <color auto="1"/>
      </font>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auto="1"/>
      </font>
    </dxf>
    <dxf>
      <font>
        <color rgb="FFFF0000"/>
      </font>
    </dxf>
    <dxf>
      <font>
        <color auto="1"/>
      </font>
    </dxf>
    <dxf>
      <font>
        <color rgb="FFFF0000"/>
      </font>
    </dxf>
    <dxf>
      <font>
        <color auto="1"/>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border>
        <left style="thin">
          <color rgb="FF9C0006"/>
        </left>
        <right style="thin">
          <color rgb="FF9C0006"/>
        </right>
        <top style="thin">
          <color rgb="FF9C0006"/>
        </top>
        <bottom style="thin">
          <color rgb="FF9C0006"/>
        </bottom>
      </border>
    </dxf>
    <dxf>
      <font>
        <color rgb="FFFF0000"/>
      </font>
    </dxf>
    <dxf>
      <font>
        <color rgb="FFFF0000"/>
      </font>
    </dxf>
    <dxf>
      <font>
        <color rgb="FFFF0000"/>
      </font>
    </dxf>
    <dxf>
      <font>
        <color rgb="FFFF0000"/>
      </font>
    </dxf>
    <dxf>
      <font>
        <color rgb="FFFF0000"/>
      </font>
    </dxf>
    <dxf>
      <font>
        <color rgb="FFFF0000"/>
      </font>
    </dxf>
    <dxf>
      <font>
        <color rgb="FFFF0000"/>
      </font>
    </dxf>
    <dxf>
      <font>
        <color auto="1"/>
      </font>
    </dxf>
    <dxf>
      <font>
        <color rgb="FFFF0000"/>
      </font>
    </dxf>
    <dxf>
      <font>
        <color auto="1"/>
      </font>
    </dxf>
    <dxf>
      <font>
        <color rgb="FFFF0000"/>
      </font>
    </dxf>
    <dxf>
      <font>
        <color rgb="FFFF0000"/>
      </font>
    </dxf>
    <dxf>
      <font>
        <color auto="1"/>
      </font>
    </dxf>
    <dxf>
      <font>
        <color auto="1"/>
      </font>
    </dxf>
    <dxf>
      <font>
        <color rgb="FFFF0000"/>
      </font>
    </dxf>
    <dxf>
      <font>
        <color rgb="FFFF0000"/>
      </font>
    </dxf>
    <dxf>
      <font>
        <color auto="1"/>
      </font>
    </dxf>
    <dxf>
      <font>
        <color rgb="FFFF0000"/>
      </font>
    </dxf>
    <dxf>
      <font>
        <color auto="1"/>
      </font>
    </dxf>
    <dxf>
      <font>
        <color rgb="FFFF0000"/>
      </font>
    </dxf>
    <dxf>
      <font>
        <color rgb="FFFF0000"/>
      </font>
    </dxf>
    <dxf>
      <font>
        <color auto="1"/>
      </font>
    </dxf>
    <dxf>
      <font>
        <color rgb="FFFF0000"/>
      </font>
    </dxf>
    <dxf>
      <font>
        <color rgb="FFFF0000"/>
      </font>
    </dxf>
    <dxf>
      <font>
        <color auto="1"/>
      </font>
    </dxf>
    <dxf>
      <font>
        <color rgb="FFFF0000"/>
      </font>
    </dxf>
    <dxf>
      <font>
        <color auto="1"/>
      </font>
    </dxf>
    <dxf>
      <font>
        <color rgb="FFFF0000"/>
      </font>
    </dxf>
    <dxf>
      <font>
        <color auto="1"/>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s>
  <tableStyles count="0" defaultTableStyle="TableStyleMedium2" defaultPivotStyle="PivotStyleLight16"/>
  <colors>
    <mruColors>
      <color rgb="FF9BC2E6"/>
      <color rgb="FF99FFCC"/>
      <color rgb="FFFF9999"/>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8</xdr:col>
      <xdr:colOff>585108</xdr:colOff>
      <xdr:row>4</xdr:row>
      <xdr:rowOff>136071</xdr:rowOff>
    </xdr:from>
    <xdr:ext cx="7623133" cy="727619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461908" y="898071"/>
          <a:ext cx="7623133" cy="7276190"/>
        </a:xfrm>
        <a:prstGeom prst="rect">
          <a:avLst/>
        </a:prstGeom>
      </xdr:spPr>
    </xdr:pic>
    <xdr:clientData/>
  </xdr:oneCellAnchor>
  <xdr:twoCellAnchor>
    <xdr:from>
      <xdr:col>8</xdr:col>
      <xdr:colOff>435430</xdr:colOff>
      <xdr:row>4</xdr:row>
      <xdr:rowOff>81643</xdr:rowOff>
    </xdr:from>
    <xdr:to>
      <xdr:col>13</xdr:col>
      <xdr:colOff>421822</xdr:colOff>
      <xdr:row>44</xdr:row>
      <xdr:rowOff>13607</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5312230" y="843643"/>
          <a:ext cx="3034392" cy="7551964"/>
        </a:xfrm>
        <a:prstGeom prst="rect">
          <a:avLst/>
        </a:prstGeom>
        <a:noFill/>
        <a:ln w="603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40822</xdr:colOff>
      <xdr:row>4</xdr:row>
      <xdr:rowOff>81643</xdr:rowOff>
    </xdr:from>
    <xdr:to>
      <xdr:col>19</xdr:col>
      <xdr:colOff>27215</xdr:colOff>
      <xdr:row>44</xdr:row>
      <xdr:rowOff>13607</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8575222" y="843643"/>
          <a:ext cx="3034393"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244928</xdr:colOff>
      <xdr:row>4</xdr:row>
      <xdr:rowOff>81643</xdr:rowOff>
    </xdr:from>
    <xdr:to>
      <xdr:col>22</xdr:col>
      <xdr:colOff>285750</xdr:colOff>
      <xdr:row>44</xdr:row>
      <xdr:rowOff>13607</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11827328" y="843643"/>
          <a:ext cx="1869622"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299357</xdr:colOff>
      <xdr:row>7</xdr:row>
      <xdr:rowOff>40822</xdr:rowOff>
    </xdr:from>
    <xdr:to>
      <xdr:col>9</xdr:col>
      <xdr:colOff>40821</xdr:colOff>
      <xdr:row>11</xdr:row>
      <xdr:rowOff>136071</xdr:rowOff>
    </xdr:to>
    <xdr:cxnSp macro="">
      <xdr:nvCxnSpPr>
        <xdr:cNvPr id="6" name="Straight Connector 5">
          <a:extLst>
            <a:ext uri="{FF2B5EF4-FFF2-40B4-BE49-F238E27FC236}">
              <a16:creationId xmlns:a16="http://schemas.microsoft.com/office/drawing/2014/main" id="{00000000-0008-0000-0000-000006000000}"/>
            </a:ext>
          </a:extLst>
        </xdr:cNvPr>
        <xdr:cNvCxnSpPr/>
      </xdr:nvCxnSpPr>
      <xdr:spPr>
        <a:xfrm flipV="1">
          <a:off x="4566557" y="1374322"/>
          <a:ext cx="960664" cy="857249"/>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11</xdr:row>
      <xdr:rowOff>163285</xdr:rowOff>
    </xdr:from>
    <xdr:to>
      <xdr:col>7</xdr:col>
      <xdr:colOff>285750</xdr:colOff>
      <xdr:row>11</xdr:row>
      <xdr:rowOff>163285</xdr:rowOff>
    </xdr:to>
    <xdr:cxnSp macro="">
      <xdr:nvCxnSpPr>
        <xdr:cNvPr id="7" name="Straight Connector 6">
          <a:extLst>
            <a:ext uri="{FF2B5EF4-FFF2-40B4-BE49-F238E27FC236}">
              <a16:creationId xmlns:a16="http://schemas.microsoft.com/office/drawing/2014/main" id="{00000000-0008-0000-0000-000007000000}"/>
            </a:ext>
          </a:extLst>
        </xdr:cNvPr>
        <xdr:cNvCxnSpPr/>
      </xdr:nvCxnSpPr>
      <xdr:spPr>
        <a:xfrm>
          <a:off x="3725636" y="225878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68035</xdr:rowOff>
    </xdr:from>
    <xdr:to>
      <xdr:col>7</xdr:col>
      <xdr:colOff>285750</xdr:colOff>
      <xdr:row>6</xdr:row>
      <xdr:rowOff>68035</xdr:rowOff>
    </xdr:to>
    <xdr:cxnSp macro="">
      <xdr:nvCxnSpPr>
        <xdr:cNvPr id="8" name="Straight Connector 7">
          <a:extLst>
            <a:ext uri="{FF2B5EF4-FFF2-40B4-BE49-F238E27FC236}">
              <a16:creationId xmlns:a16="http://schemas.microsoft.com/office/drawing/2014/main" id="{00000000-0008-0000-0000-000008000000}"/>
            </a:ext>
          </a:extLst>
        </xdr:cNvPr>
        <xdr:cNvCxnSpPr/>
      </xdr:nvCxnSpPr>
      <xdr:spPr>
        <a:xfrm>
          <a:off x="3725636" y="121103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258536</xdr:colOff>
      <xdr:row>6</xdr:row>
      <xdr:rowOff>81642</xdr:rowOff>
    </xdr:from>
    <xdr:to>
      <xdr:col>7</xdr:col>
      <xdr:colOff>272143</xdr:colOff>
      <xdr:row>11</xdr:row>
      <xdr:rowOff>163285</xdr:rowOff>
    </xdr:to>
    <xdr:cxnSp macro="">
      <xdr:nvCxnSpPr>
        <xdr:cNvPr id="9" name="Straight Connector 8">
          <a:extLst>
            <a:ext uri="{FF2B5EF4-FFF2-40B4-BE49-F238E27FC236}">
              <a16:creationId xmlns:a16="http://schemas.microsoft.com/office/drawing/2014/main" id="{00000000-0008-0000-0000-000009000000}"/>
            </a:ext>
          </a:extLst>
        </xdr:cNvPr>
        <xdr:cNvCxnSpPr/>
      </xdr:nvCxnSpPr>
      <xdr:spPr>
        <a:xfrm>
          <a:off x="45257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272142</xdr:colOff>
      <xdr:row>6</xdr:row>
      <xdr:rowOff>54428</xdr:rowOff>
    </xdr:from>
    <xdr:to>
      <xdr:col>9</xdr:col>
      <xdr:colOff>27214</xdr:colOff>
      <xdr:row>6</xdr:row>
      <xdr:rowOff>163285</xdr:rowOff>
    </xdr:to>
    <xdr:cxnSp macro="">
      <xdr:nvCxnSpPr>
        <xdr:cNvPr id="10" name="Straight Connector 9">
          <a:extLst>
            <a:ext uri="{FF2B5EF4-FFF2-40B4-BE49-F238E27FC236}">
              <a16:creationId xmlns:a16="http://schemas.microsoft.com/office/drawing/2014/main" id="{00000000-0008-0000-0000-00000A000000}"/>
            </a:ext>
          </a:extLst>
        </xdr:cNvPr>
        <xdr:cNvCxnSpPr/>
      </xdr:nvCxnSpPr>
      <xdr:spPr>
        <a:xfrm>
          <a:off x="4539342" y="1197428"/>
          <a:ext cx="974272" cy="108857"/>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81642</xdr:rowOff>
    </xdr:from>
    <xdr:to>
      <xdr:col>6</xdr:col>
      <xdr:colOff>81643</xdr:colOff>
      <xdr:row>11</xdr:row>
      <xdr:rowOff>163285</xdr:rowOff>
    </xdr:to>
    <xdr:cxnSp macro="">
      <xdr:nvCxnSpPr>
        <xdr:cNvPr id="11" name="Straight Connector 10">
          <a:extLst>
            <a:ext uri="{FF2B5EF4-FFF2-40B4-BE49-F238E27FC236}">
              <a16:creationId xmlns:a16="http://schemas.microsoft.com/office/drawing/2014/main" id="{00000000-0008-0000-0000-00000B000000}"/>
            </a:ext>
          </a:extLst>
        </xdr:cNvPr>
        <xdr:cNvCxnSpPr/>
      </xdr:nvCxnSpPr>
      <xdr:spPr>
        <a:xfrm>
          <a:off x="37256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81643</xdr:colOff>
      <xdr:row>6</xdr:row>
      <xdr:rowOff>81644</xdr:rowOff>
    </xdr:from>
    <xdr:ext cx="761999" cy="1183822"/>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2"/>
        <a:srcRect t="9302" r="23367"/>
        <a:stretch/>
      </xdr:blipFill>
      <xdr:spPr>
        <a:xfrm>
          <a:off x="3739243" y="1224644"/>
          <a:ext cx="761999" cy="1183822"/>
        </a:xfrm>
        <a:prstGeom prst="rect">
          <a:avLst/>
        </a:prstGeom>
      </xdr:spPr>
    </xdr:pic>
    <xdr:clientData/>
  </xdr:oneCellAnchor>
  <xdr:twoCellAnchor>
    <xdr:from>
      <xdr:col>7</xdr:col>
      <xdr:colOff>231322</xdr:colOff>
      <xdr:row>15</xdr:row>
      <xdr:rowOff>176894</xdr:rowOff>
    </xdr:from>
    <xdr:to>
      <xdr:col>9</xdr:col>
      <xdr:colOff>136072</xdr:colOff>
      <xdr:row>15</xdr:row>
      <xdr:rowOff>176894</xdr:rowOff>
    </xdr:to>
    <xdr:cxnSp macro="">
      <xdr:nvCxnSpPr>
        <xdr:cNvPr id="13" name="Straight Arrow Connector 12">
          <a:extLst>
            <a:ext uri="{FF2B5EF4-FFF2-40B4-BE49-F238E27FC236}">
              <a16:creationId xmlns:a16="http://schemas.microsoft.com/office/drawing/2014/main" id="{00000000-0008-0000-0000-00000D000000}"/>
            </a:ext>
          </a:extLst>
        </xdr:cNvPr>
        <xdr:cNvCxnSpPr/>
      </xdr:nvCxnSpPr>
      <xdr:spPr>
        <a:xfrm>
          <a:off x="4498522" y="3034394"/>
          <a:ext cx="1123950" cy="0"/>
        </a:xfrm>
        <a:prstGeom prst="straightConnector1">
          <a:avLst/>
        </a:prstGeom>
        <a:ln w="793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16</xdr:row>
      <xdr:rowOff>108858</xdr:rowOff>
    </xdr:from>
    <xdr:to>
      <xdr:col>9</xdr:col>
      <xdr:colOff>571500</xdr:colOff>
      <xdr:row>16</xdr:row>
      <xdr:rowOff>122464</xdr:rowOff>
    </xdr:to>
    <xdr:cxnSp macro="">
      <xdr:nvCxnSpPr>
        <xdr:cNvPr id="14" name="Straight Arrow Connector 13">
          <a:extLst>
            <a:ext uri="{FF2B5EF4-FFF2-40B4-BE49-F238E27FC236}">
              <a16:creationId xmlns:a16="http://schemas.microsoft.com/office/drawing/2014/main" id="{00000000-0008-0000-0000-00000E000000}"/>
            </a:ext>
          </a:extLst>
        </xdr:cNvPr>
        <xdr:cNvCxnSpPr/>
      </xdr:nvCxnSpPr>
      <xdr:spPr>
        <a:xfrm flipV="1">
          <a:off x="4797879" y="3156858"/>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17</xdr:row>
      <xdr:rowOff>163286</xdr:rowOff>
    </xdr:from>
    <xdr:to>
      <xdr:col>9</xdr:col>
      <xdr:colOff>571500</xdr:colOff>
      <xdr:row>17</xdr:row>
      <xdr:rowOff>176892</xdr:rowOff>
    </xdr:to>
    <xdr:cxnSp macro="">
      <xdr:nvCxnSpPr>
        <xdr:cNvPr id="15" name="Straight Arrow Connector 14">
          <a:extLst>
            <a:ext uri="{FF2B5EF4-FFF2-40B4-BE49-F238E27FC236}">
              <a16:creationId xmlns:a16="http://schemas.microsoft.com/office/drawing/2014/main" id="{00000000-0008-0000-0000-00000F000000}"/>
            </a:ext>
          </a:extLst>
        </xdr:cNvPr>
        <xdr:cNvCxnSpPr/>
      </xdr:nvCxnSpPr>
      <xdr:spPr>
        <a:xfrm flipV="1">
          <a:off x="4797879" y="3401786"/>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1240971</xdr:colOff>
      <xdr:row>123</xdr:row>
      <xdr:rowOff>163285</xdr:rowOff>
    </xdr:from>
    <xdr:to>
      <xdr:col>5</xdr:col>
      <xdr:colOff>685800</xdr:colOff>
      <xdr:row>125</xdr:row>
      <xdr:rowOff>97971</xdr:rowOff>
    </xdr:to>
    <mc:AlternateContent xmlns:mc="http://schemas.openxmlformats.org/markup-compatibility/2006" xmlns:a14="http://schemas.microsoft.com/office/drawing/2010/main">
      <mc:Choice Requires="a14">
        <xdr:sp macro="" textlink="">
          <xdr:nvSpPr>
            <xdr:cNvPr id="451" name="TextBox 6">
              <a:extLst>
                <a:ext uri="{FF2B5EF4-FFF2-40B4-BE49-F238E27FC236}">
                  <a16:creationId xmlns:a16="http://schemas.microsoft.com/office/drawing/2014/main" id="{00000000-0008-0000-0500-0000C3010000}"/>
                </a:ext>
              </a:extLst>
            </xdr:cNvPr>
            <xdr:cNvSpPr txBox="1"/>
          </xdr:nvSpPr>
          <xdr:spPr>
            <a:xfrm>
              <a:off x="3287485" y="41050028"/>
              <a:ext cx="6008915" cy="304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𝐷𝑂𝑂𝑅𝑆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𝐶𝑜𝑛𝑡𝑟𝑜𝑙</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𝐵𝐹</m:t>
                    </m:r>
                  </m:oMath>
                </m:oMathPara>
              </a14:m>
              <a:endParaRPr lang="en-US" sz="1400" b="0"/>
            </a:p>
          </xdr:txBody>
        </xdr:sp>
      </mc:Choice>
      <mc:Fallback xmlns="">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3287485" y="41050028"/>
              <a:ext cx="6008915" cy="304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∆𝑘𝑊ℎ=〖𝑘𝑊〗_𝐵𝑎𝑠𝑒∗𝐷𝑂𝑂𝑅𝑆∗(%〖𝑂𝑁〗_𝐵𝑎𝑠𝑒−%〖𝑂𝑁〗_𝐶𝑜𝑛𝑡𝑟𝑜𝑙 )∗𝐻𝑜𝑢𝑟𝑠∗𝐵𝐹</a:t>
              </a:r>
              <a:endParaRPr lang="en-US" sz="1400" b="0"/>
            </a:p>
          </xdr:txBody>
        </xdr:sp>
      </mc:Fallback>
    </mc:AlternateContent>
    <xdr:clientData/>
  </xdr:twoCellAnchor>
  <xdr:twoCellAnchor>
    <xdr:from>
      <xdr:col>3</xdr:col>
      <xdr:colOff>1295402</xdr:colOff>
      <xdr:row>64</xdr:row>
      <xdr:rowOff>135159</xdr:rowOff>
    </xdr:from>
    <xdr:to>
      <xdr:col>6</xdr:col>
      <xdr:colOff>866775</xdr:colOff>
      <xdr:row>66</xdr:row>
      <xdr:rowOff>63410</xdr:rowOff>
    </xdr:to>
    <mc:AlternateContent xmlns:mc="http://schemas.openxmlformats.org/markup-compatibility/2006" xmlns:a14="http://schemas.microsoft.com/office/drawing/2010/main">
      <mc:Choice Requires="a14">
        <xdr:sp macro="" textlink="">
          <xdr:nvSpPr>
            <xdr:cNvPr id="450" name="TextBox 45">
              <a:extLst>
                <a:ext uri="{FF2B5EF4-FFF2-40B4-BE49-F238E27FC236}">
                  <a16:creationId xmlns:a16="http://schemas.microsoft.com/office/drawing/2014/main" id="{00000000-0008-0000-0500-0000C2010000}"/>
                </a:ext>
              </a:extLst>
            </xdr:cNvPr>
            <xdr:cNvSpPr txBox="1"/>
          </xdr:nvSpPr>
          <xdr:spPr>
            <a:xfrm>
              <a:off x="3333752" y="21966459"/>
              <a:ext cx="6496048" cy="290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𝑘𝑊h</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sSub>
                      <m:sSubPr>
                        <m:ctrlPr>
                          <a:rPr lang="en-US" sz="1400" b="0" i="1" strike="noStrike" baseline="0">
                            <a:solidFill>
                              <a:sysClr val="windowText" lastClr="000000"/>
                            </a:solidFill>
                            <a:latin typeface="Cambria Math" panose="02040503050406030204" pitchFamily="18" charset="0"/>
                            <a:ea typeface="Cambria Math" panose="02040503050406030204" pitchFamily="18" charset="0"/>
                          </a:rPr>
                        </m:ctrlPr>
                      </m:sSubPr>
                      <m:e>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m:t>
                        </m:r>
                      </m:e>
                      <m:sub>
                        <m:r>
                          <a:rPr lang="en-US" sz="1400" b="0" i="1" strike="noStrike" baseline="0">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𝐻𝑜𝑢𝑟𝑠</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𝐸𝑆𝐹</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𝑊𝐻𝐹𝑒</m:t>
                    </m:r>
                  </m:oMath>
                </m:oMathPara>
              </a14:m>
              <a:endParaRPr lang="en-US" sz="1100" strike="noStrike" baseline="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00000000-0008-0000-0200-00002E000000}"/>
                </a:ext>
              </a:extLst>
            </xdr:cNvPr>
            <xdr:cNvSpPr txBox="1"/>
          </xdr:nvSpPr>
          <xdr:spPr>
            <a:xfrm>
              <a:off x="3333752" y="21966459"/>
              <a:ext cx="6496048" cy="290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strike="noStrike" baseline="0">
                  <a:solidFill>
                    <a:sysClr val="windowText" lastClr="000000"/>
                  </a:solidFill>
                  <a:latin typeface="Cambria Math" panose="02040503050406030204" pitchFamily="18" charset="0"/>
                  <a:ea typeface="Cambria Math" panose="02040503050406030204" pitchFamily="18" charset="0"/>
                </a:rPr>
                <a:t>∆</a:t>
              </a:r>
              <a:r>
                <a:rPr lang="en-US" sz="1400" b="0" i="0" strike="noStrike" baseline="0">
                  <a:solidFill>
                    <a:sysClr val="windowText" lastClr="000000"/>
                  </a:solidFill>
                  <a:latin typeface="Cambria Math" panose="02040503050406030204" pitchFamily="18" charset="0"/>
                  <a:ea typeface="Cambria Math" panose="02040503050406030204" pitchFamily="18" charset="0"/>
                </a:rPr>
                <a:t>𝑘𝑊ℎ=〖𝑘𝑊〗_𝐶𝑜𝑛𝑡𝑟𝑜𝑙𝑙𝑒𝑑∗𝐻𝑜𝑢𝑟𝑠∗𝐸𝑆𝐹∗𝑊𝐻𝐹𝑒</a:t>
              </a:r>
              <a:endParaRPr lang="en-US" sz="1100" strike="noStrike" baseline="0">
                <a:solidFill>
                  <a:sysClr val="windowText" lastClr="000000"/>
                </a:solidFill>
              </a:endParaRPr>
            </a:p>
          </xdr:txBody>
        </xdr:sp>
      </mc:Fallback>
    </mc:AlternateContent>
    <xdr:clientData/>
  </xdr:twoCellAnchor>
  <xdr:twoCellAnchor>
    <xdr:from>
      <xdr:col>3</xdr:col>
      <xdr:colOff>1396911</xdr:colOff>
      <xdr:row>26</xdr:row>
      <xdr:rowOff>167642</xdr:rowOff>
    </xdr:from>
    <xdr:to>
      <xdr:col>9</xdr:col>
      <xdr:colOff>408214</xdr:colOff>
      <xdr:row>29</xdr:row>
      <xdr:rowOff>152401</xdr:rowOff>
    </xdr:to>
    <mc:AlternateContent xmlns:mc="http://schemas.openxmlformats.org/markup-compatibility/2006" xmlns:a14="http://schemas.microsoft.com/office/drawing/2010/main">
      <mc:Choice Requires="a14">
        <xdr:sp macro="" textlink="">
          <xdr:nvSpPr>
            <xdr:cNvPr id="449" name="TextBox 171">
              <a:extLst>
                <a:ext uri="{FF2B5EF4-FFF2-40B4-BE49-F238E27FC236}">
                  <a16:creationId xmlns:a16="http://schemas.microsoft.com/office/drawing/2014/main" id="{00000000-0008-0000-0500-0000C1010000}"/>
                </a:ext>
              </a:extLst>
            </xdr:cNvPr>
            <xdr:cNvSpPr txBox="1"/>
          </xdr:nvSpPr>
          <xdr:spPr>
            <a:xfrm>
              <a:off x="3437982" y="6699071"/>
              <a:ext cx="9434375" cy="515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𝐵𝑎𝑠𝑒</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𝐸𝐸</m:t>
                            </m:r>
                          </m:sub>
                        </m:sSub>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𝐻𝑜𝑢𝑟𝑠</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𝐴𝐷𝐽</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𝐸𝑀𝑉</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𝑊𝐻𝐹</m:t>
                        </m:r>
                      </m:e>
                      <m:sub>
                        <m:r>
                          <a:rPr lang="en-US" sz="1400" b="0" i="1">
                            <a:solidFill>
                              <a:sysClr val="windowText" lastClr="000000"/>
                            </a:solidFill>
                            <a:effectLst/>
                            <a:latin typeface="Cambria Math" panose="02040503050406030204" pitchFamily="18" charset="0"/>
                            <a:ea typeface="+mn-ea"/>
                            <a:cs typeface="+mn-cs"/>
                          </a:rPr>
                          <m:t>𝑒</m:t>
                        </m:r>
                      </m:sub>
                    </m:sSub>
                  </m:oMath>
                </m:oMathPara>
              </a14:m>
              <a:endParaRPr lang="en-US" sz="1400">
                <a:solidFill>
                  <a:sysClr val="windowText" lastClr="000000"/>
                </a:solidFill>
              </a:endParaRPr>
            </a:p>
          </xdr:txBody>
        </xdr:sp>
      </mc:Choice>
      <mc:Fallback xmlns="">
        <xdr:sp macro="" textlink="">
          <xdr:nvSpPr>
            <xdr:cNvPr id="172" name="TextBox 171">
              <a:extLst>
                <a:ext uri="{FF2B5EF4-FFF2-40B4-BE49-F238E27FC236}">
                  <a16:creationId xmlns:a16="http://schemas.microsoft.com/office/drawing/2014/main" id="{6CF37C97-8F32-450F-9926-0957564B2778}"/>
                </a:ext>
              </a:extLst>
            </xdr:cNvPr>
            <xdr:cNvSpPr txBox="1"/>
          </xdr:nvSpPr>
          <xdr:spPr>
            <a:xfrm>
              <a:off x="3437982" y="6699071"/>
              <a:ext cx="9434375" cy="515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mn-ea"/>
                  <a:cs typeface="+mn-cs"/>
                </a:rPr>
                <a:t>(〖𝑊𝑎𝑡𝑡𝑠〗_𝐵𝑎𝑠𝑒−〖𝑊𝑎𝑡𝑡𝑠〗_𝐸𝐸)</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×𝐼𝑆𝑅×𝐻𝑜𝑢𝑟𝑠×〖𝐴𝐷𝐽〗_𝐸𝑀𝑉</a:t>
              </a:r>
              <a:r>
                <a:rPr lang="en-US" sz="1400" b="0" i="0">
                  <a:solidFill>
                    <a:sysClr val="windowText" lastClr="000000"/>
                  </a:solidFill>
                  <a:effectLst/>
                  <a:latin typeface="Cambria Math" panose="02040503050406030204" pitchFamily="18" charset="0"/>
                  <a:ea typeface="+mn-ea"/>
                  <a:cs typeface="+mn-cs"/>
                </a:rPr>
                <a:t>×〖𝑊𝐻𝐹〗_𝑒</a:t>
              </a:r>
              <a:endParaRPr lang="en-US" sz="1400">
                <a:solidFill>
                  <a:sysClr val="windowText" lastClr="000000"/>
                </a:solidFill>
              </a:endParaRPr>
            </a:p>
          </xdr:txBody>
        </xdr:sp>
      </mc:Fallback>
    </mc:AlternateContent>
    <xdr:clientData/>
  </xdr:twoCellAnchor>
  <xdr:twoCellAnchor>
    <xdr:from>
      <xdr:col>4</xdr:col>
      <xdr:colOff>28574</xdr:colOff>
      <xdr:row>97</xdr:row>
      <xdr:rowOff>114296</xdr:rowOff>
    </xdr:from>
    <xdr:to>
      <xdr:col>4</xdr:col>
      <xdr:colOff>2570389</xdr:colOff>
      <xdr:row>99</xdr:row>
      <xdr:rowOff>171622</xdr:rowOff>
    </xdr:to>
    <mc:AlternateContent xmlns:mc="http://schemas.openxmlformats.org/markup-compatibility/2006" xmlns:a14="http://schemas.microsoft.com/office/drawing/2010/main">
      <mc:Choice Requires="a14">
        <xdr:sp macro="" textlink="">
          <xdr:nvSpPr>
            <xdr:cNvPr id="447" name="TextBox 3">
              <a:extLst>
                <a:ext uri="{FF2B5EF4-FFF2-40B4-BE49-F238E27FC236}">
                  <a16:creationId xmlns:a16="http://schemas.microsoft.com/office/drawing/2014/main" id="{00000000-0008-0000-0500-0000BF010000}"/>
                </a:ext>
              </a:extLst>
            </xdr:cNvPr>
            <xdr:cNvSpPr txBox="1"/>
          </xdr:nvSpPr>
          <xdr:spPr>
            <a:xfrm>
              <a:off x="4048124" y="42967271"/>
              <a:ext cx="2541815" cy="438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47" name="TextBox 3">
              <a:extLst>
                <a:ext uri="{FF2B5EF4-FFF2-40B4-BE49-F238E27FC236}">
                  <a16:creationId xmlns:a16="http://schemas.microsoft.com/office/drawing/2014/main" id="{00000000-0008-0000-0500-0000BF010000}"/>
                </a:ext>
              </a:extLst>
            </xdr:cNvPr>
            <xdr:cNvSpPr txBox="1"/>
          </xdr:nvSpPr>
          <xdr:spPr>
            <a:xfrm>
              <a:off x="4048124" y="42967271"/>
              <a:ext cx="2541815" cy="438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1429840</xdr:colOff>
      <xdr:row>33</xdr:row>
      <xdr:rowOff>168825</xdr:rowOff>
    </xdr:from>
    <xdr:to>
      <xdr:col>4</xdr:col>
      <xdr:colOff>2725240</xdr:colOff>
      <xdr:row>36</xdr:row>
      <xdr:rowOff>57150</xdr:rowOff>
    </xdr:to>
    <mc:AlternateContent xmlns:mc="http://schemas.openxmlformats.org/markup-compatibility/2006" xmlns:a14="http://schemas.microsoft.com/office/drawing/2010/main">
      <mc:Choice Requires="a14">
        <xdr:sp macro="" textlink="">
          <xdr:nvSpPr>
            <xdr:cNvPr id="446" name="TextBox 4">
              <a:extLst>
                <a:ext uri="{FF2B5EF4-FFF2-40B4-BE49-F238E27FC236}">
                  <a16:creationId xmlns:a16="http://schemas.microsoft.com/office/drawing/2014/main" id="{00000000-0008-0000-0500-0000BE010000}"/>
                </a:ext>
              </a:extLst>
            </xdr:cNvPr>
            <xdr:cNvSpPr txBox="1"/>
          </xdr:nvSpPr>
          <xdr:spPr>
            <a:xfrm>
              <a:off x="3468190" y="7893600"/>
              <a:ext cx="2981325" cy="431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ndParaRPr>
            </a:p>
          </xdr:txBody>
        </xdr:sp>
      </mc:Choice>
      <mc:Fallback xmlns="">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3468190" y="7893600"/>
              <a:ext cx="2981325" cy="431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𝑥 𝐼𝐹𝑘𝑊</a:t>
              </a:r>
              <a:endParaRPr lang="en-US" sz="1400">
                <a:solidFill>
                  <a:sysClr val="windowText" lastClr="000000"/>
                </a:solidFill>
              </a:endParaRPr>
            </a:p>
          </xdr:txBody>
        </xdr:sp>
      </mc:Fallback>
    </mc:AlternateContent>
    <xdr:clientData/>
  </xdr:twoCellAnchor>
  <xdr:twoCellAnchor>
    <xdr:from>
      <xdr:col>3</xdr:col>
      <xdr:colOff>1273628</xdr:colOff>
      <xdr:row>125</xdr:row>
      <xdr:rowOff>182161</xdr:rowOff>
    </xdr:from>
    <xdr:to>
      <xdr:col>4</xdr:col>
      <xdr:colOff>1480457</xdr:colOff>
      <xdr:row>128</xdr:row>
      <xdr:rowOff>54427</xdr:rowOff>
    </xdr:to>
    <mc:AlternateContent xmlns:mc="http://schemas.openxmlformats.org/markup-compatibility/2006" xmlns:a14="http://schemas.microsoft.com/office/drawing/2010/main">
      <mc:Choice Requires="a14">
        <xdr:sp macro="" textlink="">
          <xdr:nvSpPr>
            <xdr:cNvPr id="445" name="TextBox 5">
              <a:extLst>
                <a:ext uri="{FF2B5EF4-FFF2-40B4-BE49-F238E27FC236}">
                  <a16:creationId xmlns:a16="http://schemas.microsoft.com/office/drawing/2014/main" id="{00000000-0008-0000-0500-0000BD010000}"/>
                </a:ext>
              </a:extLst>
            </xdr:cNvPr>
            <xdr:cNvSpPr txBox="1"/>
          </xdr:nvSpPr>
          <xdr:spPr>
            <a:xfrm>
              <a:off x="3320142" y="41439018"/>
              <a:ext cx="1894115" cy="427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3320142" y="41439018"/>
              <a:ext cx="1894115" cy="427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941514</xdr:colOff>
      <xdr:row>151</xdr:row>
      <xdr:rowOff>64222</xdr:rowOff>
    </xdr:from>
    <xdr:to>
      <xdr:col>6</xdr:col>
      <xdr:colOff>790405</xdr:colOff>
      <xdr:row>153</xdr:row>
      <xdr:rowOff>131072</xdr:rowOff>
    </xdr:to>
    <mc:AlternateContent xmlns:mc="http://schemas.openxmlformats.org/markup-compatibility/2006" xmlns:a14="http://schemas.microsoft.com/office/drawing/2010/main">
      <mc:Choice Requires="a14">
        <xdr:sp macro="" textlink="">
          <xdr:nvSpPr>
            <xdr:cNvPr id="444" name="TextBox 7">
              <a:extLst>
                <a:ext uri="{FF2B5EF4-FFF2-40B4-BE49-F238E27FC236}">
                  <a16:creationId xmlns:a16="http://schemas.microsoft.com/office/drawing/2014/main" id="{00000000-0008-0000-0500-0000BC010000}"/>
                </a:ext>
              </a:extLst>
            </xdr:cNvPr>
            <xdr:cNvSpPr txBox="1"/>
          </xdr:nvSpPr>
          <xdr:spPr>
            <a:xfrm>
              <a:off x="2988028" y="20670879"/>
              <a:ext cx="7751920" cy="436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2988028" y="20670879"/>
              <a:ext cx="7751920" cy="436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739588</xdr:colOff>
      <xdr:row>147</xdr:row>
      <xdr:rowOff>63426</xdr:rowOff>
    </xdr:from>
    <xdr:to>
      <xdr:col>5</xdr:col>
      <xdr:colOff>8692</xdr:colOff>
      <xdr:row>150</xdr:row>
      <xdr:rowOff>55134</xdr:rowOff>
    </xdr:to>
    <xdr:pic>
      <xdr:nvPicPr>
        <xdr:cNvPr id="443" name="Picture 8">
          <a:extLst>
            <a:ext uri="{FF2B5EF4-FFF2-40B4-BE49-F238E27FC236}">
              <a16:creationId xmlns:a16="http://schemas.microsoft.com/office/drawing/2014/main" id="{00000000-0008-0000-0500-0000BB01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786102" y="19929855"/>
          <a:ext cx="5833190" cy="546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1269275</xdr:colOff>
      <xdr:row>147</xdr:row>
      <xdr:rowOff>21499</xdr:rowOff>
    </xdr:from>
    <xdr:to>
      <xdr:col>12</xdr:col>
      <xdr:colOff>445226</xdr:colOff>
      <xdr:row>152</xdr:row>
      <xdr:rowOff>17689</xdr:rowOff>
    </xdr:to>
    <xdr:pic>
      <xdr:nvPicPr>
        <xdr:cNvPr id="442" name="Picture 9">
          <a:extLst>
            <a:ext uri="{FF2B5EF4-FFF2-40B4-BE49-F238E27FC236}">
              <a16:creationId xmlns:a16="http://schemas.microsoft.com/office/drawing/2014/main" id="{00000000-0008-0000-0500-0000BA01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216096" y="44135856"/>
          <a:ext cx="7884523" cy="8806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816428</xdr:colOff>
      <xdr:row>146</xdr:row>
      <xdr:rowOff>169274</xdr:rowOff>
    </xdr:from>
    <xdr:to>
      <xdr:col>19</xdr:col>
      <xdr:colOff>20410</xdr:colOff>
      <xdr:row>152</xdr:row>
      <xdr:rowOff>16874</xdr:rowOff>
    </xdr:to>
    <xdr:pic>
      <xdr:nvPicPr>
        <xdr:cNvPr id="441" name="Picture 10">
          <a:extLst>
            <a:ext uri="{FF2B5EF4-FFF2-40B4-BE49-F238E27FC236}">
              <a16:creationId xmlns:a16="http://schemas.microsoft.com/office/drawing/2014/main" id="{00000000-0008-0000-0500-0000B901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0312742" y="19850645"/>
          <a:ext cx="4777468" cy="9579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751014</xdr:colOff>
      <xdr:row>172</xdr:row>
      <xdr:rowOff>95247</xdr:rowOff>
    </xdr:from>
    <xdr:to>
      <xdr:col>6</xdr:col>
      <xdr:colOff>599905</xdr:colOff>
      <xdr:row>174</xdr:row>
      <xdr:rowOff>152572</xdr:rowOff>
    </xdr:to>
    <mc:AlternateContent xmlns:mc="http://schemas.openxmlformats.org/markup-compatibility/2006" xmlns:a14="http://schemas.microsoft.com/office/drawing/2010/main">
      <mc:Choice Requires="a14">
        <xdr:sp macro="" textlink="">
          <xdr:nvSpPr>
            <xdr:cNvPr id="439" name="TextBox 13">
              <a:extLst>
                <a:ext uri="{FF2B5EF4-FFF2-40B4-BE49-F238E27FC236}">
                  <a16:creationId xmlns:a16="http://schemas.microsoft.com/office/drawing/2014/main" id="{00000000-0008-0000-0500-0000B7010000}"/>
                </a:ext>
              </a:extLst>
            </xdr:cNvPr>
            <xdr:cNvSpPr txBox="1"/>
          </xdr:nvSpPr>
          <xdr:spPr>
            <a:xfrm>
              <a:off x="2792085" y="51843211"/>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4" name="TextBox 13"/>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740227</xdr:colOff>
      <xdr:row>169</xdr:row>
      <xdr:rowOff>155121</xdr:rowOff>
    </xdr:from>
    <xdr:to>
      <xdr:col>4</xdr:col>
      <xdr:colOff>926930</xdr:colOff>
      <xdr:row>171</xdr:row>
      <xdr:rowOff>56784</xdr:rowOff>
    </xdr:to>
    <mc:AlternateContent xmlns:mc="http://schemas.openxmlformats.org/markup-compatibility/2006" xmlns:a14="http://schemas.microsoft.com/office/drawing/2010/main">
      <mc:Choice Requires="a14">
        <xdr:sp macro="" textlink="">
          <xdr:nvSpPr>
            <xdr:cNvPr id="438" name="TextBox 14">
              <a:extLst>
                <a:ext uri="{FF2B5EF4-FFF2-40B4-BE49-F238E27FC236}">
                  <a16:creationId xmlns:a16="http://schemas.microsoft.com/office/drawing/2014/main" id="{00000000-0008-0000-0500-0000B6010000}"/>
                </a:ext>
              </a:extLst>
            </xdr:cNvPr>
            <xdr:cNvSpPr txBox="1"/>
          </xdr:nvSpPr>
          <xdr:spPr>
            <a:xfrm>
              <a:off x="2781298" y="51372407"/>
              <a:ext cx="1873989" cy="25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=1747∗</m:t>
                    </m:r>
                    <m:r>
                      <a:rPr lang="en-US" sz="1400" b="0" i="1">
                        <a:latin typeface="Cambria Math" panose="02040503050406030204" pitchFamily="18" charset="0"/>
                        <a:ea typeface="Cambria Math" panose="02040503050406030204" pitchFamily="18" charset="0"/>
                      </a:rPr>
                      <m:t>𝐻𝑃</m:t>
                    </m:r>
                  </m:oMath>
                </m:oMathPara>
              </a14:m>
              <a:endParaRPr lang="en-US" sz="1400"/>
            </a:p>
          </xdr:txBody>
        </xdr:sp>
      </mc:Choice>
      <mc:Fallback xmlns="">
        <xdr:sp macro="" textlink="">
          <xdr:nvSpPr>
            <xdr:cNvPr id="15" name="TextBox 14"/>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𝑘𝑊ℎ=1747∗𝐻𝑃</a:t>
              </a:r>
              <a:endParaRPr lang="en-US" sz="1400"/>
            </a:p>
          </xdr:txBody>
        </xdr:sp>
      </mc:Fallback>
    </mc:AlternateContent>
    <xdr:clientData/>
  </xdr:twoCellAnchor>
  <xdr:twoCellAnchor>
    <xdr:from>
      <xdr:col>9</xdr:col>
      <xdr:colOff>570039</xdr:colOff>
      <xdr:row>192</xdr:row>
      <xdr:rowOff>57147</xdr:rowOff>
    </xdr:from>
    <xdr:to>
      <xdr:col>10</xdr:col>
      <xdr:colOff>1476375</xdr:colOff>
      <xdr:row>194</xdr:row>
      <xdr:rowOff>114472</xdr:rowOff>
    </xdr:to>
    <mc:AlternateContent xmlns:mc="http://schemas.openxmlformats.org/markup-compatibility/2006" xmlns:a14="http://schemas.microsoft.com/office/drawing/2010/main">
      <mc:Choice Requires="a14">
        <xdr:sp macro="" textlink="">
          <xdr:nvSpPr>
            <xdr:cNvPr id="436" name="TextBox 16">
              <a:extLst>
                <a:ext uri="{FF2B5EF4-FFF2-40B4-BE49-F238E27FC236}">
                  <a16:creationId xmlns:a16="http://schemas.microsoft.com/office/drawing/2014/main" id="{00000000-0008-0000-0500-0000B4010000}"/>
                </a:ext>
              </a:extLst>
            </xdr:cNvPr>
            <xdr:cNvSpPr txBox="1"/>
          </xdr:nvSpPr>
          <xdr:spPr>
            <a:xfrm>
              <a:off x="15543339" y="69608697"/>
              <a:ext cx="194456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36" name="TextBox 16">
              <a:extLst>
                <a:ext uri="{FF2B5EF4-FFF2-40B4-BE49-F238E27FC236}">
                  <a16:creationId xmlns:a16="http://schemas.microsoft.com/office/drawing/2014/main" id="{00000000-0008-0000-0500-0000B4010000}"/>
                </a:ext>
              </a:extLst>
            </xdr:cNvPr>
            <xdr:cNvSpPr txBox="1"/>
          </xdr:nvSpPr>
          <xdr:spPr>
            <a:xfrm>
              <a:off x="15543339" y="69608697"/>
              <a:ext cx="194456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1583598</xdr:colOff>
      <xdr:row>188</xdr:row>
      <xdr:rowOff>133351</xdr:rowOff>
    </xdr:from>
    <xdr:to>
      <xdr:col>13</xdr:col>
      <xdr:colOff>895350</xdr:colOff>
      <xdr:row>192</xdr:row>
      <xdr:rowOff>59395</xdr:rowOff>
    </xdr:to>
    <mc:AlternateContent xmlns:mc="http://schemas.openxmlformats.org/markup-compatibility/2006" xmlns:a14="http://schemas.microsoft.com/office/drawing/2010/main">
      <mc:Choice Requires="a14">
        <xdr:sp macro="" textlink="">
          <xdr:nvSpPr>
            <xdr:cNvPr id="434" name="TextBox 18">
              <a:extLst>
                <a:ext uri="{FF2B5EF4-FFF2-40B4-BE49-F238E27FC236}">
                  <a16:creationId xmlns:a16="http://schemas.microsoft.com/office/drawing/2014/main" id="{00000000-0008-0000-0500-0000B2010000}"/>
                </a:ext>
              </a:extLst>
            </xdr:cNvPr>
            <xdr:cNvSpPr txBox="1"/>
          </xdr:nvSpPr>
          <xdr:spPr>
            <a:xfrm>
              <a:off x="3964848" y="68922901"/>
              <a:ext cx="17056827" cy="6880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𝐼𝑑𝑙𝑒𝐸𝑛𝑒𝑟𝑔𝑦</m:t>
                    </m:r>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1−</m:t>
                            </m:r>
                            <m:r>
                              <a:rPr lang="en-US" sz="1100" b="0" i="1">
                                <a:latin typeface="Cambria Math" panose="02040503050406030204" pitchFamily="18" charset="0"/>
                                <a:ea typeface="Cambria Math" panose="02040503050406030204" pitchFamily="18" charset="0"/>
                              </a:rPr>
                              <m:t>𝑆𝑡𝑒𝑎𝑚𝑀𝑜𝑑𝑒</m:t>
                            </m:r>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𝐼𝑑𝑙𝑒𝑅𝑎𝑡𝑒</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𝑆𝑡𝑒𝑎𝑚𝑀𝑜𝑑𝑒</m:t>
                            </m:r>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𝐸𝐹𝑂𝑂𝐷</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𝐸𝑓𝑓</m:t>
                                    </m:r>
                                  </m:e>
                                  <m:sub>
                                    <m:r>
                                      <a:rPr lang="en-US" sz="1100" b="0" i="1">
                                        <a:latin typeface="Cambria Math" panose="02040503050406030204" pitchFamily="18" charset="0"/>
                                        <a:ea typeface="Cambria Math" panose="02040503050406030204" pitchFamily="18" charset="0"/>
                                      </a:rPr>
                                      <m:t>𝐵𝑎𝑠𝑒</m:t>
                                    </m:r>
                                  </m:sub>
                                </m:sSub>
                              </m:den>
                            </m:f>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𝐻𝑜𝑢𝑟𝑠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𝐹𝑜𝑜𝑑𝐶𝑜𝑜𝑘𝑒𝑑</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den>
                            </m:f>
                          </m:e>
                        </m:d>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1−</m:t>
                            </m:r>
                            <m:r>
                              <a:rPr lang="en-US" sz="1100" b="0" i="1">
                                <a:solidFill>
                                  <a:schemeClr val="tx1"/>
                                </a:solidFill>
                                <a:effectLst/>
                                <a:latin typeface="Cambria Math" panose="02040503050406030204" pitchFamily="18" charset="0"/>
                                <a:ea typeface="+mn-ea"/>
                                <a:cs typeface="+mn-cs"/>
                              </a:rPr>
                              <m:t>𝑆𝑡𝑒𝑎𝑚𝑀𝑜𝑑𝑒</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𝐼𝑑𝑙𝑒𝑅𝑎𝑡𝑒</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𝑆𝑡𝑒𝑎𝑚𝑀𝑜𝑑𝑒</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𝐹𝑜𝑜𝑑𝐶𝑜𝑜𝑘𝑒𝑑</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den>
                            </m:f>
                          </m:e>
                        </m:d>
                      </m:e>
                    </m:d>
                  </m:oMath>
                </m:oMathPara>
              </a14:m>
              <a:endParaRPr lang="en-US" sz="1100"/>
            </a:p>
          </xdr:txBody>
        </xdr:sp>
      </mc:Choice>
      <mc:Fallback xmlns="">
        <xdr:sp macro="" textlink="">
          <xdr:nvSpPr>
            <xdr:cNvPr id="434" name="TextBox 18">
              <a:extLst>
                <a:ext uri="{FF2B5EF4-FFF2-40B4-BE49-F238E27FC236}">
                  <a16:creationId xmlns:a16="http://schemas.microsoft.com/office/drawing/2014/main" id="{00000000-0008-0000-0500-0000B2010000}"/>
                </a:ext>
              </a:extLst>
            </xdr:cNvPr>
            <xdr:cNvSpPr txBox="1"/>
          </xdr:nvSpPr>
          <xdr:spPr>
            <a:xfrm>
              <a:off x="3964848" y="68922901"/>
              <a:ext cx="17056827" cy="6880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𝐼𝑑𝑙𝑒𝐸𝑛𝑒𝑟𝑔𝑦=((1−𝑆𝑡𝑒𝑎𝑚𝑀𝑜𝑑𝑒)∗(〖𝐼𝑑𝑙𝑒𝑅𝑎𝑡𝑒〗_𝐵𝑎𝑠𝑒+𝑆𝑡𝑒𝑎𝑚𝑀𝑜𝑑𝑒∗〖𝑃𝑟𝑜𝑑𝑢𝑐𝑡𝑖𝑜𝑛〗_𝐵𝑎𝑠𝑒∗𝑃𝑎𝑛𝑠∗𝐸𝐹𝑂𝑂𝐷/〖𝐸𝑓𝑓〗_𝐵𝑎𝑠𝑒 )∗(𝐻𝑜𝑢𝑟𝑠−𝐹𝑜𝑜𝑑𝐶𝑜𝑜𝑘𝑒𝑑/(〖𝑃𝑟𝑜𝑑𝑢𝑐𝑡𝑖𝑜𝑛〗_𝐵𝑎𝑠𝑒∗𝑃𝑎𝑛𝑠)))−(</a:t>
              </a:r>
              <a:r>
                <a:rPr lang="en-US" sz="1100" b="0" i="0">
                  <a:solidFill>
                    <a:schemeClr val="tx1"/>
                  </a:solidFill>
                  <a:effectLst/>
                  <a:latin typeface="Cambria Math" panose="02040503050406030204" pitchFamily="18" charset="0"/>
                  <a:ea typeface="+mn-ea"/>
                  <a:cs typeface="+mn-cs"/>
                </a:rPr>
                <a:t>(1−𝑆𝑡𝑒𝑎𝑚𝑀𝑜𝑑𝑒)∗(〖𝐼𝑑𝑙𝑒𝑅𝑎𝑡𝑒〗_𝐸𝑆𝑇𝐴𝑅+𝑆𝑡𝑒𝑎𝑚𝑀𝑜𝑑𝑒∗〖𝑃𝑟𝑜𝑑𝑢𝑐𝑡𝑖𝑜𝑛〗_𝐸𝑆𝑇𝐴𝑅∗𝑃𝑎𝑛𝑠∗𝐸𝐹𝑂𝑂𝐷/〖𝐸𝑓𝑓〗_𝐸𝑆𝑇𝐴𝑅 )∗(𝐻𝑜𝑢𝑟𝑠−𝐹𝑜𝑜𝑑𝐶𝑜𝑜𝑘𝑒𝑑/(〖𝑃𝑟𝑜𝑑𝑢𝑐𝑡𝑖𝑜𝑛〗_𝐸𝑆𝑇𝐴𝑅∗𝑃𝑎𝑛𝑠)))</a:t>
              </a:r>
              <a:endParaRPr lang="en-US" sz="1100"/>
            </a:p>
          </xdr:txBody>
        </xdr:sp>
      </mc:Fallback>
    </mc:AlternateContent>
    <xdr:clientData/>
  </xdr:twoCellAnchor>
  <xdr:twoCellAnchor>
    <xdr:from>
      <xdr:col>4</xdr:col>
      <xdr:colOff>628378</xdr:colOff>
      <xdr:row>191</xdr:row>
      <xdr:rowOff>95658</xdr:rowOff>
    </xdr:from>
    <xdr:to>
      <xdr:col>5</xdr:col>
      <xdr:colOff>628650</xdr:colOff>
      <xdr:row>193</xdr:row>
      <xdr:rowOff>107357</xdr:rowOff>
    </xdr:to>
    <mc:AlternateContent xmlns:mc="http://schemas.openxmlformats.org/markup-compatibility/2006" xmlns:a14="http://schemas.microsoft.com/office/drawing/2010/main">
      <mc:Choice Requires="a14">
        <xdr:sp macro="" textlink="">
          <xdr:nvSpPr>
            <xdr:cNvPr id="433" name="TextBox 19">
              <a:extLst>
                <a:ext uri="{FF2B5EF4-FFF2-40B4-BE49-F238E27FC236}">
                  <a16:creationId xmlns:a16="http://schemas.microsoft.com/office/drawing/2014/main" id="{00000000-0008-0000-0500-0000B1010000}"/>
                </a:ext>
              </a:extLst>
            </xdr:cNvPr>
            <xdr:cNvSpPr txBox="1"/>
          </xdr:nvSpPr>
          <xdr:spPr>
            <a:xfrm>
              <a:off x="4647928" y="69456708"/>
              <a:ext cx="5410472" cy="392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𝐶𝑜𝑜𝑘𝑖𝑛𝑔𝐸𝑛𝑒𝑟𝑔𝑦</m:t>
                    </m:r>
                    <m:r>
                      <a:rPr lang="en-US" sz="1100" b="0" i="1">
                        <a:latin typeface="Cambria Math" panose="02040503050406030204" pitchFamily="18" charset="0"/>
                        <a:ea typeface="Cambria Math" panose="02040503050406030204" pitchFamily="18" charset="0"/>
                      </a:rPr>
                      <m:t>=</m:t>
                    </m:r>
                    <m:d>
                      <m:dPr>
                        <m:ctrlPr>
                          <a:rPr lang="en-US" sz="110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𝐵𝑎𝑠𝑒</m:t>
                                </m:r>
                              </m:sub>
                            </m:sSub>
                          </m:den>
                        </m:f>
                      </m:e>
                    </m:d>
                    <m:r>
                      <a:rPr lang="en-US" sz="1100" b="0" i="1">
                        <a:latin typeface="Cambria Math" panose="02040503050406030204" pitchFamily="18" charset="0"/>
                      </a:rPr>
                      <m:t>−</m:t>
                    </m:r>
                    <m:d>
                      <m:dPr>
                        <m:ctrlPr>
                          <a:rPr lang="en-US" sz="1100" b="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oMath>
                </m:oMathPara>
              </a14:m>
              <a:endParaRPr lang="en-US" sz="1100"/>
            </a:p>
          </xdr:txBody>
        </xdr:sp>
      </mc:Choice>
      <mc:Fallback xmlns="">
        <xdr:sp macro="" textlink="">
          <xdr:nvSpPr>
            <xdr:cNvPr id="433" name="TextBox 19">
              <a:extLst>
                <a:ext uri="{FF2B5EF4-FFF2-40B4-BE49-F238E27FC236}">
                  <a16:creationId xmlns:a16="http://schemas.microsoft.com/office/drawing/2014/main" id="{00000000-0008-0000-0500-0000B1010000}"/>
                </a:ext>
              </a:extLst>
            </xdr:cNvPr>
            <xdr:cNvSpPr txBox="1"/>
          </xdr:nvSpPr>
          <xdr:spPr>
            <a:xfrm>
              <a:off x="4647928" y="69456708"/>
              <a:ext cx="5410472" cy="392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𝐶𝑜𝑜𝑘𝑖𝑛𝑔𝐸𝑛𝑒𝑟𝑔𝑦=</a:t>
              </a:r>
              <a:r>
                <a:rPr lang="en-US" sz="1100" i="0">
                  <a:latin typeface="Cambria Math" panose="02040503050406030204" pitchFamily="18" charset="0"/>
                </a:rPr>
                <a:t>(</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〖𝐸𝑓𝑓〗_𝐵𝑎𝑠𝑒 )</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〖𝐸𝑓𝑓〗_𝐸𝑆𝑇𝐴𝑅 )</a:t>
              </a:r>
              <a:endParaRPr lang="en-US" sz="1100"/>
            </a:p>
          </xdr:txBody>
        </xdr:sp>
      </mc:Fallback>
    </mc:AlternateContent>
    <xdr:clientData/>
  </xdr:twoCellAnchor>
  <xdr:twoCellAnchor>
    <xdr:from>
      <xdr:col>3</xdr:col>
      <xdr:colOff>751014</xdr:colOff>
      <xdr:row>213</xdr:row>
      <xdr:rowOff>95247</xdr:rowOff>
    </xdr:from>
    <xdr:to>
      <xdr:col>6</xdr:col>
      <xdr:colOff>599905</xdr:colOff>
      <xdr:row>215</xdr:row>
      <xdr:rowOff>152572</xdr:rowOff>
    </xdr:to>
    <mc:AlternateContent xmlns:mc="http://schemas.openxmlformats.org/markup-compatibility/2006" xmlns:a14="http://schemas.microsoft.com/office/drawing/2010/main">
      <mc:Choice Requires="a14">
        <xdr:sp macro="" textlink="">
          <xdr:nvSpPr>
            <xdr:cNvPr id="432" name="TextBox 20">
              <a:extLst>
                <a:ext uri="{FF2B5EF4-FFF2-40B4-BE49-F238E27FC236}">
                  <a16:creationId xmlns:a16="http://schemas.microsoft.com/office/drawing/2014/main" id="{00000000-0008-0000-0500-0000B0010000}"/>
                </a:ext>
              </a:extLst>
            </xdr:cNvPr>
            <xdr:cNvSpPr txBox="1"/>
          </xdr:nvSpPr>
          <xdr:spPr>
            <a:xfrm>
              <a:off x="2792085" y="61776426"/>
              <a:ext cx="7754641"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1" name="TextBox 20"/>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762000</xdr:colOff>
      <xdr:row>211</xdr:row>
      <xdr:rowOff>21227</xdr:rowOff>
    </xdr:from>
    <xdr:to>
      <xdr:col>4</xdr:col>
      <xdr:colOff>4439769</xdr:colOff>
      <xdr:row>212</xdr:row>
      <xdr:rowOff>60688</xdr:rowOff>
    </xdr:to>
    <xdr:pic>
      <xdr:nvPicPr>
        <xdr:cNvPr id="431" name="Picture 21">
          <a:extLst>
            <a:ext uri="{FF2B5EF4-FFF2-40B4-BE49-F238E27FC236}">
              <a16:creationId xmlns:a16="http://schemas.microsoft.com/office/drawing/2014/main" id="{00000000-0008-0000-0500-0000AF01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803071" y="61348620"/>
          <a:ext cx="5365055" cy="2163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115289</xdr:colOff>
      <xdr:row>232</xdr:row>
      <xdr:rowOff>126271</xdr:rowOff>
    </xdr:from>
    <xdr:to>
      <xdr:col>5</xdr:col>
      <xdr:colOff>1345577</xdr:colOff>
      <xdr:row>235</xdr:row>
      <xdr:rowOff>16500</xdr:rowOff>
    </xdr:to>
    <mc:AlternateContent xmlns:mc="http://schemas.openxmlformats.org/markup-compatibility/2006" xmlns:a14="http://schemas.microsoft.com/office/drawing/2010/main">
      <mc:Choice Requires="a14">
        <xdr:sp macro="" textlink="">
          <xdr:nvSpPr>
            <xdr:cNvPr id="430" name="TextBox 22">
              <a:extLst>
                <a:ext uri="{FF2B5EF4-FFF2-40B4-BE49-F238E27FC236}">
                  <a16:creationId xmlns:a16="http://schemas.microsoft.com/office/drawing/2014/main" id="{00000000-0008-0000-0500-0000AE010000}"/>
                </a:ext>
              </a:extLst>
            </xdr:cNvPr>
            <xdr:cNvSpPr txBox="1"/>
          </xdr:nvSpPr>
          <xdr:spPr>
            <a:xfrm>
              <a:off x="2156360" y="65399735"/>
              <a:ext cx="7788931" cy="4209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3" name="TextBox 22"/>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249</xdr:row>
      <xdr:rowOff>95247</xdr:rowOff>
    </xdr:from>
    <xdr:to>
      <xdr:col>6</xdr:col>
      <xdr:colOff>599905</xdr:colOff>
      <xdr:row>251</xdr:row>
      <xdr:rowOff>152572</xdr:rowOff>
    </xdr:to>
    <mc:AlternateContent xmlns:mc="http://schemas.openxmlformats.org/markup-compatibility/2006" xmlns:a14="http://schemas.microsoft.com/office/drawing/2010/main">
      <mc:Choice Requires="a14">
        <xdr:sp macro="" textlink="">
          <xdr:nvSpPr>
            <xdr:cNvPr id="429" name="TextBox 23">
              <a:extLst>
                <a:ext uri="{FF2B5EF4-FFF2-40B4-BE49-F238E27FC236}">
                  <a16:creationId xmlns:a16="http://schemas.microsoft.com/office/drawing/2014/main" id="{00000000-0008-0000-0500-0000AD010000}"/>
                </a:ext>
              </a:extLst>
            </xdr:cNvPr>
            <xdr:cNvSpPr txBox="1"/>
          </xdr:nvSpPr>
          <xdr:spPr>
            <a:xfrm>
              <a:off x="2792085" y="68566390"/>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4" name="TextBox 23"/>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707026</xdr:colOff>
      <xdr:row>246</xdr:row>
      <xdr:rowOff>144507</xdr:rowOff>
    </xdr:from>
    <xdr:to>
      <xdr:col>6</xdr:col>
      <xdr:colOff>783499</xdr:colOff>
      <xdr:row>249</xdr:row>
      <xdr:rowOff>47443</xdr:rowOff>
    </xdr:to>
    <mc:AlternateContent xmlns:mc="http://schemas.openxmlformats.org/markup-compatibility/2006" xmlns:a14="http://schemas.microsoft.com/office/drawing/2010/main">
      <mc:Choice Requires="a14">
        <xdr:sp macro="" textlink="">
          <xdr:nvSpPr>
            <xdr:cNvPr id="428" name="TextBox 24">
              <a:extLst>
                <a:ext uri="{FF2B5EF4-FFF2-40B4-BE49-F238E27FC236}">
                  <a16:creationId xmlns:a16="http://schemas.microsoft.com/office/drawing/2014/main" id="{00000000-0008-0000-0500-0000AC010000}"/>
                </a:ext>
              </a:extLst>
            </xdr:cNvPr>
            <xdr:cNvSpPr txBox="1"/>
          </xdr:nvSpPr>
          <xdr:spPr>
            <a:xfrm>
              <a:off x="2748097" y="68084971"/>
              <a:ext cx="7982223" cy="4336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𝐵𝐻𝑃</m:t>
                        </m:r>
                      </m:num>
                      <m:den>
                        <m:r>
                          <a:rPr lang="en-US" sz="1400" b="0" i="1">
                            <a:latin typeface="Cambria Math" panose="02040503050406030204" pitchFamily="18" charset="0"/>
                            <a:ea typeface="Cambria Math" panose="02040503050406030204" pitchFamily="18" charset="0"/>
                          </a:rPr>
                          <m:t>𝐸𝐸𝐹𝑖</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𝐸𝑆𝐹</m:t>
                    </m:r>
                  </m:oMath>
                </m:oMathPara>
              </a14:m>
              <a:endParaRPr lang="en-US" sz="1400"/>
            </a:p>
          </xdr:txBody>
        </xdr:sp>
      </mc:Choice>
      <mc:Fallback xmlns="">
        <xdr:sp macro="" textlink="">
          <xdr:nvSpPr>
            <xdr:cNvPr id="25" name="TextBox 24"/>
            <xdr:cNvSpPr txBox="1"/>
          </xdr:nvSpPr>
          <xdr:spPr>
            <a:xfrm>
              <a:off x="2871106" y="28813125"/>
              <a:ext cx="76907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𝑘𝑊ℎ=𝐵𝐻𝑃/𝐸𝐸𝐹𝑖∗𝐻𝑜𝑢𝑟𝑠∗𝐸𝑆𝐹</a:t>
              </a:r>
              <a:endParaRPr lang="en-US" sz="1400"/>
            </a:p>
          </xdr:txBody>
        </xdr:sp>
      </mc:Fallback>
    </mc:AlternateContent>
    <xdr:clientData/>
  </xdr:twoCellAnchor>
  <xdr:twoCellAnchor>
    <xdr:from>
      <xdr:col>3</xdr:col>
      <xdr:colOff>751014</xdr:colOff>
      <xdr:row>266</xdr:row>
      <xdr:rowOff>95248</xdr:rowOff>
    </xdr:from>
    <xdr:to>
      <xdr:col>6</xdr:col>
      <xdr:colOff>599905</xdr:colOff>
      <xdr:row>267</xdr:row>
      <xdr:rowOff>105048</xdr:rowOff>
    </xdr:to>
    <mc:AlternateContent xmlns:mc="http://schemas.openxmlformats.org/markup-compatibility/2006" xmlns:a14="http://schemas.microsoft.com/office/drawing/2010/main">
      <mc:Choice Requires="a14">
        <xdr:sp macro="" textlink="">
          <xdr:nvSpPr>
            <xdr:cNvPr id="427" name="TextBox 25">
              <a:extLst>
                <a:ext uri="{FF2B5EF4-FFF2-40B4-BE49-F238E27FC236}">
                  <a16:creationId xmlns:a16="http://schemas.microsoft.com/office/drawing/2014/main" id="{00000000-0008-0000-0500-0000AB010000}"/>
                </a:ext>
              </a:extLst>
            </xdr:cNvPr>
            <xdr:cNvSpPr txBox="1"/>
          </xdr:nvSpPr>
          <xdr:spPr>
            <a:xfrm>
              <a:off x="2792085" y="71764069"/>
              <a:ext cx="7754641" cy="1866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6" name="TextBox 25"/>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707026</xdr:colOff>
      <xdr:row>262</xdr:row>
      <xdr:rowOff>93890</xdr:rowOff>
    </xdr:from>
    <xdr:to>
      <xdr:col>11</xdr:col>
      <xdr:colOff>973999</xdr:colOff>
      <xdr:row>265</xdr:row>
      <xdr:rowOff>131498</xdr:rowOff>
    </xdr:to>
    <mc:AlternateContent xmlns:mc="http://schemas.openxmlformats.org/markup-compatibility/2006" xmlns:a14="http://schemas.microsoft.com/office/drawing/2010/main">
      <mc:Choice Requires="a14">
        <xdr:sp macro="" textlink="">
          <xdr:nvSpPr>
            <xdr:cNvPr id="426" name="TextBox 26">
              <a:extLst>
                <a:ext uri="{FF2B5EF4-FFF2-40B4-BE49-F238E27FC236}">
                  <a16:creationId xmlns:a16="http://schemas.microsoft.com/office/drawing/2014/main" id="{00000000-0008-0000-0500-0000AA010000}"/>
                </a:ext>
              </a:extLst>
            </xdr:cNvPr>
            <xdr:cNvSpPr txBox="1"/>
          </xdr:nvSpPr>
          <xdr:spPr>
            <a:xfrm>
              <a:off x="2748097" y="71055140"/>
              <a:ext cx="15588616" cy="5682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sSub>
                      <m:sSubPr>
                        <m:ctrlPr>
                          <a:rPr lang="en-US" sz="140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𝑡𝑜𝑡𝑎𝑙</m:t>
                        </m:r>
                      </m:sub>
                    </m:sSub>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.746∗</m:t>
                            </m:r>
                            <m:r>
                              <a:rPr lang="en-US" sz="1400" b="0" i="1">
                                <a:latin typeface="Cambria Math" panose="02040503050406030204" pitchFamily="18" charset="0"/>
                                <a:ea typeface="Cambria Math" panose="02040503050406030204" pitchFamily="18" charset="0"/>
                              </a:rPr>
                              <m:t>𝐻𝑃</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𝐿𝐹</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𝜂</m:t>
                                    </m:r>
                                  </m:e>
                                  <m:sub>
                                    <m:r>
                                      <a:rPr lang="en-US" sz="1400" b="0" i="1">
                                        <a:latin typeface="Cambria Math" panose="02040503050406030204" pitchFamily="18" charset="0"/>
                                        <a:ea typeface="Cambria Math" panose="02040503050406030204" pitchFamily="18" charset="0"/>
                                      </a:rPr>
                                      <m:t>𝑚𝑜𝑡𝑜𝑟</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𝑅𝐻𝑅𝑆</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100" b="0" i="1">
                                <a:solidFill>
                                  <a:schemeClr val="tx1"/>
                                </a:solidFill>
                                <a:effectLst/>
                                <a:latin typeface="Cambria Math" panose="02040503050406030204" pitchFamily="18" charset="0"/>
                                <a:ea typeface="+mn-ea"/>
                                <a:cs typeface="+mn-cs"/>
                              </a:rPr>
                              <m:t>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.746∗</m:t>
                            </m:r>
                            <m:r>
                              <a:rPr lang="en-US" sz="1100" b="0" i="1">
                                <a:solidFill>
                                  <a:schemeClr val="tx1"/>
                                </a:solidFill>
                                <a:effectLst/>
                                <a:latin typeface="Cambria Math" panose="02040503050406030204" pitchFamily="18" charset="0"/>
                                <a:ea typeface="+mn-ea"/>
                                <a:cs typeface="+mn-cs"/>
                              </a:rPr>
                              <m:t>𝐻𝑃</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𝐿𝐹</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𝜂</m:t>
                                    </m:r>
                                  </m:e>
                                  <m:sub>
                                    <m:r>
                                      <a:rPr lang="en-US" sz="1100" b="0" i="1">
                                        <a:solidFill>
                                          <a:schemeClr val="tx1"/>
                                        </a:solidFill>
                                        <a:effectLst/>
                                        <a:latin typeface="Cambria Math" panose="02040503050406030204" pitchFamily="18" charset="0"/>
                                        <a:ea typeface="+mn-ea"/>
                                        <a:cs typeface="+mn-cs"/>
                                      </a:rPr>
                                      <m:t>𝑚𝑜𝑡𝑜𝑟</m:t>
                                    </m:r>
                                  </m:sub>
                                </m:sSub>
                              </m:den>
                            </m:f>
                          </m:e>
                        </m:d>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𝑅𝐻𝑅𝑆</m:t>
                            </m:r>
                          </m:e>
                          <m:sub>
                            <m:r>
                              <a:rPr lang="en-US" sz="1100" b="0" i="1">
                                <a:solidFill>
                                  <a:schemeClr val="tx1"/>
                                </a:solidFill>
                                <a:effectLst/>
                                <a:latin typeface="Cambria Math" panose="02040503050406030204" pitchFamily="18" charset="0"/>
                                <a:ea typeface="+mn-ea"/>
                                <a:cs typeface="+mn-cs"/>
                              </a:rPr>
                              <m:t>𝑏𝑎𝑠𝑒</m:t>
                            </m:r>
                          </m:sub>
                        </m:sSub>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100" b="0" i="1">
                                <a:solidFill>
                                  <a:schemeClr val="tx1"/>
                                </a:solidFill>
                                <a:effectLst/>
                                <a:latin typeface="Cambria Math" panose="02040503050406030204" pitchFamily="18" charset="0"/>
                                <a:ea typeface="+mn-ea"/>
                                <a:cs typeface="+mn-cs"/>
                              </a:rPr>
                              <m:t>𝐸𝑓𝑓</m:t>
                            </m:r>
                          </m:sub>
                        </m:sSub>
                        <m:r>
                          <a:rPr lang="en-US" sz="1100" b="0" i="1">
                            <a:solidFill>
                              <a:schemeClr val="tx1"/>
                            </a:solidFill>
                            <a:effectLst/>
                            <a:latin typeface="Cambria Math" panose="02040503050406030204" pitchFamily="18" charset="0"/>
                            <a:ea typeface="+mn-ea"/>
                            <a:cs typeface="+mn-cs"/>
                          </a:rPr>
                          <m:t>)</m:t>
                        </m:r>
                      </m:e>
                    </m:d>
                    <m:r>
                      <a:rPr lang="en-US" sz="1400" b="0" i="1">
                        <a:latin typeface="Cambria Math" panose="02040503050406030204" pitchFamily="18" charset="0"/>
                        <a:ea typeface="Cambria Math" panose="02040503050406030204" pitchFamily="18" charset="0"/>
                      </a:rPr>
                      <m:t>∗(1+</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𝐼𝐸</m:t>
                        </m:r>
                      </m:e>
                      <m:sub>
                        <m:r>
                          <a:rPr lang="en-US" sz="1400" b="0" i="1">
                            <a:latin typeface="Cambria Math" panose="02040503050406030204" pitchFamily="18" charset="0"/>
                            <a:ea typeface="Cambria Math" panose="02040503050406030204" pitchFamily="18" charset="0"/>
                          </a:rPr>
                          <m:t>𝑒𝑛𝑒𝑟𝑔𝑦</m:t>
                        </m:r>
                      </m:sub>
                    </m:sSub>
                    <m:r>
                      <a:rPr lang="en-US" sz="1400" b="0" i="1">
                        <a:latin typeface="Cambria Math" panose="02040503050406030204" pitchFamily="18" charset="0"/>
                        <a:ea typeface="Cambria Math" panose="02040503050406030204" pitchFamily="18" charset="0"/>
                      </a:rPr>
                      <m:t>)</m:t>
                    </m:r>
                  </m:oMath>
                </m:oMathPara>
              </a14:m>
              <a:endParaRPr lang="en-US" sz="1050"/>
            </a:p>
          </xdr:txBody>
        </xdr:sp>
      </mc:Choice>
      <mc:Fallback xmlns="">
        <xdr:sp macro="" textlink="">
          <xdr:nvSpPr>
            <xdr:cNvPr id="426" name="TextBox 26">
              <a:extLst>
                <a:ext uri="{FF2B5EF4-FFF2-40B4-BE49-F238E27FC236}">
                  <a16:creationId xmlns:a16="http://schemas.microsoft.com/office/drawing/2014/main" id="{00000000-0008-0000-0500-0000AA010000}"/>
                </a:ext>
              </a:extLst>
            </xdr:cNvPr>
            <xdr:cNvSpPr txBox="1"/>
          </xdr:nvSpPr>
          <xdr:spPr>
            <a:xfrm>
              <a:off x="2748097" y="71055140"/>
              <a:ext cx="15588616" cy="5682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𝑘𝑊ℎ〗_𝑡𝑜𝑡𝑎𝑙=[((.746∗𝐻𝑃∗𝐿𝐹/𝜂_𝑚𝑜𝑡𝑜𝑟 )∗〖𝑅𝐻𝑅𝑆〗_𝐵𝑎𝑠𝑒∗</a:t>
              </a:r>
              <a:r>
                <a:rPr lang="en-US" sz="1100" b="0" i="0">
                  <a:solidFill>
                    <a:schemeClr val="tx1"/>
                  </a:solidFill>
                  <a:effectLst/>
                  <a:latin typeface="Cambria Math" panose="02040503050406030204" pitchFamily="18" charset="0"/>
                  <a:ea typeface="+mn-ea"/>
                  <a:cs typeface="+mn-cs"/>
                </a:rPr>
                <a:t>〖𝐶𝑜𝑛𝑡𝑟𝑜𝑙𝑇𝑦𝑝𝑒𝐹𝑎𝑐𝑡𝑜𝑟〗_𝐵𝑎𝑠𝑒)−((.746∗𝐻𝑃∗𝐿𝐹/𝜂_𝑚𝑜𝑡𝑜𝑟 )∗〖𝑅𝐻𝑅𝑆〗_𝑏𝑎𝑠𝑒∗〖𝐶𝑜𝑛𝑡𝑟𝑜𝑙𝑇𝑦𝑝𝑒𝐹𝑎𝑐𝑡𝑜𝑟〗_𝐸𝑓𝑓)]</a:t>
              </a:r>
              <a:r>
                <a:rPr lang="en-US" sz="1400" b="0" i="0">
                  <a:latin typeface="Cambria Math" panose="02040503050406030204" pitchFamily="18" charset="0"/>
                  <a:ea typeface="Cambria Math" panose="02040503050406030204" pitchFamily="18" charset="0"/>
                </a:rPr>
                <a:t>∗(1+〖𝐼𝐸〗_𝑒𝑛𝑒𝑟𝑔𝑦)</a:t>
              </a:r>
              <a:endParaRPr lang="en-US" sz="1050"/>
            </a:p>
          </xdr:txBody>
        </xdr:sp>
      </mc:Fallback>
    </mc:AlternateContent>
    <xdr:clientData/>
  </xdr:twoCellAnchor>
  <xdr:twoCellAnchor>
    <xdr:from>
      <xdr:col>3</xdr:col>
      <xdr:colOff>751014</xdr:colOff>
      <xdr:row>301</xdr:row>
      <xdr:rowOff>21224</xdr:rowOff>
    </xdr:from>
    <xdr:to>
      <xdr:col>6</xdr:col>
      <xdr:colOff>599905</xdr:colOff>
      <xdr:row>302</xdr:row>
      <xdr:rowOff>136071</xdr:rowOff>
    </xdr:to>
    <mc:AlternateContent xmlns:mc="http://schemas.openxmlformats.org/markup-compatibility/2006" xmlns:a14="http://schemas.microsoft.com/office/drawing/2010/main">
      <mc:Choice Requires="a14">
        <xdr:sp macro="" textlink="">
          <xdr:nvSpPr>
            <xdr:cNvPr id="425" name="TextBox 27">
              <a:extLst>
                <a:ext uri="{FF2B5EF4-FFF2-40B4-BE49-F238E27FC236}">
                  <a16:creationId xmlns:a16="http://schemas.microsoft.com/office/drawing/2014/main" id="{00000000-0008-0000-0500-0000A9010000}"/>
                </a:ext>
              </a:extLst>
            </xdr:cNvPr>
            <xdr:cNvSpPr txBox="1"/>
          </xdr:nvSpPr>
          <xdr:spPr>
            <a:xfrm>
              <a:off x="2792085" y="78316724"/>
              <a:ext cx="7754641" cy="2917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8" name="TextBox 27"/>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781049</xdr:colOff>
      <xdr:row>297</xdr:row>
      <xdr:rowOff>167912</xdr:rowOff>
    </xdr:from>
    <xdr:to>
      <xdr:col>4</xdr:col>
      <xdr:colOff>4112559</xdr:colOff>
      <xdr:row>300</xdr:row>
      <xdr:rowOff>123635</xdr:rowOff>
    </xdr:to>
    <mc:AlternateContent xmlns:mc="http://schemas.openxmlformats.org/markup-compatibility/2006" xmlns:a14="http://schemas.microsoft.com/office/drawing/2010/main">
      <mc:Choice Requires="a14">
        <xdr:sp macro="" textlink="">
          <xdr:nvSpPr>
            <xdr:cNvPr id="424" name="TextBox 28">
              <a:extLst>
                <a:ext uri="{FF2B5EF4-FFF2-40B4-BE49-F238E27FC236}">
                  <a16:creationId xmlns:a16="http://schemas.microsoft.com/office/drawing/2014/main" id="{00000000-0008-0000-0500-0000A8010000}"/>
                </a:ext>
              </a:extLst>
            </xdr:cNvPr>
            <xdr:cNvSpPr txBox="1"/>
          </xdr:nvSpPr>
          <xdr:spPr>
            <a:xfrm>
              <a:off x="2822120" y="77755841"/>
              <a:ext cx="5018796" cy="4864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3257549" y="39855561"/>
              <a:ext cx="4810686"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𝑘𝑊ℎ=(𝑘𝐵𝑡𝑢/ℎ𝑟)∗[(1/〖𝑆𝐸𝐸𝑅〗_𝑏𝑎𝑠𝑒 )−(1/〖𝑆𝐸𝐸𝑅〗_𝑒𝑒 )]∗𝐸𝐹𝐿𝐻</a:t>
              </a:r>
              <a:endParaRPr lang="en-US" sz="1100"/>
            </a:p>
          </xdr:txBody>
        </xdr:sp>
      </mc:Fallback>
    </mc:AlternateContent>
    <xdr:clientData/>
  </xdr:twoCellAnchor>
  <xdr:twoCellAnchor>
    <xdr:from>
      <xdr:col>5</xdr:col>
      <xdr:colOff>105047</xdr:colOff>
      <xdr:row>298</xdr:row>
      <xdr:rowOff>0</xdr:rowOff>
    </xdr:from>
    <xdr:to>
      <xdr:col>8</xdr:col>
      <xdr:colOff>683559</xdr:colOff>
      <xdr:row>300</xdr:row>
      <xdr:rowOff>134793</xdr:rowOff>
    </xdr:to>
    <mc:AlternateContent xmlns:mc="http://schemas.openxmlformats.org/markup-compatibility/2006" xmlns:a14="http://schemas.microsoft.com/office/drawing/2010/main">
      <mc:Choice Requires="a14">
        <xdr:sp macro="" textlink="">
          <xdr:nvSpPr>
            <xdr:cNvPr id="423" name="TextBox 29">
              <a:extLst>
                <a:ext uri="{FF2B5EF4-FFF2-40B4-BE49-F238E27FC236}">
                  <a16:creationId xmlns:a16="http://schemas.microsoft.com/office/drawing/2014/main" id="{00000000-0008-0000-0500-0000A7010000}"/>
                </a:ext>
              </a:extLst>
            </xdr:cNvPr>
            <xdr:cNvSpPr txBox="1"/>
          </xdr:nvSpPr>
          <xdr:spPr>
            <a:xfrm>
              <a:off x="8704761" y="77764821"/>
              <a:ext cx="5395441" cy="488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solidFill>
                                          <a:sysClr val="windowText" lastClr="000000"/>
                                        </a:solidFill>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8883063" y="39870529"/>
              <a:ext cx="5236349"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a:t>
              </a:r>
              <a:r>
                <a:rPr lang="en-US" sz="1400" b="0" i="0">
                  <a:solidFill>
                    <a:sysClr val="windowText" lastClr="000000"/>
                  </a:solidFill>
                  <a:latin typeface="Cambria Math" panose="02040503050406030204" pitchFamily="18" charset="0"/>
                  <a:ea typeface="Cambria Math" panose="02040503050406030204" pitchFamily="18" charset="0"/>
                </a:rPr>
                <a:t>𝐼𝐸𝐸𝑅〗_</a:t>
              </a:r>
              <a:r>
                <a:rPr lang="en-US" sz="1400" b="0" i="0">
                  <a:latin typeface="Cambria Math" panose="02040503050406030204" pitchFamily="18" charset="0"/>
                  <a:ea typeface="Cambria Math" panose="02040503050406030204" pitchFamily="18" charset="0"/>
                </a:rPr>
                <a:t>𝑏𝑎𝑠𝑒 )−(</a:t>
              </a:r>
              <a:r>
                <a:rPr lang="en-US" sz="1400" b="0" i="0">
                  <a:solidFill>
                    <a:sysClr val="windowText" lastClr="000000"/>
                  </a:solidFill>
                  <a:latin typeface="Cambria Math" panose="02040503050406030204" pitchFamily="18" charset="0"/>
                  <a:ea typeface="Cambria Math" panose="02040503050406030204" pitchFamily="18" charset="0"/>
                </a:rPr>
                <a:t>1/〖𝐼𝐸𝐸𝑅〗_𝑒𝑒 )]</a:t>
              </a:r>
              <a:r>
                <a:rPr lang="en-US" sz="1400" b="0" i="0">
                  <a:latin typeface="Cambria Math" panose="02040503050406030204" pitchFamily="18" charset="0"/>
                  <a:ea typeface="Cambria Math" panose="02040503050406030204" pitchFamily="18" charset="0"/>
                </a:rPr>
                <a:t>∗𝐸𝐹𝐿𝐻</a:t>
              </a:r>
              <a:endParaRPr lang="en-US" sz="1100"/>
            </a:p>
          </xdr:txBody>
        </xdr:sp>
      </mc:Fallback>
    </mc:AlternateContent>
    <xdr:clientData/>
  </xdr:twoCellAnchor>
  <xdr:twoCellAnchor>
    <xdr:from>
      <xdr:col>3</xdr:col>
      <xdr:colOff>751014</xdr:colOff>
      <xdr:row>325</xdr:row>
      <xdr:rowOff>95247</xdr:rowOff>
    </xdr:from>
    <xdr:to>
      <xdr:col>6</xdr:col>
      <xdr:colOff>599905</xdr:colOff>
      <xdr:row>327</xdr:row>
      <xdr:rowOff>152572</xdr:rowOff>
    </xdr:to>
    <mc:AlternateContent xmlns:mc="http://schemas.openxmlformats.org/markup-compatibility/2006" xmlns:a14="http://schemas.microsoft.com/office/drawing/2010/main">
      <mc:Choice Requires="a14">
        <xdr:sp macro="" textlink="">
          <xdr:nvSpPr>
            <xdr:cNvPr id="422" name="TextBox 30">
              <a:extLst>
                <a:ext uri="{FF2B5EF4-FFF2-40B4-BE49-F238E27FC236}">
                  <a16:creationId xmlns:a16="http://schemas.microsoft.com/office/drawing/2014/main" id="{00000000-0008-0000-0500-0000A6010000}"/>
                </a:ext>
              </a:extLst>
            </xdr:cNvPr>
            <xdr:cNvSpPr txBox="1"/>
          </xdr:nvSpPr>
          <xdr:spPr>
            <a:xfrm>
              <a:off x="2792085" y="82690604"/>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1" name="TextBox 30"/>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4</xdr:col>
      <xdr:colOff>59499</xdr:colOff>
      <xdr:row>347</xdr:row>
      <xdr:rowOff>66673</xdr:rowOff>
    </xdr:from>
    <xdr:to>
      <xdr:col>7</xdr:col>
      <xdr:colOff>479890</xdr:colOff>
      <xdr:row>348</xdr:row>
      <xdr:rowOff>163831</xdr:rowOff>
    </xdr:to>
    <mc:AlternateContent xmlns:mc="http://schemas.openxmlformats.org/markup-compatibility/2006" xmlns:a14="http://schemas.microsoft.com/office/drawing/2010/main">
      <mc:Choice Requires="a14">
        <xdr:sp macro="" textlink="">
          <xdr:nvSpPr>
            <xdr:cNvPr id="421" name="TextBox 31">
              <a:extLst>
                <a:ext uri="{FF2B5EF4-FFF2-40B4-BE49-F238E27FC236}">
                  <a16:creationId xmlns:a16="http://schemas.microsoft.com/office/drawing/2014/main" id="{00000000-0008-0000-0500-0000A5010000}"/>
                </a:ext>
              </a:extLst>
            </xdr:cNvPr>
            <xdr:cNvSpPr txBox="1"/>
          </xdr:nvSpPr>
          <xdr:spPr>
            <a:xfrm>
              <a:off x="3783774" y="37518973"/>
              <a:ext cx="6773566" cy="2781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2" name="TextBox 31">
              <a:extLst>
                <a:ext uri="{FF2B5EF4-FFF2-40B4-BE49-F238E27FC236}">
                  <a16:creationId xmlns:a16="http://schemas.microsoft.com/office/drawing/2014/main" id="{00000000-0008-0000-0200-000020000000}"/>
                </a:ext>
              </a:extLst>
            </xdr:cNvPr>
            <xdr:cNvSpPr txBox="1"/>
          </xdr:nvSpPr>
          <xdr:spPr>
            <a:xfrm>
              <a:off x="3783774" y="37518973"/>
              <a:ext cx="6773566" cy="2781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5</xdr:col>
      <xdr:colOff>136071</xdr:colOff>
      <xdr:row>322</xdr:row>
      <xdr:rowOff>21499</xdr:rowOff>
    </xdr:from>
    <xdr:to>
      <xdr:col>8</xdr:col>
      <xdr:colOff>859267</xdr:colOff>
      <xdr:row>324</xdr:row>
      <xdr:rowOff>167722</xdr:rowOff>
    </xdr:to>
    <mc:AlternateContent xmlns:mc="http://schemas.openxmlformats.org/markup-compatibility/2006" xmlns:a14="http://schemas.microsoft.com/office/drawing/2010/main">
      <mc:Choice Requires="a14">
        <xdr:sp macro="" textlink="">
          <xdr:nvSpPr>
            <xdr:cNvPr id="420" name="TextBox 32">
              <a:extLst>
                <a:ext uri="{FF2B5EF4-FFF2-40B4-BE49-F238E27FC236}">
                  <a16:creationId xmlns:a16="http://schemas.microsoft.com/office/drawing/2014/main" id="{00000000-0008-0000-0500-0000A4010000}"/>
                </a:ext>
              </a:extLst>
            </xdr:cNvPr>
            <xdr:cNvSpPr txBox="1"/>
          </xdr:nvSpPr>
          <xdr:spPr>
            <a:xfrm>
              <a:off x="8735785" y="82086178"/>
              <a:ext cx="5540125" cy="5000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8910277" y="50184743"/>
              <a:ext cx="5377223"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)∗[(1/〖𝑆𝐸𝐸𝑅〗_𝑏𝑎𝑠𝑒 )−(1/〖𝑆𝐸𝐸𝑅〗_𝑒𝑒 )]∗〖𝐸𝐹𝐿𝐻〗_𝑐𝑜𝑜𝑙</a:t>
              </a:r>
              <a:endParaRPr lang="en-US" sz="1100"/>
            </a:p>
          </xdr:txBody>
        </xdr:sp>
      </mc:Fallback>
    </mc:AlternateContent>
    <xdr:clientData/>
  </xdr:twoCellAnchor>
  <xdr:twoCellAnchor>
    <xdr:from>
      <xdr:col>5</xdr:col>
      <xdr:colOff>105046</xdr:colOff>
      <xdr:row>324</xdr:row>
      <xdr:rowOff>169273</xdr:rowOff>
    </xdr:from>
    <xdr:to>
      <xdr:col>8</xdr:col>
      <xdr:colOff>855232</xdr:colOff>
      <xdr:row>327</xdr:row>
      <xdr:rowOff>97056</xdr:rowOff>
    </xdr:to>
    <mc:AlternateContent xmlns:mc="http://schemas.openxmlformats.org/markup-compatibility/2006" xmlns:a14="http://schemas.microsoft.com/office/drawing/2010/main">
      <mc:Choice Requires="a14">
        <xdr:sp macro="" textlink="">
          <xdr:nvSpPr>
            <xdr:cNvPr id="419" name="TextBox 33">
              <a:extLst>
                <a:ext uri="{FF2B5EF4-FFF2-40B4-BE49-F238E27FC236}">
                  <a16:creationId xmlns:a16="http://schemas.microsoft.com/office/drawing/2014/main" id="{00000000-0008-0000-0500-0000A3010000}"/>
                </a:ext>
              </a:extLst>
            </xdr:cNvPr>
            <xdr:cNvSpPr txBox="1"/>
          </xdr:nvSpPr>
          <xdr:spPr>
            <a:xfrm>
              <a:off x="8704760" y="82587737"/>
              <a:ext cx="5567115" cy="4584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8883062" y="50715422"/>
              <a:ext cx="5415643"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)∗[(1/〖𝐻𝑆𝑃𝐹〗_𝑏𝑎𝑠𝑒 )−(1/〖𝐻𝑆𝑃𝐹〗_𝑒𝑒 )]∗〖𝐸𝐹𝐿𝐻〗_ℎ𝑒𝑎𝑡</a:t>
              </a:r>
              <a:endParaRPr lang="en-US" sz="1100"/>
            </a:p>
          </xdr:txBody>
        </xdr:sp>
      </mc:Fallback>
    </mc:AlternateContent>
    <xdr:clientData/>
  </xdr:twoCellAnchor>
  <xdr:twoCellAnchor>
    <xdr:from>
      <xdr:col>3</xdr:col>
      <xdr:colOff>726621</xdr:colOff>
      <xdr:row>323</xdr:row>
      <xdr:rowOff>9253</xdr:rowOff>
    </xdr:from>
    <xdr:to>
      <xdr:col>4</xdr:col>
      <xdr:colOff>1847143</xdr:colOff>
      <xdr:row>324</xdr:row>
      <xdr:rowOff>60141</xdr:rowOff>
    </xdr:to>
    <mc:AlternateContent xmlns:mc="http://schemas.openxmlformats.org/markup-compatibility/2006" xmlns:a14="http://schemas.microsoft.com/office/drawing/2010/main">
      <mc:Choice Requires="a14">
        <xdr:sp macro="" textlink="">
          <xdr:nvSpPr>
            <xdr:cNvPr id="418" name="TextBox 34">
              <a:extLst>
                <a:ext uri="{FF2B5EF4-FFF2-40B4-BE49-F238E27FC236}">
                  <a16:creationId xmlns:a16="http://schemas.microsoft.com/office/drawing/2014/main" id="{00000000-0008-0000-0500-0000A2010000}"/>
                </a:ext>
              </a:extLst>
            </xdr:cNvPr>
            <xdr:cNvSpPr txBox="1"/>
          </xdr:nvSpPr>
          <xdr:spPr>
            <a:xfrm>
              <a:off x="2767692" y="82250824"/>
              <a:ext cx="2807808" cy="2277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5" name="TextBox 34"/>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𝑘𝑊ℎ=〖∆𝑘𝑊ℎ〗_𝑐𝑜𝑜𝑙+〖∆𝑘𝑊ℎ〗_ℎ𝑒𝑎𝑡</a:t>
              </a:r>
              <a:endParaRPr lang="en-US" sz="1100"/>
            </a:p>
          </xdr:txBody>
        </xdr:sp>
      </mc:Fallback>
    </mc:AlternateContent>
    <xdr:clientData/>
  </xdr:twoCellAnchor>
  <xdr:twoCellAnchor>
    <xdr:from>
      <xdr:col>9</xdr:col>
      <xdr:colOff>152400</xdr:colOff>
      <xdr:row>322</xdr:row>
      <xdr:rowOff>16328</xdr:rowOff>
    </xdr:from>
    <xdr:to>
      <xdr:col>13</xdr:col>
      <xdr:colOff>664733</xdr:colOff>
      <xdr:row>324</xdr:row>
      <xdr:rowOff>151121</xdr:rowOff>
    </xdr:to>
    <mc:AlternateContent xmlns:mc="http://schemas.openxmlformats.org/markup-compatibility/2006" xmlns:a14="http://schemas.microsoft.com/office/drawing/2010/main">
      <mc:Choice Requires="a14">
        <xdr:sp macro="" textlink="">
          <xdr:nvSpPr>
            <xdr:cNvPr id="417" name="TextBox 35">
              <a:extLst>
                <a:ext uri="{FF2B5EF4-FFF2-40B4-BE49-F238E27FC236}">
                  <a16:creationId xmlns:a16="http://schemas.microsoft.com/office/drawing/2014/main" id="{00000000-0008-0000-0500-0000A1010000}"/>
                </a:ext>
              </a:extLst>
            </xdr:cNvPr>
            <xdr:cNvSpPr txBox="1"/>
          </xdr:nvSpPr>
          <xdr:spPr>
            <a:xfrm>
              <a:off x="14834507" y="82081007"/>
              <a:ext cx="5342869" cy="4885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14820900" y="50173857"/>
              <a:ext cx="5226424"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)∗[(1/〖𝐸𝐸𝑅〗_𝑏𝑎𝑠𝑒 )−(1/〖𝐸𝐸𝑅〗_𝑒𝑒 )]∗〖𝐸𝐹𝐿𝐻〗_𝑐𝑜𝑜𝑙</a:t>
              </a:r>
              <a:endParaRPr lang="en-US" sz="1100"/>
            </a:p>
          </xdr:txBody>
        </xdr:sp>
      </mc:Fallback>
    </mc:AlternateContent>
    <xdr:clientData/>
  </xdr:twoCellAnchor>
  <xdr:twoCellAnchor>
    <xdr:from>
      <xdr:col>9</xdr:col>
      <xdr:colOff>136071</xdr:colOff>
      <xdr:row>324</xdr:row>
      <xdr:rowOff>149678</xdr:rowOff>
    </xdr:from>
    <xdr:to>
      <xdr:col>14</xdr:col>
      <xdr:colOff>56029</xdr:colOff>
      <xdr:row>327</xdr:row>
      <xdr:rowOff>54601</xdr:rowOff>
    </xdr:to>
    <mc:AlternateContent xmlns:mc="http://schemas.openxmlformats.org/markup-compatibility/2006" xmlns:a14="http://schemas.microsoft.com/office/drawing/2010/main">
      <mc:Choice Requires="a14">
        <xdr:sp macro="" textlink="">
          <xdr:nvSpPr>
            <xdr:cNvPr id="416" name="TextBox 36">
              <a:extLst>
                <a:ext uri="{FF2B5EF4-FFF2-40B4-BE49-F238E27FC236}">
                  <a16:creationId xmlns:a16="http://schemas.microsoft.com/office/drawing/2014/main" id="{00000000-0008-0000-0500-0000A0010000}"/>
                </a:ext>
              </a:extLst>
            </xdr:cNvPr>
            <xdr:cNvSpPr txBox="1"/>
          </xdr:nvSpPr>
          <xdr:spPr>
            <a:xfrm>
              <a:off x="14818178" y="82568142"/>
              <a:ext cx="5689387" cy="4356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/3.412∗</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14804571" y="50688207"/>
              <a:ext cx="5545311"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)/3.412∗[(1/〖𝐶𝑂𝑃〗_𝑏𝑎𝑠𝑒 )−(1/〖𝐶𝑂𝑃〗_𝑒𝑒 )]∗〖𝐸𝐹𝐿𝐻〗_ℎ𝑒𝑎𝑡</a:t>
              </a:r>
              <a:endParaRPr lang="en-US" sz="1100"/>
            </a:p>
          </xdr:txBody>
        </xdr:sp>
      </mc:Fallback>
    </mc:AlternateContent>
    <xdr:clientData/>
  </xdr:twoCellAnchor>
  <xdr:twoCellAnchor>
    <xdr:from>
      <xdr:col>4</xdr:col>
      <xdr:colOff>77287</xdr:colOff>
      <xdr:row>344</xdr:row>
      <xdr:rowOff>127363</xdr:rowOff>
    </xdr:from>
    <xdr:to>
      <xdr:col>5</xdr:col>
      <xdr:colOff>6136</xdr:colOff>
      <xdr:row>345</xdr:row>
      <xdr:rowOff>179884</xdr:rowOff>
    </xdr:to>
    <mc:AlternateContent xmlns:mc="http://schemas.openxmlformats.org/markup-compatibility/2006" xmlns:a14="http://schemas.microsoft.com/office/drawing/2010/main">
      <mc:Choice Requires="a14">
        <xdr:sp macro="" textlink="">
          <xdr:nvSpPr>
            <xdr:cNvPr id="415" name="TextBox 37">
              <a:extLst>
                <a:ext uri="{FF2B5EF4-FFF2-40B4-BE49-F238E27FC236}">
                  <a16:creationId xmlns:a16="http://schemas.microsoft.com/office/drawing/2014/main" id="{00000000-0008-0000-0500-00009F010000}"/>
                </a:ext>
              </a:extLst>
            </xdr:cNvPr>
            <xdr:cNvSpPr txBox="1"/>
          </xdr:nvSpPr>
          <xdr:spPr>
            <a:xfrm>
              <a:off x="3801562" y="37036738"/>
              <a:ext cx="3824574" cy="233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𝑇𝑂𝑁𝑆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𝑒𝑒</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400"/>
            </a:p>
          </xdr:txBody>
        </xdr:sp>
      </mc:Choice>
      <mc:Fallback xmlns="">
        <xdr:sp macro="" textlink="">
          <xdr:nvSpPr>
            <xdr:cNvPr id="38" name="TextBox 37">
              <a:extLst>
                <a:ext uri="{FF2B5EF4-FFF2-40B4-BE49-F238E27FC236}">
                  <a16:creationId xmlns:a16="http://schemas.microsoft.com/office/drawing/2014/main" id="{00000000-0008-0000-0200-000026000000}"/>
                </a:ext>
              </a:extLst>
            </xdr:cNvPr>
            <xdr:cNvSpPr txBox="1"/>
          </xdr:nvSpPr>
          <xdr:spPr>
            <a:xfrm>
              <a:off x="3801562" y="37036738"/>
              <a:ext cx="3824574" cy="233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𝑘𝑊ℎ=𝑇𝑂𝑁𝑆∗(〖𝐼𝑃𝐿𝑉〗_𝑏𝑎𝑠𝑒−〖𝐼𝑃𝐿𝑉〗_𝑒𝑒 )∗𝐸𝐹𝐿𝐻</a:t>
              </a:r>
              <a:endParaRPr lang="en-US" sz="1400"/>
            </a:p>
          </xdr:txBody>
        </xdr:sp>
      </mc:Fallback>
    </mc:AlternateContent>
    <xdr:clientData/>
  </xdr:twoCellAnchor>
  <xdr:twoCellAnchor>
    <xdr:from>
      <xdr:col>5</xdr:col>
      <xdr:colOff>0</xdr:colOff>
      <xdr:row>270</xdr:row>
      <xdr:rowOff>0</xdr:rowOff>
    </xdr:from>
    <xdr:to>
      <xdr:col>5</xdr:col>
      <xdr:colOff>1343025</xdr:colOff>
      <xdr:row>271</xdr:row>
      <xdr:rowOff>0</xdr:rowOff>
    </xdr:to>
    <xdr:pic>
      <xdr:nvPicPr>
        <xdr:cNvPr id="411" name="Picture 41">
          <a:extLst>
            <a:ext uri="{FF2B5EF4-FFF2-40B4-BE49-F238E27FC236}">
              <a16:creationId xmlns:a16="http://schemas.microsoft.com/office/drawing/2014/main" id="{00000000-0008-0000-0500-00009B01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599714" y="72390000"/>
          <a:ext cx="1343025" cy="1768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726621</xdr:colOff>
      <xdr:row>268</xdr:row>
      <xdr:rowOff>19050</xdr:rowOff>
    </xdr:from>
    <xdr:to>
      <xdr:col>9</xdr:col>
      <xdr:colOff>140363</xdr:colOff>
      <xdr:row>271</xdr:row>
      <xdr:rowOff>54610</xdr:rowOff>
    </xdr:to>
    <mc:AlternateContent xmlns:mc="http://schemas.openxmlformats.org/markup-compatibility/2006" xmlns:a14="http://schemas.microsoft.com/office/drawing/2010/main">
      <mc:Choice Requires="a14">
        <xdr:sp macro="" textlink="">
          <xdr:nvSpPr>
            <xdr:cNvPr id="410" name="TextBox 42">
              <a:extLst>
                <a:ext uri="{FF2B5EF4-FFF2-40B4-BE49-F238E27FC236}">
                  <a16:creationId xmlns:a16="http://schemas.microsoft.com/office/drawing/2014/main" id="{00000000-0008-0000-0500-00009A010000}"/>
                </a:ext>
              </a:extLst>
            </xdr:cNvPr>
            <xdr:cNvSpPr txBox="1"/>
          </xdr:nvSpPr>
          <xdr:spPr>
            <a:xfrm>
              <a:off x="10673442" y="72041657"/>
              <a:ext cx="4149028" cy="5798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3" name="TextBox 42"/>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𝐶𝑜𝑛𝑡𝑟𝑜𝑙𝑇𝑦𝑝𝑒𝐹𝑎𝑐𝑡𝑜𝑟〗_𝐵𝑎𝑠𝑒=∑_(0%)^(100%)▒〖(%𝐹𝐹∗〖𝑃𝐿𝑅〗_𝐵𝑎𝑠𝑒)〗</a:t>
              </a:r>
              <a:endParaRPr lang="en-US" sz="1100"/>
            </a:p>
          </xdr:txBody>
        </xdr:sp>
      </mc:Fallback>
    </mc:AlternateContent>
    <xdr:clientData/>
  </xdr:twoCellAnchor>
  <xdr:twoCellAnchor>
    <xdr:from>
      <xdr:col>6</xdr:col>
      <xdr:colOff>742950</xdr:colOff>
      <xdr:row>272</xdr:row>
      <xdr:rowOff>97428</xdr:rowOff>
    </xdr:from>
    <xdr:to>
      <xdr:col>9</xdr:col>
      <xdr:colOff>341962</xdr:colOff>
      <xdr:row>275</xdr:row>
      <xdr:rowOff>135528</xdr:rowOff>
    </xdr:to>
    <mc:AlternateContent xmlns:mc="http://schemas.openxmlformats.org/markup-compatibility/2006" xmlns:a14="http://schemas.microsoft.com/office/drawing/2010/main">
      <mc:Choice Requires="a14">
        <xdr:sp macro="" textlink="">
          <xdr:nvSpPr>
            <xdr:cNvPr id="409" name="TextBox 43">
              <a:extLst>
                <a:ext uri="{FF2B5EF4-FFF2-40B4-BE49-F238E27FC236}">
                  <a16:creationId xmlns:a16="http://schemas.microsoft.com/office/drawing/2014/main" id="{00000000-0008-0000-0500-000099010000}"/>
                </a:ext>
              </a:extLst>
            </xdr:cNvPr>
            <xdr:cNvSpPr txBox="1"/>
          </xdr:nvSpPr>
          <xdr:spPr>
            <a:xfrm>
              <a:off x="10689771" y="72841214"/>
              <a:ext cx="4334298" cy="5687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𝐸𝑓𝑓</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𝑅𝑒𝑡𝑟𝑜𝑓𝑖𝑡</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4" name="TextBox 43"/>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𝐶𝑜𝑛𝑡𝑟𝑜𝑙𝑇𝑦𝑝𝑒𝐹𝑎𝑐𝑡𝑜𝑟〗_𝐸𝑓𝑓=∑_(0%)^(100%)▒〖(%𝐹𝐹∗〖𝑃𝐿𝑅〗_𝑅𝑒𝑡𝑟𝑜𝑓𝑖𝑡)〗</a:t>
              </a:r>
              <a:endParaRPr lang="en-US" sz="1100"/>
            </a:p>
          </xdr:txBody>
        </xdr:sp>
      </mc:Fallback>
    </mc:AlternateContent>
    <xdr:clientData/>
  </xdr:twoCellAnchor>
  <xdr:twoCellAnchor>
    <xdr:from>
      <xdr:col>3</xdr:col>
      <xdr:colOff>1346632</xdr:colOff>
      <xdr:row>69</xdr:row>
      <xdr:rowOff>125732</xdr:rowOff>
    </xdr:from>
    <xdr:to>
      <xdr:col>4</xdr:col>
      <xdr:colOff>2220686</xdr:colOff>
      <xdr:row>71</xdr:row>
      <xdr:rowOff>65316</xdr:rowOff>
    </xdr:to>
    <mc:AlternateContent xmlns:mc="http://schemas.openxmlformats.org/markup-compatibility/2006" xmlns:a14="http://schemas.microsoft.com/office/drawing/2010/main">
      <mc:Choice Requires="a14">
        <xdr:sp macro="" textlink="">
          <xdr:nvSpPr>
            <xdr:cNvPr id="408" name="TextBox 44">
              <a:extLst>
                <a:ext uri="{FF2B5EF4-FFF2-40B4-BE49-F238E27FC236}">
                  <a16:creationId xmlns:a16="http://schemas.microsoft.com/office/drawing/2014/main" id="{00000000-0008-0000-0500-000098010000}"/>
                </a:ext>
              </a:extLst>
            </xdr:cNvPr>
            <xdr:cNvSpPr txBox="1"/>
          </xdr:nvSpPr>
          <xdr:spPr>
            <a:xfrm>
              <a:off x="3393146" y="22582961"/>
              <a:ext cx="2561340" cy="3096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ndParaRPr>
            </a:p>
          </xdr:txBody>
        </xdr:sp>
      </mc:Choice>
      <mc:Fallback xmlns="">
        <xdr:sp macro="" textlink="">
          <xdr:nvSpPr>
            <xdr:cNvPr id="45" name="TextBox 44">
              <a:extLst>
                <a:ext uri="{FF2B5EF4-FFF2-40B4-BE49-F238E27FC236}">
                  <a16:creationId xmlns:a16="http://schemas.microsoft.com/office/drawing/2014/main" id="{00000000-0008-0000-0200-00002D000000}"/>
                </a:ext>
              </a:extLst>
            </xdr:cNvPr>
            <xdr:cNvSpPr txBox="1"/>
          </xdr:nvSpPr>
          <xdr:spPr>
            <a:xfrm>
              <a:off x="3393146" y="22582961"/>
              <a:ext cx="2561340" cy="3096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𝑥 𝐼𝐹𝑘𝑊</a:t>
              </a:r>
              <a:endParaRPr lang="en-US" sz="1400">
                <a:solidFill>
                  <a:sysClr val="windowText" lastClr="000000"/>
                </a:solidFill>
              </a:endParaRPr>
            </a:p>
          </xdr:txBody>
        </xdr:sp>
      </mc:Fallback>
    </mc:AlternateContent>
    <xdr:clientData/>
  </xdr:twoCellAnchor>
  <xdr:twoCellAnchor>
    <xdr:from>
      <xdr:col>3</xdr:col>
      <xdr:colOff>21498</xdr:colOff>
      <xdr:row>374</xdr:row>
      <xdr:rowOff>105045</xdr:rowOff>
    </xdr:from>
    <xdr:to>
      <xdr:col>4</xdr:col>
      <xdr:colOff>2457449</xdr:colOff>
      <xdr:row>377</xdr:row>
      <xdr:rowOff>2894</xdr:rowOff>
    </xdr:to>
    <mc:AlternateContent xmlns:mc="http://schemas.openxmlformats.org/markup-compatibility/2006" xmlns:a14="http://schemas.microsoft.com/office/drawing/2010/main">
      <mc:Choice Requires="a14">
        <xdr:sp macro="" textlink="">
          <xdr:nvSpPr>
            <xdr:cNvPr id="403" name="TextBox 50">
              <a:extLst>
                <a:ext uri="{FF2B5EF4-FFF2-40B4-BE49-F238E27FC236}">
                  <a16:creationId xmlns:a16="http://schemas.microsoft.com/office/drawing/2014/main" id="{00000000-0008-0000-0500-000093010000}"/>
                </a:ext>
              </a:extLst>
            </xdr:cNvPr>
            <xdr:cNvSpPr txBox="1"/>
          </xdr:nvSpPr>
          <xdr:spPr>
            <a:xfrm>
              <a:off x="2062569" y="99001759"/>
              <a:ext cx="4123237" cy="4285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1" name="TextBox 50"/>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85451</xdr:colOff>
      <xdr:row>371</xdr:row>
      <xdr:rowOff>89385</xdr:rowOff>
    </xdr:from>
    <xdr:to>
      <xdr:col>4</xdr:col>
      <xdr:colOff>4550499</xdr:colOff>
      <xdr:row>374</xdr:row>
      <xdr:rowOff>16744</xdr:rowOff>
    </xdr:to>
    <mc:AlternateContent xmlns:mc="http://schemas.openxmlformats.org/markup-compatibility/2006" xmlns:a14="http://schemas.microsoft.com/office/drawing/2010/main">
      <mc:Choice Requires="a14">
        <xdr:sp macro="" textlink="">
          <xdr:nvSpPr>
            <xdr:cNvPr id="402" name="TextBox 51">
              <a:extLst>
                <a:ext uri="{FF2B5EF4-FFF2-40B4-BE49-F238E27FC236}">
                  <a16:creationId xmlns:a16="http://schemas.microsoft.com/office/drawing/2014/main" id="{00000000-0008-0000-0500-000092010000}"/>
                </a:ext>
              </a:extLst>
            </xdr:cNvPr>
            <xdr:cNvSpPr txBox="1"/>
          </xdr:nvSpPr>
          <xdr:spPr>
            <a:xfrm flipH="1">
              <a:off x="2126522" y="98455421"/>
              <a:ext cx="6152334" cy="4580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𝐶𝐹𝑀</m:t>
                        </m:r>
                      </m:e>
                      <m:sub>
                        <m:r>
                          <a:rPr lang="en-US" sz="1400" b="0" i="1">
                            <a:latin typeface="Cambria Math" panose="02040503050406030204" pitchFamily="18" charset="0"/>
                            <a:ea typeface="Cambria Math" panose="02040503050406030204" pitchFamily="18" charset="0"/>
                          </a:rPr>
                          <m:t>𝑟𝑒𝑑𝑢𝑐𝑒𝑑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𝐶𝐹𝑀</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2" name="TextBox 51"/>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𝑘𝑊ℎ=〖𝐶𝐹𝑀〗_𝑟𝑒𝑑𝑢𝑐𝑒𝑑∗〖𝑘𝑊〗_𝐶𝐹𝑀∗𝐻𝑜𝑢𝑟𝑠</a:t>
              </a:r>
              <a:endParaRPr lang="en-US" sz="1100"/>
            </a:p>
          </xdr:txBody>
        </xdr:sp>
      </mc:Fallback>
    </mc:AlternateContent>
    <xdr:clientData/>
  </xdr:twoCellAnchor>
  <xdr:twoCellAnchor>
    <xdr:from>
      <xdr:col>3</xdr:col>
      <xdr:colOff>95249</xdr:colOff>
      <xdr:row>400</xdr:row>
      <xdr:rowOff>126271</xdr:rowOff>
    </xdr:from>
    <xdr:to>
      <xdr:col>4</xdr:col>
      <xdr:colOff>2869474</xdr:colOff>
      <xdr:row>403</xdr:row>
      <xdr:rowOff>988</xdr:rowOff>
    </xdr:to>
    <mc:AlternateContent xmlns:mc="http://schemas.openxmlformats.org/markup-compatibility/2006" xmlns:a14="http://schemas.microsoft.com/office/drawing/2010/main">
      <mc:Choice Requires="a14">
        <xdr:sp macro="" textlink="">
          <xdr:nvSpPr>
            <xdr:cNvPr id="401" name="TextBox 52">
              <a:extLst>
                <a:ext uri="{FF2B5EF4-FFF2-40B4-BE49-F238E27FC236}">
                  <a16:creationId xmlns:a16="http://schemas.microsoft.com/office/drawing/2014/main" id="{00000000-0008-0000-0500-000091010000}"/>
                </a:ext>
              </a:extLst>
            </xdr:cNvPr>
            <xdr:cNvSpPr txBox="1"/>
          </xdr:nvSpPr>
          <xdr:spPr>
            <a:xfrm>
              <a:off x="2136320" y="103622200"/>
              <a:ext cx="4461511" cy="405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3" name="TextBox 52"/>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169273</xdr:colOff>
      <xdr:row>397</xdr:row>
      <xdr:rowOff>96157</xdr:rowOff>
    </xdr:from>
    <xdr:to>
      <xdr:col>5</xdr:col>
      <xdr:colOff>973999</xdr:colOff>
      <xdr:row>400</xdr:row>
      <xdr:rowOff>34946</xdr:rowOff>
    </xdr:to>
    <mc:AlternateContent xmlns:mc="http://schemas.openxmlformats.org/markup-compatibility/2006" xmlns:a14="http://schemas.microsoft.com/office/drawing/2010/main">
      <mc:Choice Requires="a14">
        <xdr:sp macro="" textlink="">
          <xdr:nvSpPr>
            <xdr:cNvPr id="25" name="TextBox 53">
              <a:extLst>
                <a:ext uri="{FF2B5EF4-FFF2-40B4-BE49-F238E27FC236}">
                  <a16:creationId xmlns:a16="http://schemas.microsoft.com/office/drawing/2014/main" id="{00000000-0008-0000-0500-000090010000}"/>
                </a:ext>
              </a:extLst>
            </xdr:cNvPr>
            <xdr:cNvSpPr txBox="1"/>
          </xdr:nvSpPr>
          <xdr:spPr>
            <a:xfrm flipH="1">
              <a:off x="2210344" y="103061407"/>
              <a:ext cx="7363369" cy="4694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n-US" sz="1400" b="0" i="0">
                            <a:latin typeface="Cambria Math" panose="02040503050406030204" pitchFamily="18" charset="0"/>
                            <a:ea typeface="Cambria Math" panose="02040503050406030204" pitchFamily="18" charset="0"/>
                          </a:rPr>
                          <m:t>SCFM</m:t>
                        </m:r>
                        <m:r>
                          <a:rPr lang="en-US" sz="1400" b="0" i="0">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𝑆𝐶𝐹𝑀</m:t>
                            </m:r>
                            <m:r>
                              <a:rPr lang="en-US" sz="1400" b="0" i="1">
                                <a:latin typeface="Cambria Math" panose="02040503050406030204" pitchFamily="18" charset="0"/>
                                <a:ea typeface="Cambria Math" panose="02040503050406030204" pitchFamily="18" charset="0"/>
                              </a:rPr>
                              <m:t>%</m:t>
                            </m:r>
                          </m:e>
                          <m:sub>
                            <m:r>
                              <a:rPr lang="en-US" sz="1400" b="0" i="1">
                                <a:latin typeface="Cambria Math" panose="02040503050406030204" pitchFamily="18" charset="0"/>
                                <a:ea typeface="Cambria Math" panose="02040503050406030204" pitchFamily="18" charset="0"/>
                              </a:rPr>
                              <m:t>𝑟𝑒𝑑𝑢𝑐𝑒𝑑</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m:t>
                        </m:r>
                      </m:num>
                      <m:den>
                        <m:r>
                          <a:rPr lang="en-US" sz="1400" b="0" i="1">
                            <a:latin typeface="Cambria Math" panose="02040503050406030204" pitchFamily="18" charset="0"/>
                            <a:ea typeface="Cambria Math" panose="02040503050406030204" pitchFamily="18" charset="0"/>
                          </a:rPr>
                          <m:t>𝐶𝐹𝑀</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𝐶𝐶𝐴𝐹</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𝑈𝑠𝑒</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400" name="TextBox 53">
              <a:extLst>
                <a:ext uri="{FF2B5EF4-FFF2-40B4-BE49-F238E27FC236}">
                  <a16:creationId xmlns:a16="http://schemas.microsoft.com/office/drawing/2014/main" id="{00000000-0008-0000-0500-000090010000}"/>
                </a:ext>
              </a:extLst>
            </xdr:cNvPr>
            <xdr:cNvSpPr txBox="1"/>
          </xdr:nvSpPr>
          <xdr:spPr>
            <a:xfrm flipH="1">
              <a:off x="2210344" y="103061407"/>
              <a:ext cx="7363369" cy="4694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𝑘𝑊ℎ=(SCFM∗〖𝑆𝐶𝐹𝑀%〗_𝑟𝑒𝑑𝑢𝑐𝑒𝑑 )∗𝑘𝑊/𝐶𝐹𝑀∗𝐶𝐶𝐴𝐹 𝑥 %𝑈𝑠𝑒∗𝐻𝑜𝑢𝑟𝑠</a:t>
              </a:r>
              <a:endParaRPr lang="en-US" sz="1100"/>
            </a:p>
          </xdr:txBody>
        </xdr:sp>
      </mc:Fallback>
    </mc:AlternateContent>
    <xdr:clientData/>
  </xdr:twoCellAnchor>
  <xdr:twoCellAnchor>
    <xdr:from>
      <xdr:col>2</xdr:col>
      <xdr:colOff>0</xdr:colOff>
      <xdr:row>422</xdr:row>
      <xdr:rowOff>95247</xdr:rowOff>
    </xdr:from>
    <xdr:to>
      <xdr:col>2</xdr:col>
      <xdr:colOff>0</xdr:colOff>
      <xdr:row>424</xdr:row>
      <xdr:rowOff>152572</xdr:rowOff>
    </xdr:to>
    <mc:AlternateContent xmlns:mc="http://schemas.openxmlformats.org/markup-compatibility/2006" xmlns:a14="http://schemas.microsoft.com/office/drawing/2010/main">
      <mc:Choice Requires="a14">
        <xdr:sp macro="" textlink="">
          <xdr:nvSpPr>
            <xdr:cNvPr id="399" name="TextBox 54">
              <a:extLst>
                <a:ext uri="{FF2B5EF4-FFF2-40B4-BE49-F238E27FC236}">
                  <a16:creationId xmlns:a16="http://schemas.microsoft.com/office/drawing/2014/main" id="{00000000-0008-0000-0500-00008F010000}"/>
                </a:ext>
              </a:extLst>
            </xdr:cNvPr>
            <xdr:cNvSpPr txBox="1"/>
          </xdr:nvSpPr>
          <xdr:spPr>
            <a:xfrm>
              <a:off x="625929" y="10731953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5" name="TextBox 54"/>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64225</xdr:colOff>
      <xdr:row>419</xdr:row>
      <xdr:rowOff>132443</xdr:rowOff>
    </xdr:from>
    <xdr:to>
      <xdr:col>6</xdr:col>
      <xdr:colOff>1228452</xdr:colOff>
      <xdr:row>422</xdr:row>
      <xdr:rowOff>67422</xdr:rowOff>
    </xdr:to>
    <mc:AlternateContent xmlns:mc="http://schemas.openxmlformats.org/markup-compatibility/2006" xmlns:a14="http://schemas.microsoft.com/office/drawing/2010/main">
      <mc:Choice Requires="a14">
        <xdr:sp macro="" textlink="">
          <xdr:nvSpPr>
            <xdr:cNvPr id="398" name="TextBox 55">
              <a:extLst>
                <a:ext uri="{FF2B5EF4-FFF2-40B4-BE49-F238E27FC236}">
                  <a16:creationId xmlns:a16="http://schemas.microsoft.com/office/drawing/2014/main" id="{00000000-0008-0000-0500-00008E010000}"/>
                </a:ext>
              </a:extLst>
            </xdr:cNvPr>
            <xdr:cNvSpPr txBox="1"/>
          </xdr:nvSpPr>
          <xdr:spPr>
            <a:xfrm flipH="1">
              <a:off x="2105296" y="106826050"/>
              <a:ext cx="9069977" cy="465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=.9∗</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h𝑝</m:t>
                        </m:r>
                      </m:e>
                      <m:sub>
                        <m:r>
                          <a:rPr lang="en-US" sz="1400" b="0" i="1">
                            <a:latin typeface="Cambria Math" panose="02040503050406030204" pitchFamily="18" charset="0"/>
                            <a:ea typeface="Cambria Math" panose="02040503050406030204" pitchFamily="18" charset="0"/>
                          </a:rPr>
                          <m:t>𝑐𝑜𝑚𝑝𝑟𝑒𝑠𝑠𝑜𝑟</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𝐻𝑂𝑈𝑅𝑆</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𝑏</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𝑒</m:t>
                        </m:r>
                      </m:sub>
                    </m:sSub>
                    <m:r>
                      <a:rPr lang="en-US" sz="14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56" name="TextBox 55"/>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𝑘𝑊ℎ=.9∗〖ℎ𝑝〗_𝑐𝑜𝑚𝑝𝑟𝑒𝑠𝑠𝑜𝑟∗𝐻𝑂𝑈𝑅𝑆∗(〖𝐶𝐹〗_𝑏−〖𝐶𝐹〗_𝑒)</a:t>
              </a:r>
              <a:endParaRPr lang="en-US" sz="1100"/>
            </a:p>
          </xdr:txBody>
        </xdr:sp>
      </mc:Fallback>
    </mc:AlternateContent>
    <xdr:clientData/>
  </xdr:twoCellAnchor>
  <xdr:twoCellAnchor>
    <xdr:from>
      <xdr:col>2</xdr:col>
      <xdr:colOff>0</xdr:colOff>
      <xdr:row>440</xdr:row>
      <xdr:rowOff>95247</xdr:rowOff>
    </xdr:from>
    <xdr:to>
      <xdr:col>2</xdr:col>
      <xdr:colOff>0</xdr:colOff>
      <xdr:row>442</xdr:row>
      <xdr:rowOff>152572</xdr:rowOff>
    </xdr:to>
    <mc:AlternateContent xmlns:mc="http://schemas.openxmlformats.org/markup-compatibility/2006" xmlns:a14="http://schemas.microsoft.com/office/drawing/2010/main">
      <mc:Choice Requires="a14">
        <xdr:sp macro="" textlink="">
          <xdr:nvSpPr>
            <xdr:cNvPr id="389" name="TextBox 64">
              <a:extLst>
                <a:ext uri="{FF2B5EF4-FFF2-40B4-BE49-F238E27FC236}">
                  <a16:creationId xmlns:a16="http://schemas.microsoft.com/office/drawing/2014/main" id="{00000000-0008-0000-0500-000085010000}"/>
                </a:ext>
              </a:extLst>
            </xdr:cNvPr>
            <xdr:cNvSpPr txBox="1"/>
          </xdr:nvSpPr>
          <xdr:spPr>
            <a:xfrm>
              <a:off x="625929" y="124736676"/>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5" name="TextBox 64"/>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458</xdr:row>
      <xdr:rowOff>95247</xdr:rowOff>
    </xdr:from>
    <xdr:to>
      <xdr:col>2</xdr:col>
      <xdr:colOff>0</xdr:colOff>
      <xdr:row>460</xdr:row>
      <xdr:rowOff>152572</xdr:rowOff>
    </xdr:to>
    <mc:AlternateContent xmlns:mc="http://schemas.openxmlformats.org/markup-compatibility/2006" xmlns:a14="http://schemas.microsoft.com/office/drawing/2010/main">
      <mc:Choice Requires="a14">
        <xdr:sp macro="" textlink="">
          <xdr:nvSpPr>
            <xdr:cNvPr id="378" name="TextBox 76">
              <a:extLst>
                <a:ext uri="{FF2B5EF4-FFF2-40B4-BE49-F238E27FC236}">
                  <a16:creationId xmlns:a16="http://schemas.microsoft.com/office/drawing/2014/main" id="{00000000-0008-0000-0500-00007A010000}"/>
                </a:ext>
              </a:extLst>
            </xdr:cNvPr>
            <xdr:cNvSpPr txBox="1"/>
          </xdr:nvSpPr>
          <xdr:spPr>
            <a:xfrm>
              <a:off x="625929" y="140031104"/>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7" name="TextBox 76"/>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4</xdr:col>
      <xdr:colOff>427536</xdr:colOff>
      <xdr:row>455</xdr:row>
      <xdr:rowOff>84849</xdr:rowOff>
    </xdr:from>
    <xdr:to>
      <xdr:col>6</xdr:col>
      <xdr:colOff>1895202</xdr:colOff>
      <xdr:row>458</xdr:row>
      <xdr:rowOff>23910</xdr:rowOff>
    </xdr:to>
    <mc:AlternateContent xmlns:mc="http://schemas.openxmlformats.org/markup-compatibility/2006" xmlns:a14="http://schemas.microsoft.com/office/drawing/2010/main">
      <mc:Choice Requires="a14">
        <xdr:sp macro="" textlink="">
          <xdr:nvSpPr>
            <xdr:cNvPr id="377" name="TextBox 77">
              <a:extLst>
                <a:ext uri="{FF2B5EF4-FFF2-40B4-BE49-F238E27FC236}">
                  <a16:creationId xmlns:a16="http://schemas.microsoft.com/office/drawing/2014/main" id="{00000000-0008-0000-0500-000079010000}"/>
                </a:ext>
              </a:extLst>
            </xdr:cNvPr>
            <xdr:cNvSpPr txBox="1"/>
          </xdr:nvSpPr>
          <xdr:spPr>
            <a:xfrm flipH="1">
              <a:off x="4155893" y="53778635"/>
              <a:ext cx="7686130" cy="469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78" name="TextBox 77">
              <a:extLst>
                <a:ext uri="{FF2B5EF4-FFF2-40B4-BE49-F238E27FC236}">
                  <a16:creationId xmlns:a16="http://schemas.microsoft.com/office/drawing/2014/main" id="{00000000-0008-0000-0200-00004E000000}"/>
                </a:ext>
              </a:extLst>
            </xdr:cNvPr>
            <xdr:cNvSpPr txBox="1"/>
          </xdr:nvSpPr>
          <xdr:spPr>
            <a:xfrm flipH="1">
              <a:off x="4155893" y="53778635"/>
              <a:ext cx="7686130" cy="469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𝑘𝑊ℎ=〖𝑆𝑄𝐹𝑇〗_𝑐𝑜𝑛𝑑/1000∗〖𝑆𝐹〗_𝑐𝑜𝑜𝑙𝑖𝑛𝑔+〖𝑆𝑄𝐹𝑇〗_𝑐𝑜𝑛𝑑/1000∗〖𝑆𝐹〗_ℎ𝑒𝑎𝑡</a:t>
              </a:r>
              <a:endParaRPr lang="en-US" sz="1100"/>
            </a:p>
          </xdr:txBody>
        </xdr:sp>
      </mc:Fallback>
    </mc:AlternateContent>
    <xdr:clientData/>
  </xdr:twoCellAnchor>
  <xdr:twoCellAnchor>
    <xdr:from>
      <xdr:col>2</xdr:col>
      <xdr:colOff>0</xdr:colOff>
      <xdr:row>476</xdr:row>
      <xdr:rowOff>95247</xdr:rowOff>
    </xdr:from>
    <xdr:to>
      <xdr:col>2</xdr:col>
      <xdr:colOff>0</xdr:colOff>
      <xdr:row>478</xdr:row>
      <xdr:rowOff>152572</xdr:rowOff>
    </xdr:to>
    <mc:AlternateContent xmlns:mc="http://schemas.openxmlformats.org/markup-compatibility/2006" xmlns:a14="http://schemas.microsoft.com/office/drawing/2010/main">
      <mc:Choice Requires="a14">
        <xdr:sp macro="" textlink="">
          <xdr:nvSpPr>
            <xdr:cNvPr id="376" name="TextBox 78">
              <a:extLst>
                <a:ext uri="{FF2B5EF4-FFF2-40B4-BE49-F238E27FC236}">
                  <a16:creationId xmlns:a16="http://schemas.microsoft.com/office/drawing/2014/main" id="{00000000-0008-0000-0500-000078010000}"/>
                </a:ext>
              </a:extLst>
            </xdr:cNvPr>
            <xdr:cNvSpPr txBox="1"/>
          </xdr:nvSpPr>
          <xdr:spPr>
            <a:xfrm>
              <a:off x="625929" y="143460104"/>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9" name="TextBox 78"/>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105047</xdr:colOff>
      <xdr:row>474</xdr:row>
      <xdr:rowOff>40822</xdr:rowOff>
    </xdr:from>
    <xdr:to>
      <xdr:col>5</xdr:col>
      <xdr:colOff>190500</xdr:colOff>
      <xdr:row>476</xdr:row>
      <xdr:rowOff>96941</xdr:rowOff>
    </xdr:to>
    <mc:AlternateContent xmlns:mc="http://schemas.openxmlformats.org/markup-compatibility/2006" xmlns:a14="http://schemas.microsoft.com/office/drawing/2010/main">
      <mc:Choice Requires="a14">
        <xdr:sp macro="" textlink="">
          <xdr:nvSpPr>
            <xdr:cNvPr id="375" name="TextBox 79">
              <a:extLst>
                <a:ext uri="{FF2B5EF4-FFF2-40B4-BE49-F238E27FC236}">
                  <a16:creationId xmlns:a16="http://schemas.microsoft.com/office/drawing/2014/main" id="{00000000-0008-0000-0500-000077010000}"/>
                </a:ext>
              </a:extLst>
            </xdr:cNvPr>
            <xdr:cNvSpPr txBox="1"/>
          </xdr:nvSpPr>
          <xdr:spPr>
            <a:xfrm flipH="1">
              <a:off x="2146118" y="143051893"/>
              <a:ext cx="6644096" cy="4099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𝑃</m:t>
                        </m:r>
                      </m:e>
                      <m:sub>
                        <m:r>
                          <a:rPr lang="en-US" sz="1400" b="0" i="1">
                            <a:latin typeface="Cambria Math" panose="02040503050406030204" pitchFamily="18" charset="0"/>
                            <a:ea typeface="Cambria Math" panose="02040503050406030204" pitchFamily="18" charset="0"/>
                          </a:rPr>
                          <m:t>𝑠𝑓</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𝑆𝐹</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𝑓𝑎𝑛</m:t>
                        </m:r>
                      </m:sub>
                    </m:sSub>
                  </m:oMath>
                </m:oMathPara>
              </a14:m>
              <a:endParaRPr lang="en-US" sz="1400"/>
            </a:p>
          </xdr:txBody>
        </xdr:sp>
      </mc:Choice>
      <mc:Fallback xmlns="">
        <xdr:sp macro="" textlink="">
          <xdr:nvSpPr>
            <xdr:cNvPr id="80" name="TextBox 79"/>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𝑘𝑊ℎ=𝑃_𝑠𝑓∗𝑆𝐹∗〖𝐻𝑜𝑢𝑟𝑠〗_𝑓𝑎𝑛</a:t>
              </a:r>
              <a:endParaRPr lang="en-US" sz="1400"/>
            </a:p>
          </xdr:txBody>
        </xdr:sp>
      </mc:Fallback>
    </mc:AlternateContent>
    <xdr:clientData/>
  </xdr:twoCellAnchor>
  <xdr:oneCellAnchor>
    <xdr:from>
      <xdr:col>26</xdr:col>
      <xdr:colOff>2269331</xdr:colOff>
      <xdr:row>5</xdr:row>
      <xdr:rowOff>0</xdr:rowOff>
    </xdr:from>
    <xdr:ext cx="65" cy="172227"/>
    <xdr:sp macro="" textlink="">
      <xdr:nvSpPr>
        <xdr:cNvPr id="89" name="TextBox 88">
          <a:extLst>
            <a:ext uri="{FF2B5EF4-FFF2-40B4-BE49-F238E27FC236}">
              <a16:creationId xmlns:a16="http://schemas.microsoft.com/office/drawing/2014/main" id="{00000000-0008-0000-0500-00005900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xdr:row>
      <xdr:rowOff>0</xdr:rowOff>
    </xdr:from>
    <xdr:ext cx="65" cy="172227"/>
    <xdr:sp macro="" textlink="">
      <xdr:nvSpPr>
        <xdr:cNvPr id="90" name="TextBox 89">
          <a:extLst>
            <a:ext uri="{FF2B5EF4-FFF2-40B4-BE49-F238E27FC236}">
              <a16:creationId xmlns:a16="http://schemas.microsoft.com/office/drawing/2014/main" id="{00000000-0008-0000-0500-00005A00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78</xdr:row>
      <xdr:rowOff>0</xdr:rowOff>
    </xdr:from>
    <xdr:ext cx="65" cy="172227"/>
    <xdr:sp macro="" textlink="">
      <xdr:nvSpPr>
        <xdr:cNvPr id="91" name="TextBox 90">
          <a:extLst>
            <a:ext uri="{FF2B5EF4-FFF2-40B4-BE49-F238E27FC236}">
              <a16:creationId xmlns:a16="http://schemas.microsoft.com/office/drawing/2014/main" id="{00000000-0008-0000-0500-00005B000000}"/>
            </a:ext>
          </a:extLst>
        </xdr:cNvPr>
        <xdr:cNvSpPr txBox="1"/>
      </xdr:nvSpPr>
      <xdr:spPr>
        <a:xfrm>
          <a:off x="37062795" y="3000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78</xdr:row>
      <xdr:rowOff>0</xdr:rowOff>
    </xdr:from>
    <xdr:ext cx="65" cy="172227"/>
    <xdr:sp macro="" textlink="">
      <xdr:nvSpPr>
        <xdr:cNvPr id="92" name="TextBox 91">
          <a:extLst>
            <a:ext uri="{FF2B5EF4-FFF2-40B4-BE49-F238E27FC236}">
              <a16:creationId xmlns:a16="http://schemas.microsoft.com/office/drawing/2014/main" id="{00000000-0008-0000-0500-00005C000000}"/>
            </a:ext>
          </a:extLst>
        </xdr:cNvPr>
        <xdr:cNvSpPr txBox="1"/>
      </xdr:nvSpPr>
      <xdr:spPr>
        <a:xfrm>
          <a:off x="37062795" y="3000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116</xdr:row>
      <xdr:rowOff>0</xdr:rowOff>
    </xdr:from>
    <xdr:ext cx="65" cy="172227"/>
    <xdr:sp macro="" textlink="">
      <xdr:nvSpPr>
        <xdr:cNvPr id="93" name="TextBox 92">
          <a:extLst>
            <a:ext uri="{FF2B5EF4-FFF2-40B4-BE49-F238E27FC236}">
              <a16:creationId xmlns:a16="http://schemas.microsoft.com/office/drawing/2014/main" id="{00000000-0008-0000-0500-00005D000000}"/>
            </a:ext>
          </a:extLst>
        </xdr:cNvPr>
        <xdr:cNvSpPr txBox="1"/>
      </xdr:nvSpPr>
      <xdr:spPr>
        <a:xfrm>
          <a:off x="37062795" y="38045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116</xdr:row>
      <xdr:rowOff>0</xdr:rowOff>
    </xdr:from>
    <xdr:ext cx="65" cy="172227"/>
    <xdr:sp macro="" textlink="">
      <xdr:nvSpPr>
        <xdr:cNvPr id="94" name="TextBox 93">
          <a:extLst>
            <a:ext uri="{FF2B5EF4-FFF2-40B4-BE49-F238E27FC236}">
              <a16:creationId xmlns:a16="http://schemas.microsoft.com/office/drawing/2014/main" id="{00000000-0008-0000-0500-00005E000000}"/>
            </a:ext>
          </a:extLst>
        </xdr:cNvPr>
        <xdr:cNvSpPr txBox="1"/>
      </xdr:nvSpPr>
      <xdr:spPr>
        <a:xfrm>
          <a:off x="37062795" y="38045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135</xdr:row>
      <xdr:rowOff>0</xdr:rowOff>
    </xdr:from>
    <xdr:ext cx="65" cy="172227"/>
    <xdr:sp macro="" textlink="">
      <xdr:nvSpPr>
        <xdr:cNvPr id="95" name="TextBox 94">
          <a:extLst>
            <a:ext uri="{FF2B5EF4-FFF2-40B4-BE49-F238E27FC236}">
              <a16:creationId xmlns:a16="http://schemas.microsoft.com/office/drawing/2014/main" id="{00000000-0008-0000-0500-00005F000000}"/>
            </a:ext>
          </a:extLst>
        </xdr:cNvPr>
        <xdr:cNvSpPr txBox="1"/>
      </xdr:nvSpPr>
      <xdr:spPr>
        <a:xfrm>
          <a:off x="37062795" y="4234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135</xdr:row>
      <xdr:rowOff>0</xdr:rowOff>
    </xdr:from>
    <xdr:ext cx="65" cy="172227"/>
    <xdr:sp macro="" textlink="">
      <xdr:nvSpPr>
        <xdr:cNvPr id="96" name="TextBox 95">
          <a:extLst>
            <a:ext uri="{FF2B5EF4-FFF2-40B4-BE49-F238E27FC236}">
              <a16:creationId xmlns:a16="http://schemas.microsoft.com/office/drawing/2014/main" id="{00000000-0008-0000-0500-000060000000}"/>
            </a:ext>
          </a:extLst>
        </xdr:cNvPr>
        <xdr:cNvSpPr txBox="1"/>
      </xdr:nvSpPr>
      <xdr:spPr>
        <a:xfrm>
          <a:off x="37062795" y="4234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163</xdr:row>
      <xdr:rowOff>0</xdr:rowOff>
    </xdr:from>
    <xdr:ext cx="65" cy="172227"/>
    <xdr:sp macro="" textlink="">
      <xdr:nvSpPr>
        <xdr:cNvPr id="97" name="TextBox 96">
          <a:extLst>
            <a:ext uri="{FF2B5EF4-FFF2-40B4-BE49-F238E27FC236}">
              <a16:creationId xmlns:a16="http://schemas.microsoft.com/office/drawing/2014/main" id="{00000000-0008-0000-0500-000061000000}"/>
            </a:ext>
          </a:extLst>
        </xdr:cNvPr>
        <xdr:cNvSpPr txBox="1"/>
      </xdr:nvSpPr>
      <xdr:spPr>
        <a:xfrm>
          <a:off x="37062795" y="46781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163</xdr:row>
      <xdr:rowOff>0</xdr:rowOff>
    </xdr:from>
    <xdr:ext cx="65" cy="172227"/>
    <xdr:sp macro="" textlink="">
      <xdr:nvSpPr>
        <xdr:cNvPr id="98" name="TextBox 97">
          <a:extLst>
            <a:ext uri="{FF2B5EF4-FFF2-40B4-BE49-F238E27FC236}">
              <a16:creationId xmlns:a16="http://schemas.microsoft.com/office/drawing/2014/main" id="{00000000-0008-0000-0500-000062000000}"/>
            </a:ext>
          </a:extLst>
        </xdr:cNvPr>
        <xdr:cNvSpPr txBox="1"/>
      </xdr:nvSpPr>
      <xdr:spPr>
        <a:xfrm>
          <a:off x="37062795" y="46781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163</xdr:row>
      <xdr:rowOff>0</xdr:rowOff>
    </xdr:from>
    <xdr:ext cx="65" cy="172227"/>
    <xdr:sp macro="" textlink="">
      <xdr:nvSpPr>
        <xdr:cNvPr id="99" name="TextBox 98">
          <a:extLst>
            <a:ext uri="{FF2B5EF4-FFF2-40B4-BE49-F238E27FC236}">
              <a16:creationId xmlns:a16="http://schemas.microsoft.com/office/drawing/2014/main" id="{00000000-0008-0000-0500-000063000000}"/>
            </a:ext>
          </a:extLst>
        </xdr:cNvPr>
        <xdr:cNvSpPr txBox="1"/>
      </xdr:nvSpPr>
      <xdr:spPr>
        <a:xfrm>
          <a:off x="37062795" y="4996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163</xdr:row>
      <xdr:rowOff>0</xdr:rowOff>
    </xdr:from>
    <xdr:ext cx="65" cy="172227"/>
    <xdr:sp macro="" textlink="">
      <xdr:nvSpPr>
        <xdr:cNvPr id="100" name="TextBox 99">
          <a:extLst>
            <a:ext uri="{FF2B5EF4-FFF2-40B4-BE49-F238E27FC236}">
              <a16:creationId xmlns:a16="http://schemas.microsoft.com/office/drawing/2014/main" id="{00000000-0008-0000-0500-000064000000}"/>
            </a:ext>
          </a:extLst>
        </xdr:cNvPr>
        <xdr:cNvSpPr txBox="1"/>
      </xdr:nvSpPr>
      <xdr:spPr>
        <a:xfrm>
          <a:off x="37062795" y="4996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179</xdr:row>
      <xdr:rowOff>0</xdr:rowOff>
    </xdr:from>
    <xdr:ext cx="65" cy="172227"/>
    <xdr:sp macro="" textlink="">
      <xdr:nvSpPr>
        <xdr:cNvPr id="101" name="TextBox 100">
          <a:extLst>
            <a:ext uri="{FF2B5EF4-FFF2-40B4-BE49-F238E27FC236}">
              <a16:creationId xmlns:a16="http://schemas.microsoft.com/office/drawing/2014/main" id="{00000000-0008-0000-0500-000065000000}"/>
            </a:ext>
          </a:extLst>
        </xdr:cNvPr>
        <xdr:cNvSpPr txBox="1"/>
      </xdr:nvSpPr>
      <xdr:spPr>
        <a:xfrm>
          <a:off x="37062795" y="55462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179</xdr:row>
      <xdr:rowOff>0</xdr:rowOff>
    </xdr:from>
    <xdr:ext cx="65" cy="172227"/>
    <xdr:sp macro="" textlink="">
      <xdr:nvSpPr>
        <xdr:cNvPr id="102" name="TextBox 101">
          <a:extLst>
            <a:ext uri="{FF2B5EF4-FFF2-40B4-BE49-F238E27FC236}">
              <a16:creationId xmlns:a16="http://schemas.microsoft.com/office/drawing/2014/main" id="{00000000-0008-0000-0500-000066000000}"/>
            </a:ext>
          </a:extLst>
        </xdr:cNvPr>
        <xdr:cNvSpPr txBox="1"/>
      </xdr:nvSpPr>
      <xdr:spPr>
        <a:xfrm>
          <a:off x="37062795" y="55462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202</xdr:row>
      <xdr:rowOff>0</xdr:rowOff>
    </xdr:from>
    <xdr:ext cx="65" cy="172227"/>
    <xdr:sp macro="" textlink="">
      <xdr:nvSpPr>
        <xdr:cNvPr id="103" name="TextBox 102">
          <a:extLst>
            <a:ext uri="{FF2B5EF4-FFF2-40B4-BE49-F238E27FC236}">
              <a16:creationId xmlns:a16="http://schemas.microsoft.com/office/drawing/2014/main" id="{00000000-0008-0000-0500-000067000000}"/>
            </a:ext>
          </a:extLst>
        </xdr:cNvPr>
        <xdr:cNvSpPr txBox="1"/>
      </xdr:nvSpPr>
      <xdr:spPr>
        <a:xfrm>
          <a:off x="37062795" y="59735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202</xdr:row>
      <xdr:rowOff>0</xdr:rowOff>
    </xdr:from>
    <xdr:ext cx="65" cy="172227"/>
    <xdr:sp macro="" textlink="">
      <xdr:nvSpPr>
        <xdr:cNvPr id="104" name="TextBox 103">
          <a:extLst>
            <a:ext uri="{FF2B5EF4-FFF2-40B4-BE49-F238E27FC236}">
              <a16:creationId xmlns:a16="http://schemas.microsoft.com/office/drawing/2014/main" id="{00000000-0008-0000-0500-000068000000}"/>
            </a:ext>
          </a:extLst>
        </xdr:cNvPr>
        <xdr:cNvSpPr txBox="1"/>
      </xdr:nvSpPr>
      <xdr:spPr>
        <a:xfrm>
          <a:off x="37062795" y="59735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222</xdr:row>
      <xdr:rowOff>0</xdr:rowOff>
    </xdr:from>
    <xdr:ext cx="65" cy="172227"/>
    <xdr:sp macro="" textlink="">
      <xdr:nvSpPr>
        <xdr:cNvPr id="105" name="TextBox 104">
          <a:extLst>
            <a:ext uri="{FF2B5EF4-FFF2-40B4-BE49-F238E27FC236}">
              <a16:creationId xmlns:a16="http://schemas.microsoft.com/office/drawing/2014/main" id="{00000000-0008-0000-0500-000069000000}"/>
            </a:ext>
          </a:extLst>
        </xdr:cNvPr>
        <xdr:cNvSpPr txBox="1"/>
      </xdr:nvSpPr>
      <xdr:spPr>
        <a:xfrm>
          <a:off x="37062795" y="63300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222</xdr:row>
      <xdr:rowOff>0</xdr:rowOff>
    </xdr:from>
    <xdr:ext cx="65" cy="172227"/>
    <xdr:sp macro="" textlink="">
      <xdr:nvSpPr>
        <xdr:cNvPr id="106" name="TextBox 105">
          <a:extLst>
            <a:ext uri="{FF2B5EF4-FFF2-40B4-BE49-F238E27FC236}">
              <a16:creationId xmlns:a16="http://schemas.microsoft.com/office/drawing/2014/main" id="{00000000-0008-0000-0500-00006A000000}"/>
            </a:ext>
          </a:extLst>
        </xdr:cNvPr>
        <xdr:cNvSpPr txBox="1"/>
      </xdr:nvSpPr>
      <xdr:spPr>
        <a:xfrm>
          <a:off x="37062795" y="63300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359</xdr:row>
      <xdr:rowOff>0</xdr:rowOff>
    </xdr:from>
    <xdr:ext cx="65" cy="172227"/>
    <xdr:sp macro="" textlink="">
      <xdr:nvSpPr>
        <xdr:cNvPr id="107" name="TextBox 106">
          <a:extLst>
            <a:ext uri="{FF2B5EF4-FFF2-40B4-BE49-F238E27FC236}">
              <a16:creationId xmlns:a16="http://schemas.microsoft.com/office/drawing/2014/main" id="{00000000-0008-0000-0500-00006B000000}"/>
            </a:ext>
          </a:extLst>
        </xdr:cNvPr>
        <xdr:cNvSpPr txBox="1"/>
      </xdr:nvSpPr>
      <xdr:spPr>
        <a:xfrm>
          <a:off x="37062795" y="88460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359</xdr:row>
      <xdr:rowOff>0</xdr:rowOff>
    </xdr:from>
    <xdr:ext cx="65" cy="172227"/>
    <xdr:sp macro="" textlink="">
      <xdr:nvSpPr>
        <xdr:cNvPr id="108" name="TextBox 107">
          <a:extLst>
            <a:ext uri="{FF2B5EF4-FFF2-40B4-BE49-F238E27FC236}">
              <a16:creationId xmlns:a16="http://schemas.microsoft.com/office/drawing/2014/main" id="{00000000-0008-0000-0500-00006C000000}"/>
            </a:ext>
          </a:extLst>
        </xdr:cNvPr>
        <xdr:cNvSpPr txBox="1"/>
      </xdr:nvSpPr>
      <xdr:spPr>
        <a:xfrm>
          <a:off x="37062795" y="88460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359</xdr:row>
      <xdr:rowOff>0</xdr:rowOff>
    </xdr:from>
    <xdr:ext cx="65" cy="172227"/>
    <xdr:sp macro="" textlink="">
      <xdr:nvSpPr>
        <xdr:cNvPr id="109" name="TextBox 108">
          <a:extLst>
            <a:ext uri="{FF2B5EF4-FFF2-40B4-BE49-F238E27FC236}">
              <a16:creationId xmlns:a16="http://schemas.microsoft.com/office/drawing/2014/main" id="{00000000-0008-0000-0500-00006D000000}"/>
            </a:ext>
          </a:extLst>
        </xdr:cNvPr>
        <xdr:cNvSpPr txBox="1"/>
      </xdr:nvSpPr>
      <xdr:spPr>
        <a:xfrm>
          <a:off x="37062795" y="96243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359</xdr:row>
      <xdr:rowOff>0</xdr:rowOff>
    </xdr:from>
    <xdr:ext cx="65" cy="172227"/>
    <xdr:sp macro="" textlink="">
      <xdr:nvSpPr>
        <xdr:cNvPr id="110" name="TextBox 109">
          <a:extLst>
            <a:ext uri="{FF2B5EF4-FFF2-40B4-BE49-F238E27FC236}">
              <a16:creationId xmlns:a16="http://schemas.microsoft.com/office/drawing/2014/main" id="{00000000-0008-0000-0500-00006E000000}"/>
            </a:ext>
          </a:extLst>
        </xdr:cNvPr>
        <xdr:cNvSpPr txBox="1"/>
      </xdr:nvSpPr>
      <xdr:spPr>
        <a:xfrm>
          <a:off x="37062795" y="96243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111" name="TextBox 110">
          <a:extLst>
            <a:ext uri="{FF2B5EF4-FFF2-40B4-BE49-F238E27FC236}">
              <a16:creationId xmlns:a16="http://schemas.microsoft.com/office/drawing/2014/main" id="{00000000-0008-0000-0500-00006F000000}"/>
            </a:ext>
          </a:extLst>
        </xdr:cNvPr>
        <xdr:cNvSpPr txBox="1"/>
      </xdr:nvSpPr>
      <xdr:spPr>
        <a:xfrm>
          <a:off x="37062795" y="108462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112" name="TextBox 111">
          <a:extLst>
            <a:ext uri="{FF2B5EF4-FFF2-40B4-BE49-F238E27FC236}">
              <a16:creationId xmlns:a16="http://schemas.microsoft.com/office/drawing/2014/main" id="{00000000-0008-0000-0500-000070000000}"/>
            </a:ext>
          </a:extLst>
        </xdr:cNvPr>
        <xdr:cNvSpPr txBox="1"/>
      </xdr:nvSpPr>
      <xdr:spPr>
        <a:xfrm>
          <a:off x="37062795" y="108462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85" name="TextBox 112">
          <a:extLst>
            <a:ext uri="{FF2B5EF4-FFF2-40B4-BE49-F238E27FC236}">
              <a16:creationId xmlns:a16="http://schemas.microsoft.com/office/drawing/2014/main" id="{00000000-0008-0000-0500-00001D010000}"/>
            </a:ext>
          </a:extLst>
        </xdr:cNvPr>
        <xdr:cNvSpPr txBox="1"/>
      </xdr:nvSpPr>
      <xdr:spPr>
        <a:xfrm>
          <a:off x="37062795" y="112912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170" name="TextBox 113">
          <a:extLst>
            <a:ext uri="{FF2B5EF4-FFF2-40B4-BE49-F238E27FC236}">
              <a16:creationId xmlns:a16="http://schemas.microsoft.com/office/drawing/2014/main" id="{00000000-0008-0000-0500-0000AA000000}"/>
            </a:ext>
          </a:extLst>
        </xdr:cNvPr>
        <xdr:cNvSpPr txBox="1"/>
      </xdr:nvSpPr>
      <xdr:spPr>
        <a:xfrm>
          <a:off x="37062795" y="112912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115" name="TextBox 114">
          <a:extLst>
            <a:ext uri="{FF2B5EF4-FFF2-40B4-BE49-F238E27FC236}">
              <a16:creationId xmlns:a16="http://schemas.microsoft.com/office/drawing/2014/main" id="{00000000-0008-0000-0500-000073000000}"/>
            </a:ext>
          </a:extLst>
        </xdr:cNvPr>
        <xdr:cNvSpPr txBox="1"/>
      </xdr:nvSpPr>
      <xdr:spPr>
        <a:xfrm>
          <a:off x="37062795" y="1162866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116" name="TextBox 115">
          <a:extLst>
            <a:ext uri="{FF2B5EF4-FFF2-40B4-BE49-F238E27FC236}">
              <a16:creationId xmlns:a16="http://schemas.microsoft.com/office/drawing/2014/main" id="{00000000-0008-0000-0500-000074000000}"/>
            </a:ext>
          </a:extLst>
        </xdr:cNvPr>
        <xdr:cNvSpPr txBox="1"/>
      </xdr:nvSpPr>
      <xdr:spPr>
        <a:xfrm>
          <a:off x="37062795" y="1162866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117" name="TextBox 116">
          <a:extLst>
            <a:ext uri="{FF2B5EF4-FFF2-40B4-BE49-F238E27FC236}">
              <a16:creationId xmlns:a16="http://schemas.microsoft.com/office/drawing/2014/main" id="{00000000-0008-0000-0500-000075000000}"/>
            </a:ext>
          </a:extLst>
        </xdr:cNvPr>
        <xdr:cNvSpPr txBox="1"/>
      </xdr:nvSpPr>
      <xdr:spPr>
        <a:xfrm>
          <a:off x="37062795" y="119661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118" name="TextBox 117">
          <a:extLst>
            <a:ext uri="{FF2B5EF4-FFF2-40B4-BE49-F238E27FC236}">
              <a16:creationId xmlns:a16="http://schemas.microsoft.com/office/drawing/2014/main" id="{00000000-0008-0000-0500-000076000000}"/>
            </a:ext>
          </a:extLst>
        </xdr:cNvPr>
        <xdr:cNvSpPr txBox="1"/>
      </xdr:nvSpPr>
      <xdr:spPr>
        <a:xfrm>
          <a:off x="37062795" y="119661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119" name="TextBox 118">
          <a:extLst>
            <a:ext uri="{FF2B5EF4-FFF2-40B4-BE49-F238E27FC236}">
              <a16:creationId xmlns:a16="http://schemas.microsoft.com/office/drawing/2014/main" id="{00000000-0008-0000-0500-000077000000}"/>
            </a:ext>
          </a:extLst>
        </xdr:cNvPr>
        <xdr:cNvSpPr txBox="1"/>
      </xdr:nvSpPr>
      <xdr:spPr>
        <a:xfrm>
          <a:off x="37062795" y="12268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120" name="TextBox 119">
          <a:extLst>
            <a:ext uri="{FF2B5EF4-FFF2-40B4-BE49-F238E27FC236}">
              <a16:creationId xmlns:a16="http://schemas.microsoft.com/office/drawing/2014/main" id="{00000000-0008-0000-0500-000078000000}"/>
            </a:ext>
          </a:extLst>
        </xdr:cNvPr>
        <xdr:cNvSpPr txBox="1"/>
      </xdr:nvSpPr>
      <xdr:spPr>
        <a:xfrm>
          <a:off x="37062795" y="12268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447</xdr:row>
      <xdr:rowOff>0</xdr:rowOff>
    </xdr:from>
    <xdr:ext cx="65" cy="172227"/>
    <xdr:sp macro="" textlink="">
      <xdr:nvSpPr>
        <xdr:cNvPr id="121" name="TextBox 120">
          <a:extLst>
            <a:ext uri="{FF2B5EF4-FFF2-40B4-BE49-F238E27FC236}">
              <a16:creationId xmlns:a16="http://schemas.microsoft.com/office/drawing/2014/main" id="{00000000-0008-0000-0500-000079000000}"/>
            </a:ext>
          </a:extLst>
        </xdr:cNvPr>
        <xdr:cNvSpPr txBox="1"/>
      </xdr:nvSpPr>
      <xdr:spPr>
        <a:xfrm>
          <a:off x="37062795" y="126056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447</xdr:row>
      <xdr:rowOff>0</xdr:rowOff>
    </xdr:from>
    <xdr:ext cx="65" cy="172227"/>
    <xdr:sp macro="" textlink="">
      <xdr:nvSpPr>
        <xdr:cNvPr id="122" name="TextBox 121">
          <a:extLst>
            <a:ext uri="{FF2B5EF4-FFF2-40B4-BE49-F238E27FC236}">
              <a16:creationId xmlns:a16="http://schemas.microsoft.com/office/drawing/2014/main" id="{00000000-0008-0000-0500-00007A000000}"/>
            </a:ext>
          </a:extLst>
        </xdr:cNvPr>
        <xdr:cNvSpPr txBox="1"/>
      </xdr:nvSpPr>
      <xdr:spPr>
        <a:xfrm>
          <a:off x="37062795" y="126056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447</xdr:row>
      <xdr:rowOff>0</xdr:rowOff>
    </xdr:from>
    <xdr:ext cx="65" cy="172227"/>
    <xdr:sp macro="" textlink="">
      <xdr:nvSpPr>
        <xdr:cNvPr id="123" name="TextBox 122">
          <a:extLst>
            <a:ext uri="{FF2B5EF4-FFF2-40B4-BE49-F238E27FC236}">
              <a16:creationId xmlns:a16="http://schemas.microsoft.com/office/drawing/2014/main" id="{00000000-0008-0000-0500-00007B000000}"/>
            </a:ext>
          </a:extLst>
        </xdr:cNvPr>
        <xdr:cNvSpPr txBox="1"/>
      </xdr:nvSpPr>
      <xdr:spPr>
        <a:xfrm>
          <a:off x="37062795" y="12892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447</xdr:row>
      <xdr:rowOff>0</xdr:rowOff>
    </xdr:from>
    <xdr:ext cx="65" cy="172227"/>
    <xdr:sp macro="" textlink="">
      <xdr:nvSpPr>
        <xdr:cNvPr id="124" name="TextBox 123">
          <a:extLst>
            <a:ext uri="{FF2B5EF4-FFF2-40B4-BE49-F238E27FC236}">
              <a16:creationId xmlns:a16="http://schemas.microsoft.com/office/drawing/2014/main" id="{00000000-0008-0000-0500-00007C000000}"/>
            </a:ext>
          </a:extLst>
        </xdr:cNvPr>
        <xdr:cNvSpPr txBox="1"/>
      </xdr:nvSpPr>
      <xdr:spPr>
        <a:xfrm>
          <a:off x="37062795" y="12892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447</xdr:row>
      <xdr:rowOff>0</xdr:rowOff>
    </xdr:from>
    <xdr:ext cx="65" cy="172227"/>
    <xdr:sp macro="" textlink="">
      <xdr:nvSpPr>
        <xdr:cNvPr id="125" name="TextBox 124">
          <a:extLst>
            <a:ext uri="{FF2B5EF4-FFF2-40B4-BE49-F238E27FC236}">
              <a16:creationId xmlns:a16="http://schemas.microsoft.com/office/drawing/2014/main" id="{00000000-0008-0000-0500-00007D000000}"/>
            </a:ext>
          </a:extLst>
        </xdr:cNvPr>
        <xdr:cNvSpPr txBox="1"/>
      </xdr:nvSpPr>
      <xdr:spPr>
        <a:xfrm>
          <a:off x="37062795" y="131757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447</xdr:row>
      <xdr:rowOff>0</xdr:rowOff>
    </xdr:from>
    <xdr:ext cx="65" cy="172227"/>
    <xdr:sp macro="" textlink="">
      <xdr:nvSpPr>
        <xdr:cNvPr id="126" name="TextBox 125">
          <a:extLst>
            <a:ext uri="{FF2B5EF4-FFF2-40B4-BE49-F238E27FC236}">
              <a16:creationId xmlns:a16="http://schemas.microsoft.com/office/drawing/2014/main" id="{00000000-0008-0000-0500-00007E000000}"/>
            </a:ext>
          </a:extLst>
        </xdr:cNvPr>
        <xdr:cNvSpPr txBox="1"/>
      </xdr:nvSpPr>
      <xdr:spPr>
        <a:xfrm>
          <a:off x="37062795" y="131757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447</xdr:row>
      <xdr:rowOff>0</xdr:rowOff>
    </xdr:from>
    <xdr:ext cx="65" cy="172227"/>
    <xdr:sp macro="" textlink="">
      <xdr:nvSpPr>
        <xdr:cNvPr id="127" name="TextBox 126">
          <a:extLst>
            <a:ext uri="{FF2B5EF4-FFF2-40B4-BE49-F238E27FC236}">
              <a16:creationId xmlns:a16="http://schemas.microsoft.com/office/drawing/2014/main" id="{00000000-0008-0000-0500-00007F000000}"/>
            </a:ext>
          </a:extLst>
        </xdr:cNvPr>
        <xdr:cNvSpPr txBox="1"/>
      </xdr:nvSpPr>
      <xdr:spPr>
        <a:xfrm>
          <a:off x="37062795" y="1345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447</xdr:row>
      <xdr:rowOff>0</xdr:rowOff>
    </xdr:from>
    <xdr:ext cx="65" cy="172227"/>
    <xdr:sp macro="" textlink="">
      <xdr:nvSpPr>
        <xdr:cNvPr id="128" name="TextBox 127">
          <a:extLst>
            <a:ext uri="{FF2B5EF4-FFF2-40B4-BE49-F238E27FC236}">
              <a16:creationId xmlns:a16="http://schemas.microsoft.com/office/drawing/2014/main" id="{00000000-0008-0000-0500-000080000000}"/>
            </a:ext>
          </a:extLst>
        </xdr:cNvPr>
        <xdr:cNvSpPr txBox="1"/>
      </xdr:nvSpPr>
      <xdr:spPr>
        <a:xfrm>
          <a:off x="37062795" y="1345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447</xdr:row>
      <xdr:rowOff>0</xdr:rowOff>
    </xdr:from>
    <xdr:ext cx="65" cy="172227"/>
    <xdr:sp macro="" textlink="">
      <xdr:nvSpPr>
        <xdr:cNvPr id="129" name="TextBox 128">
          <a:extLst>
            <a:ext uri="{FF2B5EF4-FFF2-40B4-BE49-F238E27FC236}">
              <a16:creationId xmlns:a16="http://schemas.microsoft.com/office/drawing/2014/main" id="{00000000-0008-0000-0500-000081000000}"/>
            </a:ext>
          </a:extLst>
        </xdr:cNvPr>
        <xdr:cNvSpPr txBox="1"/>
      </xdr:nvSpPr>
      <xdr:spPr>
        <a:xfrm>
          <a:off x="37062795" y="137799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447</xdr:row>
      <xdr:rowOff>0</xdr:rowOff>
    </xdr:from>
    <xdr:ext cx="65" cy="172227"/>
    <xdr:sp macro="" textlink="">
      <xdr:nvSpPr>
        <xdr:cNvPr id="130" name="TextBox 129">
          <a:extLst>
            <a:ext uri="{FF2B5EF4-FFF2-40B4-BE49-F238E27FC236}">
              <a16:creationId xmlns:a16="http://schemas.microsoft.com/office/drawing/2014/main" id="{00000000-0008-0000-0500-000082000000}"/>
            </a:ext>
          </a:extLst>
        </xdr:cNvPr>
        <xdr:cNvSpPr txBox="1"/>
      </xdr:nvSpPr>
      <xdr:spPr>
        <a:xfrm>
          <a:off x="37062795" y="137799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467</xdr:row>
      <xdr:rowOff>0</xdr:rowOff>
    </xdr:from>
    <xdr:ext cx="65" cy="172227"/>
    <xdr:sp macro="" textlink="">
      <xdr:nvSpPr>
        <xdr:cNvPr id="131" name="TextBox 130">
          <a:extLst>
            <a:ext uri="{FF2B5EF4-FFF2-40B4-BE49-F238E27FC236}">
              <a16:creationId xmlns:a16="http://schemas.microsoft.com/office/drawing/2014/main" id="{00000000-0008-0000-0500-000083000000}"/>
            </a:ext>
          </a:extLst>
        </xdr:cNvPr>
        <xdr:cNvSpPr txBox="1"/>
      </xdr:nvSpPr>
      <xdr:spPr>
        <a:xfrm>
          <a:off x="37062795" y="1415278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467</xdr:row>
      <xdr:rowOff>0</xdr:rowOff>
    </xdr:from>
    <xdr:ext cx="65" cy="172227"/>
    <xdr:sp macro="" textlink="">
      <xdr:nvSpPr>
        <xdr:cNvPr id="132" name="TextBox 131">
          <a:extLst>
            <a:ext uri="{FF2B5EF4-FFF2-40B4-BE49-F238E27FC236}">
              <a16:creationId xmlns:a16="http://schemas.microsoft.com/office/drawing/2014/main" id="{00000000-0008-0000-0500-000084000000}"/>
            </a:ext>
          </a:extLst>
        </xdr:cNvPr>
        <xdr:cNvSpPr txBox="1"/>
      </xdr:nvSpPr>
      <xdr:spPr>
        <a:xfrm>
          <a:off x="37062795" y="1415278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483</xdr:row>
      <xdr:rowOff>0</xdr:rowOff>
    </xdr:from>
    <xdr:ext cx="65" cy="172227"/>
    <xdr:sp macro="" textlink="">
      <xdr:nvSpPr>
        <xdr:cNvPr id="133" name="TextBox 132">
          <a:extLst>
            <a:ext uri="{FF2B5EF4-FFF2-40B4-BE49-F238E27FC236}">
              <a16:creationId xmlns:a16="http://schemas.microsoft.com/office/drawing/2014/main" id="{00000000-0008-0000-0500-000085000000}"/>
            </a:ext>
          </a:extLst>
        </xdr:cNvPr>
        <xdr:cNvSpPr txBox="1"/>
      </xdr:nvSpPr>
      <xdr:spPr>
        <a:xfrm>
          <a:off x="37062795" y="144603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483</xdr:row>
      <xdr:rowOff>0</xdr:rowOff>
    </xdr:from>
    <xdr:ext cx="65" cy="172227"/>
    <xdr:sp macro="" textlink="">
      <xdr:nvSpPr>
        <xdr:cNvPr id="134" name="TextBox 133">
          <a:extLst>
            <a:ext uri="{FF2B5EF4-FFF2-40B4-BE49-F238E27FC236}">
              <a16:creationId xmlns:a16="http://schemas.microsoft.com/office/drawing/2014/main" id="{00000000-0008-0000-0500-000086000000}"/>
            </a:ext>
          </a:extLst>
        </xdr:cNvPr>
        <xdr:cNvSpPr txBox="1"/>
      </xdr:nvSpPr>
      <xdr:spPr>
        <a:xfrm>
          <a:off x="37062795" y="144603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483</xdr:row>
      <xdr:rowOff>0</xdr:rowOff>
    </xdr:from>
    <xdr:ext cx="65" cy="172227"/>
    <xdr:sp macro="" textlink="">
      <xdr:nvSpPr>
        <xdr:cNvPr id="135" name="TextBox 134">
          <a:extLst>
            <a:ext uri="{FF2B5EF4-FFF2-40B4-BE49-F238E27FC236}">
              <a16:creationId xmlns:a16="http://schemas.microsoft.com/office/drawing/2014/main" id="{00000000-0008-0000-0500-000087000000}"/>
            </a:ext>
          </a:extLst>
        </xdr:cNvPr>
        <xdr:cNvSpPr txBox="1"/>
      </xdr:nvSpPr>
      <xdr:spPr>
        <a:xfrm>
          <a:off x="37062795" y="14797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483</xdr:row>
      <xdr:rowOff>0</xdr:rowOff>
    </xdr:from>
    <xdr:ext cx="65" cy="172227"/>
    <xdr:sp macro="" textlink="">
      <xdr:nvSpPr>
        <xdr:cNvPr id="136" name="TextBox 135">
          <a:extLst>
            <a:ext uri="{FF2B5EF4-FFF2-40B4-BE49-F238E27FC236}">
              <a16:creationId xmlns:a16="http://schemas.microsoft.com/office/drawing/2014/main" id="{00000000-0008-0000-0500-000088000000}"/>
            </a:ext>
          </a:extLst>
        </xdr:cNvPr>
        <xdr:cNvSpPr txBox="1"/>
      </xdr:nvSpPr>
      <xdr:spPr>
        <a:xfrm>
          <a:off x="37062795" y="14797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483</xdr:row>
      <xdr:rowOff>0</xdr:rowOff>
    </xdr:from>
    <xdr:ext cx="65" cy="172227"/>
    <xdr:sp macro="" textlink="">
      <xdr:nvSpPr>
        <xdr:cNvPr id="137" name="TextBox 136">
          <a:extLst>
            <a:ext uri="{FF2B5EF4-FFF2-40B4-BE49-F238E27FC236}">
              <a16:creationId xmlns:a16="http://schemas.microsoft.com/office/drawing/2014/main" id="{00000000-0008-0000-0500-000089000000}"/>
            </a:ext>
          </a:extLst>
        </xdr:cNvPr>
        <xdr:cNvSpPr txBox="1"/>
      </xdr:nvSpPr>
      <xdr:spPr>
        <a:xfrm>
          <a:off x="37062795" y="15135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483</xdr:row>
      <xdr:rowOff>0</xdr:rowOff>
    </xdr:from>
    <xdr:ext cx="65" cy="172227"/>
    <xdr:sp macro="" textlink="">
      <xdr:nvSpPr>
        <xdr:cNvPr id="138" name="TextBox 137">
          <a:extLst>
            <a:ext uri="{FF2B5EF4-FFF2-40B4-BE49-F238E27FC236}">
              <a16:creationId xmlns:a16="http://schemas.microsoft.com/office/drawing/2014/main" id="{00000000-0008-0000-0500-00008A000000}"/>
            </a:ext>
          </a:extLst>
        </xdr:cNvPr>
        <xdr:cNvSpPr txBox="1"/>
      </xdr:nvSpPr>
      <xdr:spPr>
        <a:xfrm>
          <a:off x="37062795" y="15135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503</xdr:row>
      <xdr:rowOff>0</xdr:rowOff>
    </xdr:from>
    <xdr:ext cx="65" cy="172227"/>
    <xdr:sp macro="" textlink="">
      <xdr:nvSpPr>
        <xdr:cNvPr id="139" name="TextBox 138">
          <a:extLst>
            <a:ext uri="{FF2B5EF4-FFF2-40B4-BE49-F238E27FC236}">
              <a16:creationId xmlns:a16="http://schemas.microsoft.com/office/drawing/2014/main" id="{00000000-0008-0000-0500-00008B000000}"/>
            </a:ext>
          </a:extLst>
        </xdr:cNvPr>
        <xdr:cNvSpPr txBox="1"/>
      </xdr:nvSpPr>
      <xdr:spPr>
        <a:xfrm>
          <a:off x="37062795" y="157407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503</xdr:row>
      <xdr:rowOff>0</xdr:rowOff>
    </xdr:from>
    <xdr:ext cx="65" cy="172227"/>
    <xdr:sp macro="" textlink="">
      <xdr:nvSpPr>
        <xdr:cNvPr id="140" name="TextBox 139">
          <a:extLst>
            <a:ext uri="{FF2B5EF4-FFF2-40B4-BE49-F238E27FC236}">
              <a16:creationId xmlns:a16="http://schemas.microsoft.com/office/drawing/2014/main" id="{00000000-0008-0000-0500-00008C000000}"/>
            </a:ext>
          </a:extLst>
        </xdr:cNvPr>
        <xdr:cNvSpPr txBox="1"/>
      </xdr:nvSpPr>
      <xdr:spPr>
        <a:xfrm>
          <a:off x="37062795" y="157407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2</xdr:col>
      <xdr:colOff>1013114</xdr:colOff>
      <xdr:row>437</xdr:row>
      <xdr:rowOff>72984</xdr:rowOff>
    </xdr:from>
    <xdr:to>
      <xdr:col>4</xdr:col>
      <xdr:colOff>2969735</xdr:colOff>
      <xdr:row>439</xdr:row>
      <xdr:rowOff>153666</xdr:rowOff>
    </xdr:to>
    <mc:AlternateContent xmlns:mc="http://schemas.openxmlformats.org/markup-compatibility/2006" xmlns:a14="http://schemas.microsoft.com/office/drawing/2010/main">
      <mc:Choice Requires="a14">
        <xdr:sp macro="" textlink="">
          <xdr:nvSpPr>
            <xdr:cNvPr id="366" name="TextBox 140">
              <a:extLst>
                <a:ext uri="{FF2B5EF4-FFF2-40B4-BE49-F238E27FC236}">
                  <a16:creationId xmlns:a16="http://schemas.microsoft.com/office/drawing/2014/main" id="{00000000-0008-0000-0500-00006E010000}"/>
                </a:ext>
              </a:extLst>
            </xdr:cNvPr>
            <xdr:cNvSpPr txBox="1"/>
          </xdr:nvSpPr>
          <xdr:spPr>
            <a:xfrm>
              <a:off x="1639043" y="124183734"/>
              <a:ext cx="5059049" cy="43446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kWh</m:t>
                    </m:r>
                    <m:r>
                      <m:rPr>
                        <m:nor/>
                      </m:rPr>
                      <a:rPr kumimoji="0" lang="en-US" sz="1400" b="0" i="1"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savings</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HP</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𝑈𝑛𝑖𝑡𝑠</m:t>
                    </m:r>
                  </m:oMath>
                </m:oMathPara>
              </a14:m>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141" name="TextBox 140">
              <a:extLst>
                <a:ext uri="{FF2B5EF4-FFF2-40B4-BE49-F238E27FC236}">
                  <a16:creationId xmlns:a16="http://schemas.microsoft.com/office/drawing/2014/main" id="{00000000-0008-0000-0300-000098000000}"/>
                </a:ext>
              </a:extLst>
            </xdr:cNvPr>
            <xdr:cNvSpPr txBox="1"/>
          </xdr:nvSpPr>
          <xdr:spPr>
            <a:xfrm>
              <a:off x="2034887" y="124729257"/>
              <a:ext cx="4571666" cy="461682"/>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∆𝑘𝑊ℎ="kWh</a:t>
              </a:r>
              <a:r>
                <a:rPr kumimoji="0" lang="en-US" sz="1400" b="0" i="0"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savings</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/HP"∗</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𝑈𝑛𝑖𝑡𝑠</a:t>
              </a:r>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twoCellAnchor>
    <xdr:from>
      <xdr:col>4</xdr:col>
      <xdr:colOff>1812694</xdr:colOff>
      <xdr:row>437</xdr:row>
      <xdr:rowOff>98961</xdr:rowOff>
    </xdr:from>
    <xdr:to>
      <xdr:col>5</xdr:col>
      <xdr:colOff>277102</xdr:colOff>
      <xdr:row>439</xdr:row>
      <xdr:rowOff>152749</xdr:rowOff>
    </xdr:to>
    <mc:AlternateContent xmlns:mc="http://schemas.openxmlformats.org/markup-compatibility/2006" xmlns:a14="http://schemas.microsoft.com/office/drawing/2010/main">
      <mc:Choice Requires="a14">
        <xdr:sp macro="" textlink="">
          <xdr:nvSpPr>
            <xdr:cNvPr id="365" name="TextBox 141">
              <a:extLst>
                <a:ext uri="{FF2B5EF4-FFF2-40B4-BE49-F238E27FC236}">
                  <a16:creationId xmlns:a16="http://schemas.microsoft.com/office/drawing/2014/main" id="{00000000-0008-0000-0500-00006D010000}"/>
                </a:ext>
              </a:extLst>
            </xdr:cNvPr>
            <xdr:cNvSpPr txBox="1"/>
          </xdr:nvSpPr>
          <xdr:spPr>
            <a:xfrm>
              <a:off x="5541051" y="124209711"/>
              <a:ext cx="3335765" cy="407574"/>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𝐹𝑎𝑐𝑡𝑜𝑟</m:t>
                    </m:r>
                  </m:oMath>
                </m:oMathPara>
              </a14:m>
              <a:endPar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endParaRPr>
            </a:p>
          </xdr:txBody>
        </xdr:sp>
      </mc:Choice>
      <mc:Fallback xmlns="">
        <xdr:sp macro="" textlink="">
          <xdr:nvSpPr>
            <xdr:cNvPr id="142" name="TextBox 141">
              <a:extLst>
                <a:ext uri="{FF2B5EF4-FFF2-40B4-BE49-F238E27FC236}">
                  <a16:creationId xmlns:a16="http://schemas.microsoft.com/office/drawing/2014/main" id="{00000000-0008-0000-0300-000099000000}"/>
                </a:ext>
              </a:extLst>
            </xdr:cNvPr>
            <xdr:cNvSpPr txBox="1"/>
          </xdr:nvSpPr>
          <xdr:spPr>
            <a:xfrm>
              <a:off x="5455227" y="124755234"/>
              <a:ext cx="3269338" cy="43478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 ∆𝑘𝑊ℎ ∗𝑘𝑊 𝐹𝑎𝑐𝑡𝑜𝑟</a:t>
              </a:r>
            </a:p>
          </xdr:txBody>
        </xdr:sp>
      </mc:Fallback>
    </mc:AlternateContent>
    <xdr:clientData/>
  </xdr:twoCellAnchor>
  <xdr:oneCellAnchor>
    <xdr:from>
      <xdr:col>4</xdr:col>
      <xdr:colOff>3787140</xdr:colOff>
      <xdr:row>503</xdr:row>
      <xdr:rowOff>0</xdr:rowOff>
    </xdr:from>
    <xdr:ext cx="184731" cy="264560"/>
    <xdr:sp macro="" textlink="">
      <xdr:nvSpPr>
        <xdr:cNvPr id="143" name="TextBox 142">
          <a:extLst>
            <a:ext uri="{FF2B5EF4-FFF2-40B4-BE49-F238E27FC236}">
              <a16:creationId xmlns:a16="http://schemas.microsoft.com/office/drawing/2014/main" id="{00000000-0008-0000-0500-00008F000000}"/>
            </a:ext>
          </a:extLst>
        </xdr:cNvPr>
        <xdr:cNvSpPr txBox="1"/>
      </xdr:nvSpPr>
      <xdr:spPr>
        <a:xfrm>
          <a:off x="7515497" y="157407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3</xdr:col>
      <xdr:colOff>0</xdr:colOff>
      <xdr:row>492</xdr:row>
      <xdr:rowOff>0</xdr:rowOff>
    </xdr:from>
    <xdr:to>
      <xdr:col>4</xdr:col>
      <xdr:colOff>3103134</xdr:colOff>
      <xdr:row>494</xdr:row>
      <xdr:rowOff>84493</xdr:rowOff>
    </xdr:to>
    <mc:AlternateContent xmlns:mc="http://schemas.openxmlformats.org/markup-compatibility/2006" xmlns:a14="http://schemas.microsoft.com/office/drawing/2010/main">
      <mc:Choice Requires="a14">
        <xdr:sp macro="" textlink="">
          <xdr:nvSpPr>
            <xdr:cNvPr id="364" name="TextBox 143">
              <a:extLst>
                <a:ext uri="{FF2B5EF4-FFF2-40B4-BE49-F238E27FC236}">
                  <a16:creationId xmlns:a16="http://schemas.microsoft.com/office/drawing/2014/main" id="{00000000-0008-0000-0500-00006C010000}"/>
                </a:ext>
              </a:extLst>
            </xdr:cNvPr>
            <xdr:cNvSpPr txBox="1"/>
          </xdr:nvSpPr>
          <xdr:spPr>
            <a:xfrm>
              <a:off x="2041071" y="155992286"/>
              <a:ext cx="4790420" cy="4382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savings</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𝑓𝑎𝑛</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𝑢𝑛𝑖𝑡𝑠</m:t>
                    </m:r>
                  </m:oMath>
                </m:oMathPara>
              </a14:m>
              <a:endParaRPr lang="en-US" sz="1400" i="1">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4" name="TextBox 143">
              <a:extLst>
                <a:ext uri="{FF2B5EF4-FFF2-40B4-BE49-F238E27FC236}">
                  <a16:creationId xmlns:a16="http://schemas.microsoft.com/office/drawing/2014/main" id="{00000000-0008-0000-0300-000095000000}"/>
                </a:ext>
              </a:extLst>
            </xdr:cNvPr>
            <xdr:cNvSpPr txBox="1"/>
          </xdr:nvSpPr>
          <xdr:spPr>
            <a:xfrm>
              <a:off x="2171700" y="84077175"/>
              <a:ext cx="4587129" cy="461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"kWh</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savings</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𝑓𝑎𝑛∗𝑢𝑛𝑖𝑡𝑠</a:t>
              </a:r>
              <a:endParaRPr lang="en-US" sz="1400" i="1">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5</xdr:col>
      <xdr:colOff>0</xdr:colOff>
      <xdr:row>492</xdr:row>
      <xdr:rowOff>0</xdr:rowOff>
    </xdr:from>
    <xdr:to>
      <xdr:col>7</xdr:col>
      <xdr:colOff>131222</xdr:colOff>
      <xdr:row>494</xdr:row>
      <xdr:rowOff>53789</xdr:rowOff>
    </xdr:to>
    <mc:AlternateContent xmlns:mc="http://schemas.openxmlformats.org/markup-compatibility/2006" xmlns:a14="http://schemas.microsoft.com/office/drawing/2010/main">
      <mc:Choice Requires="a14">
        <xdr:sp macro="" textlink="">
          <xdr:nvSpPr>
            <xdr:cNvPr id="363" name="TextBox 144">
              <a:extLst>
                <a:ext uri="{FF2B5EF4-FFF2-40B4-BE49-F238E27FC236}">
                  <a16:creationId xmlns:a16="http://schemas.microsoft.com/office/drawing/2014/main" id="{00000000-0008-0000-0500-00006B010000}"/>
                </a:ext>
              </a:extLst>
            </xdr:cNvPr>
            <xdr:cNvSpPr txBox="1"/>
          </xdr:nvSpPr>
          <xdr:spPr>
            <a:xfrm>
              <a:off x="8599714" y="155992286"/>
              <a:ext cx="3478579" cy="4075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𝑘𝑊h</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𝐹𝑎𝑐𝑡𝑜𝑟</m:t>
                    </m:r>
                  </m:oMath>
                </m:oMathPara>
              </a14:m>
              <a:endParaRPr lang="en-US" sz="140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5" name="TextBox 144">
              <a:extLst>
                <a:ext uri="{FF2B5EF4-FFF2-40B4-BE49-F238E27FC236}">
                  <a16:creationId xmlns:a16="http://schemas.microsoft.com/office/drawing/2014/main" id="{00000000-0008-0000-0300-000097000000}"/>
                </a:ext>
              </a:extLst>
            </xdr:cNvPr>
            <xdr:cNvSpPr txBox="1"/>
          </xdr:nvSpPr>
          <xdr:spPr>
            <a:xfrm>
              <a:off x="8467725" y="84077175"/>
              <a:ext cx="3373532" cy="4347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𝑘𝑊= ∆𝑘𝑊ℎ ∗𝑘𝑊 𝐹𝑎𝑐𝑡𝑜𝑟</a:t>
              </a:r>
              <a:endParaRPr lang="en-US" sz="140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26</xdr:col>
      <xdr:colOff>935831</xdr:colOff>
      <xdr:row>483</xdr:row>
      <xdr:rowOff>0</xdr:rowOff>
    </xdr:from>
    <xdr:ext cx="65" cy="172227"/>
    <xdr:sp macro="" textlink="">
      <xdr:nvSpPr>
        <xdr:cNvPr id="147" name="TextBox 146">
          <a:extLst>
            <a:ext uri="{FF2B5EF4-FFF2-40B4-BE49-F238E27FC236}">
              <a16:creationId xmlns:a16="http://schemas.microsoft.com/office/drawing/2014/main" id="{00000000-0008-0000-0500-000093000000}"/>
            </a:ext>
          </a:extLst>
        </xdr:cNvPr>
        <xdr:cNvSpPr txBox="1"/>
      </xdr:nvSpPr>
      <xdr:spPr>
        <a:xfrm>
          <a:off x="37062795" y="154563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483</xdr:row>
      <xdr:rowOff>0</xdr:rowOff>
    </xdr:from>
    <xdr:ext cx="65" cy="172227"/>
    <xdr:sp macro="" textlink="">
      <xdr:nvSpPr>
        <xdr:cNvPr id="148" name="TextBox 147">
          <a:extLst>
            <a:ext uri="{FF2B5EF4-FFF2-40B4-BE49-F238E27FC236}">
              <a16:creationId xmlns:a16="http://schemas.microsoft.com/office/drawing/2014/main" id="{00000000-0008-0000-0500-000094000000}"/>
            </a:ext>
          </a:extLst>
        </xdr:cNvPr>
        <xdr:cNvSpPr txBox="1"/>
      </xdr:nvSpPr>
      <xdr:spPr>
        <a:xfrm>
          <a:off x="37062795" y="154563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1340031</xdr:colOff>
      <xdr:row>67</xdr:row>
      <xdr:rowOff>35956</xdr:rowOff>
    </xdr:from>
    <xdr:to>
      <xdr:col>6</xdr:col>
      <xdr:colOff>628649</xdr:colOff>
      <xdr:row>69</xdr:row>
      <xdr:rowOff>76200</xdr:rowOff>
    </xdr:to>
    <mc:AlternateContent xmlns:mc="http://schemas.openxmlformats.org/markup-compatibility/2006" xmlns:a14="http://schemas.microsoft.com/office/drawing/2010/main">
      <mc:Choice Requires="a14">
        <xdr:sp macro="" textlink="">
          <xdr:nvSpPr>
            <xdr:cNvPr id="362" name="TextBox 152">
              <a:extLst>
                <a:ext uri="{FF2B5EF4-FFF2-40B4-BE49-F238E27FC236}">
                  <a16:creationId xmlns:a16="http://schemas.microsoft.com/office/drawing/2014/main" id="{00000000-0008-0000-0500-00006A010000}"/>
                </a:ext>
              </a:extLst>
            </xdr:cNvPr>
            <xdr:cNvSpPr txBox="1"/>
          </xdr:nvSpPr>
          <xdr:spPr>
            <a:xfrm>
              <a:off x="3378381" y="22410181"/>
              <a:ext cx="6213293" cy="4021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𝑘𝑊</m:t>
                        </m:r>
                      </m:e>
                      <m:sub>
                        <m:r>
                          <a:rPr lang="en-US" sz="1400" b="0" i="1">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𝐸𝑆𝐹</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𝐼𝐹</m:t>
                        </m:r>
                      </m:e>
                      <m:sub>
                        <m:r>
                          <a:rPr lang="en-US" sz="1400" b="0" i="1">
                            <a:solidFill>
                              <a:sysClr val="windowText" lastClr="000000"/>
                            </a:solidFill>
                            <a:latin typeface="Cambria Math" panose="02040503050406030204" pitchFamily="18" charset="0"/>
                            <a:ea typeface="Cambria Math" panose="02040503050406030204" pitchFamily="18" charset="0"/>
                          </a:rPr>
                          <m:t>𝑘𝑊h</m:t>
                        </m:r>
                      </m:sub>
                    </m:sSub>
                  </m:oMath>
                </m:oMathPara>
              </a14:m>
              <a:endParaRPr lang="en-US" sz="1100">
                <a:solidFill>
                  <a:sysClr val="windowText" lastClr="000000"/>
                </a:solidFill>
              </a:endParaRPr>
            </a:p>
          </xdr:txBody>
        </xdr:sp>
      </mc:Choice>
      <mc:Fallback xmlns="">
        <xdr:sp macro="" textlink="">
          <xdr:nvSpPr>
            <xdr:cNvPr id="153" name="TextBox 152">
              <a:extLst>
                <a:ext uri="{FF2B5EF4-FFF2-40B4-BE49-F238E27FC236}">
                  <a16:creationId xmlns:a16="http://schemas.microsoft.com/office/drawing/2014/main" id="{71CE9587-0380-4FC2-BA00-7DA20445C9B9}"/>
                </a:ext>
              </a:extLst>
            </xdr:cNvPr>
            <xdr:cNvSpPr txBox="1"/>
          </xdr:nvSpPr>
          <xdr:spPr>
            <a:xfrm>
              <a:off x="3378381" y="22410181"/>
              <a:ext cx="6213293" cy="4021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𝑘𝑊ℎ〗_ℎ𝑒𝑎𝑡𝑝𝑒𝑛𝑎𝑙𝑡𝑦=〖𝑘𝑊〗_𝐶𝑜𝑛𝑡𝑟𝑜𝑙𝑙𝑒𝑑∗𝐻𝑜𝑢𝑟𝑠∗𝐸𝑆𝐹∗〖−𝐼𝐹〗_𝑘𝑊ℎ</a:t>
              </a:r>
              <a:endParaRPr lang="en-US" sz="1100">
                <a:solidFill>
                  <a:sysClr val="windowText" lastClr="000000"/>
                </a:solidFill>
              </a:endParaRPr>
            </a:p>
          </xdr:txBody>
        </xdr:sp>
      </mc:Fallback>
    </mc:AlternateContent>
    <xdr:clientData/>
  </xdr:twoCellAnchor>
  <xdr:oneCellAnchor>
    <xdr:from>
      <xdr:col>26</xdr:col>
      <xdr:colOff>2269331</xdr:colOff>
      <xdr:row>78</xdr:row>
      <xdr:rowOff>0</xdr:rowOff>
    </xdr:from>
    <xdr:ext cx="65" cy="172227"/>
    <xdr:sp macro="" textlink="">
      <xdr:nvSpPr>
        <xdr:cNvPr id="161" name="TextBox 160">
          <a:extLst>
            <a:ext uri="{FF2B5EF4-FFF2-40B4-BE49-F238E27FC236}">
              <a16:creationId xmlns:a16="http://schemas.microsoft.com/office/drawing/2014/main" id="{00000000-0008-0000-0500-0000A100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78</xdr:row>
      <xdr:rowOff>0</xdr:rowOff>
    </xdr:from>
    <xdr:ext cx="65" cy="172227"/>
    <xdr:sp macro="" textlink="">
      <xdr:nvSpPr>
        <xdr:cNvPr id="162" name="TextBox 161">
          <a:extLst>
            <a:ext uri="{FF2B5EF4-FFF2-40B4-BE49-F238E27FC236}">
              <a16:creationId xmlns:a16="http://schemas.microsoft.com/office/drawing/2014/main" id="{00000000-0008-0000-0500-0000A200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xdr:row>
      <xdr:rowOff>0</xdr:rowOff>
    </xdr:from>
    <xdr:ext cx="65" cy="172227"/>
    <xdr:sp macro="" textlink="">
      <xdr:nvSpPr>
        <xdr:cNvPr id="163" name="TextBox 162">
          <a:extLst>
            <a:ext uri="{FF2B5EF4-FFF2-40B4-BE49-F238E27FC236}">
              <a16:creationId xmlns:a16="http://schemas.microsoft.com/office/drawing/2014/main" id="{00000000-0008-0000-0500-0000A300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xdr:row>
      <xdr:rowOff>0</xdr:rowOff>
    </xdr:from>
    <xdr:ext cx="65" cy="172227"/>
    <xdr:sp macro="" textlink="">
      <xdr:nvSpPr>
        <xdr:cNvPr id="164" name="TextBox 163">
          <a:extLst>
            <a:ext uri="{FF2B5EF4-FFF2-40B4-BE49-F238E27FC236}">
              <a16:creationId xmlns:a16="http://schemas.microsoft.com/office/drawing/2014/main" id="{00000000-0008-0000-0500-0000A400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xdr:row>
      <xdr:rowOff>0</xdr:rowOff>
    </xdr:from>
    <xdr:ext cx="65" cy="172227"/>
    <xdr:sp macro="" textlink="">
      <xdr:nvSpPr>
        <xdr:cNvPr id="165" name="TextBox 164">
          <a:extLst>
            <a:ext uri="{FF2B5EF4-FFF2-40B4-BE49-F238E27FC236}">
              <a16:creationId xmlns:a16="http://schemas.microsoft.com/office/drawing/2014/main" id="{00000000-0008-0000-0500-0000A5000000}"/>
            </a:ext>
          </a:extLst>
        </xdr:cNvPr>
        <xdr:cNvSpPr txBox="1"/>
      </xdr:nvSpPr>
      <xdr:spPr>
        <a:xfrm>
          <a:off x="38355634" y="208317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xdr:row>
      <xdr:rowOff>0</xdr:rowOff>
    </xdr:from>
    <xdr:ext cx="65" cy="172227"/>
    <xdr:sp macro="" textlink="">
      <xdr:nvSpPr>
        <xdr:cNvPr id="166" name="TextBox 165">
          <a:extLst>
            <a:ext uri="{FF2B5EF4-FFF2-40B4-BE49-F238E27FC236}">
              <a16:creationId xmlns:a16="http://schemas.microsoft.com/office/drawing/2014/main" id="{00000000-0008-0000-0500-0000A6000000}"/>
            </a:ext>
          </a:extLst>
        </xdr:cNvPr>
        <xdr:cNvSpPr txBox="1"/>
      </xdr:nvSpPr>
      <xdr:spPr>
        <a:xfrm>
          <a:off x="38355634" y="208317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1429839</xdr:colOff>
      <xdr:row>30</xdr:row>
      <xdr:rowOff>48576</xdr:rowOff>
    </xdr:from>
    <xdr:to>
      <xdr:col>8</xdr:col>
      <xdr:colOff>1183821</xdr:colOff>
      <xdr:row>33</xdr:row>
      <xdr:rowOff>56333</xdr:rowOff>
    </xdr:to>
    <mc:AlternateContent xmlns:mc="http://schemas.openxmlformats.org/markup-compatibility/2006" xmlns:a14="http://schemas.microsoft.com/office/drawing/2010/main">
      <mc:Choice Requires="a14">
        <xdr:sp macro="" textlink="">
          <xdr:nvSpPr>
            <xdr:cNvPr id="359" name="TextBox 172">
              <a:extLst>
                <a:ext uri="{FF2B5EF4-FFF2-40B4-BE49-F238E27FC236}">
                  <a16:creationId xmlns:a16="http://schemas.microsoft.com/office/drawing/2014/main" id="{00000000-0008-0000-0500-000067010000}"/>
                </a:ext>
              </a:extLst>
            </xdr:cNvPr>
            <xdr:cNvSpPr txBox="1"/>
          </xdr:nvSpPr>
          <xdr:spPr>
            <a:xfrm>
              <a:off x="3470910" y="7287576"/>
              <a:ext cx="8911590" cy="538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𝐵𝑎𝑠𝑒</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𝐸𝐸</m:t>
                            </m:r>
                          </m:sub>
                        </m:sSub>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𝐻𝑜𝑢𝑟𝑠</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𝐴𝐷𝐽</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𝐸𝑀𝑉</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𝐼𝐹</m:t>
                        </m:r>
                      </m:e>
                      <m:sub>
                        <m:r>
                          <a:rPr lang="en-US" sz="1400" b="0" i="1">
                            <a:solidFill>
                              <a:sysClr val="windowText" lastClr="000000"/>
                            </a:solidFill>
                            <a:effectLst/>
                            <a:latin typeface="Cambria Math" panose="02040503050406030204" pitchFamily="18" charset="0"/>
                            <a:ea typeface="+mn-ea"/>
                            <a:cs typeface="+mn-cs"/>
                          </a:rPr>
                          <m:t>𝑘𝑊h</m:t>
                        </m:r>
                      </m:sub>
                    </m:sSub>
                  </m:oMath>
                </m:oMathPara>
              </a14:m>
              <a:endParaRPr lang="en-US" sz="1400">
                <a:solidFill>
                  <a:sysClr val="windowText" lastClr="000000"/>
                </a:solidFill>
              </a:endParaRPr>
            </a:p>
          </xdr:txBody>
        </xdr:sp>
      </mc:Choice>
      <mc:Fallback xmlns="">
        <xdr:sp macro="" textlink="">
          <xdr:nvSpPr>
            <xdr:cNvPr id="173" name="TextBox 172">
              <a:extLst>
                <a:ext uri="{FF2B5EF4-FFF2-40B4-BE49-F238E27FC236}">
                  <a16:creationId xmlns:a16="http://schemas.microsoft.com/office/drawing/2014/main" id="{762EBDF9-73E3-4B39-92DA-1D94149913AF}"/>
                </a:ext>
              </a:extLst>
            </xdr:cNvPr>
            <xdr:cNvSpPr txBox="1"/>
          </xdr:nvSpPr>
          <xdr:spPr>
            <a:xfrm>
              <a:off x="3470910" y="7287576"/>
              <a:ext cx="8911590" cy="538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400" b="0" i="0">
                  <a:solidFill>
                    <a:sysClr val="windowText" lastClr="000000"/>
                  </a:solidFill>
                  <a:latin typeface="Cambria Math" panose="02040503050406030204" pitchFamily="18" charset="0"/>
                  <a:ea typeface="Cambria Math" panose="02040503050406030204" pitchFamily="18" charset="0"/>
                </a:rPr>
                <a:t>ℎ𝑒𝑎𝑡𝑝𝑒𝑛𝑎𝑙𝑡𝑦=(</a:t>
              </a:r>
              <a:r>
                <a:rPr lang="en-US" sz="1400" b="0" i="0">
                  <a:solidFill>
                    <a:sysClr val="windowText" lastClr="000000"/>
                  </a:solidFill>
                  <a:effectLst/>
                  <a:latin typeface="Cambria Math" panose="02040503050406030204" pitchFamily="18" charset="0"/>
                  <a:ea typeface="+mn-ea"/>
                  <a:cs typeface="+mn-cs"/>
                </a:rPr>
                <a:t>(〖𝑊𝑎𝑡𝑡𝑠〗_𝐵𝑎𝑠𝑒−〖𝑊𝑎𝑡𝑡𝑠〗_𝐸𝐸)</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×𝐼𝑆𝑅×𝐻𝑜𝑢𝑟𝑠×〖𝐴𝐷𝐽〗_𝐸𝑀𝑉</a:t>
              </a:r>
              <a:r>
                <a:rPr lang="en-US" sz="1400" b="0" i="0">
                  <a:solidFill>
                    <a:sysClr val="windowText" lastClr="000000"/>
                  </a:solidFill>
                  <a:effectLst/>
                  <a:latin typeface="Cambria Math" panose="02040503050406030204" pitchFamily="18" charset="0"/>
                  <a:ea typeface="+mn-ea"/>
                  <a:cs typeface="+mn-cs"/>
                </a:rPr>
                <a:t>×〖−𝐼𝐹〗_𝑘𝑊ℎ</a:t>
              </a:r>
              <a:endParaRPr lang="en-US" sz="1400">
                <a:solidFill>
                  <a:sysClr val="windowText" lastClr="000000"/>
                </a:solidFill>
              </a:endParaRPr>
            </a:p>
          </xdr:txBody>
        </xdr:sp>
      </mc:Fallback>
    </mc:AlternateContent>
    <xdr:clientData/>
  </xdr:twoCellAnchor>
  <xdr:oneCellAnchor>
    <xdr:from>
      <xdr:col>26</xdr:col>
      <xdr:colOff>935831</xdr:colOff>
      <xdr:row>179</xdr:row>
      <xdr:rowOff>0</xdr:rowOff>
    </xdr:from>
    <xdr:ext cx="65" cy="172227"/>
    <xdr:sp macro="" textlink="">
      <xdr:nvSpPr>
        <xdr:cNvPr id="150" name="TextBox 149">
          <a:extLst>
            <a:ext uri="{FF2B5EF4-FFF2-40B4-BE49-F238E27FC236}">
              <a16:creationId xmlns:a16="http://schemas.microsoft.com/office/drawing/2014/main" id="{00000000-0008-0000-0500-000096000000}"/>
            </a:ext>
          </a:extLst>
        </xdr:cNvPr>
        <xdr:cNvSpPr txBox="1"/>
      </xdr:nvSpPr>
      <xdr:spPr>
        <a:xfrm>
          <a:off x="34301906" y="62693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179</xdr:row>
      <xdr:rowOff>0</xdr:rowOff>
    </xdr:from>
    <xdr:ext cx="65" cy="172227"/>
    <xdr:sp macro="" textlink="">
      <xdr:nvSpPr>
        <xdr:cNvPr id="152" name="TextBox 151">
          <a:extLst>
            <a:ext uri="{FF2B5EF4-FFF2-40B4-BE49-F238E27FC236}">
              <a16:creationId xmlns:a16="http://schemas.microsoft.com/office/drawing/2014/main" id="{00000000-0008-0000-0500-000098000000}"/>
            </a:ext>
          </a:extLst>
        </xdr:cNvPr>
        <xdr:cNvSpPr txBox="1"/>
      </xdr:nvSpPr>
      <xdr:spPr>
        <a:xfrm>
          <a:off x="34301906" y="62693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202</xdr:row>
      <xdr:rowOff>0</xdr:rowOff>
    </xdr:from>
    <xdr:ext cx="65" cy="172227"/>
    <xdr:sp macro="" textlink="">
      <xdr:nvSpPr>
        <xdr:cNvPr id="154" name="TextBox 153">
          <a:extLst>
            <a:ext uri="{FF2B5EF4-FFF2-40B4-BE49-F238E27FC236}">
              <a16:creationId xmlns:a16="http://schemas.microsoft.com/office/drawing/2014/main" id="{00000000-0008-0000-0500-00009A000000}"/>
            </a:ext>
          </a:extLst>
        </xdr:cNvPr>
        <xdr:cNvSpPr txBox="1"/>
      </xdr:nvSpPr>
      <xdr:spPr>
        <a:xfrm>
          <a:off x="34301906" y="6745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202</xdr:row>
      <xdr:rowOff>0</xdr:rowOff>
    </xdr:from>
    <xdr:ext cx="65" cy="172227"/>
    <xdr:sp macro="" textlink="">
      <xdr:nvSpPr>
        <xdr:cNvPr id="157" name="TextBox 156">
          <a:extLst>
            <a:ext uri="{FF2B5EF4-FFF2-40B4-BE49-F238E27FC236}">
              <a16:creationId xmlns:a16="http://schemas.microsoft.com/office/drawing/2014/main" id="{00000000-0008-0000-0500-00009D000000}"/>
            </a:ext>
          </a:extLst>
        </xdr:cNvPr>
        <xdr:cNvSpPr txBox="1"/>
      </xdr:nvSpPr>
      <xdr:spPr>
        <a:xfrm>
          <a:off x="34301906" y="6745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222</xdr:row>
      <xdr:rowOff>0</xdr:rowOff>
    </xdr:from>
    <xdr:ext cx="65" cy="172227"/>
    <xdr:sp macro="" textlink="">
      <xdr:nvSpPr>
        <xdr:cNvPr id="158" name="TextBox 157">
          <a:extLst>
            <a:ext uri="{FF2B5EF4-FFF2-40B4-BE49-F238E27FC236}">
              <a16:creationId xmlns:a16="http://schemas.microsoft.com/office/drawing/2014/main" id="{00000000-0008-0000-0500-00009E000000}"/>
            </a:ext>
          </a:extLst>
        </xdr:cNvPr>
        <xdr:cNvSpPr txBox="1"/>
      </xdr:nvSpPr>
      <xdr:spPr>
        <a:xfrm>
          <a:off x="34301906" y="71485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222</xdr:row>
      <xdr:rowOff>0</xdr:rowOff>
    </xdr:from>
    <xdr:ext cx="65" cy="172227"/>
    <xdr:sp macro="" textlink="">
      <xdr:nvSpPr>
        <xdr:cNvPr id="159" name="TextBox 158">
          <a:extLst>
            <a:ext uri="{FF2B5EF4-FFF2-40B4-BE49-F238E27FC236}">
              <a16:creationId xmlns:a16="http://schemas.microsoft.com/office/drawing/2014/main" id="{00000000-0008-0000-0500-00009F000000}"/>
            </a:ext>
          </a:extLst>
        </xdr:cNvPr>
        <xdr:cNvSpPr txBox="1"/>
      </xdr:nvSpPr>
      <xdr:spPr>
        <a:xfrm>
          <a:off x="34301906" y="71485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359</xdr:row>
      <xdr:rowOff>0</xdr:rowOff>
    </xdr:from>
    <xdr:ext cx="65" cy="172227"/>
    <xdr:sp macro="" textlink="">
      <xdr:nvSpPr>
        <xdr:cNvPr id="160" name="TextBox 159">
          <a:extLst>
            <a:ext uri="{FF2B5EF4-FFF2-40B4-BE49-F238E27FC236}">
              <a16:creationId xmlns:a16="http://schemas.microsoft.com/office/drawing/2014/main" id="{00000000-0008-0000-0500-0000A0000000}"/>
            </a:ext>
          </a:extLst>
        </xdr:cNvPr>
        <xdr:cNvSpPr txBox="1"/>
      </xdr:nvSpPr>
      <xdr:spPr>
        <a:xfrm>
          <a:off x="34301906" y="10163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359</xdr:row>
      <xdr:rowOff>0</xdr:rowOff>
    </xdr:from>
    <xdr:ext cx="65" cy="172227"/>
    <xdr:sp macro="" textlink="">
      <xdr:nvSpPr>
        <xdr:cNvPr id="167" name="TextBox 166">
          <a:extLst>
            <a:ext uri="{FF2B5EF4-FFF2-40B4-BE49-F238E27FC236}">
              <a16:creationId xmlns:a16="http://schemas.microsoft.com/office/drawing/2014/main" id="{00000000-0008-0000-0500-0000A7000000}"/>
            </a:ext>
          </a:extLst>
        </xdr:cNvPr>
        <xdr:cNvSpPr txBox="1"/>
      </xdr:nvSpPr>
      <xdr:spPr>
        <a:xfrm>
          <a:off x="34301906" y="10163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359</xdr:row>
      <xdr:rowOff>0</xdr:rowOff>
    </xdr:from>
    <xdr:ext cx="65" cy="172227"/>
    <xdr:sp macro="" textlink="">
      <xdr:nvSpPr>
        <xdr:cNvPr id="168" name="TextBox 167">
          <a:extLst>
            <a:ext uri="{FF2B5EF4-FFF2-40B4-BE49-F238E27FC236}">
              <a16:creationId xmlns:a16="http://schemas.microsoft.com/office/drawing/2014/main" id="{00000000-0008-0000-0500-0000A8000000}"/>
            </a:ext>
          </a:extLst>
        </xdr:cNvPr>
        <xdr:cNvSpPr txBox="1"/>
      </xdr:nvSpPr>
      <xdr:spPr>
        <a:xfrm>
          <a:off x="34301906" y="1105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359</xdr:row>
      <xdr:rowOff>0</xdr:rowOff>
    </xdr:from>
    <xdr:ext cx="65" cy="172227"/>
    <xdr:sp macro="" textlink="">
      <xdr:nvSpPr>
        <xdr:cNvPr id="169" name="TextBox 168">
          <a:extLst>
            <a:ext uri="{FF2B5EF4-FFF2-40B4-BE49-F238E27FC236}">
              <a16:creationId xmlns:a16="http://schemas.microsoft.com/office/drawing/2014/main" id="{00000000-0008-0000-0500-0000A9000000}"/>
            </a:ext>
          </a:extLst>
        </xdr:cNvPr>
        <xdr:cNvSpPr txBox="1"/>
      </xdr:nvSpPr>
      <xdr:spPr>
        <a:xfrm>
          <a:off x="34301906" y="1105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61" name="TextBox 88">
          <a:extLst>
            <a:ext uri="{FF2B5EF4-FFF2-40B4-BE49-F238E27FC236}">
              <a16:creationId xmlns:a16="http://schemas.microsoft.com/office/drawing/2014/main" id="{00000000-0008-0000-0500-00000501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62" name="TextBox 89">
          <a:extLst>
            <a:ext uri="{FF2B5EF4-FFF2-40B4-BE49-F238E27FC236}">
              <a16:creationId xmlns:a16="http://schemas.microsoft.com/office/drawing/2014/main" id="{00000000-0008-0000-0500-00000601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63" name="TextBox 90">
          <a:extLst>
            <a:ext uri="{FF2B5EF4-FFF2-40B4-BE49-F238E27FC236}">
              <a16:creationId xmlns:a16="http://schemas.microsoft.com/office/drawing/2014/main" id="{00000000-0008-0000-0500-000007010000}"/>
            </a:ext>
          </a:extLst>
        </xdr:cNvPr>
        <xdr:cNvSpPr txBox="1"/>
      </xdr:nvSpPr>
      <xdr:spPr>
        <a:xfrm>
          <a:off x="37062795" y="3000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64" name="TextBox 91">
          <a:extLst>
            <a:ext uri="{FF2B5EF4-FFF2-40B4-BE49-F238E27FC236}">
              <a16:creationId xmlns:a16="http://schemas.microsoft.com/office/drawing/2014/main" id="{00000000-0008-0000-0500-000008010000}"/>
            </a:ext>
          </a:extLst>
        </xdr:cNvPr>
        <xdr:cNvSpPr txBox="1"/>
      </xdr:nvSpPr>
      <xdr:spPr>
        <a:xfrm>
          <a:off x="37062795" y="3000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65" name="TextBox 92">
          <a:extLst>
            <a:ext uri="{FF2B5EF4-FFF2-40B4-BE49-F238E27FC236}">
              <a16:creationId xmlns:a16="http://schemas.microsoft.com/office/drawing/2014/main" id="{00000000-0008-0000-0500-000009010000}"/>
            </a:ext>
          </a:extLst>
        </xdr:cNvPr>
        <xdr:cNvSpPr txBox="1"/>
      </xdr:nvSpPr>
      <xdr:spPr>
        <a:xfrm>
          <a:off x="37062795" y="38045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66" name="TextBox 93">
          <a:extLst>
            <a:ext uri="{FF2B5EF4-FFF2-40B4-BE49-F238E27FC236}">
              <a16:creationId xmlns:a16="http://schemas.microsoft.com/office/drawing/2014/main" id="{00000000-0008-0000-0500-00000A010000}"/>
            </a:ext>
          </a:extLst>
        </xdr:cNvPr>
        <xdr:cNvSpPr txBox="1"/>
      </xdr:nvSpPr>
      <xdr:spPr>
        <a:xfrm>
          <a:off x="37062795" y="38045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67" name="TextBox 94">
          <a:extLst>
            <a:ext uri="{FF2B5EF4-FFF2-40B4-BE49-F238E27FC236}">
              <a16:creationId xmlns:a16="http://schemas.microsoft.com/office/drawing/2014/main" id="{00000000-0008-0000-0500-00000B010000}"/>
            </a:ext>
          </a:extLst>
        </xdr:cNvPr>
        <xdr:cNvSpPr txBox="1"/>
      </xdr:nvSpPr>
      <xdr:spPr>
        <a:xfrm>
          <a:off x="37062795" y="4234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68" name="TextBox 95">
          <a:extLst>
            <a:ext uri="{FF2B5EF4-FFF2-40B4-BE49-F238E27FC236}">
              <a16:creationId xmlns:a16="http://schemas.microsoft.com/office/drawing/2014/main" id="{00000000-0008-0000-0500-00000C010000}"/>
            </a:ext>
          </a:extLst>
        </xdr:cNvPr>
        <xdr:cNvSpPr txBox="1"/>
      </xdr:nvSpPr>
      <xdr:spPr>
        <a:xfrm>
          <a:off x="37062795" y="4234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69" name="TextBox 96">
          <a:extLst>
            <a:ext uri="{FF2B5EF4-FFF2-40B4-BE49-F238E27FC236}">
              <a16:creationId xmlns:a16="http://schemas.microsoft.com/office/drawing/2014/main" id="{00000000-0008-0000-0500-00000D010000}"/>
            </a:ext>
          </a:extLst>
        </xdr:cNvPr>
        <xdr:cNvSpPr txBox="1"/>
      </xdr:nvSpPr>
      <xdr:spPr>
        <a:xfrm>
          <a:off x="37062795" y="46781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70" name="TextBox 97">
          <a:extLst>
            <a:ext uri="{FF2B5EF4-FFF2-40B4-BE49-F238E27FC236}">
              <a16:creationId xmlns:a16="http://schemas.microsoft.com/office/drawing/2014/main" id="{00000000-0008-0000-0500-00000E010000}"/>
            </a:ext>
          </a:extLst>
        </xdr:cNvPr>
        <xdr:cNvSpPr txBox="1"/>
      </xdr:nvSpPr>
      <xdr:spPr>
        <a:xfrm>
          <a:off x="37062795" y="46781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71" name="TextBox 98">
          <a:extLst>
            <a:ext uri="{FF2B5EF4-FFF2-40B4-BE49-F238E27FC236}">
              <a16:creationId xmlns:a16="http://schemas.microsoft.com/office/drawing/2014/main" id="{00000000-0008-0000-0500-00000F010000}"/>
            </a:ext>
          </a:extLst>
        </xdr:cNvPr>
        <xdr:cNvSpPr txBox="1"/>
      </xdr:nvSpPr>
      <xdr:spPr>
        <a:xfrm>
          <a:off x="37062795" y="4996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72" name="TextBox 99">
          <a:extLst>
            <a:ext uri="{FF2B5EF4-FFF2-40B4-BE49-F238E27FC236}">
              <a16:creationId xmlns:a16="http://schemas.microsoft.com/office/drawing/2014/main" id="{00000000-0008-0000-0500-000010010000}"/>
            </a:ext>
          </a:extLst>
        </xdr:cNvPr>
        <xdr:cNvSpPr txBox="1"/>
      </xdr:nvSpPr>
      <xdr:spPr>
        <a:xfrm>
          <a:off x="37062795" y="4996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73" name="TextBox 100">
          <a:extLst>
            <a:ext uri="{FF2B5EF4-FFF2-40B4-BE49-F238E27FC236}">
              <a16:creationId xmlns:a16="http://schemas.microsoft.com/office/drawing/2014/main" id="{00000000-0008-0000-0500-000011010000}"/>
            </a:ext>
          </a:extLst>
        </xdr:cNvPr>
        <xdr:cNvSpPr txBox="1"/>
      </xdr:nvSpPr>
      <xdr:spPr>
        <a:xfrm>
          <a:off x="37062795" y="55462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74" name="TextBox 101">
          <a:extLst>
            <a:ext uri="{FF2B5EF4-FFF2-40B4-BE49-F238E27FC236}">
              <a16:creationId xmlns:a16="http://schemas.microsoft.com/office/drawing/2014/main" id="{00000000-0008-0000-0500-000012010000}"/>
            </a:ext>
          </a:extLst>
        </xdr:cNvPr>
        <xdr:cNvSpPr txBox="1"/>
      </xdr:nvSpPr>
      <xdr:spPr>
        <a:xfrm>
          <a:off x="37062795" y="55462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75" name="TextBox 102">
          <a:extLst>
            <a:ext uri="{FF2B5EF4-FFF2-40B4-BE49-F238E27FC236}">
              <a16:creationId xmlns:a16="http://schemas.microsoft.com/office/drawing/2014/main" id="{00000000-0008-0000-0500-000013010000}"/>
            </a:ext>
          </a:extLst>
        </xdr:cNvPr>
        <xdr:cNvSpPr txBox="1"/>
      </xdr:nvSpPr>
      <xdr:spPr>
        <a:xfrm>
          <a:off x="37062795" y="59735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76" name="TextBox 103">
          <a:extLst>
            <a:ext uri="{FF2B5EF4-FFF2-40B4-BE49-F238E27FC236}">
              <a16:creationId xmlns:a16="http://schemas.microsoft.com/office/drawing/2014/main" id="{00000000-0008-0000-0500-000014010000}"/>
            </a:ext>
          </a:extLst>
        </xdr:cNvPr>
        <xdr:cNvSpPr txBox="1"/>
      </xdr:nvSpPr>
      <xdr:spPr>
        <a:xfrm>
          <a:off x="37062795" y="59735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77" name="TextBox 104">
          <a:extLst>
            <a:ext uri="{FF2B5EF4-FFF2-40B4-BE49-F238E27FC236}">
              <a16:creationId xmlns:a16="http://schemas.microsoft.com/office/drawing/2014/main" id="{00000000-0008-0000-0500-000015010000}"/>
            </a:ext>
          </a:extLst>
        </xdr:cNvPr>
        <xdr:cNvSpPr txBox="1"/>
      </xdr:nvSpPr>
      <xdr:spPr>
        <a:xfrm>
          <a:off x="37062795" y="63300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78" name="TextBox 105">
          <a:extLst>
            <a:ext uri="{FF2B5EF4-FFF2-40B4-BE49-F238E27FC236}">
              <a16:creationId xmlns:a16="http://schemas.microsoft.com/office/drawing/2014/main" id="{00000000-0008-0000-0500-000016010000}"/>
            </a:ext>
          </a:extLst>
        </xdr:cNvPr>
        <xdr:cNvSpPr txBox="1"/>
      </xdr:nvSpPr>
      <xdr:spPr>
        <a:xfrm>
          <a:off x="37062795" y="63300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79" name="TextBox 106">
          <a:extLst>
            <a:ext uri="{FF2B5EF4-FFF2-40B4-BE49-F238E27FC236}">
              <a16:creationId xmlns:a16="http://schemas.microsoft.com/office/drawing/2014/main" id="{00000000-0008-0000-0500-000017010000}"/>
            </a:ext>
          </a:extLst>
        </xdr:cNvPr>
        <xdr:cNvSpPr txBox="1"/>
      </xdr:nvSpPr>
      <xdr:spPr>
        <a:xfrm>
          <a:off x="37062795" y="88460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80" name="TextBox 107">
          <a:extLst>
            <a:ext uri="{FF2B5EF4-FFF2-40B4-BE49-F238E27FC236}">
              <a16:creationId xmlns:a16="http://schemas.microsoft.com/office/drawing/2014/main" id="{00000000-0008-0000-0500-000018010000}"/>
            </a:ext>
          </a:extLst>
        </xdr:cNvPr>
        <xdr:cNvSpPr txBox="1"/>
      </xdr:nvSpPr>
      <xdr:spPr>
        <a:xfrm>
          <a:off x="37062795" y="88460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81" name="TextBox 108">
          <a:extLst>
            <a:ext uri="{FF2B5EF4-FFF2-40B4-BE49-F238E27FC236}">
              <a16:creationId xmlns:a16="http://schemas.microsoft.com/office/drawing/2014/main" id="{00000000-0008-0000-0500-000019010000}"/>
            </a:ext>
          </a:extLst>
        </xdr:cNvPr>
        <xdr:cNvSpPr txBox="1"/>
      </xdr:nvSpPr>
      <xdr:spPr>
        <a:xfrm>
          <a:off x="37062795" y="96243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82" name="TextBox 109">
          <a:extLst>
            <a:ext uri="{FF2B5EF4-FFF2-40B4-BE49-F238E27FC236}">
              <a16:creationId xmlns:a16="http://schemas.microsoft.com/office/drawing/2014/main" id="{00000000-0008-0000-0500-00001A010000}"/>
            </a:ext>
          </a:extLst>
        </xdr:cNvPr>
        <xdr:cNvSpPr txBox="1"/>
      </xdr:nvSpPr>
      <xdr:spPr>
        <a:xfrm>
          <a:off x="37062795" y="96243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83" name="TextBox 110">
          <a:extLst>
            <a:ext uri="{FF2B5EF4-FFF2-40B4-BE49-F238E27FC236}">
              <a16:creationId xmlns:a16="http://schemas.microsoft.com/office/drawing/2014/main" id="{00000000-0008-0000-0500-00001B010000}"/>
            </a:ext>
          </a:extLst>
        </xdr:cNvPr>
        <xdr:cNvSpPr txBox="1"/>
      </xdr:nvSpPr>
      <xdr:spPr>
        <a:xfrm>
          <a:off x="37062795" y="108462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84" name="TextBox 111">
          <a:extLst>
            <a:ext uri="{FF2B5EF4-FFF2-40B4-BE49-F238E27FC236}">
              <a16:creationId xmlns:a16="http://schemas.microsoft.com/office/drawing/2014/main" id="{00000000-0008-0000-0500-00001C010000}"/>
            </a:ext>
          </a:extLst>
        </xdr:cNvPr>
        <xdr:cNvSpPr txBox="1"/>
      </xdr:nvSpPr>
      <xdr:spPr>
        <a:xfrm>
          <a:off x="37062795" y="108462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86" name="TextBox 113">
          <a:extLst>
            <a:ext uri="{FF2B5EF4-FFF2-40B4-BE49-F238E27FC236}">
              <a16:creationId xmlns:a16="http://schemas.microsoft.com/office/drawing/2014/main" id="{00000000-0008-0000-0500-00001E010000}"/>
            </a:ext>
          </a:extLst>
        </xdr:cNvPr>
        <xdr:cNvSpPr txBox="1"/>
      </xdr:nvSpPr>
      <xdr:spPr>
        <a:xfrm>
          <a:off x="37062795" y="112912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87" name="TextBox 114">
          <a:extLst>
            <a:ext uri="{FF2B5EF4-FFF2-40B4-BE49-F238E27FC236}">
              <a16:creationId xmlns:a16="http://schemas.microsoft.com/office/drawing/2014/main" id="{00000000-0008-0000-0500-00001F010000}"/>
            </a:ext>
          </a:extLst>
        </xdr:cNvPr>
        <xdr:cNvSpPr txBox="1"/>
      </xdr:nvSpPr>
      <xdr:spPr>
        <a:xfrm>
          <a:off x="37062795" y="1162866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88" name="TextBox 115">
          <a:extLst>
            <a:ext uri="{FF2B5EF4-FFF2-40B4-BE49-F238E27FC236}">
              <a16:creationId xmlns:a16="http://schemas.microsoft.com/office/drawing/2014/main" id="{00000000-0008-0000-0500-000020010000}"/>
            </a:ext>
          </a:extLst>
        </xdr:cNvPr>
        <xdr:cNvSpPr txBox="1"/>
      </xdr:nvSpPr>
      <xdr:spPr>
        <a:xfrm>
          <a:off x="37062795" y="1162866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89" name="TextBox 116">
          <a:extLst>
            <a:ext uri="{FF2B5EF4-FFF2-40B4-BE49-F238E27FC236}">
              <a16:creationId xmlns:a16="http://schemas.microsoft.com/office/drawing/2014/main" id="{00000000-0008-0000-0500-000021010000}"/>
            </a:ext>
          </a:extLst>
        </xdr:cNvPr>
        <xdr:cNvSpPr txBox="1"/>
      </xdr:nvSpPr>
      <xdr:spPr>
        <a:xfrm>
          <a:off x="37062795" y="119661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90" name="TextBox 117">
          <a:extLst>
            <a:ext uri="{FF2B5EF4-FFF2-40B4-BE49-F238E27FC236}">
              <a16:creationId xmlns:a16="http://schemas.microsoft.com/office/drawing/2014/main" id="{00000000-0008-0000-0500-000022010000}"/>
            </a:ext>
          </a:extLst>
        </xdr:cNvPr>
        <xdr:cNvSpPr txBox="1"/>
      </xdr:nvSpPr>
      <xdr:spPr>
        <a:xfrm>
          <a:off x="37062795" y="119661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91" name="TextBox 118">
          <a:extLst>
            <a:ext uri="{FF2B5EF4-FFF2-40B4-BE49-F238E27FC236}">
              <a16:creationId xmlns:a16="http://schemas.microsoft.com/office/drawing/2014/main" id="{00000000-0008-0000-0500-000023010000}"/>
            </a:ext>
          </a:extLst>
        </xdr:cNvPr>
        <xdr:cNvSpPr txBox="1"/>
      </xdr:nvSpPr>
      <xdr:spPr>
        <a:xfrm>
          <a:off x="37062795" y="12268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92" name="TextBox 119">
          <a:extLst>
            <a:ext uri="{FF2B5EF4-FFF2-40B4-BE49-F238E27FC236}">
              <a16:creationId xmlns:a16="http://schemas.microsoft.com/office/drawing/2014/main" id="{00000000-0008-0000-0500-000024010000}"/>
            </a:ext>
          </a:extLst>
        </xdr:cNvPr>
        <xdr:cNvSpPr txBox="1"/>
      </xdr:nvSpPr>
      <xdr:spPr>
        <a:xfrm>
          <a:off x="37062795" y="12268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93" name="TextBox 120">
          <a:extLst>
            <a:ext uri="{FF2B5EF4-FFF2-40B4-BE49-F238E27FC236}">
              <a16:creationId xmlns:a16="http://schemas.microsoft.com/office/drawing/2014/main" id="{00000000-0008-0000-0500-000025010000}"/>
            </a:ext>
          </a:extLst>
        </xdr:cNvPr>
        <xdr:cNvSpPr txBox="1"/>
      </xdr:nvSpPr>
      <xdr:spPr>
        <a:xfrm>
          <a:off x="37062795" y="126056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94" name="TextBox 121">
          <a:extLst>
            <a:ext uri="{FF2B5EF4-FFF2-40B4-BE49-F238E27FC236}">
              <a16:creationId xmlns:a16="http://schemas.microsoft.com/office/drawing/2014/main" id="{00000000-0008-0000-0500-000026010000}"/>
            </a:ext>
          </a:extLst>
        </xdr:cNvPr>
        <xdr:cNvSpPr txBox="1"/>
      </xdr:nvSpPr>
      <xdr:spPr>
        <a:xfrm>
          <a:off x="37062795" y="126056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95" name="TextBox 122">
          <a:extLst>
            <a:ext uri="{FF2B5EF4-FFF2-40B4-BE49-F238E27FC236}">
              <a16:creationId xmlns:a16="http://schemas.microsoft.com/office/drawing/2014/main" id="{00000000-0008-0000-0500-000027010000}"/>
            </a:ext>
          </a:extLst>
        </xdr:cNvPr>
        <xdr:cNvSpPr txBox="1"/>
      </xdr:nvSpPr>
      <xdr:spPr>
        <a:xfrm>
          <a:off x="37062795" y="12892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96" name="TextBox 123">
          <a:extLst>
            <a:ext uri="{FF2B5EF4-FFF2-40B4-BE49-F238E27FC236}">
              <a16:creationId xmlns:a16="http://schemas.microsoft.com/office/drawing/2014/main" id="{00000000-0008-0000-0500-000028010000}"/>
            </a:ext>
          </a:extLst>
        </xdr:cNvPr>
        <xdr:cNvSpPr txBox="1"/>
      </xdr:nvSpPr>
      <xdr:spPr>
        <a:xfrm>
          <a:off x="37062795" y="12892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97" name="TextBox 124">
          <a:extLst>
            <a:ext uri="{FF2B5EF4-FFF2-40B4-BE49-F238E27FC236}">
              <a16:creationId xmlns:a16="http://schemas.microsoft.com/office/drawing/2014/main" id="{00000000-0008-0000-0500-000029010000}"/>
            </a:ext>
          </a:extLst>
        </xdr:cNvPr>
        <xdr:cNvSpPr txBox="1"/>
      </xdr:nvSpPr>
      <xdr:spPr>
        <a:xfrm>
          <a:off x="37062795" y="131757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98" name="TextBox 125">
          <a:extLst>
            <a:ext uri="{FF2B5EF4-FFF2-40B4-BE49-F238E27FC236}">
              <a16:creationId xmlns:a16="http://schemas.microsoft.com/office/drawing/2014/main" id="{00000000-0008-0000-0500-00002A010000}"/>
            </a:ext>
          </a:extLst>
        </xdr:cNvPr>
        <xdr:cNvSpPr txBox="1"/>
      </xdr:nvSpPr>
      <xdr:spPr>
        <a:xfrm>
          <a:off x="37062795" y="131757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99" name="TextBox 126">
          <a:extLst>
            <a:ext uri="{FF2B5EF4-FFF2-40B4-BE49-F238E27FC236}">
              <a16:creationId xmlns:a16="http://schemas.microsoft.com/office/drawing/2014/main" id="{00000000-0008-0000-0500-00002B010000}"/>
            </a:ext>
          </a:extLst>
        </xdr:cNvPr>
        <xdr:cNvSpPr txBox="1"/>
      </xdr:nvSpPr>
      <xdr:spPr>
        <a:xfrm>
          <a:off x="37062795" y="1345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00" name="TextBox 127">
          <a:extLst>
            <a:ext uri="{FF2B5EF4-FFF2-40B4-BE49-F238E27FC236}">
              <a16:creationId xmlns:a16="http://schemas.microsoft.com/office/drawing/2014/main" id="{00000000-0008-0000-0500-00002C010000}"/>
            </a:ext>
          </a:extLst>
        </xdr:cNvPr>
        <xdr:cNvSpPr txBox="1"/>
      </xdr:nvSpPr>
      <xdr:spPr>
        <a:xfrm>
          <a:off x="37062795" y="1345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01" name="TextBox 128">
          <a:extLst>
            <a:ext uri="{FF2B5EF4-FFF2-40B4-BE49-F238E27FC236}">
              <a16:creationId xmlns:a16="http://schemas.microsoft.com/office/drawing/2014/main" id="{00000000-0008-0000-0500-00002D010000}"/>
            </a:ext>
          </a:extLst>
        </xdr:cNvPr>
        <xdr:cNvSpPr txBox="1"/>
      </xdr:nvSpPr>
      <xdr:spPr>
        <a:xfrm>
          <a:off x="37062795" y="137799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02" name="TextBox 129">
          <a:extLst>
            <a:ext uri="{FF2B5EF4-FFF2-40B4-BE49-F238E27FC236}">
              <a16:creationId xmlns:a16="http://schemas.microsoft.com/office/drawing/2014/main" id="{00000000-0008-0000-0500-00002E010000}"/>
            </a:ext>
          </a:extLst>
        </xdr:cNvPr>
        <xdr:cNvSpPr txBox="1"/>
      </xdr:nvSpPr>
      <xdr:spPr>
        <a:xfrm>
          <a:off x="37062795" y="137799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03" name="TextBox 130">
          <a:extLst>
            <a:ext uri="{FF2B5EF4-FFF2-40B4-BE49-F238E27FC236}">
              <a16:creationId xmlns:a16="http://schemas.microsoft.com/office/drawing/2014/main" id="{00000000-0008-0000-0500-00002F010000}"/>
            </a:ext>
          </a:extLst>
        </xdr:cNvPr>
        <xdr:cNvSpPr txBox="1"/>
      </xdr:nvSpPr>
      <xdr:spPr>
        <a:xfrm>
          <a:off x="37062795" y="1415278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04" name="TextBox 131">
          <a:extLst>
            <a:ext uri="{FF2B5EF4-FFF2-40B4-BE49-F238E27FC236}">
              <a16:creationId xmlns:a16="http://schemas.microsoft.com/office/drawing/2014/main" id="{00000000-0008-0000-0500-000030010000}"/>
            </a:ext>
          </a:extLst>
        </xdr:cNvPr>
        <xdr:cNvSpPr txBox="1"/>
      </xdr:nvSpPr>
      <xdr:spPr>
        <a:xfrm>
          <a:off x="37062795" y="1415278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05" name="TextBox 132">
          <a:extLst>
            <a:ext uri="{FF2B5EF4-FFF2-40B4-BE49-F238E27FC236}">
              <a16:creationId xmlns:a16="http://schemas.microsoft.com/office/drawing/2014/main" id="{00000000-0008-0000-0500-000031010000}"/>
            </a:ext>
          </a:extLst>
        </xdr:cNvPr>
        <xdr:cNvSpPr txBox="1"/>
      </xdr:nvSpPr>
      <xdr:spPr>
        <a:xfrm>
          <a:off x="37062795" y="144603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06" name="TextBox 133">
          <a:extLst>
            <a:ext uri="{FF2B5EF4-FFF2-40B4-BE49-F238E27FC236}">
              <a16:creationId xmlns:a16="http://schemas.microsoft.com/office/drawing/2014/main" id="{00000000-0008-0000-0500-000032010000}"/>
            </a:ext>
          </a:extLst>
        </xdr:cNvPr>
        <xdr:cNvSpPr txBox="1"/>
      </xdr:nvSpPr>
      <xdr:spPr>
        <a:xfrm>
          <a:off x="37062795" y="144603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07" name="TextBox 134">
          <a:extLst>
            <a:ext uri="{FF2B5EF4-FFF2-40B4-BE49-F238E27FC236}">
              <a16:creationId xmlns:a16="http://schemas.microsoft.com/office/drawing/2014/main" id="{00000000-0008-0000-0500-000033010000}"/>
            </a:ext>
          </a:extLst>
        </xdr:cNvPr>
        <xdr:cNvSpPr txBox="1"/>
      </xdr:nvSpPr>
      <xdr:spPr>
        <a:xfrm>
          <a:off x="37062795" y="14797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08" name="TextBox 135">
          <a:extLst>
            <a:ext uri="{FF2B5EF4-FFF2-40B4-BE49-F238E27FC236}">
              <a16:creationId xmlns:a16="http://schemas.microsoft.com/office/drawing/2014/main" id="{00000000-0008-0000-0500-000034010000}"/>
            </a:ext>
          </a:extLst>
        </xdr:cNvPr>
        <xdr:cNvSpPr txBox="1"/>
      </xdr:nvSpPr>
      <xdr:spPr>
        <a:xfrm>
          <a:off x="37062795" y="14797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09" name="TextBox 136">
          <a:extLst>
            <a:ext uri="{FF2B5EF4-FFF2-40B4-BE49-F238E27FC236}">
              <a16:creationId xmlns:a16="http://schemas.microsoft.com/office/drawing/2014/main" id="{00000000-0008-0000-0500-000035010000}"/>
            </a:ext>
          </a:extLst>
        </xdr:cNvPr>
        <xdr:cNvSpPr txBox="1"/>
      </xdr:nvSpPr>
      <xdr:spPr>
        <a:xfrm>
          <a:off x="37062795" y="15135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10" name="TextBox 137">
          <a:extLst>
            <a:ext uri="{FF2B5EF4-FFF2-40B4-BE49-F238E27FC236}">
              <a16:creationId xmlns:a16="http://schemas.microsoft.com/office/drawing/2014/main" id="{00000000-0008-0000-0500-000036010000}"/>
            </a:ext>
          </a:extLst>
        </xdr:cNvPr>
        <xdr:cNvSpPr txBox="1"/>
      </xdr:nvSpPr>
      <xdr:spPr>
        <a:xfrm>
          <a:off x="37062795" y="15135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11" name="TextBox 138">
          <a:extLst>
            <a:ext uri="{FF2B5EF4-FFF2-40B4-BE49-F238E27FC236}">
              <a16:creationId xmlns:a16="http://schemas.microsoft.com/office/drawing/2014/main" id="{00000000-0008-0000-0500-000037010000}"/>
            </a:ext>
          </a:extLst>
        </xdr:cNvPr>
        <xdr:cNvSpPr txBox="1"/>
      </xdr:nvSpPr>
      <xdr:spPr>
        <a:xfrm>
          <a:off x="37062795" y="157407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12" name="TextBox 139">
          <a:extLst>
            <a:ext uri="{FF2B5EF4-FFF2-40B4-BE49-F238E27FC236}">
              <a16:creationId xmlns:a16="http://schemas.microsoft.com/office/drawing/2014/main" id="{00000000-0008-0000-0500-000038010000}"/>
            </a:ext>
          </a:extLst>
        </xdr:cNvPr>
        <xdr:cNvSpPr txBox="1"/>
      </xdr:nvSpPr>
      <xdr:spPr>
        <a:xfrm>
          <a:off x="37062795" y="157407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184731" cy="264560"/>
    <xdr:sp macro="" textlink="">
      <xdr:nvSpPr>
        <xdr:cNvPr id="315" name="TextBox 142">
          <a:extLst>
            <a:ext uri="{FF2B5EF4-FFF2-40B4-BE49-F238E27FC236}">
              <a16:creationId xmlns:a16="http://schemas.microsoft.com/office/drawing/2014/main" id="{00000000-0008-0000-0500-00003B010000}"/>
            </a:ext>
          </a:extLst>
        </xdr:cNvPr>
        <xdr:cNvSpPr txBox="1"/>
      </xdr:nvSpPr>
      <xdr:spPr>
        <a:xfrm>
          <a:off x="7515497" y="157407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18" name="TextBox 146">
          <a:extLst>
            <a:ext uri="{FF2B5EF4-FFF2-40B4-BE49-F238E27FC236}">
              <a16:creationId xmlns:a16="http://schemas.microsoft.com/office/drawing/2014/main" id="{00000000-0008-0000-0500-00003E010000}"/>
            </a:ext>
          </a:extLst>
        </xdr:cNvPr>
        <xdr:cNvSpPr txBox="1"/>
      </xdr:nvSpPr>
      <xdr:spPr>
        <a:xfrm>
          <a:off x="37062795" y="154563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19" name="TextBox 147">
          <a:extLst>
            <a:ext uri="{FF2B5EF4-FFF2-40B4-BE49-F238E27FC236}">
              <a16:creationId xmlns:a16="http://schemas.microsoft.com/office/drawing/2014/main" id="{00000000-0008-0000-0500-00003F010000}"/>
            </a:ext>
          </a:extLst>
        </xdr:cNvPr>
        <xdr:cNvSpPr txBox="1"/>
      </xdr:nvSpPr>
      <xdr:spPr>
        <a:xfrm>
          <a:off x="37062795" y="154563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23" name="TextBox 160">
          <a:extLst>
            <a:ext uri="{FF2B5EF4-FFF2-40B4-BE49-F238E27FC236}">
              <a16:creationId xmlns:a16="http://schemas.microsoft.com/office/drawing/2014/main" id="{00000000-0008-0000-0500-00004301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24" name="TextBox 161">
          <a:extLst>
            <a:ext uri="{FF2B5EF4-FFF2-40B4-BE49-F238E27FC236}">
              <a16:creationId xmlns:a16="http://schemas.microsoft.com/office/drawing/2014/main" id="{00000000-0008-0000-0500-00004401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25" name="TextBox 162">
          <a:extLst>
            <a:ext uri="{FF2B5EF4-FFF2-40B4-BE49-F238E27FC236}">
              <a16:creationId xmlns:a16="http://schemas.microsoft.com/office/drawing/2014/main" id="{00000000-0008-0000-0500-00004501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26" name="TextBox 163">
          <a:extLst>
            <a:ext uri="{FF2B5EF4-FFF2-40B4-BE49-F238E27FC236}">
              <a16:creationId xmlns:a16="http://schemas.microsoft.com/office/drawing/2014/main" id="{00000000-0008-0000-0500-00004601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27" name="TextBox 164">
          <a:extLst>
            <a:ext uri="{FF2B5EF4-FFF2-40B4-BE49-F238E27FC236}">
              <a16:creationId xmlns:a16="http://schemas.microsoft.com/office/drawing/2014/main" id="{00000000-0008-0000-0500-000047010000}"/>
            </a:ext>
          </a:extLst>
        </xdr:cNvPr>
        <xdr:cNvSpPr txBox="1"/>
      </xdr:nvSpPr>
      <xdr:spPr>
        <a:xfrm>
          <a:off x="38355634" y="208317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28" name="TextBox 165">
          <a:extLst>
            <a:ext uri="{FF2B5EF4-FFF2-40B4-BE49-F238E27FC236}">
              <a16:creationId xmlns:a16="http://schemas.microsoft.com/office/drawing/2014/main" id="{00000000-0008-0000-0500-000048010000}"/>
            </a:ext>
          </a:extLst>
        </xdr:cNvPr>
        <xdr:cNvSpPr txBox="1"/>
      </xdr:nvSpPr>
      <xdr:spPr>
        <a:xfrm>
          <a:off x="38355634" y="208317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39" name="TextBox 149">
          <a:extLst>
            <a:ext uri="{FF2B5EF4-FFF2-40B4-BE49-F238E27FC236}">
              <a16:creationId xmlns:a16="http://schemas.microsoft.com/office/drawing/2014/main" id="{00000000-0008-0000-0500-000053010000}"/>
            </a:ext>
          </a:extLst>
        </xdr:cNvPr>
        <xdr:cNvSpPr txBox="1"/>
      </xdr:nvSpPr>
      <xdr:spPr>
        <a:xfrm>
          <a:off x="34301906" y="62693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40" name="TextBox 151">
          <a:extLst>
            <a:ext uri="{FF2B5EF4-FFF2-40B4-BE49-F238E27FC236}">
              <a16:creationId xmlns:a16="http://schemas.microsoft.com/office/drawing/2014/main" id="{00000000-0008-0000-0500-000054010000}"/>
            </a:ext>
          </a:extLst>
        </xdr:cNvPr>
        <xdr:cNvSpPr txBox="1"/>
      </xdr:nvSpPr>
      <xdr:spPr>
        <a:xfrm>
          <a:off x="34301906" y="62693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41" name="TextBox 153">
          <a:extLst>
            <a:ext uri="{FF2B5EF4-FFF2-40B4-BE49-F238E27FC236}">
              <a16:creationId xmlns:a16="http://schemas.microsoft.com/office/drawing/2014/main" id="{00000000-0008-0000-0500-000055010000}"/>
            </a:ext>
          </a:extLst>
        </xdr:cNvPr>
        <xdr:cNvSpPr txBox="1"/>
      </xdr:nvSpPr>
      <xdr:spPr>
        <a:xfrm>
          <a:off x="34301906" y="6745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42" name="TextBox 156">
          <a:extLst>
            <a:ext uri="{FF2B5EF4-FFF2-40B4-BE49-F238E27FC236}">
              <a16:creationId xmlns:a16="http://schemas.microsoft.com/office/drawing/2014/main" id="{00000000-0008-0000-0500-000056010000}"/>
            </a:ext>
          </a:extLst>
        </xdr:cNvPr>
        <xdr:cNvSpPr txBox="1"/>
      </xdr:nvSpPr>
      <xdr:spPr>
        <a:xfrm>
          <a:off x="34301906" y="6745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43" name="TextBox 157">
          <a:extLst>
            <a:ext uri="{FF2B5EF4-FFF2-40B4-BE49-F238E27FC236}">
              <a16:creationId xmlns:a16="http://schemas.microsoft.com/office/drawing/2014/main" id="{00000000-0008-0000-0500-000057010000}"/>
            </a:ext>
          </a:extLst>
        </xdr:cNvPr>
        <xdr:cNvSpPr txBox="1"/>
      </xdr:nvSpPr>
      <xdr:spPr>
        <a:xfrm>
          <a:off x="34301906" y="71485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44" name="TextBox 158">
          <a:extLst>
            <a:ext uri="{FF2B5EF4-FFF2-40B4-BE49-F238E27FC236}">
              <a16:creationId xmlns:a16="http://schemas.microsoft.com/office/drawing/2014/main" id="{00000000-0008-0000-0500-000058010000}"/>
            </a:ext>
          </a:extLst>
        </xdr:cNvPr>
        <xdr:cNvSpPr txBox="1"/>
      </xdr:nvSpPr>
      <xdr:spPr>
        <a:xfrm>
          <a:off x="34301906" y="71485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45" name="TextBox 159">
          <a:extLst>
            <a:ext uri="{FF2B5EF4-FFF2-40B4-BE49-F238E27FC236}">
              <a16:creationId xmlns:a16="http://schemas.microsoft.com/office/drawing/2014/main" id="{00000000-0008-0000-0500-000059010000}"/>
            </a:ext>
          </a:extLst>
        </xdr:cNvPr>
        <xdr:cNvSpPr txBox="1"/>
      </xdr:nvSpPr>
      <xdr:spPr>
        <a:xfrm>
          <a:off x="34301906" y="10163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46" name="TextBox 166">
          <a:extLst>
            <a:ext uri="{FF2B5EF4-FFF2-40B4-BE49-F238E27FC236}">
              <a16:creationId xmlns:a16="http://schemas.microsoft.com/office/drawing/2014/main" id="{00000000-0008-0000-0500-00005A010000}"/>
            </a:ext>
          </a:extLst>
        </xdr:cNvPr>
        <xdr:cNvSpPr txBox="1"/>
      </xdr:nvSpPr>
      <xdr:spPr>
        <a:xfrm>
          <a:off x="34301906" y="10163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47" name="TextBox 167">
          <a:extLst>
            <a:ext uri="{FF2B5EF4-FFF2-40B4-BE49-F238E27FC236}">
              <a16:creationId xmlns:a16="http://schemas.microsoft.com/office/drawing/2014/main" id="{00000000-0008-0000-0500-00005B010000}"/>
            </a:ext>
          </a:extLst>
        </xdr:cNvPr>
        <xdr:cNvSpPr txBox="1"/>
      </xdr:nvSpPr>
      <xdr:spPr>
        <a:xfrm>
          <a:off x="34301906" y="1105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48" name="TextBox 168">
          <a:extLst>
            <a:ext uri="{FF2B5EF4-FFF2-40B4-BE49-F238E27FC236}">
              <a16:creationId xmlns:a16="http://schemas.microsoft.com/office/drawing/2014/main" id="{00000000-0008-0000-0500-00005C010000}"/>
            </a:ext>
          </a:extLst>
        </xdr:cNvPr>
        <xdr:cNvSpPr txBox="1"/>
      </xdr:nvSpPr>
      <xdr:spPr>
        <a:xfrm>
          <a:off x="34301906" y="1105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49" name="TextBox 112">
          <a:extLst>
            <a:ext uri="{FF2B5EF4-FFF2-40B4-BE49-F238E27FC236}">
              <a16:creationId xmlns:a16="http://schemas.microsoft.com/office/drawing/2014/main" id="{00000000-0008-0000-0500-00005D010000}"/>
            </a:ext>
          </a:extLst>
        </xdr:cNvPr>
        <xdr:cNvSpPr txBox="1"/>
      </xdr:nvSpPr>
      <xdr:spPr>
        <a:xfrm>
          <a:off x="37062795" y="112912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1429839</xdr:colOff>
      <xdr:row>30</xdr:row>
      <xdr:rowOff>48576</xdr:rowOff>
    </xdr:from>
    <xdr:to>
      <xdr:col>8</xdr:col>
      <xdr:colOff>1183821</xdr:colOff>
      <xdr:row>33</xdr:row>
      <xdr:rowOff>56333</xdr:rowOff>
    </xdr:to>
    <mc:AlternateContent xmlns:mc="http://schemas.openxmlformats.org/markup-compatibility/2006" xmlns:a14="http://schemas.microsoft.com/office/drawing/2010/main">
      <mc:Choice Requires="a14">
        <xdr:sp macro="" textlink="">
          <xdr:nvSpPr>
            <xdr:cNvPr id="461" name="TextBox 172">
              <a:extLst>
                <a:ext uri="{FF2B5EF4-FFF2-40B4-BE49-F238E27FC236}">
                  <a16:creationId xmlns:a16="http://schemas.microsoft.com/office/drawing/2014/main" id="{00000000-0008-0000-0500-0000CD010000}"/>
                </a:ext>
              </a:extLst>
            </xdr:cNvPr>
            <xdr:cNvSpPr txBox="1"/>
          </xdr:nvSpPr>
          <xdr:spPr>
            <a:xfrm>
              <a:off x="3470910" y="7287576"/>
              <a:ext cx="8911590" cy="538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𝐵𝑎𝑠𝑒</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𝐸𝐸</m:t>
                            </m:r>
                          </m:sub>
                        </m:sSub>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𝐻𝑜𝑢𝑟𝑠</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𝐴𝐷𝐽</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𝐸𝑀𝑉</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𝐼𝐹</m:t>
                        </m:r>
                      </m:e>
                      <m:sub>
                        <m:r>
                          <a:rPr lang="en-US" sz="1400" b="0" i="1">
                            <a:solidFill>
                              <a:sysClr val="windowText" lastClr="000000"/>
                            </a:solidFill>
                            <a:effectLst/>
                            <a:latin typeface="Cambria Math" panose="02040503050406030204" pitchFamily="18" charset="0"/>
                            <a:ea typeface="+mn-ea"/>
                            <a:cs typeface="+mn-cs"/>
                          </a:rPr>
                          <m:t>𝑘𝑊h</m:t>
                        </m:r>
                      </m:sub>
                    </m:sSub>
                  </m:oMath>
                </m:oMathPara>
              </a14:m>
              <a:endParaRPr lang="en-US" sz="1400">
                <a:solidFill>
                  <a:sysClr val="windowText" lastClr="000000"/>
                </a:solidFill>
              </a:endParaRPr>
            </a:p>
          </xdr:txBody>
        </xdr:sp>
      </mc:Choice>
      <mc:Fallback xmlns="">
        <xdr:sp macro="" textlink="">
          <xdr:nvSpPr>
            <xdr:cNvPr id="173" name="TextBox 172">
              <a:extLst>
                <a:ext uri="{FF2B5EF4-FFF2-40B4-BE49-F238E27FC236}">
                  <a16:creationId xmlns:a16="http://schemas.microsoft.com/office/drawing/2014/main" id="{762EBDF9-73E3-4B39-92DA-1D94149913AF}"/>
                </a:ext>
              </a:extLst>
            </xdr:cNvPr>
            <xdr:cNvSpPr txBox="1"/>
          </xdr:nvSpPr>
          <xdr:spPr>
            <a:xfrm>
              <a:off x="3470910" y="7287576"/>
              <a:ext cx="8911590" cy="538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400" b="0" i="0">
                  <a:solidFill>
                    <a:sysClr val="windowText" lastClr="000000"/>
                  </a:solidFill>
                  <a:latin typeface="Cambria Math" panose="02040503050406030204" pitchFamily="18" charset="0"/>
                  <a:ea typeface="Cambria Math" panose="02040503050406030204" pitchFamily="18" charset="0"/>
                </a:rPr>
                <a:t>ℎ𝑒𝑎𝑡𝑝𝑒𝑛𝑎𝑙𝑡𝑦=(</a:t>
              </a:r>
              <a:r>
                <a:rPr lang="en-US" sz="1400" b="0" i="0">
                  <a:solidFill>
                    <a:sysClr val="windowText" lastClr="000000"/>
                  </a:solidFill>
                  <a:effectLst/>
                  <a:latin typeface="Cambria Math" panose="02040503050406030204" pitchFamily="18" charset="0"/>
                  <a:ea typeface="+mn-ea"/>
                  <a:cs typeface="+mn-cs"/>
                </a:rPr>
                <a:t>(〖𝑊𝑎𝑡𝑡𝑠〗_𝐵𝑎𝑠𝑒−〖𝑊𝑎𝑡𝑡𝑠〗_𝐸𝐸)</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×𝐼𝑆𝑅×𝐻𝑜𝑢𝑟𝑠×〖𝐴𝐷𝐽〗_𝐸𝑀𝑉</a:t>
              </a:r>
              <a:r>
                <a:rPr lang="en-US" sz="1400" b="0" i="0">
                  <a:solidFill>
                    <a:sysClr val="windowText" lastClr="000000"/>
                  </a:solidFill>
                  <a:effectLst/>
                  <a:latin typeface="Cambria Math" panose="02040503050406030204" pitchFamily="18" charset="0"/>
                  <a:ea typeface="+mn-ea"/>
                  <a:cs typeface="+mn-cs"/>
                </a:rPr>
                <a:t>×〖−𝐼𝐹〗_𝑘𝑊ℎ</a:t>
              </a:r>
              <a:endParaRPr lang="en-US" sz="1400">
                <a:solidFill>
                  <a:sysClr val="windowText" lastClr="000000"/>
                </a:solidFill>
              </a:endParaRPr>
            </a:p>
          </xdr:txBody>
        </xdr:sp>
      </mc:Fallback>
    </mc:AlternateContent>
    <xdr:clientData/>
  </xdr:twoCellAnchor>
  <xdr:twoCellAnchor>
    <xdr:from>
      <xdr:col>3</xdr:col>
      <xdr:colOff>1340031</xdr:colOff>
      <xdr:row>67</xdr:row>
      <xdr:rowOff>35956</xdr:rowOff>
    </xdr:from>
    <xdr:to>
      <xdr:col>6</xdr:col>
      <xdr:colOff>628649</xdr:colOff>
      <xdr:row>69</xdr:row>
      <xdr:rowOff>76200</xdr:rowOff>
    </xdr:to>
    <mc:AlternateContent xmlns:mc="http://schemas.openxmlformats.org/markup-compatibility/2006" xmlns:a14="http://schemas.microsoft.com/office/drawing/2010/main">
      <mc:Choice Requires="a14">
        <xdr:sp macro="" textlink="">
          <xdr:nvSpPr>
            <xdr:cNvPr id="464" name="TextBox 152">
              <a:extLst>
                <a:ext uri="{FF2B5EF4-FFF2-40B4-BE49-F238E27FC236}">
                  <a16:creationId xmlns:a16="http://schemas.microsoft.com/office/drawing/2014/main" id="{00000000-0008-0000-0500-0000D0010000}"/>
                </a:ext>
              </a:extLst>
            </xdr:cNvPr>
            <xdr:cNvSpPr txBox="1"/>
          </xdr:nvSpPr>
          <xdr:spPr>
            <a:xfrm>
              <a:off x="3378381" y="22410181"/>
              <a:ext cx="6213293" cy="4021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𝑘𝑊</m:t>
                        </m:r>
                      </m:e>
                      <m:sub>
                        <m:r>
                          <a:rPr lang="en-US" sz="1400" b="0" i="1">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𝐸𝑆𝐹</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𝐼𝐹</m:t>
                        </m:r>
                      </m:e>
                      <m:sub>
                        <m:r>
                          <a:rPr lang="en-US" sz="1400" b="0" i="1">
                            <a:solidFill>
                              <a:sysClr val="windowText" lastClr="000000"/>
                            </a:solidFill>
                            <a:latin typeface="Cambria Math" panose="02040503050406030204" pitchFamily="18" charset="0"/>
                            <a:ea typeface="Cambria Math" panose="02040503050406030204" pitchFamily="18" charset="0"/>
                          </a:rPr>
                          <m:t>𝑘𝑊h</m:t>
                        </m:r>
                      </m:sub>
                    </m:sSub>
                  </m:oMath>
                </m:oMathPara>
              </a14:m>
              <a:endParaRPr lang="en-US" sz="1100">
                <a:solidFill>
                  <a:sysClr val="windowText" lastClr="000000"/>
                </a:solidFill>
              </a:endParaRPr>
            </a:p>
          </xdr:txBody>
        </xdr:sp>
      </mc:Choice>
      <mc:Fallback xmlns="">
        <xdr:sp macro="" textlink="">
          <xdr:nvSpPr>
            <xdr:cNvPr id="153" name="TextBox 152">
              <a:extLst>
                <a:ext uri="{FF2B5EF4-FFF2-40B4-BE49-F238E27FC236}">
                  <a16:creationId xmlns:a16="http://schemas.microsoft.com/office/drawing/2014/main" id="{71CE9587-0380-4FC2-BA00-7DA20445C9B9}"/>
                </a:ext>
              </a:extLst>
            </xdr:cNvPr>
            <xdr:cNvSpPr txBox="1"/>
          </xdr:nvSpPr>
          <xdr:spPr>
            <a:xfrm>
              <a:off x="3378381" y="22410181"/>
              <a:ext cx="6213293" cy="4021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𝑘𝑊ℎ〗_ℎ𝑒𝑎𝑡𝑝𝑒𝑛𝑎𝑙𝑡𝑦=〖𝑘𝑊〗_𝐶𝑜𝑛𝑡𝑟𝑜𝑙𝑙𝑒𝑑∗𝐻𝑜𝑢𝑟𝑠∗𝐸𝑆𝐹∗〖−𝐼𝐹〗_𝑘𝑊ℎ</a:t>
              </a:r>
              <a:endParaRPr lang="en-US" sz="1100">
                <a:solidFill>
                  <a:sysClr val="windowText" lastClr="000000"/>
                </a:solidFill>
              </a:endParaRPr>
            </a:p>
          </xdr:txBody>
        </xdr:sp>
      </mc:Fallback>
    </mc:AlternateContent>
    <xdr:clientData/>
  </xdr:twoCellAnchor>
  <xdr:twoCellAnchor>
    <xdr:from>
      <xdr:col>5</xdr:col>
      <xdr:colOff>0</xdr:colOff>
      <xdr:row>492</xdr:row>
      <xdr:rowOff>0</xdr:rowOff>
    </xdr:from>
    <xdr:to>
      <xdr:col>7</xdr:col>
      <xdr:colOff>131222</xdr:colOff>
      <xdr:row>494</xdr:row>
      <xdr:rowOff>53789</xdr:rowOff>
    </xdr:to>
    <mc:AlternateContent xmlns:mc="http://schemas.openxmlformats.org/markup-compatibility/2006" xmlns:a14="http://schemas.microsoft.com/office/drawing/2010/main">
      <mc:Choice Requires="a14">
        <xdr:sp macro="" textlink="">
          <xdr:nvSpPr>
            <xdr:cNvPr id="465" name="TextBox 144">
              <a:extLst>
                <a:ext uri="{FF2B5EF4-FFF2-40B4-BE49-F238E27FC236}">
                  <a16:creationId xmlns:a16="http://schemas.microsoft.com/office/drawing/2014/main" id="{00000000-0008-0000-0500-0000D1010000}"/>
                </a:ext>
              </a:extLst>
            </xdr:cNvPr>
            <xdr:cNvSpPr txBox="1"/>
          </xdr:nvSpPr>
          <xdr:spPr>
            <a:xfrm>
              <a:off x="8599714" y="155992286"/>
              <a:ext cx="3478579" cy="4075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𝑘𝑊h</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𝐹𝑎𝑐𝑡𝑜𝑟</m:t>
                    </m:r>
                  </m:oMath>
                </m:oMathPara>
              </a14:m>
              <a:endParaRPr lang="en-US" sz="140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5" name="TextBox 144">
              <a:extLst>
                <a:ext uri="{FF2B5EF4-FFF2-40B4-BE49-F238E27FC236}">
                  <a16:creationId xmlns:a16="http://schemas.microsoft.com/office/drawing/2014/main" id="{00000000-0008-0000-0300-000097000000}"/>
                </a:ext>
              </a:extLst>
            </xdr:cNvPr>
            <xdr:cNvSpPr txBox="1"/>
          </xdr:nvSpPr>
          <xdr:spPr>
            <a:xfrm>
              <a:off x="8467725" y="84077175"/>
              <a:ext cx="3373532" cy="4347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𝑘𝑊= ∆𝑘𝑊ℎ ∗𝑘𝑊 𝐹𝑎𝑐𝑡𝑜𝑟</a:t>
              </a:r>
              <a:endParaRPr lang="en-US" sz="140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3</xdr:col>
      <xdr:colOff>0</xdr:colOff>
      <xdr:row>492</xdr:row>
      <xdr:rowOff>0</xdr:rowOff>
    </xdr:from>
    <xdr:to>
      <xdr:col>4</xdr:col>
      <xdr:colOff>3103134</xdr:colOff>
      <xdr:row>494</xdr:row>
      <xdr:rowOff>84493</xdr:rowOff>
    </xdr:to>
    <mc:AlternateContent xmlns:mc="http://schemas.openxmlformats.org/markup-compatibility/2006" xmlns:a14="http://schemas.microsoft.com/office/drawing/2010/main">
      <mc:Choice Requires="a14">
        <xdr:sp macro="" textlink="">
          <xdr:nvSpPr>
            <xdr:cNvPr id="466" name="TextBox 143">
              <a:extLst>
                <a:ext uri="{FF2B5EF4-FFF2-40B4-BE49-F238E27FC236}">
                  <a16:creationId xmlns:a16="http://schemas.microsoft.com/office/drawing/2014/main" id="{00000000-0008-0000-0500-0000D2010000}"/>
                </a:ext>
              </a:extLst>
            </xdr:cNvPr>
            <xdr:cNvSpPr txBox="1"/>
          </xdr:nvSpPr>
          <xdr:spPr>
            <a:xfrm>
              <a:off x="2041071" y="155992286"/>
              <a:ext cx="4790420" cy="4382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savings</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𝑓𝑎𝑛</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𝑢𝑛𝑖𝑡𝑠</m:t>
                    </m:r>
                  </m:oMath>
                </m:oMathPara>
              </a14:m>
              <a:endParaRPr lang="en-US" sz="1400" i="1">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4" name="TextBox 143">
              <a:extLst>
                <a:ext uri="{FF2B5EF4-FFF2-40B4-BE49-F238E27FC236}">
                  <a16:creationId xmlns:a16="http://schemas.microsoft.com/office/drawing/2014/main" id="{00000000-0008-0000-0300-000095000000}"/>
                </a:ext>
              </a:extLst>
            </xdr:cNvPr>
            <xdr:cNvSpPr txBox="1"/>
          </xdr:nvSpPr>
          <xdr:spPr>
            <a:xfrm>
              <a:off x="2171700" y="84077175"/>
              <a:ext cx="4587129" cy="461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"kWh</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savings</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𝑓𝑎𝑛∗𝑢𝑛𝑖𝑡𝑠</a:t>
              </a:r>
              <a:endParaRPr lang="en-US" sz="1400" i="1">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1812694</xdr:colOff>
      <xdr:row>437</xdr:row>
      <xdr:rowOff>98961</xdr:rowOff>
    </xdr:from>
    <xdr:to>
      <xdr:col>5</xdr:col>
      <xdr:colOff>277102</xdr:colOff>
      <xdr:row>439</xdr:row>
      <xdr:rowOff>152749</xdr:rowOff>
    </xdr:to>
    <mc:AlternateContent xmlns:mc="http://schemas.openxmlformats.org/markup-compatibility/2006" xmlns:a14="http://schemas.microsoft.com/office/drawing/2010/main">
      <mc:Choice Requires="a14">
        <xdr:sp macro="" textlink="">
          <xdr:nvSpPr>
            <xdr:cNvPr id="467" name="TextBox 141">
              <a:extLst>
                <a:ext uri="{FF2B5EF4-FFF2-40B4-BE49-F238E27FC236}">
                  <a16:creationId xmlns:a16="http://schemas.microsoft.com/office/drawing/2014/main" id="{00000000-0008-0000-0500-0000D3010000}"/>
                </a:ext>
              </a:extLst>
            </xdr:cNvPr>
            <xdr:cNvSpPr txBox="1"/>
          </xdr:nvSpPr>
          <xdr:spPr>
            <a:xfrm>
              <a:off x="5541051" y="124209711"/>
              <a:ext cx="3335765" cy="407574"/>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𝐹𝑎𝑐𝑡𝑜𝑟</m:t>
                    </m:r>
                  </m:oMath>
                </m:oMathPara>
              </a14:m>
              <a:endPar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endParaRPr>
            </a:p>
          </xdr:txBody>
        </xdr:sp>
      </mc:Choice>
      <mc:Fallback xmlns="">
        <xdr:sp macro="" textlink="">
          <xdr:nvSpPr>
            <xdr:cNvPr id="142" name="TextBox 141">
              <a:extLst>
                <a:ext uri="{FF2B5EF4-FFF2-40B4-BE49-F238E27FC236}">
                  <a16:creationId xmlns:a16="http://schemas.microsoft.com/office/drawing/2014/main" id="{00000000-0008-0000-0300-000099000000}"/>
                </a:ext>
              </a:extLst>
            </xdr:cNvPr>
            <xdr:cNvSpPr txBox="1"/>
          </xdr:nvSpPr>
          <xdr:spPr>
            <a:xfrm>
              <a:off x="5455227" y="124755234"/>
              <a:ext cx="3269338" cy="43478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 ∆𝑘𝑊ℎ ∗𝑘𝑊 𝐹𝑎𝑐𝑡𝑜𝑟</a:t>
              </a:r>
            </a:p>
          </xdr:txBody>
        </xdr:sp>
      </mc:Fallback>
    </mc:AlternateContent>
    <xdr:clientData/>
  </xdr:twoCellAnchor>
  <xdr:twoCellAnchor>
    <xdr:from>
      <xdr:col>2</xdr:col>
      <xdr:colOff>1013114</xdr:colOff>
      <xdr:row>437</xdr:row>
      <xdr:rowOff>72984</xdr:rowOff>
    </xdr:from>
    <xdr:to>
      <xdr:col>4</xdr:col>
      <xdr:colOff>2969735</xdr:colOff>
      <xdr:row>439</xdr:row>
      <xdr:rowOff>153666</xdr:rowOff>
    </xdr:to>
    <mc:AlternateContent xmlns:mc="http://schemas.openxmlformats.org/markup-compatibility/2006" xmlns:a14="http://schemas.microsoft.com/office/drawing/2010/main">
      <mc:Choice Requires="a14">
        <xdr:sp macro="" textlink="">
          <xdr:nvSpPr>
            <xdr:cNvPr id="468" name="TextBox 140">
              <a:extLst>
                <a:ext uri="{FF2B5EF4-FFF2-40B4-BE49-F238E27FC236}">
                  <a16:creationId xmlns:a16="http://schemas.microsoft.com/office/drawing/2014/main" id="{00000000-0008-0000-0500-0000D4010000}"/>
                </a:ext>
              </a:extLst>
            </xdr:cNvPr>
            <xdr:cNvSpPr txBox="1"/>
          </xdr:nvSpPr>
          <xdr:spPr>
            <a:xfrm>
              <a:off x="1639043" y="124183734"/>
              <a:ext cx="5059049" cy="43446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kWh</m:t>
                    </m:r>
                    <m:r>
                      <m:rPr>
                        <m:nor/>
                      </m:rPr>
                      <a:rPr kumimoji="0" lang="en-US" sz="1400" b="0" i="1"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savings</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HP</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𝑈𝑛𝑖𝑡𝑠</m:t>
                    </m:r>
                  </m:oMath>
                </m:oMathPara>
              </a14:m>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141" name="TextBox 140">
              <a:extLst>
                <a:ext uri="{FF2B5EF4-FFF2-40B4-BE49-F238E27FC236}">
                  <a16:creationId xmlns:a16="http://schemas.microsoft.com/office/drawing/2014/main" id="{00000000-0008-0000-0300-000098000000}"/>
                </a:ext>
              </a:extLst>
            </xdr:cNvPr>
            <xdr:cNvSpPr txBox="1"/>
          </xdr:nvSpPr>
          <xdr:spPr>
            <a:xfrm>
              <a:off x="2034887" y="124729257"/>
              <a:ext cx="4571666" cy="461682"/>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∆𝑘𝑊ℎ="kWh</a:t>
              </a:r>
              <a:r>
                <a:rPr kumimoji="0" lang="en-US" sz="1400" b="0" i="0"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savings</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/HP"∗</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𝑈𝑛𝑖𝑡𝑠</a:t>
              </a:r>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twoCellAnchor>
    <xdr:from>
      <xdr:col>3</xdr:col>
      <xdr:colOff>105047</xdr:colOff>
      <xdr:row>474</xdr:row>
      <xdr:rowOff>40822</xdr:rowOff>
    </xdr:from>
    <xdr:to>
      <xdr:col>5</xdr:col>
      <xdr:colOff>190500</xdr:colOff>
      <xdr:row>476</xdr:row>
      <xdr:rowOff>96941</xdr:rowOff>
    </xdr:to>
    <mc:AlternateContent xmlns:mc="http://schemas.openxmlformats.org/markup-compatibility/2006" xmlns:a14="http://schemas.microsoft.com/office/drawing/2010/main">
      <mc:Choice Requires="a14">
        <xdr:sp macro="" textlink="">
          <xdr:nvSpPr>
            <xdr:cNvPr id="477" name="TextBox 79">
              <a:extLst>
                <a:ext uri="{FF2B5EF4-FFF2-40B4-BE49-F238E27FC236}">
                  <a16:creationId xmlns:a16="http://schemas.microsoft.com/office/drawing/2014/main" id="{00000000-0008-0000-0500-0000DD010000}"/>
                </a:ext>
              </a:extLst>
            </xdr:cNvPr>
            <xdr:cNvSpPr txBox="1"/>
          </xdr:nvSpPr>
          <xdr:spPr>
            <a:xfrm flipH="1">
              <a:off x="2146118" y="143051893"/>
              <a:ext cx="6644096" cy="4099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𝑃</m:t>
                        </m:r>
                      </m:e>
                      <m:sub>
                        <m:r>
                          <a:rPr lang="en-US" sz="1400" b="0" i="1">
                            <a:latin typeface="Cambria Math" panose="02040503050406030204" pitchFamily="18" charset="0"/>
                            <a:ea typeface="Cambria Math" panose="02040503050406030204" pitchFamily="18" charset="0"/>
                          </a:rPr>
                          <m:t>𝑠𝑓</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𝑆𝐹</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𝑓𝑎𝑛</m:t>
                        </m:r>
                      </m:sub>
                    </m:sSub>
                  </m:oMath>
                </m:oMathPara>
              </a14:m>
              <a:endParaRPr lang="en-US" sz="1400"/>
            </a:p>
          </xdr:txBody>
        </xdr:sp>
      </mc:Choice>
      <mc:Fallback xmlns="">
        <xdr:sp macro="" textlink="">
          <xdr:nvSpPr>
            <xdr:cNvPr id="80" name="TextBox 79"/>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𝑘𝑊ℎ=𝑃_𝑠𝑓∗𝑆𝐹∗〖𝐻𝑜𝑢𝑟𝑠〗_𝑓𝑎𝑛</a:t>
              </a:r>
              <a:endParaRPr lang="en-US" sz="1400"/>
            </a:p>
          </xdr:txBody>
        </xdr:sp>
      </mc:Fallback>
    </mc:AlternateContent>
    <xdr:clientData/>
  </xdr:twoCellAnchor>
  <xdr:twoCellAnchor>
    <xdr:from>
      <xdr:col>2</xdr:col>
      <xdr:colOff>0</xdr:colOff>
      <xdr:row>476</xdr:row>
      <xdr:rowOff>95247</xdr:rowOff>
    </xdr:from>
    <xdr:to>
      <xdr:col>2</xdr:col>
      <xdr:colOff>0</xdr:colOff>
      <xdr:row>478</xdr:row>
      <xdr:rowOff>152572</xdr:rowOff>
    </xdr:to>
    <mc:AlternateContent xmlns:mc="http://schemas.openxmlformats.org/markup-compatibility/2006" xmlns:a14="http://schemas.microsoft.com/office/drawing/2010/main">
      <mc:Choice Requires="a14">
        <xdr:sp macro="" textlink="">
          <xdr:nvSpPr>
            <xdr:cNvPr id="478" name="TextBox 78">
              <a:extLst>
                <a:ext uri="{FF2B5EF4-FFF2-40B4-BE49-F238E27FC236}">
                  <a16:creationId xmlns:a16="http://schemas.microsoft.com/office/drawing/2014/main" id="{00000000-0008-0000-0500-0000DE010000}"/>
                </a:ext>
              </a:extLst>
            </xdr:cNvPr>
            <xdr:cNvSpPr txBox="1"/>
          </xdr:nvSpPr>
          <xdr:spPr>
            <a:xfrm>
              <a:off x="625929" y="143460104"/>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9" name="TextBox 78"/>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4</xdr:col>
      <xdr:colOff>427536</xdr:colOff>
      <xdr:row>455</xdr:row>
      <xdr:rowOff>84849</xdr:rowOff>
    </xdr:from>
    <xdr:to>
      <xdr:col>6</xdr:col>
      <xdr:colOff>1895202</xdr:colOff>
      <xdr:row>458</xdr:row>
      <xdr:rowOff>23910</xdr:rowOff>
    </xdr:to>
    <mc:AlternateContent xmlns:mc="http://schemas.openxmlformats.org/markup-compatibility/2006" xmlns:a14="http://schemas.microsoft.com/office/drawing/2010/main">
      <mc:Choice Requires="a14">
        <xdr:sp macro="" textlink="">
          <xdr:nvSpPr>
            <xdr:cNvPr id="479" name="TextBox 77">
              <a:extLst>
                <a:ext uri="{FF2B5EF4-FFF2-40B4-BE49-F238E27FC236}">
                  <a16:creationId xmlns:a16="http://schemas.microsoft.com/office/drawing/2014/main" id="{00000000-0008-0000-0500-0000DF010000}"/>
                </a:ext>
              </a:extLst>
            </xdr:cNvPr>
            <xdr:cNvSpPr txBox="1"/>
          </xdr:nvSpPr>
          <xdr:spPr>
            <a:xfrm flipH="1">
              <a:off x="4155893" y="53778635"/>
              <a:ext cx="7686130" cy="469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78" name="TextBox 77">
              <a:extLst>
                <a:ext uri="{FF2B5EF4-FFF2-40B4-BE49-F238E27FC236}">
                  <a16:creationId xmlns:a16="http://schemas.microsoft.com/office/drawing/2014/main" id="{00000000-0008-0000-0200-00004E000000}"/>
                </a:ext>
              </a:extLst>
            </xdr:cNvPr>
            <xdr:cNvSpPr txBox="1"/>
          </xdr:nvSpPr>
          <xdr:spPr>
            <a:xfrm flipH="1">
              <a:off x="4155893" y="53778635"/>
              <a:ext cx="7686130" cy="469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𝑘𝑊ℎ=〖𝑆𝑄𝐹𝑇〗_𝑐𝑜𝑛𝑑/1000∗〖𝑆𝐹〗_𝑐𝑜𝑜𝑙𝑖𝑛𝑔+〖𝑆𝑄𝐹𝑇〗_𝑐𝑜𝑛𝑑/1000∗〖𝑆𝐹〗_ℎ𝑒𝑎𝑡</a:t>
              </a:r>
              <a:endParaRPr lang="en-US" sz="1100"/>
            </a:p>
          </xdr:txBody>
        </xdr:sp>
      </mc:Fallback>
    </mc:AlternateContent>
    <xdr:clientData/>
  </xdr:twoCellAnchor>
  <xdr:twoCellAnchor>
    <xdr:from>
      <xdr:col>2</xdr:col>
      <xdr:colOff>0</xdr:colOff>
      <xdr:row>458</xdr:row>
      <xdr:rowOff>95247</xdr:rowOff>
    </xdr:from>
    <xdr:to>
      <xdr:col>2</xdr:col>
      <xdr:colOff>0</xdr:colOff>
      <xdr:row>460</xdr:row>
      <xdr:rowOff>152572</xdr:rowOff>
    </xdr:to>
    <mc:AlternateContent xmlns:mc="http://schemas.openxmlformats.org/markup-compatibility/2006" xmlns:a14="http://schemas.microsoft.com/office/drawing/2010/main">
      <mc:Choice Requires="a14">
        <xdr:sp macro="" textlink="">
          <xdr:nvSpPr>
            <xdr:cNvPr id="480" name="TextBox 76">
              <a:extLst>
                <a:ext uri="{FF2B5EF4-FFF2-40B4-BE49-F238E27FC236}">
                  <a16:creationId xmlns:a16="http://schemas.microsoft.com/office/drawing/2014/main" id="{00000000-0008-0000-0500-0000E0010000}"/>
                </a:ext>
              </a:extLst>
            </xdr:cNvPr>
            <xdr:cNvSpPr txBox="1"/>
          </xdr:nvSpPr>
          <xdr:spPr>
            <a:xfrm>
              <a:off x="625929" y="140031104"/>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7" name="TextBox 76"/>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440</xdr:row>
      <xdr:rowOff>95247</xdr:rowOff>
    </xdr:from>
    <xdr:to>
      <xdr:col>2</xdr:col>
      <xdr:colOff>0</xdr:colOff>
      <xdr:row>442</xdr:row>
      <xdr:rowOff>152572</xdr:rowOff>
    </xdr:to>
    <mc:AlternateContent xmlns:mc="http://schemas.openxmlformats.org/markup-compatibility/2006" xmlns:a14="http://schemas.microsoft.com/office/drawing/2010/main">
      <mc:Choice Requires="a14">
        <xdr:sp macro="" textlink="">
          <xdr:nvSpPr>
            <xdr:cNvPr id="491" name="TextBox 64">
              <a:extLst>
                <a:ext uri="{FF2B5EF4-FFF2-40B4-BE49-F238E27FC236}">
                  <a16:creationId xmlns:a16="http://schemas.microsoft.com/office/drawing/2014/main" id="{00000000-0008-0000-0500-0000EB010000}"/>
                </a:ext>
              </a:extLst>
            </xdr:cNvPr>
            <xdr:cNvSpPr txBox="1"/>
          </xdr:nvSpPr>
          <xdr:spPr>
            <a:xfrm>
              <a:off x="625929" y="124736676"/>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5" name="TextBox 64"/>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64225</xdr:colOff>
      <xdr:row>419</xdr:row>
      <xdr:rowOff>132443</xdr:rowOff>
    </xdr:from>
    <xdr:to>
      <xdr:col>6</xdr:col>
      <xdr:colOff>1228452</xdr:colOff>
      <xdr:row>422</xdr:row>
      <xdr:rowOff>67422</xdr:rowOff>
    </xdr:to>
    <mc:AlternateContent xmlns:mc="http://schemas.openxmlformats.org/markup-compatibility/2006" xmlns:a14="http://schemas.microsoft.com/office/drawing/2010/main">
      <mc:Choice Requires="a14">
        <xdr:sp macro="" textlink="">
          <xdr:nvSpPr>
            <xdr:cNvPr id="500" name="TextBox 55">
              <a:extLst>
                <a:ext uri="{FF2B5EF4-FFF2-40B4-BE49-F238E27FC236}">
                  <a16:creationId xmlns:a16="http://schemas.microsoft.com/office/drawing/2014/main" id="{00000000-0008-0000-0500-0000F4010000}"/>
                </a:ext>
              </a:extLst>
            </xdr:cNvPr>
            <xdr:cNvSpPr txBox="1"/>
          </xdr:nvSpPr>
          <xdr:spPr>
            <a:xfrm flipH="1">
              <a:off x="2105296" y="106826050"/>
              <a:ext cx="9069977" cy="465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=.9∗</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h𝑝</m:t>
                        </m:r>
                      </m:e>
                      <m:sub>
                        <m:r>
                          <a:rPr lang="en-US" sz="1400" b="0" i="1">
                            <a:latin typeface="Cambria Math" panose="02040503050406030204" pitchFamily="18" charset="0"/>
                            <a:ea typeface="Cambria Math" panose="02040503050406030204" pitchFamily="18" charset="0"/>
                          </a:rPr>
                          <m:t>𝑐𝑜𝑚𝑝𝑟𝑒𝑠𝑠𝑜𝑟</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𝐻𝑂𝑈𝑅𝑆</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𝑏</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𝑒</m:t>
                        </m:r>
                      </m:sub>
                    </m:sSub>
                    <m:r>
                      <a:rPr lang="en-US" sz="14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56" name="TextBox 55"/>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𝑘𝑊ℎ=.9∗〖ℎ𝑝〗_𝑐𝑜𝑚𝑝𝑟𝑒𝑠𝑠𝑜𝑟∗𝐻𝑂𝑈𝑅𝑆∗(〖𝐶𝐹〗_𝑏−〖𝐶𝐹〗_𝑒)</a:t>
              </a:r>
              <a:endParaRPr lang="en-US" sz="1100"/>
            </a:p>
          </xdr:txBody>
        </xdr:sp>
      </mc:Fallback>
    </mc:AlternateContent>
    <xdr:clientData/>
  </xdr:twoCellAnchor>
  <xdr:twoCellAnchor>
    <xdr:from>
      <xdr:col>2</xdr:col>
      <xdr:colOff>0</xdr:colOff>
      <xdr:row>422</xdr:row>
      <xdr:rowOff>95247</xdr:rowOff>
    </xdr:from>
    <xdr:to>
      <xdr:col>2</xdr:col>
      <xdr:colOff>0</xdr:colOff>
      <xdr:row>424</xdr:row>
      <xdr:rowOff>152572</xdr:rowOff>
    </xdr:to>
    <mc:AlternateContent xmlns:mc="http://schemas.openxmlformats.org/markup-compatibility/2006" xmlns:a14="http://schemas.microsoft.com/office/drawing/2010/main">
      <mc:Choice Requires="a14">
        <xdr:sp macro="" textlink="">
          <xdr:nvSpPr>
            <xdr:cNvPr id="501" name="TextBox 54">
              <a:extLst>
                <a:ext uri="{FF2B5EF4-FFF2-40B4-BE49-F238E27FC236}">
                  <a16:creationId xmlns:a16="http://schemas.microsoft.com/office/drawing/2014/main" id="{00000000-0008-0000-0500-0000F5010000}"/>
                </a:ext>
              </a:extLst>
            </xdr:cNvPr>
            <xdr:cNvSpPr txBox="1"/>
          </xdr:nvSpPr>
          <xdr:spPr>
            <a:xfrm>
              <a:off x="625929" y="10731953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5" name="TextBox 54"/>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400</xdr:row>
      <xdr:rowOff>126271</xdr:rowOff>
    </xdr:from>
    <xdr:to>
      <xdr:col>4</xdr:col>
      <xdr:colOff>2869474</xdr:colOff>
      <xdr:row>403</xdr:row>
      <xdr:rowOff>988</xdr:rowOff>
    </xdr:to>
    <mc:AlternateContent xmlns:mc="http://schemas.openxmlformats.org/markup-compatibility/2006" xmlns:a14="http://schemas.microsoft.com/office/drawing/2010/main">
      <mc:Choice Requires="a14">
        <xdr:sp macro="" textlink="">
          <xdr:nvSpPr>
            <xdr:cNvPr id="503" name="TextBox 52">
              <a:extLst>
                <a:ext uri="{FF2B5EF4-FFF2-40B4-BE49-F238E27FC236}">
                  <a16:creationId xmlns:a16="http://schemas.microsoft.com/office/drawing/2014/main" id="{00000000-0008-0000-0500-0000F7010000}"/>
                </a:ext>
              </a:extLst>
            </xdr:cNvPr>
            <xdr:cNvSpPr txBox="1"/>
          </xdr:nvSpPr>
          <xdr:spPr>
            <a:xfrm>
              <a:off x="2136320" y="103622200"/>
              <a:ext cx="4461511" cy="405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3" name="TextBox 52"/>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85451</xdr:colOff>
      <xdr:row>371</xdr:row>
      <xdr:rowOff>89385</xdr:rowOff>
    </xdr:from>
    <xdr:to>
      <xdr:col>4</xdr:col>
      <xdr:colOff>4550499</xdr:colOff>
      <xdr:row>374</xdr:row>
      <xdr:rowOff>16744</xdr:rowOff>
    </xdr:to>
    <mc:AlternateContent xmlns:mc="http://schemas.openxmlformats.org/markup-compatibility/2006" xmlns:a14="http://schemas.microsoft.com/office/drawing/2010/main">
      <mc:Choice Requires="a14">
        <xdr:sp macro="" textlink="">
          <xdr:nvSpPr>
            <xdr:cNvPr id="504" name="TextBox 51">
              <a:extLst>
                <a:ext uri="{FF2B5EF4-FFF2-40B4-BE49-F238E27FC236}">
                  <a16:creationId xmlns:a16="http://schemas.microsoft.com/office/drawing/2014/main" id="{00000000-0008-0000-0500-0000F8010000}"/>
                </a:ext>
              </a:extLst>
            </xdr:cNvPr>
            <xdr:cNvSpPr txBox="1"/>
          </xdr:nvSpPr>
          <xdr:spPr>
            <a:xfrm flipH="1">
              <a:off x="2126522" y="98455421"/>
              <a:ext cx="6152334" cy="4580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𝐶𝐹𝑀</m:t>
                        </m:r>
                      </m:e>
                      <m:sub>
                        <m:r>
                          <a:rPr lang="en-US" sz="1400" b="0" i="1">
                            <a:latin typeface="Cambria Math" panose="02040503050406030204" pitchFamily="18" charset="0"/>
                            <a:ea typeface="Cambria Math" panose="02040503050406030204" pitchFamily="18" charset="0"/>
                          </a:rPr>
                          <m:t>𝑟𝑒𝑑𝑢𝑐𝑒𝑑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𝐶𝐹𝑀</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2" name="TextBox 51"/>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𝑘𝑊ℎ=〖𝐶𝐹𝑀〗_𝑟𝑒𝑑𝑢𝑐𝑒𝑑∗〖𝑘𝑊〗_𝐶𝐹𝑀∗𝐻𝑜𝑢𝑟𝑠</a:t>
              </a:r>
              <a:endParaRPr lang="en-US" sz="1100"/>
            </a:p>
          </xdr:txBody>
        </xdr:sp>
      </mc:Fallback>
    </mc:AlternateContent>
    <xdr:clientData/>
  </xdr:twoCellAnchor>
  <xdr:twoCellAnchor>
    <xdr:from>
      <xdr:col>3</xdr:col>
      <xdr:colOff>21498</xdr:colOff>
      <xdr:row>374</xdr:row>
      <xdr:rowOff>105045</xdr:rowOff>
    </xdr:from>
    <xdr:to>
      <xdr:col>4</xdr:col>
      <xdr:colOff>2457449</xdr:colOff>
      <xdr:row>377</xdr:row>
      <xdr:rowOff>2894</xdr:rowOff>
    </xdr:to>
    <mc:AlternateContent xmlns:mc="http://schemas.openxmlformats.org/markup-compatibility/2006" xmlns:a14="http://schemas.microsoft.com/office/drawing/2010/main">
      <mc:Choice Requires="a14">
        <xdr:sp macro="" textlink="">
          <xdr:nvSpPr>
            <xdr:cNvPr id="505" name="TextBox 50">
              <a:extLst>
                <a:ext uri="{FF2B5EF4-FFF2-40B4-BE49-F238E27FC236}">
                  <a16:creationId xmlns:a16="http://schemas.microsoft.com/office/drawing/2014/main" id="{00000000-0008-0000-0500-0000F9010000}"/>
                </a:ext>
              </a:extLst>
            </xdr:cNvPr>
            <xdr:cNvSpPr txBox="1"/>
          </xdr:nvSpPr>
          <xdr:spPr>
            <a:xfrm>
              <a:off x="2062569" y="99001759"/>
              <a:ext cx="4123237" cy="4285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1" name="TextBox 50"/>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1346632</xdr:colOff>
      <xdr:row>69</xdr:row>
      <xdr:rowOff>125732</xdr:rowOff>
    </xdr:from>
    <xdr:to>
      <xdr:col>4</xdr:col>
      <xdr:colOff>2220686</xdr:colOff>
      <xdr:row>71</xdr:row>
      <xdr:rowOff>65316</xdr:rowOff>
    </xdr:to>
    <mc:AlternateContent xmlns:mc="http://schemas.openxmlformats.org/markup-compatibility/2006" xmlns:a14="http://schemas.microsoft.com/office/drawing/2010/main">
      <mc:Choice Requires="a14">
        <xdr:sp macro="" textlink="">
          <xdr:nvSpPr>
            <xdr:cNvPr id="510" name="TextBox 44">
              <a:extLst>
                <a:ext uri="{FF2B5EF4-FFF2-40B4-BE49-F238E27FC236}">
                  <a16:creationId xmlns:a16="http://schemas.microsoft.com/office/drawing/2014/main" id="{00000000-0008-0000-0500-0000FE010000}"/>
                </a:ext>
              </a:extLst>
            </xdr:cNvPr>
            <xdr:cNvSpPr txBox="1"/>
          </xdr:nvSpPr>
          <xdr:spPr>
            <a:xfrm>
              <a:off x="3393146" y="22582961"/>
              <a:ext cx="2561340" cy="3096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ndParaRPr>
            </a:p>
          </xdr:txBody>
        </xdr:sp>
      </mc:Choice>
      <mc:Fallback xmlns="">
        <xdr:sp macro="" textlink="">
          <xdr:nvSpPr>
            <xdr:cNvPr id="45" name="TextBox 44">
              <a:extLst>
                <a:ext uri="{FF2B5EF4-FFF2-40B4-BE49-F238E27FC236}">
                  <a16:creationId xmlns:a16="http://schemas.microsoft.com/office/drawing/2014/main" id="{00000000-0008-0000-0200-00002D000000}"/>
                </a:ext>
              </a:extLst>
            </xdr:cNvPr>
            <xdr:cNvSpPr txBox="1"/>
          </xdr:nvSpPr>
          <xdr:spPr>
            <a:xfrm>
              <a:off x="3393146" y="22582961"/>
              <a:ext cx="2561340" cy="3096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𝑥 𝐼𝐹𝑘𝑊</a:t>
              </a:r>
              <a:endParaRPr lang="en-US" sz="1400">
                <a:solidFill>
                  <a:sysClr val="windowText" lastClr="000000"/>
                </a:solidFill>
              </a:endParaRPr>
            </a:p>
          </xdr:txBody>
        </xdr:sp>
      </mc:Fallback>
    </mc:AlternateContent>
    <xdr:clientData/>
  </xdr:twoCellAnchor>
  <xdr:twoCellAnchor>
    <xdr:from>
      <xdr:col>6</xdr:col>
      <xdr:colOff>742950</xdr:colOff>
      <xdr:row>272</xdr:row>
      <xdr:rowOff>97428</xdr:rowOff>
    </xdr:from>
    <xdr:to>
      <xdr:col>9</xdr:col>
      <xdr:colOff>341962</xdr:colOff>
      <xdr:row>275</xdr:row>
      <xdr:rowOff>135528</xdr:rowOff>
    </xdr:to>
    <mc:AlternateContent xmlns:mc="http://schemas.openxmlformats.org/markup-compatibility/2006" xmlns:a14="http://schemas.microsoft.com/office/drawing/2010/main">
      <mc:Choice Requires="a14">
        <xdr:sp macro="" textlink="">
          <xdr:nvSpPr>
            <xdr:cNvPr id="511" name="TextBox 43">
              <a:extLst>
                <a:ext uri="{FF2B5EF4-FFF2-40B4-BE49-F238E27FC236}">
                  <a16:creationId xmlns:a16="http://schemas.microsoft.com/office/drawing/2014/main" id="{00000000-0008-0000-0500-0000FF010000}"/>
                </a:ext>
              </a:extLst>
            </xdr:cNvPr>
            <xdr:cNvSpPr txBox="1"/>
          </xdr:nvSpPr>
          <xdr:spPr>
            <a:xfrm>
              <a:off x="10689771" y="72841214"/>
              <a:ext cx="4334298" cy="5687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𝐸𝑓𝑓</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𝑅𝑒𝑡𝑟𝑜𝑓𝑖𝑡</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4" name="TextBox 43"/>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𝐶𝑜𝑛𝑡𝑟𝑜𝑙𝑇𝑦𝑝𝑒𝐹𝑎𝑐𝑡𝑜𝑟〗_𝐸𝑓𝑓=∑_(0%)^(100%)▒〖(%𝐹𝐹∗〖𝑃𝐿𝑅〗_𝑅𝑒𝑡𝑟𝑜𝑓𝑖𝑡)〗</a:t>
              </a:r>
              <a:endParaRPr lang="en-US" sz="1100"/>
            </a:p>
          </xdr:txBody>
        </xdr:sp>
      </mc:Fallback>
    </mc:AlternateContent>
    <xdr:clientData/>
  </xdr:twoCellAnchor>
  <xdr:twoCellAnchor>
    <xdr:from>
      <xdr:col>6</xdr:col>
      <xdr:colOff>726621</xdr:colOff>
      <xdr:row>268</xdr:row>
      <xdr:rowOff>19050</xdr:rowOff>
    </xdr:from>
    <xdr:to>
      <xdr:col>9</xdr:col>
      <xdr:colOff>140363</xdr:colOff>
      <xdr:row>271</xdr:row>
      <xdr:rowOff>54610</xdr:rowOff>
    </xdr:to>
    <mc:AlternateContent xmlns:mc="http://schemas.openxmlformats.org/markup-compatibility/2006" xmlns:a14="http://schemas.microsoft.com/office/drawing/2010/main">
      <mc:Choice Requires="a14">
        <xdr:sp macro="" textlink="">
          <xdr:nvSpPr>
            <xdr:cNvPr id="512" name="TextBox 42">
              <a:extLst>
                <a:ext uri="{FF2B5EF4-FFF2-40B4-BE49-F238E27FC236}">
                  <a16:creationId xmlns:a16="http://schemas.microsoft.com/office/drawing/2014/main" id="{00000000-0008-0000-0500-000000020000}"/>
                </a:ext>
              </a:extLst>
            </xdr:cNvPr>
            <xdr:cNvSpPr txBox="1"/>
          </xdr:nvSpPr>
          <xdr:spPr>
            <a:xfrm>
              <a:off x="10673442" y="72041657"/>
              <a:ext cx="4149028" cy="5798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3" name="TextBox 42"/>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𝐶𝑜𝑛𝑡𝑟𝑜𝑙𝑇𝑦𝑝𝑒𝐹𝑎𝑐𝑡𝑜𝑟〗_𝐵𝑎𝑠𝑒=∑_(0%)^(100%)▒〖(%𝐹𝐹∗〖𝑃𝐿𝑅〗_𝐵𝑎𝑠𝑒)〗</a:t>
              </a:r>
              <a:endParaRPr lang="en-US" sz="1100"/>
            </a:p>
          </xdr:txBody>
        </xdr:sp>
      </mc:Fallback>
    </mc:AlternateContent>
    <xdr:clientData/>
  </xdr:twoCellAnchor>
  <xdr:twoCellAnchor>
    <xdr:from>
      <xdr:col>5</xdr:col>
      <xdr:colOff>0</xdr:colOff>
      <xdr:row>270</xdr:row>
      <xdr:rowOff>0</xdr:rowOff>
    </xdr:from>
    <xdr:to>
      <xdr:col>5</xdr:col>
      <xdr:colOff>1343025</xdr:colOff>
      <xdr:row>271</xdr:row>
      <xdr:rowOff>0</xdr:rowOff>
    </xdr:to>
    <xdr:pic>
      <xdr:nvPicPr>
        <xdr:cNvPr id="513" name="Picture 41">
          <a:extLst>
            <a:ext uri="{FF2B5EF4-FFF2-40B4-BE49-F238E27FC236}">
              <a16:creationId xmlns:a16="http://schemas.microsoft.com/office/drawing/2014/main" id="{00000000-0008-0000-0500-00000102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599714" y="72390000"/>
          <a:ext cx="1343025" cy="1768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77287</xdr:colOff>
      <xdr:row>344</xdr:row>
      <xdr:rowOff>127363</xdr:rowOff>
    </xdr:from>
    <xdr:to>
      <xdr:col>5</xdr:col>
      <xdr:colOff>6136</xdr:colOff>
      <xdr:row>345</xdr:row>
      <xdr:rowOff>179884</xdr:rowOff>
    </xdr:to>
    <mc:AlternateContent xmlns:mc="http://schemas.openxmlformats.org/markup-compatibility/2006" xmlns:a14="http://schemas.microsoft.com/office/drawing/2010/main">
      <mc:Choice Requires="a14">
        <xdr:sp macro="" textlink="">
          <xdr:nvSpPr>
            <xdr:cNvPr id="517" name="TextBox 37">
              <a:extLst>
                <a:ext uri="{FF2B5EF4-FFF2-40B4-BE49-F238E27FC236}">
                  <a16:creationId xmlns:a16="http://schemas.microsoft.com/office/drawing/2014/main" id="{00000000-0008-0000-0500-000005020000}"/>
                </a:ext>
              </a:extLst>
            </xdr:cNvPr>
            <xdr:cNvSpPr txBox="1"/>
          </xdr:nvSpPr>
          <xdr:spPr>
            <a:xfrm>
              <a:off x="3801562" y="37036738"/>
              <a:ext cx="3824574" cy="233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𝑇𝑂𝑁𝑆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𝑒𝑒</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400"/>
            </a:p>
          </xdr:txBody>
        </xdr:sp>
      </mc:Choice>
      <mc:Fallback xmlns="">
        <xdr:sp macro="" textlink="">
          <xdr:nvSpPr>
            <xdr:cNvPr id="38" name="TextBox 37">
              <a:extLst>
                <a:ext uri="{FF2B5EF4-FFF2-40B4-BE49-F238E27FC236}">
                  <a16:creationId xmlns:a16="http://schemas.microsoft.com/office/drawing/2014/main" id="{00000000-0008-0000-0200-000026000000}"/>
                </a:ext>
              </a:extLst>
            </xdr:cNvPr>
            <xdr:cNvSpPr txBox="1"/>
          </xdr:nvSpPr>
          <xdr:spPr>
            <a:xfrm>
              <a:off x="3801562" y="37036738"/>
              <a:ext cx="3824574" cy="233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𝑘𝑊ℎ=𝑇𝑂𝑁𝑆∗(〖𝐼𝑃𝐿𝑉〗_𝑏𝑎𝑠𝑒−〖𝐼𝑃𝐿𝑉〗_𝑒𝑒 )∗𝐸𝐹𝐿𝐻</a:t>
              </a:r>
              <a:endParaRPr lang="en-US" sz="1400"/>
            </a:p>
          </xdr:txBody>
        </xdr:sp>
      </mc:Fallback>
    </mc:AlternateContent>
    <xdr:clientData/>
  </xdr:twoCellAnchor>
  <xdr:twoCellAnchor>
    <xdr:from>
      <xdr:col>9</xdr:col>
      <xdr:colOff>136071</xdr:colOff>
      <xdr:row>324</xdr:row>
      <xdr:rowOff>149678</xdr:rowOff>
    </xdr:from>
    <xdr:to>
      <xdr:col>14</xdr:col>
      <xdr:colOff>56029</xdr:colOff>
      <xdr:row>327</xdr:row>
      <xdr:rowOff>54601</xdr:rowOff>
    </xdr:to>
    <mc:AlternateContent xmlns:mc="http://schemas.openxmlformats.org/markup-compatibility/2006" xmlns:a14="http://schemas.microsoft.com/office/drawing/2010/main">
      <mc:Choice Requires="a14">
        <xdr:sp macro="" textlink="">
          <xdr:nvSpPr>
            <xdr:cNvPr id="518" name="TextBox 36">
              <a:extLst>
                <a:ext uri="{FF2B5EF4-FFF2-40B4-BE49-F238E27FC236}">
                  <a16:creationId xmlns:a16="http://schemas.microsoft.com/office/drawing/2014/main" id="{00000000-0008-0000-0500-000006020000}"/>
                </a:ext>
              </a:extLst>
            </xdr:cNvPr>
            <xdr:cNvSpPr txBox="1"/>
          </xdr:nvSpPr>
          <xdr:spPr>
            <a:xfrm>
              <a:off x="14818178" y="82568142"/>
              <a:ext cx="5689387" cy="4356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/3.412∗</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14804571" y="50688207"/>
              <a:ext cx="5545311"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)/3.412∗[(1/〖𝐶𝑂𝑃〗_𝑏𝑎𝑠𝑒 )−(1/〖𝐶𝑂𝑃〗_𝑒𝑒 )]∗〖𝐸𝐹𝐿𝐻〗_ℎ𝑒𝑎𝑡</a:t>
              </a:r>
              <a:endParaRPr lang="en-US" sz="1100"/>
            </a:p>
          </xdr:txBody>
        </xdr:sp>
      </mc:Fallback>
    </mc:AlternateContent>
    <xdr:clientData/>
  </xdr:twoCellAnchor>
  <xdr:twoCellAnchor>
    <xdr:from>
      <xdr:col>9</xdr:col>
      <xdr:colOff>152400</xdr:colOff>
      <xdr:row>322</xdr:row>
      <xdr:rowOff>16328</xdr:rowOff>
    </xdr:from>
    <xdr:to>
      <xdr:col>13</xdr:col>
      <xdr:colOff>664733</xdr:colOff>
      <xdr:row>324</xdr:row>
      <xdr:rowOff>151121</xdr:rowOff>
    </xdr:to>
    <mc:AlternateContent xmlns:mc="http://schemas.openxmlformats.org/markup-compatibility/2006" xmlns:a14="http://schemas.microsoft.com/office/drawing/2010/main">
      <mc:Choice Requires="a14">
        <xdr:sp macro="" textlink="">
          <xdr:nvSpPr>
            <xdr:cNvPr id="519" name="TextBox 35">
              <a:extLst>
                <a:ext uri="{FF2B5EF4-FFF2-40B4-BE49-F238E27FC236}">
                  <a16:creationId xmlns:a16="http://schemas.microsoft.com/office/drawing/2014/main" id="{00000000-0008-0000-0500-000007020000}"/>
                </a:ext>
              </a:extLst>
            </xdr:cNvPr>
            <xdr:cNvSpPr txBox="1"/>
          </xdr:nvSpPr>
          <xdr:spPr>
            <a:xfrm>
              <a:off x="14834507" y="82081007"/>
              <a:ext cx="5342869" cy="4885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14820900" y="50173857"/>
              <a:ext cx="5226424"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)∗[(1/〖𝐸𝐸𝑅〗_𝑏𝑎𝑠𝑒 )−(1/〖𝐸𝐸𝑅〗_𝑒𝑒 )]∗〖𝐸𝐹𝐿𝐻〗_𝑐𝑜𝑜𝑙</a:t>
              </a:r>
              <a:endParaRPr lang="en-US" sz="1100"/>
            </a:p>
          </xdr:txBody>
        </xdr:sp>
      </mc:Fallback>
    </mc:AlternateContent>
    <xdr:clientData/>
  </xdr:twoCellAnchor>
  <xdr:twoCellAnchor>
    <xdr:from>
      <xdr:col>3</xdr:col>
      <xdr:colOff>726621</xdr:colOff>
      <xdr:row>323</xdr:row>
      <xdr:rowOff>9253</xdr:rowOff>
    </xdr:from>
    <xdr:to>
      <xdr:col>4</xdr:col>
      <xdr:colOff>1847143</xdr:colOff>
      <xdr:row>324</xdr:row>
      <xdr:rowOff>60141</xdr:rowOff>
    </xdr:to>
    <mc:AlternateContent xmlns:mc="http://schemas.openxmlformats.org/markup-compatibility/2006" xmlns:a14="http://schemas.microsoft.com/office/drawing/2010/main">
      <mc:Choice Requires="a14">
        <xdr:sp macro="" textlink="">
          <xdr:nvSpPr>
            <xdr:cNvPr id="520" name="TextBox 34">
              <a:extLst>
                <a:ext uri="{FF2B5EF4-FFF2-40B4-BE49-F238E27FC236}">
                  <a16:creationId xmlns:a16="http://schemas.microsoft.com/office/drawing/2014/main" id="{00000000-0008-0000-0500-000008020000}"/>
                </a:ext>
              </a:extLst>
            </xdr:cNvPr>
            <xdr:cNvSpPr txBox="1"/>
          </xdr:nvSpPr>
          <xdr:spPr>
            <a:xfrm>
              <a:off x="2767692" y="82250824"/>
              <a:ext cx="2807808" cy="2277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5" name="TextBox 34"/>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𝑘𝑊ℎ=〖∆𝑘𝑊ℎ〗_𝑐𝑜𝑜𝑙+〖∆𝑘𝑊ℎ〗_ℎ𝑒𝑎𝑡</a:t>
              </a:r>
              <a:endParaRPr lang="en-US" sz="1100"/>
            </a:p>
          </xdr:txBody>
        </xdr:sp>
      </mc:Fallback>
    </mc:AlternateContent>
    <xdr:clientData/>
  </xdr:twoCellAnchor>
  <xdr:twoCellAnchor>
    <xdr:from>
      <xdr:col>5</xdr:col>
      <xdr:colOff>105046</xdr:colOff>
      <xdr:row>324</xdr:row>
      <xdr:rowOff>169273</xdr:rowOff>
    </xdr:from>
    <xdr:to>
      <xdr:col>8</xdr:col>
      <xdr:colOff>855232</xdr:colOff>
      <xdr:row>327</xdr:row>
      <xdr:rowOff>97056</xdr:rowOff>
    </xdr:to>
    <mc:AlternateContent xmlns:mc="http://schemas.openxmlformats.org/markup-compatibility/2006" xmlns:a14="http://schemas.microsoft.com/office/drawing/2010/main">
      <mc:Choice Requires="a14">
        <xdr:sp macro="" textlink="">
          <xdr:nvSpPr>
            <xdr:cNvPr id="521" name="TextBox 33">
              <a:extLst>
                <a:ext uri="{FF2B5EF4-FFF2-40B4-BE49-F238E27FC236}">
                  <a16:creationId xmlns:a16="http://schemas.microsoft.com/office/drawing/2014/main" id="{00000000-0008-0000-0500-000009020000}"/>
                </a:ext>
              </a:extLst>
            </xdr:cNvPr>
            <xdr:cNvSpPr txBox="1"/>
          </xdr:nvSpPr>
          <xdr:spPr>
            <a:xfrm>
              <a:off x="8704760" y="82587737"/>
              <a:ext cx="5567115" cy="4584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8883062" y="50715422"/>
              <a:ext cx="5415643"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)∗[(1/〖𝐻𝑆𝑃𝐹〗_𝑏𝑎𝑠𝑒 )−(1/〖𝐻𝑆𝑃𝐹〗_𝑒𝑒 )]∗〖𝐸𝐹𝐿𝐻〗_ℎ𝑒𝑎𝑡</a:t>
              </a:r>
              <a:endParaRPr lang="en-US" sz="1100"/>
            </a:p>
          </xdr:txBody>
        </xdr:sp>
      </mc:Fallback>
    </mc:AlternateContent>
    <xdr:clientData/>
  </xdr:twoCellAnchor>
  <xdr:twoCellAnchor>
    <xdr:from>
      <xdr:col>5</xdr:col>
      <xdr:colOff>136071</xdr:colOff>
      <xdr:row>322</xdr:row>
      <xdr:rowOff>21499</xdr:rowOff>
    </xdr:from>
    <xdr:to>
      <xdr:col>8</xdr:col>
      <xdr:colOff>859267</xdr:colOff>
      <xdr:row>324</xdr:row>
      <xdr:rowOff>167722</xdr:rowOff>
    </xdr:to>
    <mc:AlternateContent xmlns:mc="http://schemas.openxmlformats.org/markup-compatibility/2006" xmlns:a14="http://schemas.microsoft.com/office/drawing/2010/main">
      <mc:Choice Requires="a14">
        <xdr:sp macro="" textlink="">
          <xdr:nvSpPr>
            <xdr:cNvPr id="522" name="TextBox 32">
              <a:extLst>
                <a:ext uri="{FF2B5EF4-FFF2-40B4-BE49-F238E27FC236}">
                  <a16:creationId xmlns:a16="http://schemas.microsoft.com/office/drawing/2014/main" id="{00000000-0008-0000-0500-00000A020000}"/>
                </a:ext>
              </a:extLst>
            </xdr:cNvPr>
            <xdr:cNvSpPr txBox="1"/>
          </xdr:nvSpPr>
          <xdr:spPr>
            <a:xfrm>
              <a:off x="8735785" y="82086178"/>
              <a:ext cx="5540125" cy="5000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8910277" y="50184743"/>
              <a:ext cx="5377223"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)∗[(1/〖𝑆𝐸𝐸𝑅〗_𝑏𝑎𝑠𝑒 )−(1/〖𝑆𝐸𝐸𝑅〗_𝑒𝑒 )]∗〖𝐸𝐹𝐿𝐻〗_𝑐𝑜𝑜𝑙</a:t>
              </a:r>
              <a:endParaRPr lang="en-US" sz="1100"/>
            </a:p>
          </xdr:txBody>
        </xdr:sp>
      </mc:Fallback>
    </mc:AlternateContent>
    <xdr:clientData/>
  </xdr:twoCellAnchor>
  <xdr:twoCellAnchor>
    <xdr:from>
      <xdr:col>4</xdr:col>
      <xdr:colOff>59499</xdr:colOff>
      <xdr:row>347</xdr:row>
      <xdr:rowOff>66673</xdr:rowOff>
    </xdr:from>
    <xdr:to>
      <xdr:col>7</xdr:col>
      <xdr:colOff>479890</xdr:colOff>
      <xdr:row>348</xdr:row>
      <xdr:rowOff>163831</xdr:rowOff>
    </xdr:to>
    <mc:AlternateContent xmlns:mc="http://schemas.openxmlformats.org/markup-compatibility/2006" xmlns:a14="http://schemas.microsoft.com/office/drawing/2010/main">
      <mc:Choice Requires="a14">
        <xdr:sp macro="" textlink="">
          <xdr:nvSpPr>
            <xdr:cNvPr id="523" name="TextBox 31">
              <a:extLst>
                <a:ext uri="{FF2B5EF4-FFF2-40B4-BE49-F238E27FC236}">
                  <a16:creationId xmlns:a16="http://schemas.microsoft.com/office/drawing/2014/main" id="{00000000-0008-0000-0500-00000B020000}"/>
                </a:ext>
              </a:extLst>
            </xdr:cNvPr>
            <xdr:cNvSpPr txBox="1"/>
          </xdr:nvSpPr>
          <xdr:spPr>
            <a:xfrm>
              <a:off x="3783774" y="37518973"/>
              <a:ext cx="6773566" cy="2781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2" name="TextBox 31">
              <a:extLst>
                <a:ext uri="{FF2B5EF4-FFF2-40B4-BE49-F238E27FC236}">
                  <a16:creationId xmlns:a16="http://schemas.microsoft.com/office/drawing/2014/main" id="{00000000-0008-0000-0200-000020000000}"/>
                </a:ext>
              </a:extLst>
            </xdr:cNvPr>
            <xdr:cNvSpPr txBox="1"/>
          </xdr:nvSpPr>
          <xdr:spPr>
            <a:xfrm>
              <a:off x="3783774" y="37518973"/>
              <a:ext cx="6773566" cy="2781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325</xdr:row>
      <xdr:rowOff>95247</xdr:rowOff>
    </xdr:from>
    <xdr:to>
      <xdr:col>6</xdr:col>
      <xdr:colOff>599905</xdr:colOff>
      <xdr:row>327</xdr:row>
      <xdr:rowOff>152572</xdr:rowOff>
    </xdr:to>
    <mc:AlternateContent xmlns:mc="http://schemas.openxmlformats.org/markup-compatibility/2006" xmlns:a14="http://schemas.microsoft.com/office/drawing/2010/main">
      <mc:Choice Requires="a14">
        <xdr:sp macro="" textlink="">
          <xdr:nvSpPr>
            <xdr:cNvPr id="524" name="TextBox 30">
              <a:extLst>
                <a:ext uri="{FF2B5EF4-FFF2-40B4-BE49-F238E27FC236}">
                  <a16:creationId xmlns:a16="http://schemas.microsoft.com/office/drawing/2014/main" id="{00000000-0008-0000-0500-00000C020000}"/>
                </a:ext>
              </a:extLst>
            </xdr:cNvPr>
            <xdr:cNvSpPr txBox="1"/>
          </xdr:nvSpPr>
          <xdr:spPr>
            <a:xfrm>
              <a:off x="2792085" y="82690604"/>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1" name="TextBox 30"/>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5</xdr:col>
      <xdr:colOff>105047</xdr:colOff>
      <xdr:row>298</xdr:row>
      <xdr:rowOff>0</xdr:rowOff>
    </xdr:from>
    <xdr:to>
      <xdr:col>8</xdr:col>
      <xdr:colOff>683559</xdr:colOff>
      <xdr:row>300</xdr:row>
      <xdr:rowOff>134793</xdr:rowOff>
    </xdr:to>
    <mc:AlternateContent xmlns:mc="http://schemas.openxmlformats.org/markup-compatibility/2006" xmlns:a14="http://schemas.microsoft.com/office/drawing/2010/main">
      <mc:Choice Requires="a14">
        <xdr:sp macro="" textlink="">
          <xdr:nvSpPr>
            <xdr:cNvPr id="525" name="TextBox 29">
              <a:extLst>
                <a:ext uri="{FF2B5EF4-FFF2-40B4-BE49-F238E27FC236}">
                  <a16:creationId xmlns:a16="http://schemas.microsoft.com/office/drawing/2014/main" id="{00000000-0008-0000-0500-00000D020000}"/>
                </a:ext>
              </a:extLst>
            </xdr:cNvPr>
            <xdr:cNvSpPr txBox="1"/>
          </xdr:nvSpPr>
          <xdr:spPr>
            <a:xfrm>
              <a:off x="8704761" y="77764821"/>
              <a:ext cx="5395441" cy="488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solidFill>
                                          <a:sysClr val="windowText" lastClr="000000"/>
                                        </a:solidFill>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8883063" y="39870529"/>
              <a:ext cx="5236349"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a:t>
              </a:r>
              <a:r>
                <a:rPr lang="en-US" sz="1400" b="0" i="0">
                  <a:solidFill>
                    <a:sysClr val="windowText" lastClr="000000"/>
                  </a:solidFill>
                  <a:latin typeface="Cambria Math" panose="02040503050406030204" pitchFamily="18" charset="0"/>
                  <a:ea typeface="Cambria Math" panose="02040503050406030204" pitchFamily="18" charset="0"/>
                </a:rPr>
                <a:t>𝐼𝐸𝐸𝑅〗_</a:t>
              </a:r>
              <a:r>
                <a:rPr lang="en-US" sz="1400" b="0" i="0">
                  <a:latin typeface="Cambria Math" panose="02040503050406030204" pitchFamily="18" charset="0"/>
                  <a:ea typeface="Cambria Math" panose="02040503050406030204" pitchFamily="18" charset="0"/>
                </a:rPr>
                <a:t>𝑏𝑎𝑠𝑒 )−(</a:t>
              </a:r>
              <a:r>
                <a:rPr lang="en-US" sz="1400" b="0" i="0">
                  <a:solidFill>
                    <a:sysClr val="windowText" lastClr="000000"/>
                  </a:solidFill>
                  <a:latin typeface="Cambria Math" panose="02040503050406030204" pitchFamily="18" charset="0"/>
                  <a:ea typeface="Cambria Math" panose="02040503050406030204" pitchFamily="18" charset="0"/>
                </a:rPr>
                <a:t>1/〖𝐼𝐸𝐸𝑅〗_𝑒𝑒 )]</a:t>
              </a:r>
              <a:r>
                <a:rPr lang="en-US" sz="1400" b="0" i="0">
                  <a:latin typeface="Cambria Math" panose="02040503050406030204" pitchFamily="18" charset="0"/>
                  <a:ea typeface="Cambria Math" panose="02040503050406030204" pitchFamily="18" charset="0"/>
                </a:rPr>
                <a:t>∗𝐸𝐹𝐿𝐻</a:t>
              </a:r>
              <a:endParaRPr lang="en-US" sz="1100"/>
            </a:p>
          </xdr:txBody>
        </xdr:sp>
      </mc:Fallback>
    </mc:AlternateContent>
    <xdr:clientData/>
  </xdr:twoCellAnchor>
  <xdr:twoCellAnchor>
    <xdr:from>
      <xdr:col>3</xdr:col>
      <xdr:colOff>781049</xdr:colOff>
      <xdr:row>297</xdr:row>
      <xdr:rowOff>167912</xdr:rowOff>
    </xdr:from>
    <xdr:to>
      <xdr:col>4</xdr:col>
      <xdr:colOff>4112559</xdr:colOff>
      <xdr:row>300</xdr:row>
      <xdr:rowOff>123635</xdr:rowOff>
    </xdr:to>
    <mc:AlternateContent xmlns:mc="http://schemas.openxmlformats.org/markup-compatibility/2006" xmlns:a14="http://schemas.microsoft.com/office/drawing/2010/main">
      <mc:Choice Requires="a14">
        <xdr:sp macro="" textlink="">
          <xdr:nvSpPr>
            <xdr:cNvPr id="526" name="TextBox 28">
              <a:extLst>
                <a:ext uri="{FF2B5EF4-FFF2-40B4-BE49-F238E27FC236}">
                  <a16:creationId xmlns:a16="http://schemas.microsoft.com/office/drawing/2014/main" id="{00000000-0008-0000-0500-00000E020000}"/>
                </a:ext>
              </a:extLst>
            </xdr:cNvPr>
            <xdr:cNvSpPr txBox="1"/>
          </xdr:nvSpPr>
          <xdr:spPr>
            <a:xfrm>
              <a:off x="2822120" y="77755841"/>
              <a:ext cx="5018796" cy="4864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3257549" y="39855561"/>
              <a:ext cx="4810686"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𝑘𝑊ℎ=(𝑘𝐵𝑡𝑢/ℎ𝑟)∗[(1/〖𝑆𝐸𝐸𝑅〗_𝑏𝑎𝑠𝑒 )−(1/〖𝑆𝐸𝐸𝑅〗_𝑒𝑒 )]∗𝐸𝐹𝐿𝐻</a:t>
              </a:r>
              <a:endParaRPr lang="en-US" sz="1100"/>
            </a:p>
          </xdr:txBody>
        </xdr:sp>
      </mc:Fallback>
    </mc:AlternateContent>
    <xdr:clientData/>
  </xdr:twoCellAnchor>
  <xdr:twoCellAnchor>
    <xdr:from>
      <xdr:col>3</xdr:col>
      <xdr:colOff>751014</xdr:colOff>
      <xdr:row>301</xdr:row>
      <xdr:rowOff>21224</xdr:rowOff>
    </xdr:from>
    <xdr:to>
      <xdr:col>6</xdr:col>
      <xdr:colOff>599905</xdr:colOff>
      <xdr:row>302</xdr:row>
      <xdr:rowOff>136071</xdr:rowOff>
    </xdr:to>
    <mc:AlternateContent xmlns:mc="http://schemas.openxmlformats.org/markup-compatibility/2006" xmlns:a14="http://schemas.microsoft.com/office/drawing/2010/main">
      <mc:Choice Requires="a14">
        <xdr:sp macro="" textlink="">
          <xdr:nvSpPr>
            <xdr:cNvPr id="527" name="TextBox 27">
              <a:extLst>
                <a:ext uri="{FF2B5EF4-FFF2-40B4-BE49-F238E27FC236}">
                  <a16:creationId xmlns:a16="http://schemas.microsoft.com/office/drawing/2014/main" id="{00000000-0008-0000-0500-00000F020000}"/>
                </a:ext>
              </a:extLst>
            </xdr:cNvPr>
            <xdr:cNvSpPr txBox="1"/>
          </xdr:nvSpPr>
          <xdr:spPr>
            <a:xfrm>
              <a:off x="2792085" y="78316724"/>
              <a:ext cx="7754641" cy="2917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8" name="TextBox 27"/>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266</xdr:row>
      <xdr:rowOff>95248</xdr:rowOff>
    </xdr:from>
    <xdr:to>
      <xdr:col>6</xdr:col>
      <xdr:colOff>599905</xdr:colOff>
      <xdr:row>267</xdr:row>
      <xdr:rowOff>105048</xdr:rowOff>
    </xdr:to>
    <mc:AlternateContent xmlns:mc="http://schemas.openxmlformats.org/markup-compatibility/2006" xmlns:a14="http://schemas.microsoft.com/office/drawing/2010/main">
      <mc:Choice Requires="a14">
        <xdr:sp macro="" textlink="">
          <xdr:nvSpPr>
            <xdr:cNvPr id="529" name="TextBox 25">
              <a:extLst>
                <a:ext uri="{FF2B5EF4-FFF2-40B4-BE49-F238E27FC236}">
                  <a16:creationId xmlns:a16="http://schemas.microsoft.com/office/drawing/2014/main" id="{00000000-0008-0000-0500-000011020000}"/>
                </a:ext>
              </a:extLst>
            </xdr:cNvPr>
            <xdr:cNvSpPr txBox="1"/>
          </xdr:nvSpPr>
          <xdr:spPr>
            <a:xfrm>
              <a:off x="2792085" y="71764069"/>
              <a:ext cx="7754641" cy="1866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6" name="TextBox 25"/>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249</xdr:row>
      <xdr:rowOff>95247</xdr:rowOff>
    </xdr:from>
    <xdr:to>
      <xdr:col>6</xdr:col>
      <xdr:colOff>599905</xdr:colOff>
      <xdr:row>251</xdr:row>
      <xdr:rowOff>152572</xdr:rowOff>
    </xdr:to>
    <mc:AlternateContent xmlns:mc="http://schemas.openxmlformats.org/markup-compatibility/2006" xmlns:a14="http://schemas.microsoft.com/office/drawing/2010/main">
      <mc:Choice Requires="a14">
        <xdr:sp macro="" textlink="">
          <xdr:nvSpPr>
            <xdr:cNvPr id="531" name="TextBox 23">
              <a:extLst>
                <a:ext uri="{FF2B5EF4-FFF2-40B4-BE49-F238E27FC236}">
                  <a16:creationId xmlns:a16="http://schemas.microsoft.com/office/drawing/2014/main" id="{00000000-0008-0000-0500-000013020000}"/>
                </a:ext>
              </a:extLst>
            </xdr:cNvPr>
            <xdr:cNvSpPr txBox="1"/>
          </xdr:nvSpPr>
          <xdr:spPr>
            <a:xfrm>
              <a:off x="2792085" y="68566390"/>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4" name="TextBox 23"/>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115289</xdr:colOff>
      <xdr:row>232</xdr:row>
      <xdr:rowOff>126271</xdr:rowOff>
    </xdr:from>
    <xdr:to>
      <xdr:col>5</xdr:col>
      <xdr:colOff>1345577</xdr:colOff>
      <xdr:row>235</xdr:row>
      <xdr:rowOff>16500</xdr:rowOff>
    </xdr:to>
    <mc:AlternateContent xmlns:mc="http://schemas.openxmlformats.org/markup-compatibility/2006" xmlns:a14="http://schemas.microsoft.com/office/drawing/2010/main">
      <mc:Choice Requires="a14">
        <xdr:sp macro="" textlink="">
          <xdr:nvSpPr>
            <xdr:cNvPr id="532" name="TextBox 22">
              <a:extLst>
                <a:ext uri="{FF2B5EF4-FFF2-40B4-BE49-F238E27FC236}">
                  <a16:creationId xmlns:a16="http://schemas.microsoft.com/office/drawing/2014/main" id="{00000000-0008-0000-0500-000014020000}"/>
                </a:ext>
              </a:extLst>
            </xdr:cNvPr>
            <xdr:cNvSpPr txBox="1"/>
          </xdr:nvSpPr>
          <xdr:spPr>
            <a:xfrm>
              <a:off x="2156360" y="65399735"/>
              <a:ext cx="7788931" cy="4209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3" name="TextBox 22"/>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762000</xdr:colOff>
      <xdr:row>211</xdr:row>
      <xdr:rowOff>21227</xdr:rowOff>
    </xdr:from>
    <xdr:to>
      <xdr:col>4</xdr:col>
      <xdr:colOff>4439769</xdr:colOff>
      <xdr:row>212</xdr:row>
      <xdr:rowOff>60688</xdr:rowOff>
    </xdr:to>
    <xdr:pic>
      <xdr:nvPicPr>
        <xdr:cNvPr id="533" name="Picture 21">
          <a:extLst>
            <a:ext uri="{FF2B5EF4-FFF2-40B4-BE49-F238E27FC236}">
              <a16:creationId xmlns:a16="http://schemas.microsoft.com/office/drawing/2014/main" id="{00000000-0008-0000-0500-00001502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803071" y="61348620"/>
          <a:ext cx="5365055" cy="2163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751014</xdr:colOff>
      <xdr:row>213</xdr:row>
      <xdr:rowOff>95247</xdr:rowOff>
    </xdr:from>
    <xdr:to>
      <xdr:col>6</xdr:col>
      <xdr:colOff>599905</xdr:colOff>
      <xdr:row>215</xdr:row>
      <xdr:rowOff>152572</xdr:rowOff>
    </xdr:to>
    <mc:AlternateContent xmlns:mc="http://schemas.openxmlformats.org/markup-compatibility/2006" xmlns:a14="http://schemas.microsoft.com/office/drawing/2010/main">
      <mc:Choice Requires="a14">
        <xdr:sp macro="" textlink="">
          <xdr:nvSpPr>
            <xdr:cNvPr id="534" name="TextBox 20">
              <a:extLst>
                <a:ext uri="{FF2B5EF4-FFF2-40B4-BE49-F238E27FC236}">
                  <a16:creationId xmlns:a16="http://schemas.microsoft.com/office/drawing/2014/main" id="{00000000-0008-0000-0500-000016020000}"/>
                </a:ext>
              </a:extLst>
            </xdr:cNvPr>
            <xdr:cNvSpPr txBox="1"/>
          </xdr:nvSpPr>
          <xdr:spPr>
            <a:xfrm>
              <a:off x="2792085" y="61776426"/>
              <a:ext cx="7754641"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1" name="TextBox 20"/>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740227</xdr:colOff>
      <xdr:row>169</xdr:row>
      <xdr:rowOff>155121</xdr:rowOff>
    </xdr:from>
    <xdr:to>
      <xdr:col>4</xdr:col>
      <xdr:colOff>926930</xdr:colOff>
      <xdr:row>171</xdr:row>
      <xdr:rowOff>56784</xdr:rowOff>
    </xdr:to>
    <mc:AlternateContent xmlns:mc="http://schemas.openxmlformats.org/markup-compatibility/2006" xmlns:a14="http://schemas.microsoft.com/office/drawing/2010/main">
      <mc:Choice Requires="a14">
        <xdr:sp macro="" textlink="">
          <xdr:nvSpPr>
            <xdr:cNvPr id="540" name="TextBox 14">
              <a:extLst>
                <a:ext uri="{FF2B5EF4-FFF2-40B4-BE49-F238E27FC236}">
                  <a16:creationId xmlns:a16="http://schemas.microsoft.com/office/drawing/2014/main" id="{00000000-0008-0000-0500-00001C020000}"/>
                </a:ext>
              </a:extLst>
            </xdr:cNvPr>
            <xdr:cNvSpPr txBox="1"/>
          </xdr:nvSpPr>
          <xdr:spPr>
            <a:xfrm>
              <a:off x="2781298" y="51372407"/>
              <a:ext cx="1873989" cy="25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=1747∗</m:t>
                    </m:r>
                    <m:r>
                      <a:rPr lang="en-US" sz="1400" b="0" i="1">
                        <a:latin typeface="Cambria Math" panose="02040503050406030204" pitchFamily="18" charset="0"/>
                        <a:ea typeface="Cambria Math" panose="02040503050406030204" pitchFamily="18" charset="0"/>
                      </a:rPr>
                      <m:t>𝐻𝑃</m:t>
                    </m:r>
                  </m:oMath>
                </m:oMathPara>
              </a14:m>
              <a:endParaRPr lang="en-US" sz="1400"/>
            </a:p>
          </xdr:txBody>
        </xdr:sp>
      </mc:Choice>
      <mc:Fallback xmlns="">
        <xdr:sp macro="" textlink="">
          <xdr:nvSpPr>
            <xdr:cNvPr id="15" name="TextBox 14"/>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𝑘𝑊ℎ=1747∗𝐻𝑃</a:t>
              </a:r>
              <a:endParaRPr lang="en-US" sz="1400"/>
            </a:p>
          </xdr:txBody>
        </xdr:sp>
      </mc:Fallback>
    </mc:AlternateContent>
    <xdr:clientData/>
  </xdr:twoCellAnchor>
  <xdr:twoCellAnchor>
    <xdr:from>
      <xdr:col>3</xdr:col>
      <xdr:colOff>751014</xdr:colOff>
      <xdr:row>172</xdr:row>
      <xdr:rowOff>95247</xdr:rowOff>
    </xdr:from>
    <xdr:to>
      <xdr:col>6</xdr:col>
      <xdr:colOff>599905</xdr:colOff>
      <xdr:row>174</xdr:row>
      <xdr:rowOff>152572</xdr:rowOff>
    </xdr:to>
    <mc:AlternateContent xmlns:mc="http://schemas.openxmlformats.org/markup-compatibility/2006" xmlns:a14="http://schemas.microsoft.com/office/drawing/2010/main">
      <mc:Choice Requires="a14">
        <xdr:sp macro="" textlink="">
          <xdr:nvSpPr>
            <xdr:cNvPr id="541" name="TextBox 13">
              <a:extLst>
                <a:ext uri="{FF2B5EF4-FFF2-40B4-BE49-F238E27FC236}">
                  <a16:creationId xmlns:a16="http://schemas.microsoft.com/office/drawing/2014/main" id="{00000000-0008-0000-0500-00001D020000}"/>
                </a:ext>
              </a:extLst>
            </xdr:cNvPr>
            <xdr:cNvSpPr txBox="1"/>
          </xdr:nvSpPr>
          <xdr:spPr>
            <a:xfrm>
              <a:off x="2792085" y="51843211"/>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4" name="TextBox 13"/>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941514</xdr:colOff>
      <xdr:row>151</xdr:row>
      <xdr:rowOff>64222</xdr:rowOff>
    </xdr:from>
    <xdr:to>
      <xdr:col>6</xdr:col>
      <xdr:colOff>790405</xdr:colOff>
      <xdr:row>153</xdr:row>
      <xdr:rowOff>131072</xdr:rowOff>
    </xdr:to>
    <mc:AlternateContent xmlns:mc="http://schemas.openxmlformats.org/markup-compatibility/2006" xmlns:a14="http://schemas.microsoft.com/office/drawing/2010/main">
      <mc:Choice Requires="a14">
        <xdr:sp macro="" textlink="">
          <xdr:nvSpPr>
            <xdr:cNvPr id="546" name="TextBox 7">
              <a:extLst>
                <a:ext uri="{FF2B5EF4-FFF2-40B4-BE49-F238E27FC236}">
                  <a16:creationId xmlns:a16="http://schemas.microsoft.com/office/drawing/2014/main" id="{00000000-0008-0000-0500-000022020000}"/>
                </a:ext>
              </a:extLst>
            </xdr:cNvPr>
            <xdr:cNvSpPr txBox="1"/>
          </xdr:nvSpPr>
          <xdr:spPr>
            <a:xfrm>
              <a:off x="2988028" y="20670879"/>
              <a:ext cx="7751920" cy="436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2988028" y="20670879"/>
              <a:ext cx="7751920" cy="436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1273628</xdr:colOff>
      <xdr:row>125</xdr:row>
      <xdr:rowOff>182161</xdr:rowOff>
    </xdr:from>
    <xdr:to>
      <xdr:col>4</xdr:col>
      <xdr:colOff>1480457</xdr:colOff>
      <xdr:row>128</xdr:row>
      <xdr:rowOff>54427</xdr:rowOff>
    </xdr:to>
    <mc:AlternateContent xmlns:mc="http://schemas.openxmlformats.org/markup-compatibility/2006" xmlns:a14="http://schemas.microsoft.com/office/drawing/2010/main">
      <mc:Choice Requires="a14">
        <xdr:sp macro="" textlink="">
          <xdr:nvSpPr>
            <xdr:cNvPr id="547" name="TextBox 5">
              <a:extLst>
                <a:ext uri="{FF2B5EF4-FFF2-40B4-BE49-F238E27FC236}">
                  <a16:creationId xmlns:a16="http://schemas.microsoft.com/office/drawing/2014/main" id="{00000000-0008-0000-0500-000023020000}"/>
                </a:ext>
              </a:extLst>
            </xdr:cNvPr>
            <xdr:cNvSpPr txBox="1"/>
          </xdr:nvSpPr>
          <xdr:spPr>
            <a:xfrm>
              <a:off x="3320142" y="41439018"/>
              <a:ext cx="1894115" cy="427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3320142" y="41439018"/>
              <a:ext cx="1894115" cy="427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1429840</xdr:colOff>
      <xdr:row>33</xdr:row>
      <xdr:rowOff>168825</xdr:rowOff>
    </xdr:from>
    <xdr:to>
      <xdr:col>4</xdr:col>
      <xdr:colOff>2725240</xdr:colOff>
      <xdr:row>36</xdr:row>
      <xdr:rowOff>57150</xdr:rowOff>
    </xdr:to>
    <mc:AlternateContent xmlns:mc="http://schemas.openxmlformats.org/markup-compatibility/2006" xmlns:a14="http://schemas.microsoft.com/office/drawing/2010/main">
      <mc:Choice Requires="a14">
        <xdr:sp macro="" textlink="">
          <xdr:nvSpPr>
            <xdr:cNvPr id="548" name="TextBox 4">
              <a:extLst>
                <a:ext uri="{FF2B5EF4-FFF2-40B4-BE49-F238E27FC236}">
                  <a16:creationId xmlns:a16="http://schemas.microsoft.com/office/drawing/2014/main" id="{00000000-0008-0000-0500-000024020000}"/>
                </a:ext>
              </a:extLst>
            </xdr:cNvPr>
            <xdr:cNvSpPr txBox="1"/>
          </xdr:nvSpPr>
          <xdr:spPr>
            <a:xfrm>
              <a:off x="3468190" y="7893600"/>
              <a:ext cx="2981325" cy="431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ndParaRPr>
            </a:p>
          </xdr:txBody>
        </xdr:sp>
      </mc:Choice>
      <mc:Fallback xmlns="">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3468190" y="7893600"/>
              <a:ext cx="2981325" cy="431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𝑥 𝐼𝐹𝑘𝑊</a:t>
              </a:r>
              <a:endParaRPr lang="en-US" sz="1400">
                <a:solidFill>
                  <a:sysClr val="windowText" lastClr="000000"/>
                </a:solidFill>
              </a:endParaRPr>
            </a:p>
          </xdr:txBody>
        </xdr:sp>
      </mc:Fallback>
    </mc:AlternateContent>
    <xdr:clientData/>
  </xdr:twoCellAnchor>
  <xdr:twoCellAnchor>
    <xdr:from>
      <xdr:col>4</xdr:col>
      <xdr:colOff>38100</xdr:colOff>
      <xdr:row>95</xdr:row>
      <xdr:rowOff>31019</xdr:rowOff>
    </xdr:from>
    <xdr:to>
      <xdr:col>5</xdr:col>
      <xdr:colOff>190500</xdr:colOff>
      <xdr:row>97</xdr:row>
      <xdr:rowOff>13607</xdr:rowOff>
    </xdr:to>
    <mc:AlternateContent xmlns:mc="http://schemas.openxmlformats.org/markup-compatibility/2006" xmlns:a14="http://schemas.microsoft.com/office/drawing/2010/main">
      <mc:Choice Requires="a14">
        <xdr:sp macro="" textlink="">
          <xdr:nvSpPr>
            <xdr:cNvPr id="550" name="TextBox 2">
              <a:extLst>
                <a:ext uri="{FF2B5EF4-FFF2-40B4-BE49-F238E27FC236}">
                  <a16:creationId xmlns:a16="http://schemas.microsoft.com/office/drawing/2014/main" id="{00000000-0008-0000-0500-000026020000}"/>
                </a:ext>
              </a:extLst>
            </xdr:cNvPr>
            <xdr:cNvSpPr txBox="1"/>
          </xdr:nvSpPr>
          <xdr:spPr>
            <a:xfrm>
              <a:off x="4057650" y="42502994"/>
              <a:ext cx="5562600" cy="3635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14:m>
                <m:oMath xmlns:m="http://schemas.openxmlformats.org/officeDocument/2006/math">
                  <m:r>
                    <m:rPr>
                      <m:nor/>
                    </m:rPr>
                    <a:rPr lang="en-US" sz="1400" i="1" baseline="0">
                      <a:solidFill>
                        <a:schemeClr val="tx1"/>
                      </a:solidFill>
                      <a:effectLst/>
                      <a:latin typeface="+mn-lt"/>
                      <a:ea typeface="+mn-ea"/>
                      <a:cs typeface="+mn-cs"/>
                    </a:rPr>
                    <m:t>(</m:t>
                  </m:r>
                </m:oMath>
              </a14:m>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DOE Fed Reg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Choice>
      <mc:Fallback xmlns="">
        <xdr:sp macro="" textlink="">
          <xdr:nvSpPr>
            <xdr:cNvPr id="550" name="TextBox 2">
              <a:extLst>
                <a:ext uri="{FF2B5EF4-FFF2-40B4-BE49-F238E27FC236}">
                  <a16:creationId xmlns:a16="http://schemas.microsoft.com/office/drawing/2014/main" id="{00000000-0008-0000-0500-000026020000}"/>
                </a:ext>
              </a:extLst>
            </xdr:cNvPr>
            <xdr:cNvSpPr txBox="1"/>
          </xdr:nvSpPr>
          <xdr:spPr>
            <a:xfrm>
              <a:off x="4057650" y="42502994"/>
              <a:ext cx="5562600" cy="3635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r>
                <a:rPr lang="en-US" sz="1400" i="0" baseline="0">
                  <a:solidFill>
                    <a:schemeClr val="tx1"/>
                  </a:solidFill>
                  <a:effectLst/>
                  <a:latin typeface="Cambria Math" panose="02040503050406030204" pitchFamily="18" charset="0"/>
                  <a:ea typeface="+mn-ea"/>
                  <a:cs typeface="+mn-cs"/>
                </a:rPr>
                <a:t>"(</a:t>
              </a:r>
              <a:r>
                <a:rPr lang="en-US" sz="1400" i="0" baseline="0">
                  <a:solidFill>
                    <a:schemeClr val="tx1"/>
                  </a:solidFill>
                  <a:effectLst/>
                  <a:latin typeface="+mn-lt"/>
                  <a:ea typeface="+mn-ea"/>
                  <a:cs typeface="+mn-cs"/>
                </a:rPr>
                <a:t>"</a:t>
              </a:r>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DOE Fed Reg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Fallback>
    </mc:AlternateContent>
    <xdr:clientData/>
  </xdr:twoCellAnchor>
  <xdr:twoCellAnchor>
    <xdr:from>
      <xdr:col>3</xdr:col>
      <xdr:colOff>1396911</xdr:colOff>
      <xdr:row>26</xdr:row>
      <xdr:rowOff>167642</xdr:rowOff>
    </xdr:from>
    <xdr:to>
      <xdr:col>9</xdr:col>
      <xdr:colOff>408214</xdr:colOff>
      <xdr:row>29</xdr:row>
      <xdr:rowOff>152401</xdr:rowOff>
    </xdr:to>
    <mc:AlternateContent xmlns:mc="http://schemas.openxmlformats.org/markup-compatibility/2006" xmlns:a14="http://schemas.microsoft.com/office/drawing/2010/main">
      <mc:Choice Requires="a14">
        <xdr:sp macro="" textlink="">
          <xdr:nvSpPr>
            <xdr:cNvPr id="551" name="TextBox 171">
              <a:extLst>
                <a:ext uri="{FF2B5EF4-FFF2-40B4-BE49-F238E27FC236}">
                  <a16:creationId xmlns:a16="http://schemas.microsoft.com/office/drawing/2014/main" id="{00000000-0008-0000-0500-000027020000}"/>
                </a:ext>
              </a:extLst>
            </xdr:cNvPr>
            <xdr:cNvSpPr txBox="1"/>
          </xdr:nvSpPr>
          <xdr:spPr>
            <a:xfrm>
              <a:off x="3437982" y="6699071"/>
              <a:ext cx="9434375" cy="515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𝐵𝑎𝑠𝑒</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𝐸𝐸</m:t>
                            </m:r>
                          </m:sub>
                        </m:sSub>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𝐻𝑜𝑢𝑟𝑠</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𝐴𝐷𝐽</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𝐸𝑀𝑉</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𝑊𝐻𝐹</m:t>
                        </m:r>
                      </m:e>
                      <m:sub>
                        <m:r>
                          <a:rPr lang="en-US" sz="1400" b="0" i="1">
                            <a:solidFill>
                              <a:sysClr val="windowText" lastClr="000000"/>
                            </a:solidFill>
                            <a:effectLst/>
                            <a:latin typeface="Cambria Math" panose="02040503050406030204" pitchFamily="18" charset="0"/>
                            <a:ea typeface="+mn-ea"/>
                            <a:cs typeface="+mn-cs"/>
                          </a:rPr>
                          <m:t>𝑒</m:t>
                        </m:r>
                      </m:sub>
                    </m:sSub>
                  </m:oMath>
                </m:oMathPara>
              </a14:m>
              <a:endParaRPr lang="en-US" sz="1400">
                <a:solidFill>
                  <a:sysClr val="windowText" lastClr="000000"/>
                </a:solidFill>
              </a:endParaRPr>
            </a:p>
          </xdr:txBody>
        </xdr:sp>
      </mc:Choice>
      <mc:Fallback xmlns="">
        <xdr:sp macro="" textlink="">
          <xdr:nvSpPr>
            <xdr:cNvPr id="172" name="TextBox 171">
              <a:extLst>
                <a:ext uri="{FF2B5EF4-FFF2-40B4-BE49-F238E27FC236}">
                  <a16:creationId xmlns:a16="http://schemas.microsoft.com/office/drawing/2014/main" id="{6CF37C97-8F32-450F-9926-0957564B2778}"/>
                </a:ext>
              </a:extLst>
            </xdr:cNvPr>
            <xdr:cNvSpPr txBox="1"/>
          </xdr:nvSpPr>
          <xdr:spPr>
            <a:xfrm>
              <a:off x="3437982" y="6699071"/>
              <a:ext cx="9434375" cy="515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mn-ea"/>
                  <a:cs typeface="+mn-cs"/>
                </a:rPr>
                <a:t>(〖𝑊𝑎𝑡𝑡𝑠〗_𝐵𝑎𝑠𝑒−〖𝑊𝑎𝑡𝑡𝑠〗_𝐸𝐸)</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×𝐼𝑆𝑅×𝐻𝑜𝑢𝑟𝑠×〖𝐴𝐷𝐽〗_𝐸𝑀𝑉</a:t>
              </a:r>
              <a:r>
                <a:rPr lang="en-US" sz="1400" b="0" i="0">
                  <a:solidFill>
                    <a:sysClr val="windowText" lastClr="000000"/>
                  </a:solidFill>
                  <a:effectLst/>
                  <a:latin typeface="Cambria Math" panose="02040503050406030204" pitchFamily="18" charset="0"/>
                  <a:ea typeface="+mn-ea"/>
                  <a:cs typeface="+mn-cs"/>
                </a:rPr>
                <a:t>×〖𝑊𝐻𝐹〗_𝑒</a:t>
              </a:r>
              <a:endParaRPr lang="en-US" sz="1400">
                <a:solidFill>
                  <a:sysClr val="windowText" lastClr="000000"/>
                </a:solidFill>
              </a:endParaRPr>
            </a:p>
          </xdr:txBody>
        </xdr:sp>
      </mc:Fallback>
    </mc:AlternateContent>
    <xdr:clientData/>
  </xdr:twoCellAnchor>
  <xdr:twoCellAnchor>
    <xdr:from>
      <xdr:col>3</xdr:col>
      <xdr:colOff>1295402</xdr:colOff>
      <xdr:row>64</xdr:row>
      <xdr:rowOff>135159</xdr:rowOff>
    </xdr:from>
    <xdr:to>
      <xdr:col>6</xdr:col>
      <xdr:colOff>866775</xdr:colOff>
      <xdr:row>66</xdr:row>
      <xdr:rowOff>63410</xdr:rowOff>
    </xdr:to>
    <mc:AlternateContent xmlns:mc="http://schemas.openxmlformats.org/markup-compatibility/2006" xmlns:a14="http://schemas.microsoft.com/office/drawing/2010/main">
      <mc:Choice Requires="a14">
        <xdr:sp macro="" textlink="">
          <xdr:nvSpPr>
            <xdr:cNvPr id="552" name="TextBox 45">
              <a:extLst>
                <a:ext uri="{FF2B5EF4-FFF2-40B4-BE49-F238E27FC236}">
                  <a16:creationId xmlns:a16="http://schemas.microsoft.com/office/drawing/2014/main" id="{00000000-0008-0000-0500-000028020000}"/>
                </a:ext>
              </a:extLst>
            </xdr:cNvPr>
            <xdr:cNvSpPr txBox="1"/>
          </xdr:nvSpPr>
          <xdr:spPr>
            <a:xfrm>
              <a:off x="3333752" y="21966459"/>
              <a:ext cx="6496048" cy="290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𝑘𝑊h</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sSub>
                      <m:sSubPr>
                        <m:ctrlPr>
                          <a:rPr lang="en-US" sz="1400" b="0" i="1" strike="noStrike" baseline="0">
                            <a:solidFill>
                              <a:sysClr val="windowText" lastClr="000000"/>
                            </a:solidFill>
                            <a:latin typeface="Cambria Math" panose="02040503050406030204" pitchFamily="18" charset="0"/>
                            <a:ea typeface="Cambria Math" panose="02040503050406030204" pitchFamily="18" charset="0"/>
                          </a:rPr>
                        </m:ctrlPr>
                      </m:sSubPr>
                      <m:e>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m:t>
                        </m:r>
                      </m:e>
                      <m:sub>
                        <m:r>
                          <a:rPr lang="en-US" sz="1400" b="0" i="1" strike="noStrike" baseline="0">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𝐻𝑜𝑢𝑟𝑠</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𝐸𝑆𝐹</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𝑊𝐻𝐹𝑒</m:t>
                    </m:r>
                  </m:oMath>
                </m:oMathPara>
              </a14:m>
              <a:endParaRPr lang="en-US" sz="1100" strike="noStrike" baseline="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00000000-0008-0000-0200-00002E000000}"/>
                </a:ext>
              </a:extLst>
            </xdr:cNvPr>
            <xdr:cNvSpPr txBox="1"/>
          </xdr:nvSpPr>
          <xdr:spPr>
            <a:xfrm>
              <a:off x="3333752" y="21966459"/>
              <a:ext cx="6496048" cy="290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strike="noStrike" baseline="0">
                  <a:solidFill>
                    <a:sysClr val="windowText" lastClr="000000"/>
                  </a:solidFill>
                  <a:latin typeface="Cambria Math" panose="02040503050406030204" pitchFamily="18" charset="0"/>
                  <a:ea typeface="Cambria Math" panose="02040503050406030204" pitchFamily="18" charset="0"/>
                </a:rPr>
                <a:t>∆</a:t>
              </a:r>
              <a:r>
                <a:rPr lang="en-US" sz="1400" b="0" i="0" strike="noStrike" baseline="0">
                  <a:solidFill>
                    <a:sysClr val="windowText" lastClr="000000"/>
                  </a:solidFill>
                  <a:latin typeface="Cambria Math" panose="02040503050406030204" pitchFamily="18" charset="0"/>
                  <a:ea typeface="Cambria Math" panose="02040503050406030204" pitchFamily="18" charset="0"/>
                </a:rPr>
                <a:t>𝑘𝑊ℎ=〖𝑘𝑊〗_𝐶𝑜𝑛𝑡𝑟𝑜𝑙𝑙𝑒𝑑∗𝐻𝑜𝑢𝑟𝑠∗𝐸𝑆𝐹∗𝑊𝐻𝐹𝑒</a:t>
              </a:r>
              <a:endParaRPr lang="en-US" sz="1100" strike="noStrike" baseline="0">
                <a:solidFill>
                  <a:sysClr val="windowText" lastClr="000000"/>
                </a:solidFill>
              </a:endParaRPr>
            </a:p>
          </xdr:txBody>
        </xdr:sp>
      </mc:Fallback>
    </mc:AlternateContent>
    <xdr:clientData/>
  </xdr:twoCellAnchor>
  <xdr:twoCellAnchor>
    <xdr:from>
      <xdr:col>3</xdr:col>
      <xdr:colOff>1240971</xdr:colOff>
      <xdr:row>123</xdr:row>
      <xdr:rowOff>163285</xdr:rowOff>
    </xdr:from>
    <xdr:to>
      <xdr:col>5</xdr:col>
      <xdr:colOff>685800</xdr:colOff>
      <xdr:row>125</xdr:row>
      <xdr:rowOff>97971</xdr:rowOff>
    </xdr:to>
    <mc:AlternateContent xmlns:mc="http://schemas.openxmlformats.org/markup-compatibility/2006" xmlns:a14="http://schemas.microsoft.com/office/drawing/2010/main">
      <mc:Choice Requires="a14">
        <xdr:sp macro="" textlink="">
          <xdr:nvSpPr>
            <xdr:cNvPr id="553" name="TextBox 6">
              <a:extLst>
                <a:ext uri="{FF2B5EF4-FFF2-40B4-BE49-F238E27FC236}">
                  <a16:creationId xmlns:a16="http://schemas.microsoft.com/office/drawing/2014/main" id="{00000000-0008-0000-0500-000029020000}"/>
                </a:ext>
              </a:extLst>
            </xdr:cNvPr>
            <xdr:cNvSpPr txBox="1"/>
          </xdr:nvSpPr>
          <xdr:spPr>
            <a:xfrm>
              <a:off x="3287485" y="41050028"/>
              <a:ext cx="6008915" cy="304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𝐷𝑂𝑂𝑅𝑆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𝐶𝑜𝑛𝑡𝑟𝑜𝑙</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𝐵𝐹</m:t>
                    </m:r>
                  </m:oMath>
                </m:oMathPara>
              </a14:m>
              <a:endParaRPr lang="en-US" sz="1400" b="0"/>
            </a:p>
          </xdr:txBody>
        </xdr:sp>
      </mc:Choice>
      <mc:Fallback xmlns="">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3287485" y="41050028"/>
              <a:ext cx="6008915" cy="304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∆𝑘𝑊ℎ=〖𝑘𝑊〗_𝐵𝑎𝑠𝑒∗𝐷𝑂𝑂𝑅𝑆∗(%〖𝑂𝑁〗_𝐵𝑎𝑠𝑒−%〖𝑂𝑁〗_𝐶𝑜𝑛𝑡𝑟𝑜𝑙 )∗𝐻𝑜𝑢𝑟𝑠∗𝐵𝐹</a:t>
              </a:r>
              <a:endParaRPr lang="en-US" sz="1400" b="0"/>
            </a:p>
          </xdr:txBody>
        </xdr:sp>
      </mc:Fallback>
    </mc:AlternateContent>
    <xdr:clientData/>
  </xdr:twoCellAnchor>
  <xdr:twoCellAnchor>
    <xdr:from>
      <xdr:col>5</xdr:col>
      <xdr:colOff>457200</xdr:colOff>
      <xdr:row>192</xdr:row>
      <xdr:rowOff>123825</xdr:rowOff>
    </xdr:from>
    <xdr:to>
      <xdr:col>9</xdr:col>
      <xdr:colOff>324122</xdr:colOff>
      <xdr:row>194</xdr:row>
      <xdr:rowOff>135524</xdr:rowOff>
    </xdr:to>
    <mc:AlternateContent xmlns:mc="http://schemas.openxmlformats.org/markup-compatibility/2006" xmlns:a14="http://schemas.microsoft.com/office/drawing/2010/main">
      <mc:Choice Requires="a14">
        <xdr:sp macro="" textlink="">
          <xdr:nvSpPr>
            <xdr:cNvPr id="12" name="TextBox 19">
              <a:extLst>
                <a:ext uri="{FF2B5EF4-FFF2-40B4-BE49-F238E27FC236}">
                  <a16:creationId xmlns:a16="http://schemas.microsoft.com/office/drawing/2014/main" id="{55799182-F79C-4FB2-AFD9-731AA5C4EF30}"/>
                </a:ext>
              </a:extLst>
            </xdr:cNvPr>
            <xdr:cNvSpPr txBox="1"/>
          </xdr:nvSpPr>
          <xdr:spPr>
            <a:xfrm>
              <a:off x="9886950" y="69675375"/>
              <a:ext cx="5410472" cy="392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200" i="1">
                        <a:latin typeface="Cambria Math" panose="02040503050406030204" pitchFamily="18" charset="0"/>
                        <a:ea typeface="Cambria Math" panose="02040503050406030204" pitchFamily="18" charset="0"/>
                      </a:rPr>
                      <m:t>∆</m:t>
                    </m:r>
                    <m:r>
                      <a:rPr lang="en-US" sz="1200" b="0" i="1">
                        <a:latin typeface="Cambria Math" panose="02040503050406030204" pitchFamily="18" charset="0"/>
                        <a:ea typeface="Cambria Math" panose="02040503050406030204" pitchFamily="18" charset="0"/>
                      </a:rPr>
                      <m:t>𝑃𝑟𝑒𝐻𝑒𝑎𝑡𝐸𝑛𝑒𝑟𝑔𝑦</m:t>
                    </m:r>
                    <m:r>
                      <a:rPr lang="en-US" sz="1200" b="0" i="1">
                        <a:latin typeface="Cambria Math" panose="02040503050406030204" pitchFamily="18" charset="0"/>
                        <a:ea typeface="Cambria Math" panose="02040503050406030204" pitchFamily="18" charset="0"/>
                      </a:rPr>
                      <m:t>=</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𝑃𝑟𝑒𝐻𝑒𝑎𝑡𝐸𝑛𝑒𝑟𝑔𝑦</m:t>
                        </m:r>
                      </m:e>
                      <m:sub>
                        <m:r>
                          <a:rPr lang="en-US" sz="1200" b="0" i="1">
                            <a:latin typeface="Cambria Math" panose="02040503050406030204" pitchFamily="18" charset="0"/>
                            <a:ea typeface="Cambria Math" panose="02040503050406030204" pitchFamily="18" charset="0"/>
                          </a:rPr>
                          <m:t>𝐵𝑎𝑠𝑒</m:t>
                        </m:r>
                      </m:sub>
                    </m:sSub>
                    <m:r>
                      <a:rPr lang="en-US" sz="1200" b="0" i="0">
                        <a:latin typeface="Cambria Math" panose="02040503050406030204" pitchFamily="18" charset="0"/>
                        <a:ea typeface="Cambria Math" panose="02040503050406030204" pitchFamily="18" charset="0"/>
                      </a:rPr>
                      <m:t> </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 − </m:t>
                        </m:r>
                        <m:r>
                          <a:rPr lang="en-US" sz="1200" b="0" i="1">
                            <a:latin typeface="Cambria Math" panose="02040503050406030204" pitchFamily="18" charset="0"/>
                            <a:ea typeface="Cambria Math" panose="02040503050406030204" pitchFamily="18" charset="0"/>
                          </a:rPr>
                          <m:t>𝑃𝑟𝑒𝐻𝑒𝑎𝑡𝐸𝑛𝑒𝑟𝑔𝑦</m:t>
                        </m:r>
                      </m:e>
                      <m:sub>
                        <m:r>
                          <a:rPr lang="en-US" sz="1200" b="0" i="1">
                            <a:latin typeface="Cambria Math" panose="02040503050406030204" pitchFamily="18" charset="0"/>
                            <a:ea typeface="Cambria Math" panose="02040503050406030204" pitchFamily="18" charset="0"/>
                          </a:rPr>
                          <m:t>𝐸𝑆𝑇𝐴𝑅</m:t>
                        </m:r>
                      </m:sub>
                    </m:sSub>
                  </m:oMath>
                </m:oMathPara>
              </a14:m>
              <a:endParaRPr lang="en-US" sz="1200"/>
            </a:p>
          </xdr:txBody>
        </xdr:sp>
      </mc:Choice>
      <mc:Fallback xmlns="">
        <xdr:sp macro="" textlink="">
          <xdr:nvSpPr>
            <xdr:cNvPr id="12" name="TextBox 19">
              <a:extLst>
                <a:ext uri="{FF2B5EF4-FFF2-40B4-BE49-F238E27FC236}">
                  <a16:creationId xmlns:a16="http://schemas.microsoft.com/office/drawing/2014/main" id="{55799182-F79C-4FB2-AFD9-731AA5C4EF30}"/>
                </a:ext>
              </a:extLst>
            </xdr:cNvPr>
            <xdr:cNvSpPr txBox="1"/>
          </xdr:nvSpPr>
          <xdr:spPr>
            <a:xfrm>
              <a:off x="9886950" y="69675375"/>
              <a:ext cx="5410472" cy="392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200" i="0">
                  <a:latin typeface="Cambria Math" panose="02040503050406030204" pitchFamily="18" charset="0"/>
                  <a:ea typeface="Cambria Math" panose="02040503050406030204" pitchFamily="18" charset="0"/>
                </a:rPr>
                <a:t>∆</a:t>
              </a:r>
              <a:r>
                <a:rPr lang="en-US" sz="1200" b="0" i="0">
                  <a:latin typeface="Cambria Math" panose="02040503050406030204" pitchFamily="18" charset="0"/>
                  <a:ea typeface="Cambria Math" panose="02040503050406030204" pitchFamily="18" charset="0"/>
                </a:rPr>
                <a:t>𝑃𝑟𝑒𝐻𝑒𝑎𝑡𝐸𝑛𝑒𝑟𝑔𝑦=〖𝑃𝑟𝑒𝐻𝑒𝑎𝑡𝐸𝑛𝑒𝑟𝑔𝑦〗_𝐵𝑎𝑠𝑒  〖 − 𝑃𝑟𝑒𝐻𝑒𝑎𝑡𝐸𝑛𝑒𝑟𝑔𝑦〗_𝐸𝑆𝑇𝐴𝑅</a:t>
              </a:r>
              <a:endParaRPr lang="en-US" sz="1200"/>
            </a:p>
          </xdr:txBody>
        </xdr:sp>
      </mc:Fallback>
    </mc:AlternateContent>
    <xdr:clientData/>
  </xdr:twoCellAnchor>
  <xdr:twoCellAnchor>
    <xdr:from>
      <xdr:col>4</xdr:col>
      <xdr:colOff>111442</xdr:colOff>
      <xdr:row>187</xdr:row>
      <xdr:rowOff>38101</xdr:rowOff>
    </xdr:from>
    <xdr:to>
      <xdr:col>5</xdr:col>
      <xdr:colOff>933722</xdr:colOff>
      <xdr:row>193</xdr:row>
      <xdr:rowOff>174171</xdr:rowOff>
    </xdr:to>
    <mc:AlternateContent xmlns:mc="http://schemas.openxmlformats.org/markup-compatibility/2006">
      <mc:Choice xmlns:a14="http://schemas.microsoft.com/office/drawing/2010/main" Requires="a14">
        <xdr:sp macro="" textlink="">
          <xdr:nvSpPr>
            <xdr:cNvPr id="13" name="TextBox 12">
              <a:extLst>
                <a:ext uri="{FF2B5EF4-FFF2-40B4-BE49-F238E27FC236}">
                  <a16:creationId xmlns:a16="http://schemas.microsoft.com/office/drawing/2014/main" id="{AB4A97F8-87E0-207B-ED4A-BDF6EEB20F20}"/>
                </a:ext>
              </a:extLst>
            </xdr:cNvPr>
            <xdr:cNvSpPr txBox="1"/>
          </xdr:nvSpPr>
          <xdr:spPr>
            <a:xfrm>
              <a:off x="4139156" y="18500272"/>
              <a:ext cx="7800023" cy="15403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b="0" i="1">
                      <a:latin typeface="Cambria Math" panose="02040503050406030204" pitchFamily="18" charset="0"/>
                    </a:rPr>
                    <m:t>∆</m:t>
                  </m:r>
                </m:oMath>
              </a14:m>
              <a:r>
                <a:rPr lang="en-US" sz="1400"/>
                <a:t>kWh =( </a:t>
              </a:r>
              <a14:m>
                <m:oMath xmlns:m="http://schemas.openxmlformats.org/officeDocument/2006/math">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m:t>
                      </m:r>
                      <m:r>
                        <m:rPr>
                          <m:nor/>
                        </m:rPr>
                        <a:rPr lang="en-US" sz="1400">
                          <a:solidFill>
                            <a:schemeClr val="tx1"/>
                          </a:solidFill>
                          <a:effectLst/>
                          <a:latin typeface="+mn-lt"/>
                          <a:ea typeface="+mn-ea"/>
                          <a:cs typeface="+mn-cs"/>
                        </a:rPr>
                        <m:t>kWh</m:t>
                      </m:r>
                      <m:r>
                        <m:rPr>
                          <m:nor/>
                        </m:rPr>
                        <a:rPr lang="en-US" sz="1400">
                          <a:solidFill>
                            <a:schemeClr val="tx1"/>
                          </a:solidFill>
                          <a:effectLst/>
                          <a:latin typeface="+mn-lt"/>
                          <a:ea typeface="+mn-ea"/>
                          <a:cs typeface="+mn-cs"/>
                        </a:rPr>
                        <m:t>   </m:t>
                      </m:r>
                    </m:e>
                    <m:sub>
                      <m:r>
                        <a:rPr lang="en-US" sz="1400" b="0" i="1">
                          <a:solidFill>
                            <a:schemeClr val="tx1"/>
                          </a:solidFill>
                          <a:effectLst/>
                          <a:latin typeface="Cambria Math" panose="02040503050406030204" pitchFamily="18" charset="0"/>
                          <a:ea typeface="+mn-ea"/>
                          <a:cs typeface="+mn-cs"/>
                        </a:rPr>
                        <m:t>𝐼𝑑𝑙𝑒</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𝐸𝑛𝑒𝑟𝑔𝑦</m:t>
                      </m:r>
                      <m:r>
                        <a:rPr lang="en-US" sz="1400" b="0" i="1">
                          <a:solidFill>
                            <a:schemeClr val="tx1"/>
                          </a:solidFill>
                          <a:effectLst/>
                          <a:latin typeface="Cambria Math" panose="02040503050406030204" pitchFamily="18" charset="0"/>
                          <a:ea typeface="+mn-ea"/>
                          <a:cs typeface="+mn-cs"/>
                        </a:rPr>
                        <m:t>+  </m:t>
                      </m:r>
                    </m:sub>
                  </m:sSub>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m:t>
                      </m:r>
                      <m:r>
                        <m:rPr>
                          <m:nor/>
                        </m:rPr>
                        <a:rPr lang="en-US" sz="1400">
                          <a:solidFill>
                            <a:schemeClr val="tx1"/>
                          </a:solidFill>
                          <a:effectLst/>
                          <a:latin typeface="+mn-lt"/>
                          <a:ea typeface="+mn-ea"/>
                          <a:cs typeface="+mn-cs"/>
                        </a:rPr>
                        <m:t>kWh</m:t>
                      </m:r>
                      <m:r>
                        <m:rPr>
                          <m:nor/>
                        </m:rPr>
                        <a:rPr lang="en-US" sz="1400">
                          <a:solidFill>
                            <a:schemeClr val="tx1"/>
                          </a:solidFill>
                          <a:effectLst/>
                          <a:latin typeface="+mn-lt"/>
                          <a:ea typeface="+mn-ea"/>
                          <a:cs typeface="+mn-cs"/>
                        </a:rPr>
                        <m:t>   </m:t>
                      </m:r>
                    </m:e>
                    <m:sub>
                      <m:r>
                        <a:rPr lang="en-US" sz="1400" b="0" i="1">
                          <a:solidFill>
                            <a:schemeClr val="tx1"/>
                          </a:solidFill>
                          <a:effectLst/>
                          <a:latin typeface="Cambria Math" panose="02040503050406030204" pitchFamily="18" charset="0"/>
                          <a:ea typeface="+mn-ea"/>
                          <a:cs typeface="+mn-cs"/>
                        </a:rPr>
                        <m:t>𝐶𝑜𝑜𝑘𝑖𝑛𝑔𝐸𝑛𝑒𝑟𝑔𝑦</m:t>
                      </m:r>
                      <m:r>
                        <a:rPr lang="en-US" sz="1400" b="0" i="1">
                          <a:solidFill>
                            <a:schemeClr val="tx1"/>
                          </a:solidFill>
                          <a:effectLst/>
                          <a:latin typeface="Cambria Math" panose="02040503050406030204" pitchFamily="18" charset="0"/>
                          <a:ea typeface="+mn-ea"/>
                          <a:cs typeface="+mn-cs"/>
                        </a:rPr>
                        <m:t> </m:t>
                      </m:r>
                    </m:sub>
                  </m:sSub>
                  <m:r>
                    <a:rPr lang="en-US" sz="1400" b="0" i="1">
                      <a:solidFill>
                        <a:schemeClr val="tx1"/>
                      </a:solidFill>
                      <a:effectLst/>
                      <a:latin typeface="Cambria Math" panose="02040503050406030204" pitchFamily="18" charset="0"/>
                      <a:ea typeface="+mn-ea"/>
                      <a:cs typeface="+mn-cs"/>
                    </a:rPr>
                    <m:t>+</m:t>
                  </m:r>
                </m:oMath>
              </a14:m>
              <a:r>
                <a:rPr lang="en-US" sz="1400">
                  <a:solidFill>
                    <a:schemeClr val="tx1"/>
                  </a:solidFill>
                  <a:effectLst/>
                  <a:latin typeface="+mn-lt"/>
                  <a:ea typeface="+mn-ea"/>
                  <a:cs typeface="+mn-cs"/>
                </a:rPr>
                <a:t> </a:t>
              </a:r>
              <a14:m>
                <m:oMath xmlns:m="http://schemas.openxmlformats.org/officeDocument/2006/math">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m:t>
                      </m:r>
                      <m:r>
                        <m:rPr>
                          <m:nor/>
                        </m:rPr>
                        <a:rPr lang="en-US" sz="1400">
                          <a:solidFill>
                            <a:schemeClr val="tx1"/>
                          </a:solidFill>
                          <a:effectLst/>
                          <a:latin typeface="+mn-lt"/>
                          <a:ea typeface="+mn-ea"/>
                          <a:cs typeface="+mn-cs"/>
                        </a:rPr>
                        <m:t>kWh</m:t>
                      </m:r>
                      <m:r>
                        <m:rPr>
                          <m:nor/>
                        </m:rPr>
                        <a:rPr lang="en-US" sz="1400" i="1">
                          <a:solidFill>
                            <a:schemeClr val="tx1"/>
                          </a:solidFill>
                          <a:effectLst/>
                          <a:latin typeface="+mn-lt"/>
                          <a:ea typeface="+mn-ea"/>
                          <a:cs typeface="+mn-cs"/>
                        </a:rPr>
                        <m:t>   </m:t>
                      </m:r>
                    </m:e>
                    <m:sub>
                      <m:r>
                        <a:rPr lang="en-US" sz="1400" b="0" i="1">
                          <a:solidFill>
                            <a:schemeClr val="tx1"/>
                          </a:solidFill>
                          <a:effectLst/>
                          <a:latin typeface="Cambria Math" panose="02040503050406030204" pitchFamily="18" charset="0"/>
                          <a:ea typeface="+mn-ea"/>
                          <a:cs typeface="+mn-cs"/>
                        </a:rPr>
                        <m:t>𝑃𝑟𝑒𝐻𝑒𝑎𝑡𝐸𝑛𝑒𝑟𝑔𝑦</m:t>
                      </m:r>
                      <m:r>
                        <a:rPr lang="en-US" sz="1400" b="0" i="1">
                          <a:solidFill>
                            <a:schemeClr val="tx1"/>
                          </a:solidFill>
                          <a:effectLst/>
                          <a:latin typeface="Cambria Math" panose="02040503050406030204" pitchFamily="18" charset="0"/>
                          <a:ea typeface="+mn-ea"/>
                          <a:cs typeface="+mn-cs"/>
                        </a:rPr>
                        <m:t>  </m:t>
                      </m:r>
                    </m:sub>
                  </m:sSub>
                </m:oMath>
              </a14:m>
              <a:r>
                <a:rPr lang="en-US" sz="1400"/>
                <a:t>) x Days/1000</a:t>
              </a:r>
            </a:p>
          </xdr:txBody>
        </xdr:sp>
      </mc:Choice>
      <mc:Fallback>
        <xdr:sp macro="" textlink="">
          <xdr:nvSpPr>
            <xdr:cNvPr id="13" name="TextBox 12">
              <a:extLst>
                <a:ext uri="{FF2B5EF4-FFF2-40B4-BE49-F238E27FC236}">
                  <a16:creationId xmlns:a16="http://schemas.microsoft.com/office/drawing/2014/main" id="{AB4A97F8-87E0-207B-ED4A-BDF6EEB20F20}"/>
                </a:ext>
              </a:extLst>
            </xdr:cNvPr>
            <xdr:cNvSpPr txBox="1"/>
          </xdr:nvSpPr>
          <xdr:spPr>
            <a:xfrm>
              <a:off x="4139156" y="18500272"/>
              <a:ext cx="7800023" cy="15403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b="0" i="0">
                  <a:latin typeface="Cambria Math" panose="02040503050406030204" pitchFamily="18" charset="0"/>
                </a:rPr>
                <a:t>∆</a:t>
              </a:r>
              <a:r>
                <a:rPr lang="en-US" sz="1400"/>
                <a:t>kWh =( </a:t>
              </a:r>
              <a:r>
                <a:rPr lang="en-US" sz="1400" b="0" i="0">
                  <a:solidFill>
                    <a:schemeClr val="tx1"/>
                  </a:solidFill>
                  <a:effectLst/>
                  <a:latin typeface="Cambria Math" panose="02040503050406030204" pitchFamily="18" charset="0"/>
                  <a:ea typeface="+mn-ea"/>
                  <a:cs typeface="+mn-cs"/>
                </a:rPr>
                <a:t>〖∆</a:t>
              </a:r>
              <a:r>
                <a:rPr lang="en-US" sz="1400" b="0" i="0">
                  <a:solidFill>
                    <a:schemeClr val="tx1"/>
                  </a:solidFill>
                  <a:effectLst/>
                  <a:latin typeface="+mn-lt"/>
                  <a:ea typeface="+mn-ea"/>
                  <a:cs typeface="+mn-cs"/>
                </a:rPr>
                <a:t>"</a:t>
              </a:r>
              <a:r>
                <a:rPr lang="en-US" sz="1400" i="0">
                  <a:solidFill>
                    <a:schemeClr val="tx1"/>
                  </a:solidFill>
                  <a:effectLst/>
                  <a:latin typeface="+mn-lt"/>
                  <a:ea typeface="+mn-ea"/>
                  <a:cs typeface="+mn-cs"/>
                </a:rPr>
                <a:t>kWh   </a:t>
              </a:r>
              <a:r>
                <a:rPr lang="en-US" sz="1400" i="0">
                  <a:solidFill>
                    <a:schemeClr val="tx1"/>
                  </a:solidFill>
                  <a:effectLst/>
                  <a:latin typeface="Cambria Math" panose="02040503050406030204" pitchFamily="18" charset="0"/>
                  <a:ea typeface="+mn-ea"/>
                  <a:cs typeface="+mn-cs"/>
                </a:rPr>
                <a:t>" </a:t>
              </a:r>
              <a:r>
                <a:rPr lang="en-US" sz="1400" b="0" i="0">
                  <a:solidFill>
                    <a:schemeClr val="tx1"/>
                  </a:solidFill>
                  <a:effectLst/>
                  <a:latin typeface="Cambria Math" panose="02040503050406030204" pitchFamily="18" charset="0"/>
                  <a:ea typeface="+mn-ea"/>
                  <a:cs typeface="+mn-cs"/>
                </a:rPr>
                <a:t>〗_(𝐼𝑑𝑙𝑒 𝐸𝑛𝑒𝑟𝑔𝑦+  ) 〖∆</a:t>
              </a:r>
              <a:r>
                <a:rPr lang="en-US" sz="1400" b="0" i="0">
                  <a:solidFill>
                    <a:schemeClr val="tx1"/>
                  </a:solidFill>
                  <a:effectLst/>
                  <a:latin typeface="+mn-lt"/>
                  <a:ea typeface="+mn-ea"/>
                  <a:cs typeface="+mn-cs"/>
                </a:rPr>
                <a:t>"</a:t>
              </a:r>
              <a:r>
                <a:rPr lang="en-US" sz="1400" i="0">
                  <a:solidFill>
                    <a:schemeClr val="tx1"/>
                  </a:solidFill>
                  <a:effectLst/>
                  <a:latin typeface="+mn-lt"/>
                  <a:ea typeface="+mn-ea"/>
                  <a:cs typeface="+mn-cs"/>
                </a:rPr>
                <a:t>kWh   </a:t>
              </a:r>
              <a:r>
                <a:rPr lang="en-US" sz="1400" i="0">
                  <a:solidFill>
                    <a:schemeClr val="tx1"/>
                  </a:solidFill>
                  <a:effectLst/>
                  <a:latin typeface="Cambria Math" panose="02040503050406030204" pitchFamily="18" charset="0"/>
                  <a:ea typeface="+mn-ea"/>
                  <a:cs typeface="+mn-cs"/>
                </a:rPr>
                <a:t>" </a:t>
              </a:r>
              <a:r>
                <a:rPr lang="en-US" sz="1400" b="0" i="0">
                  <a:solidFill>
                    <a:schemeClr val="tx1"/>
                  </a:solidFill>
                  <a:effectLst/>
                  <a:latin typeface="Cambria Math" panose="02040503050406030204" pitchFamily="18" charset="0"/>
                  <a:ea typeface="+mn-ea"/>
                  <a:cs typeface="+mn-cs"/>
                </a:rPr>
                <a:t>〗_(𝐶𝑜𝑜𝑘𝑖𝑛𝑔𝐸𝑛𝑒𝑟𝑔𝑦 )+</a:t>
              </a:r>
              <a:r>
                <a:rPr lang="en-US" sz="1400">
                  <a:solidFill>
                    <a:schemeClr val="tx1"/>
                  </a:solidFill>
                  <a:effectLst/>
                  <a:latin typeface="+mn-lt"/>
                  <a:ea typeface="+mn-ea"/>
                  <a:cs typeface="+mn-cs"/>
                </a:rPr>
                <a:t> </a:t>
              </a:r>
              <a:r>
                <a:rPr lang="en-US" sz="1400" b="0" i="0">
                  <a:solidFill>
                    <a:schemeClr val="tx1"/>
                  </a:solidFill>
                  <a:effectLst/>
                  <a:latin typeface="Cambria Math" panose="02040503050406030204" pitchFamily="18" charset="0"/>
                  <a:ea typeface="+mn-ea"/>
                  <a:cs typeface="+mn-cs"/>
                </a:rPr>
                <a:t>〖∆</a:t>
              </a:r>
              <a:r>
                <a:rPr lang="en-US" sz="1400" b="0" i="0">
                  <a:solidFill>
                    <a:schemeClr val="tx1"/>
                  </a:solidFill>
                  <a:effectLst/>
                  <a:latin typeface="+mn-lt"/>
                  <a:ea typeface="+mn-ea"/>
                  <a:cs typeface="+mn-cs"/>
                </a:rPr>
                <a:t>"</a:t>
              </a:r>
              <a:r>
                <a:rPr lang="en-US" sz="1400" i="0">
                  <a:solidFill>
                    <a:schemeClr val="tx1"/>
                  </a:solidFill>
                  <a:effectLst/>
                  <a:latin typeface="+mn-lt"/>
                  <a:ea typeface="+mn-ea"/>
                  <a:cs typeface="+mn-cs"/>
                </a:rPr>
                <a:t>kWh   </a:t>
              </a:r>
              <a:r>
                <a:rPr lang="en-US" sz="1400" i="0">
                  <a:solidFill>
                    <a:schemeClr val="tx1"/>
                  </a:solidFill>
                  <a:effectLst/>
                  <a:latin typeface="Cambria Math" panose="02040503050406030204" pitchFamily="18" charset="0"/>
                  <a:ea typeface="+mn-ea"/>
                  <a:cs typeface="+mn-cs"/>
                </a:rPr>
                <a:t>" </a:t>
              </a:r>
              <a:r>
                <a:rPr lang="en-US" sz="1400" b="0" i="0">
                  <a:solidFill>
                    <a:schemeClr val="tx1"/>
                  </a:solidFill>
                  <a:effectLst/>
                  <a:latin typeface="Cambria Math" panose="02040503050406030204" pitchFamily="18" charset="0"/>
                  <a:ea typeface="+mn-ea"/>
                  <a:cs typeface="+mn-cs"/>
                </a:rPr>
                <a:t>〗_(𝑃𝑟𝑒𝐻𝑒𝑎𝑡𝐸𝑛𝑒𝑟𝑔𝑦  )</a:t>
              </a:r>
              <a:r>
                <a:rPr lang="en-US" sz="1400"/>
                <a:t>) x Days/1000</a:t>
              </a:r>
            </a:p>
          </xdr:txBody>
        </xdr:sp>
      </mc:Fallback>
    </mc:AlternateContent>
    <xdr:clientData/>
  </xdr:twoCellAnchor>
  <xdr:twoCellAnchor>
    <xdr:from>
      <xdr:col>4</xdr:col>
      <xdr:colOff>381000</xdr:colOff>
      <xdr:row>228</xdr:row>
      <xdr:rowOff>13608</xdr:rowOff>
    </xdr:from>
    <xdr:to>
      <xdr:col>4</xdr:col>
      <xdr:colOff>3125561</xdr:colOff>
      <xdr:row>229</xdr:row>
      <xdr:rowOff>23133</xdr:rowOff>
    </xdr:to>
    <xdr:pic>
      <xdr:nvPicPr>
        <xdr:cNvPr id="15" name="Picture 14">
          <a:extLst>
            <a:ext uri="{FF2B5EF4-FFF2-40B4-BE49-F238E27FC236}">
              <a16:creationId xmlns:a16="http://schemas.microsoft.com/office/drawing/2014/main" id="{BB5462C0-F134-D1BF-77BD-8D5B4204DF0B}"/>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395107" y="76553787"/>
          <a:ext cx="2744561"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421822</xdr:colOff>
      <xdr:row>230</xdr:row>
      <xdr:rowOff>176892</xdr:rowOff>
    </xdr:from>
    <xdr:to>
      <xdr:col>4</xdr:col>
      <xdr:colOff>5150304</xdr:colOff>
      <xdr:row>231</xdr:row>
      <xdr:rowOff>186417</xdr:rowOff>
    </xdr:to>
    <xdr:pic>
      <xdr:nvPicPr>
        <xdr:cNvPr id="16" name="Picture 15">
          <a:extLst>
            <a:ext uri="{FF2B5EF4-FFF2-40B4-BE49-F238E27FC236}">
              <a16:creationId xmlns:a16="http://schemas.microsoft.com/office/drawing/2014/main" id="{D6F34C54-BFF2-50F4-E210-AC1DD5FE2863}"/>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435929" y="77098071"/>
          <a:ext cx="4728482"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394608</xdr:colOff>
      <xdr:row>229</xdr:row>
      <xdr:rowOff>95251</xdr:rowOff>
    </xdr:from>
    <xdr:to>
      <xdr:col>4</xdr:col>
      <xdr:colOff>4703990</xdr:colOff>
      <xdr:row>230</xdr:row>
      <xdr:rowOff>104776</xdr:rowOff>
    </xdr:to>
    <xdr:pic>
      <xdr:nvPicPr>
        <xdr:cNvPr id="17" name="Picture 16">
          <a:extLst>
            <a:ext uri="{FF2B5EF4-FFF2-40B4-BE49-F238E27FC236}">
              <a16:creationId xmlns:a16="http://schemas.microsoft.com/office/drawing/2014/main" id="{50DBB79F-6344-9D22-6FED-B27E6D8869CF}"/>
            </a:ext>
          </a:extLst>
        </xdr:cNvPr>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408715" y="76825930"/>
          <a:ext cx="4309382"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6</xdr:col>
      <xdr:colOff>2269331</xdr:colOff>
      <xdr:row>44</xdr:row>
      <xdr:rowOff>0</xdr:rowOff>
    </xdr:from>
    <xdr:ext cx="65" cy="172227"/>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44</xdr:row>
      <xdr:rowOff>0</xdr:rowOff>
    </xdr:from>
    <xdr:ext cx="65" cy="172227"/>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128</xdr:row>
      <xdr:rowOff>0</xdr:rowOff>
    </xdr:from>
    <xdr:ext cx="65" cy="172227"/>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128</xdr:row>
      <xdr:rowOff>0</xdr:rowOff>
    </xdr:from>
    <xdr:ext cx="65" cy="172227"/>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27" name="TextBox 26">
          <a:extLst>
            <a:ext uri="{FF2B5EF4-FFF2-40B4-BE49-F238E27FC236}">
              <a16:creationId xmlns:a16="http://schemas.microsoft.com/office/drawing/2014/main" id="{00000000-0008-0000-0700-00001B000000}"/>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28" name="TextBox 27">
          <a:extLst>
            <a:ext uri="{FF2B5EF4-FFF2-40B4-BE49-F238E27FC236}">
              <a16:creationId xmlns:a16="http://schemas.microsoft.com/office/drawing/2014/main" id="{00000000-0008-0000-0700-00001C000000}"/>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29" name="TextBox 28">
          <a:extLst>
            <a:ext uri="{FF2B5EF4-FFF2-40B4-BE49-F238E27FC236}">
              <a16:creationId xmlns:a16="http://schemas.microsoft.com/office/drawing/2014/main" id="{00000000-0008-0000-0700-00001D000000}"/>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30" name="TextBox 29">
          <a:extLst>
            <a:ext uri="{FF2B5EF4-FFF2-40B4-BE49-F238E27FC236}">
              <a16:creationId xmlns:a16="http://schemas.microsoft.com/office/drawing/2014/main" id="{00000000-0008-0000-0700-00001E000000}"/>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31" name="TextBox 30">
          <a:extLst>
            <a:ext uri="{FF2B5EF4-FFF2-40B4-BE49-F238E27FC236}">
              <a16:creationId xmlns:a16="http://schemas.microsoft.com/office/drawing/2014/main" id="{00000000-0008-0000-0700-00001F000000}"/>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32" name="TextBox 31">
          <a:extLst>
            <a:ext uri="{FF2B5EF4-FFF2-40B4-BE49-F238E27FC236}">
              <a16:creationId xmlns:a16="http://schemas.microsoft.com/office/drawing/2014/main" id="{00000000-0008-0000-0700-000020000000}"/>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33" name="TextBox 32">
          <a:extLst>
            <a:ext uri="{FF2B5EF4-FFF2-40B4-BE49-F238E27FC236}">
              <a16:creationId xmlns:a16="http://schemas.microsoft.com/office/drawing/2014/main" id="{00000000-0008-0000-0700-000021000000}"/>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34" name="TextBox 33">
          <a:extLst>
            <a:ext uri="{FF2B5EF4-FFF2-40B4-BE49-F238E27FC236}">
              <a16:creationId xmlns:a16="http://schemas.microsoft.com/office/drawing/2014/main" id="{00000000-0008-0000-0700-000022000000}"/>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35" name="TextBox 34">
          <a:extLst>
            <a:ext uri="{FF2B5EF4-FFF2-40B4-BE49-F238E27FC236}">
              <a16:creationId xmlns:a16="http://schemas.microsoft.com/office/drawing/2014/main" id="{00000000-0008-0000-0700-000023000000}"/>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36" name="TextBox 35">
          <a:extLst>
            <a:ext uri="{FF2B5EF4-FFF2-40B4-BE49-F238E27FC236}">
              <a16:creationId xmlns:a16="http://schemas.microsoft.com/office/drawing/2014/main" id="{00000000-0008-0000-0700-000024000000}"/>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xdr:row>
      <xdr:rowOff>0</xdr:rowOff>
    </xdr:from>
    <xdr:ext cx="65" cy="172227"/>
    <xdr:sp macro="" textlink="">
      <xdr:nvSpPr>
        <xdr:cNvPr id="37" name="TextBox 36">
          <a:extLst>
            <a:ext uri="{FF2B5EF4-FFF2-40B4-BE49-F238E27FC236}">
              <a16:creationId xmlns:a16="http://schemas.microsoft.com/office/drawing/2014/main" id="{00000000-0008-0000-0700-000025000000}"/>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xdr:row>
      <xdr:rowOff>0</xdr:rowOff>
    </xdr:from>
    <xdr:ext cx="65" cy="172227"/>
    <xdr:sp macro="" textlink="">
      <xdr:nvSpPr>
        <xdr:cNvPr id="38" name="TextBox 37">
          <a:extLst>
            <a:ext uri="{FF2B5EF4-FFF2-40B4-BE49-F238E27FC236}">
              <a16:creationId xmlns:a16="http://schemas.microsoft.com/office/drawing/2014/main" id="{00000000-0008-0000-0700-000026000000}"/>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39" name="TextBox 38">
          <a:extLst>
            <a:ext uri="{FF2B5EF4-FFF2-40B4-BE49-F238E27FC236}">
              <a16:creationId xmlns:a16="http://schemas.microsoft.com/office/drawing/2014/main" id="{00000000-0008-0000-0700-000027000000}"/>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0" name="TextBox 39">
          <a:extLst>
            <a:ext uri="{FF2B5EF4-FFF2-40B4-BE49-F238E27FC236}">
              <a16:creationId xmlns:a16="http://schemas.microsoft.com/office/drawing/2014/main" id="{00000000-0008-0000-0700-000028000000}"/>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45" name="TextBox 44">
          <a:extLst>
            <a:ext uri="{FF2B5EF4-FFF2-40B4-BE49-F238E27FC236}">
              <a16:creationId xmlns:a16="http://schemas.microsoft.com/office/drawing/2014/main" id="{00000000-0008-0000-0700-00002D000000}"/>
            </a:ext>
          </a:extLst>
        </xdr:cNvPr>
        <xdr:cNvSpPr txBox="1"/>
      </xdr:nvSpPr>
      <xdr:spPr>
        <a:xfrm>
          <a:off x="32901731" y="540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49" name="TextBox 48">
          <a:extLst>
            <a:ext uri="{FF2B5EF4-FFF2-40B4-BE49-F238E27FC236}">
              <a16:creationId xmlns:a16="http://schemas.microsoft.com/office/drawing/2014/main" id="{00000000-0008-0000-0700-000031000000}"/>
            </a:ext>
          </a:extLst>
        </xdr:cNvPr>
        <xdr:cNvSpPr txBox="1"/>
      </xdr:nvSpPr>
      <xdr:spPr>
        <a:xfrm>
          <a:off x="32901731" y="540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29596556" y="74971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21" name="TextBox 20">
          <a:extLst>
            <a:ext uri="{FF2B5EF4-FFF2-40B4-BE49-F238E27FC236}">
              <a16:creationId xmlns:a16="http://schemas.microsoft.com/office/drawing/2014/main" id="{00000000-0008-0000-0700-000015000000}"/>
            </a:ext>
          </a:extLst>
        </xdr:cNvPr>
        <xdr:cNvSpPr txBox="1"/>
      </xdr:nvSpPr>
      <xdr:spPr>
        <a:xfrm>
          <a:off x="29596556" y="74971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22" name="TextBox 21">
          <a:extLst>
            <a:ext uri="{FF2B5EF4-FFF2-40B4-BE49-F238E27FC236}">
              <a16:creationId xmlns:a16="http://schemas.microsoft.com/office/drawing/2014/main" id="{00000000-0008-0000-0700-000016000000}"/>
            </a:ext>
          </a:extLst>
        </xdr:cNvPr>
        <xdr:cNvSpPr txBox="1"/>
      </xdr:nvSpPr>
      <xdr:spPr>
        <a:xfrm>
          <a:off x="29596556" y="10377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23" name="TextBox 22">
          <a:extLst>
            <a:ext uri="{FF2B5EF4-FFF2-40B4-BE49-F238E27FC236}">
              <a16:creationId xmlns:a16="http://schemas.microsoft.com/office/drawing/2014/main" id="{00000000-0008-0000-0700-000017000000}"/>
            </a:ext>
          </a:extLst>
        </xdr:cNvPr>
        <xdr:cNvSpPr txBox="1"/>
      </xdr:nvSpPr>
      <xdr:spPr>
        <a:xfrm>
          <a:off x="29596556" y="10377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7" name="TextBox 6">
          <a:extLst>
            <a:ext uri="{FF2B5EF4-FFF2-40B4-BE49-F238E27FC236}">
              <a16:creationId xmlns:a16="http://schemas.microsoft.com/office/drawing/2014/main" id="{440D9799-D7A8-465F-93A4-34D12DAF529E}"/>
            </a:ext>
          </a:extLst>
        </xdr:cNvPr>
        <xdr:cNvSpPr txBox="1"/>
      </xdr:nvSpPr>
      <xdr:spPr>
        <a:xfrm>
          <a:off x="29596556" y="108404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8" name="TextBox 7">
          <a:extLst>
            <a:ext uri="{FF2B5EF4-FFF2-40B4-BE49-F238E27FC236}">
              <a16:creationId xmlns:a16="http://schemas.microsoft.com/office/drawing/2014/main" id="{F936C23F-01F5-4600-8B0E-A601A0981132}"/>
            </a:ext>
          </a:extLst>
        </xdr:cNvPr>
        <xdr:cNvSpPr txBox="1"/>
      </xdr:nvSpPr>
      <xdr:spPr>
        <a:xfrm>
          <a:off x="29596556" y="108404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129</xdr:row>
      <xdr:rowOff>0</xdr:rowOff>
    </xdr:from>
    <xdr:ext cx="65" cy="172227"/>
    <xdr:sp macro="" textlink="">
      <xdr:nvSpPr>
        <xdr:cNvPr id="9" name="TextBox 8">
          <a:extLst>
            <a:ext uri="{FF2B5EF4-FFF2-40B4-BE49-F238E27FC236}">
              <a16:creationId xmlns:a16="http://schemas.microsoft.com/office/drawing/2014/main" id="{AE594591-18C4-4F62-9A40-9DC01870ACAF}"/>
            </a:ext>
          </a:extLst>
        </xdr:cNvPr>
        <xdr:cNvSpPr txBox="1"/>
      </xdr:nvSpPr>
      <xdr:spPr>
        <a:xfrm>
          <a:off x="9927431" y="904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129</xdr:row>
      <xdr:rowOff>0</xdr:rowOff>
    </xdr:from>
    <xdr:ext cx="65" cy="172227"/>
    <xdr:sp macro="" textlink="">
      <xdr:nvSpPr>
        <xdr:cNvPr id="10" name="TextBox 9">
          <a:extLst>
            <a:ext uri="{FF2B5EF4-FFF2-40B4-BE49-F238E27FC236}">
              <a16:creationId xmlns:a16="http://schemas.microsoft.com/office/drawing/2014/main" id="{DADE1B96-3865-4C61-BBAB-2638F027A852}"/>
            </a:ext>
          </a:extLst>
        </xdr:cNvPr>
        <xdr:cNvSpPr txBox="1"/>
      </xdr:nvSpPr>
      <xdr:spPr>
        <a:xfrm>
          <a:off x="9927431" y="904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2269331</xdr:colOff>
      <xdr:row>28</xdr:row>
      <xdr:rowOff>0</xdr:rowOff>
    </xdr:from>
    <xdr:ext cx="65" cy="172227"/>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28</xdr:row>
      <xdr:rowOff>0</xdr:rowOff>
    </xdr:from>
    <xdr:ext cx="65" cy="172227"/>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48</xdr:row>
      <xdr:rowOff>0</xdr:rowOff>
    </xdr:from>
    <xdr:ext cx="65" cy="172227"/>
    <xdr:sp macro="" textlink="">
      <xdr:nvSpPr>
        <xdr:cNvPr id="14" name="TextBox 13">
          <a:extLst>
            <a:ext uri="{FF2B5EF4-FFF2-40B4-BE49-F238E27FC236}">
              <a16:creationId xmlns:a16="http://schemas.microsoft.com/office/drawing/2014/main" id="{00000000-0008-0000-0800-00000E000000}"/>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48</xdr:row>
      <xdr:rowOff>0</xdr:rowOff>
    </xdr:from>
    <xdr:ext cx="65" cy="172227"/>
    <xdr:sp macro="" textlink="">
      <xdr:nvSpPr>
        <xdr:cNvPr id="15" name="TextBox 14">
          <a:extLst>
            <a:ext uri="{FF2B5EF4-FFF2-40B4-BE49-F238E27FC236}">
              <a16:creationId xmlns:a16="http://schemas.microsoft.com/office/drawing/2014/main" id="{00000000-0008-0000-0800-00000F000000}"/>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48</xdr:row>
      <xdr:rowOff>0</xdr:rowOff>
    </xdr:from>
    <xdr:ext cx="65" cy="172227"/>
    <xdr:sp macro="" textlink="">
      <xdr:nvSpPr>
        <xdr:cNvPr id="28" name="TextBox 27">
          <a:extLst>
            <a:ext uri="{FF2B5EF4-FFF2-40B4-BE49-F238E27FC236}">
              <a16:creationId xmlns:a16="http://schemas.microsoft.com/office/drawing/2014/main" id="{00000000-0008-0000-0800-00001C000000}"/>
            </a:ext>
          </a:extLst>
        </xdr:cNvPr>
        <xdr:cNvSpPr txBox="1"/>
      </xdr:nvSpPr>
      <xdr:spPr>
        <a:xfrm>
          <a:off x="12642056" y="7019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48</xdr:row>
      <xdr:rowOff>0</xdr:rowOff>
    </xdr:from>
    <xdr:ext cx="65" cy="172227"/>
    <xdr:sp macro="" textlink="">
      <xdr:nvSpPr>
        <xdr:cNvPr id="29" name="TextBox 28">
          <a:extLst>
            <a:ext uri="{FF2B5EF4-FFF2-40B4-BE49-F238E27FC236}">
              <a16:creationId xmlns:a16="http://schemas.microsoft.com/office/drawing/2014/main" id="{00000000-0008-0000-0800-00001D000000}"/>
            </a:ext>
          </a:extLst>
        </xdr:cNvPr>
        <xdr:cNvSpPr txBox="1"/>
      </xdr:nvSpPr>
      <xdr:spPr>
        <a:xfrm>
          <a:off x="12642056" y="7019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4" name="TextBox 3">
          <a:extLst>
            <a:ext uri="{FF2B5EF4-FFF2-40B4-BE49-F238E27FC236}">
              <a16:creationId xmlns:a16="http://schemas.microsoft.com/office/drawing/2014/main" id="{512A0AEE-0264-419B-A7C3-D5E96B7FEF2C}"/>
            </a:ext>
          </a:extLst>
        </xdr:cNvPr>
        <xdr:cNvSpPr txBox="1"/>
      </xdr:nvSpPr>
      <xdr:spPr>
        <a:xfrm>
          <a:off x="29596556" y="116309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5" name="TextBox 4">
          <a:extLst>
            <a:ext uri="{FF2B5EF4-FFF2-40B4-BE49-F238E27FC236}">
              <a16:creationId xmlns:a16="http://schemas.microsoft.com/office/drawing/2014/main" id="{9B21F813-77E2-40A1-A723-6B58AC2A42AB}"/>
            </a:ext>
          </a:extLst>
        </xdr:cNvPr>
        <xdr:cNvSpPr txBox="1"/>
      </xdr:nvSpPr>
      <xdr:spPr>
        <a:xfrm>
          <a:off x="29596556" y="116309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26</xdr:col>
      <xdr:colOff>2269331</xdr:colOff>
      <xdr:row>34</xdr:row>
      <xdr:rowOff>0</xdr:rowOff>
    </xdr:from>
    <xdr:ext cx="65" cy="172227"/>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1645777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3" name="TextBox 2">
          <a:extLst>
            <a:ext uri="{FF2B5EF4-FFF2-40B4-BE49-F238E27FC236}">
              <a16:creationId xmlns:a16="http://schemas.microsoft.com/office/drawing/2014/main" id="{00000000-0008-0000-0C00-000003000000}"/>
            </a:ext>
          </a:extLst>
        </xdr:cNvPr>
        <xdr:cNvSpPr txBox="1"/>
      </xdr:nvSpPr>
      <xdr:spPr>
        <a:xfrm>
          <a:off x="1645777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9" name="TextBox 8">
          <a:extLst>
            <a:ext uri="{FF2B5EF4-FFF2-40B4-BE49-F238E27FC236}">
              <a16:creationId xmlns:a16="http://schemas.microsoft.com/office/drawing/2014/main" id="{00000000-0008-0000-0C00-000009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10" name="TextBox 9">
          <a:extLst>
            <a:ext uri="{FF2B5EF4-FFF2-40B4-BE49-F238E27FC236}">
              <a16:creationId xmlns:a16="http://schemas.microsoft.com/office/drawing/2014/main" id="{00000000-0008-0000-0C00-00000A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11" name="TextBox 10">
          <a:extLst>
            <a:ext uri="{FF2B5EF4-FFF2-40B4-BE49-F238E27FC236}">
              <a16:creationId xmlns:a16="http://schemas.microsoft.com/office/drawing/2014/main" id="{00000000-0008-0000-0C00-00000B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12" name="TextBox 11">
          <a:extLst>
            <a:ext uri="{FF2B5EF4-FFF2-40B4-BE49-F238E27FC236}">
              <a16:creationId xmlns:a16="http://schemas.microsoft.com/office/drawing/2014/main" id="{00000000-0008-0000-0C00-00000C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13" name="TextBox 12">
          <a:extLst>
            <a:ext uri="{FF2B5EF4-FFF2-40B4-BE49-F238E27FC236}">
              <a16:creationId xmlns:a16="http://schemas.microsoft.com/office/drawing/2014/main" id="{00000000-0008-0000-0C00-00000D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14" name="TextBox 13">
          <a:extLst>
            <a:ext uri="{FF2B5EF4-FFF2-40B4-BE49-F238E27FC236}">
              <a16:creationId xmlns:a16="http://schemas.microsoft.com/office/drawing/2014/main" id="{00000000-0008-0000-0C00-00000E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16" name="TextBox 15">
          <a:extLst>
            <a:ext uri="{FF2B5EF4-FFF2-40B4-BE49-F238E27FC236}">
              <a16:creationId xmlns:a16="http://schemas.microsoft.com/office/drawing/2014/main" id="{00000000-0008-0000-0C00-000010000000}"/>
            </a:ext>
          </a:extLst>
        </xdr:cNvPr>
        <xdr:cNvSpPr txBox="1"/>
      </xdr:nvSpPr>
      <xdr:spPr>
        <a:xfrm>
          <a:off x="16462814" y="1357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17" name="TextBox 16">
          <a:extLst>
            <a:ext uri="{FF2B5EF4-FFF2-40B4-BE49-F238E27FC236}">
              <a16:creationId xmlns:a16="http://schemas.microsoft.com/office/drawing/2014/main" id="{00000000-0008-0000-0C00-000011000000}"/>
            </a:ext>
          </a:extLst>
        </xdr:cNvPr>
        <xdr:cNvSpPr txBox="1"/>
      </xdr:nvSpPr>
      <xdr:spPr>
        <a:xfrm>
          <a:off x="16462814" y="1357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20" name="TextBox 19">
          <a:extLst>
            <a:ext uri="{FF2B5EF4-FFF2-40B4-BE49-F238E27FC236}">
              <a16:creationId xmlns:a16="http://schemas.microsoft.com/office/drawing/2014/main" id="{00000000-0008-0000-0C00-000014000000}"/>
            </a:ext>
          </a:extLst>
        </xdr:cNvPr>
        <xdr:cNvSpPr txBox="1"/>
      </xdr:nvSpPr>
      <xdr:spPr>
        <a:xfrm>
          <a:off x="16462814" y="19002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21" name="TextBox 20">
          <a:extLst>
            <a:ext uri="{FF2B5EF4-FFF2-40B4-BE49-F238E27FC236}">
              <a16:creationId xmlns:a16="http://schemas.microsoft.com/office/drawing/2014/main" id="{00000000-0008-0000-0C00-000015000000}"/>
            </a:ext>
          </a:extLst>
        </xdr:cNvPr>
        <xdr:cNvSpPr txBox="1"/>
      </xdr:nvSpPr>
      <xdr:spPr>
        <a:xfrm>
          <a:off x="16462814" y="19002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34</xdr:row>
      <xdr:rowOff>0</xdr:rowOff>
    </xdr:from>
    <xdr:ext cx="65" cy="172227"/>
    <xdr:sp macro="" textlink="">
      <xdr:nvSpPr>
        <xdr:cNvPr id="25" name="TextBox 24">
          <a:extLst>
            <a:ext uri="{FF2B5EF4-FFF2-40B4-BE49-F238E27FC236}">
              <a16:creationId xmlns:a16="http://schemas.microsoft.com/office/drawing/2014/main" id="{00000000-0008-0000-0C00-000019000000}"/>
            </a:ext>
          </a:extLst>
        </xdr:cNvPr>
        <xdr:cNvSpPr txBox="1"/>
      </xdr:nvSpPr>
      <xdr:spPr>
        <a:xfrm>
          <a:off x="16459676" y="2714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34</xdr:row>
      <xdr:rowOff>0</xdr:rowOff>
    </xdr:from>
    <xdr:ext cx="65" cy="172227"/>
    <xdr:sp macro="" textlink="">
      <xdr:nvSpPr>
        <xdr:cNvPr id="26" name="TextBox 25">
          <a:extLst>
            <a:ext uri="{FF2B5EF4-FFF2-40B4-BE49-F238E27FC236}">
              <a16:creationId xmlns:a16="http://schemas.microsoft.com/office/drawing/2014/main" id="{00000000-0008-0000-0C00-00001A000000}"/>
            </a:ext>
          </a:extLst>
        </xdr:cNvPr>
        <xdr:cNvSpPr txBox="1"/>
      </xdr:nvSpPr>
      <xdr:spPr>
        <a:xfrm>
          <a:off x="16459676" y="2714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29" name="TextBox 28">
          <a:extLst>
            <a:ext uri="{FF2B5EF4-FFF2-40B4-BE49-F238E27FC236}">
              <a16:creationId xmlns:a16="http://schemas.microsoft.com/office/drawing/2014/main" id="{00000000-0008-0000-0C00-00001D000000}"/>
            </a:ext>
          </a:extLst>
        </xdr:cNvPr>
        <xdr:cNvSpPr txBox="1"/>
      </xdr:nvSpPr>
      <xdr:spPr>
        <a:xfrm>
          <a:off x="16462814" y="343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30" name="TextBox 29">
          <a:extLst>
            <a:ext uri="{FF2B5EF4-FFF2-40B4-BE49-F238E27FC236}">
              <a16:creationId xmlns:a16="http://schemas.microsoft.com/office/drawing/2014/main" id="{00000000-0008-0000-0C00-00001E000000}"/>
            </a:ext>
          </a:extLst>
        </xdr:cNvPr>
        <xdr:cNvSpPr txBox="1"/>
      </xdr:nvSpPr>
      <xdr:spPr>
        <a:xfrm>
          <a:off x="16462814" y="343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34" name="TextBox 33">
          <a:extLst>
            <a:ext uri="{FF2B5EF4-FFF2-40B4-BE49-F238E27FC236}">
              <a16:creationId xmlns:a16="http://schemas.microsoft.com/office/drawing/2014/main" id="{00000000-0008-0000-0C00-000022000000}"/>
            </a:ext>
          </a:extLst>
        </xdr:cNvPr>
        <xdr:cNvSpPr txBox="1"/>
      </xdr:nvSpPr>
      <xdr:spPr>
        <a:xfrm>
          <a:off x="16462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35" name="TextBox 34">
          <a:extLst>
            <a:ext uri="{FF2B5EF4-FFF2-40B4-BE49-F238E27FC236}">
              <a16:creationId xmlns:a16="http://schemas.microsoft.com/office/drawing/2014/main" id="{00000000-0008-0000-0C00-000023000000}"/>
            </a:ext>
          </a:extLst>
        </xdr:cNvPr>
        <xdr:cNvSpPr txBox="1"/>
      </xdr:nvSpPr>
      <xdr:spPr>
        <a:xfrm>
          <a:off x="16462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36" name="TextBox 35">
          <a:extLst>
            <a:ext uri="{FF2B5EF4-FFF2-40B4-BE49-F238E27FC236}">
              <a16:creationId xmlns:a16="http://schemas.microsoft.com/office/drawing/2014/main" id="{00000000-0008-0000-0C00-000024000000}"/>
            </a:ext>
          </a:extLst>
        </xdr:cNvPr>
        <xdr:cNvSpPr txBox="1"/>
      </xdr:nvSpPr>
      <xdr:spPr>
        <a:xfrm>
          <a:off x="16462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37" name="TextBox 36">
          <a:extLst>
            <a:ext uri="{FF2B5EF4-FFF2-40B4-BE49-F238E27FC236}">
              <a16:creationId xmlns:a16="http://schemas.microsoft.com/office/drawing/2014/main" id="{00000000-0008-0000-0C00-000025000000}"/>
            </a:ext>
          </a:extLst>
        </xdr:cNvPr>
        <xdr:cNvSpPr txBox="1"/>
      </xdr:nvSpPr>
      <xdr:spPr>
        <a:xfrm>
          <a:off x="16462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34</xdr:row>
      <xdr:rowOff>0</xdr:rowOff>
    </xdr:from>
    <xdr:ext cx="65" cy="172227"/>
    <xdr:sp macro="" textlink="">
      <xdr:nvSpPr>
        <xdr:cNvPr id="38" name="TextBox 37">
          <a:extLst>
            <a:ext uri="{FF2B5EF4-FFF2-40B4-BE49-F238E27FC236}">
              <a16:creationId xmlns:a16="http://schemas.microsoft.com/office/drawing/2014/main" id="{00000000-0008-0000-0C00-000026000000}"/>
            </a:ext>
          </a:extLst>
        </xdr:cNvPr>
        <xdr:cNvSpPr txBox="1"/>
      </xdr:nvSpPr>
      <xdr:spPr>
        <a:xfrm>
          <a:off x="17072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34</xdr:row>
      <xdr:rowOff>0</xdr:rowOff>
    </xdr:from>
    <xdr:ext cx="65" cy="172227"/>
    <xdr:sp macro="" textlink="">
      <xdr:nvSpPr>
        <xdr:cNvPr id="39" name="TextBox 38">
          <a:extLst>
            <a:ext uri="{FF2B5EF4-FFF2-40B4-BE49-F238E27FC236}">
              <a16:creationId xmlns:a16="http://schemas.microsoft.com/office/drawing/2014/main" id="{00000000-0008-0000-0C00-000027000000}"/>
            </a:ext>
          </a:extLst>
        </xdr:cNvPr>
        <xdr:cNvSpPr txBox="1"/>
      </xdr:nvSpPr>
      <xdr:spPr>
        <a:xfrm>
          <a:off x="17072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34</xdr:row>
      <xdr:rowOff>0</xdr:rowOff>
    </xdr:from>
    <xdr:ext cx="65" cy="172227"/>
    <xdr:sp macro="" textlink="">
      <xdr:nvSpPr>
        <xdr:cNvPr id="40" name="TextBox 39">
          <a:extLst>
            <a:ext uri="{FF2B5EF4-FFF2-40B4-BE49-F238E27FC236}">
              <a16:creationId xmlns:a16="http://schemas.microsoft.com/office/drawing/2014/main" id="{00000000-0008-0000-0C00-000028000000}"/>
            </a:ext>
          </a:extLst>
        </xdr:cNvPr>
        <xdr:cNvSpPr txBox="1"/>
      </xdr:nvSpPr>
      <xdr:spPr>
        <a:xfrm>
          <a:off x="17072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34</xdr:row>
      <xdr:rowOff>0</xdr:rowOff>
    </xdr:from>
    <xdr:ext cx="65" cy="172227"/>
    <xdr:sp macro="" textlink="">
      <xdr:nvSpPr>
        <xdr:cNvPr id="41" name="TextBox 40">
          <a:extLst>
            <a:ext uri="{FF2B5EF4-FFF2-40B4-BE49-F238E27FC236}">
              <a16:creationId xmlns:a16="http://schemas.microsoft.com/office/drawing/2014/main" id="{00000000-0008-0000-0C00-000029000000}"/>
            </a:ext>
          </a:extLst>
        </xdr:cNvPr>
        <xdr:cNvSpPr txBox="1"/>
      </xdr:nvSpPr>
      <xdr:spPr>
        <a:xfrm>
          <a:off x="17072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34</xdr:row>
      <xdr:rowOff>0</xdr:rowOff>
    </xdr:from>
    <xdr:ext cx="65" cy="172227"/>
    <xdr:sp macro="" textlink="">
      <xdr:nvSpPr>
        <xdr:cNvPr id="42" name="TextBox 41">
          <a:extLst>
            <a:ext uri="{FF2B5EF4-FFF2-40B4-BE49-F238E27FC236}">
              <a16:creationId xmlns:a16="http://schemas.microsoft.com/office/drawing/2014/main" id="{00000000-0008-0000-0C00-00002A000000}"/>
            </a:ext>
          </a:extLst>
        </xdr:cNvPr>
        <xdr:cNvSpPr txBox="1"/>
      </xdr:nvSpPr>
      <xdr:spPr>
        <a:xfrm>
          <a:off x="17682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34</xdr:row>
      <xdr:rowOff>0</xdr:rowOff>
    </xdr:from>
    <xdr:ext cx="65" cy="172227"/>
    <xdr:sp macro="" textlink="">
      <xdr:nvSpPr>
        <xdr:cNvPr id="43" name="TextBox 42">
          <a:extLst>
            <a:ext uri="{FF2B5EF4-FFF2-40B4-BE49-F238E27FC236}">
              <a16:creationId xmlns:a16="http://schemas.microsoft.com/office/drawing/2014/main" id="{00000000-0008-0000-0C00-00002B000000}"/>
            </a:ext>
          </a:extLst>
        </xdr:cNvPr>
        <xdr:cNvSpPr txBox="1"/>
      </xdr:nvSpPr>
      <xdr:spPr>
        <a:xfrm>
          <a:off x="17682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34</xdr:row>
      <xdr:rowOff>0</xdr:rowOff>
    </xdr:from>
    <xdr:ext cx="65" cy="172227"/>
    <xdr:sp macro="" textlink="">
      <xdr:nvSpPr>
        <xdr:cNvPr id="44" name="TextBox 43">
          <a:extLst>
            <a:ext uri="{FF2B5EF4-FFF2-40B4-BE49-F238E27FC236}">
              <a16:creationId xmlns:a16="http://schemas.microsoft.com/office/drawing/2014/main" id="{00000000-0008-0000-0C00-00002C000000}"/>
            </a:ext>
          </a:extLst>
        </xdr:cNvPr>
        <xdr:cNvSpPr txBox="1"/>
      </xdr:nvSpPr>
      <xdr:spPr>
        <a:xfrm>
          <a:off x="17682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34</xdr:row>
      <xdr:rowOff>0</xdr:rowOff>
    </xdr:from>
    <xdr:ext cx="65" cy="172227"/>
    <xdr:sp macro="" textlink="">
      <xdr:nvSpPr>
        <xdr:cNvPr id="45" name="TextBox 44">
          <a:extLst>
            <a:ext uri="{FF2B5EF4-FFF2-40B4-BE49-F238E27FC236}">
              <a16:creationId xmlns:a16="http://schemas.microsoft.com/office/drawing/2014/main" id="{00000000-0008-0000-0C00-00002D000000}"/>
            </a:ext>
          </a:extLst>
        </xdr:cNvPr>
        <xdr:cNvSpPr txBox="1"/>
      </xdr:nvSpPr>
      <xdr:spPr>
        <a:xfrm>
          <a:off x="17682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34</xdr:row>
      <xdr:rowOff>0</xdr:rowOff>
    </xdr:from>
    <xdr:ext cx="65" cy="172227"/>
    <xdr:sp macro="" textlink="">
      <xdr:nvSpPr>
        <xdr:cNvPr id="46" name="TextBox 45">
          <a:extLst>
            <a:ext uri="{FF2B5EF4-FFF2-40B4-BE49-F238E27FC236}">
              <a16:creationId xmlns:a16="http://schemas.microsoft.com/office/drawing/2014/main" id="{00000000-0008-0000-0C00-00002E000000}"/>
            </a:ext>
          </a:extLst>
        </xdr:cNvPr>
        <xdr:cNvSpPr txBox="1"/>
      </xdr:nvSpPr>
      <xdr:spPr>
        <a:xfrm>
          <a:off x="182916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34</xdr:row>
      <xdr:rowOff>0</xdr:rowOff>
    </xdr:from>
    <xdr:ext cx="65" cy="172227"/>
    <xdr:sp macro="" textlink="">
      <xdr:nvSpPr>
        <xdr:cNvPr id="47" name="TextBox 46">
          <a:extLst>
            <a:ext uri="{FF2B5EF4-FFF2-40B4-BE49-F238E27FC236}">
              <a16:creationId xmlns:a16="http://schemas.microsoft.com/office/drawing/2014/main" id="{00000000-0008-0000-0C00-00002F000000}"/>
            </a:ext>
          </a:extLst>
        </xdr:cNvPr>
        <xdr:cNvSpPr txBox="1"/>
      </xdr:nvSpPr>
      <xdr:spPr>
        <a:xfrm>
          <a:off x="182916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34</xdr:row>
      <xdr:rowOff>0</xdr:rowOff>
    </xdr:from>
    <xdr:ext cx="65" cy="172227"/>
    <xdr:sp macro="" textlink="">
      <xdr:nvSpPr>
        <xdr:cNvPr id="48" name="TextBox 47">
          <a:extLst>
            <a:ext uri="{FF2B5EF4-FFF2-40B4-BE49-F238E27FC236}">
              <a16:creationId xmlns:a16="http://schemas.microsoft.com/office/drawing/2014/main" id="{00000000-0008-0000-0C00-000030000000}"/>
            </a:ext>
          </a:extLst>
        </xdr:cNvPr>
        <xdr:cNvSpPr txBox="1"/>
      </xdr:nvSpPr>
      <xdr:spPr>
        <a:xfrm>
          <a:off x="182916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34</xdr:row>
      <xdr:rowOff>0</xdr:rowOff>
    </xdr:from>
    <xdr:ext cx="65" cy="172227"/>
    <xdr:sp macro="" textlink="">
      <xdr:nvSpPr>
        <xdr:cNvPr id="49" name="TextBox 48">
          <a:extLst>
            <a:ext uri="{FF2B5EF4-FFF2-40B4-BE49-F238E27FC236}">
              <a16:creationId xmlns:a16="http://schemas.microsoft.com/office/drawing/2014/main" id="{00000000-0008-0000-0C00-000031000000}"/>
            </a:ext>
          </a:extLst>
        </xdr:cNvPr>
        <xdr:cNvSpPr txBox="1"/>
      </xdr:nvSpPr>
      <xdr:spPr>
        <a:xfrm>
          <a:off x="182916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34</xdr:row>
      <xdr:rowOff>0</xdr:rowOff>
    </xdr:from>
    <xdr:ext cx="65" cy="172227"/>
    <xdr:sp macro="" textlink="">
      <xdr:nvSpPr>
        <xdr:cNvPr id="50" name="TextBox 49">
          <a:extLst>
            <a:ext uri="{FF2B5EF4-FFF2-40B4-BE49-F238E27FC236}">
              <a16:creationId xmlns:a16="http://schemas.microsoft.com/office/drawing/2014/main" id="{00000000-0008-0000-0C00-000032000000}"/>
            </a:ext>
          </a:extLst>
        </xdr:cNvPr>
        <xdr:cNvSpPr txBox="1"/>
      </xdr:nvSpPr>
      <xdr:spPr>
        <a:xfrm>
          <a:off x="189012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34</xdr:row>
      <xdr:rowOff>0</xdr:rowOff>
    </xdr:from>
    <xdr:ext cx="65" cy="172227"/>
    <xdr:sp macro="" textlink="">
      <xdr:nvSpPr>
        <xdr:cNvPr id="51" name="TextBox 50">
          <a:extLst>
            <a:ext uri="{FF2B5EF4-FFF2-40B4-BE49-F238E27FC236}">
              <a16:creationId xmlns:a16="http://schemas.microsoft.com/office/drawing/2014/main" id="{00000000-0008-0000-0C00-000033000000}"/>
            </a:ext>
          </a:extLst>
        </xdr:cNvPr>
        <xdr:cNvSpPr txBox="1"/>
      </xdr:nvSpPr>
      <xdr:spPr>
        <a:xfrm>
          <a:off x="189012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34</xdr:row>
      <xdr:rowOff>0</xdr:rowOff>
    </xdr:from>
    <xdr:ext cx="65" cy="172227"/>
    <xdr:sp macro="" textlink="">
      <xdr:nvSpPr>
        <xdr:cNvPr id="52" name="TextBox 51">
          <a:extLst>
            <a:ext uri="{FF2B5EF4-FFF2-40B4-BE49-F238E27FC236}">
              <a16:creationId xmlns:a16="http://schemas.microsoft.com/office/drawing/2014/main" id="{00000000-0008-0000-0C00-000034000000}"/>
            </a:ext>
          </a:extLst>
        </xdr:cNvPr>
        <xdr:cNvSpPr txBox="1"/>
      </xdr:nvSpPr>
      <xdr:spPr>
        <a:xfrm>
          <a:off x="189012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34</xdr:row>
      <xdr:rowOff>0</xdr:rowOff>
    </xdr:from>
    <xdr:ext cx="65" cy="172227"/>
    <xdr:sp macro="" textlink="">
      <xdr:nvSpPr>
        <xdr:cNvPr id="53" name="TextBox 52">
          <a:extLst>
            <a:ext uri="{FF2B5EF4-FFF2-40B4-BE49-F238E27FC236}">
              <a16:creationId xmlns:a16="http://schemas.microsoft.com/office/drawing/2014/main" id="{00000000-0008-0000-0C00-000035000000}"/>
            </a:ext>
          </a:extLst>
        </xdr:cNvPr>
        <xdr:cNvSpPr txBox="1"/>
      </xdr:nvSpPr>
      <xdr:spPr>
        <a:xfrm>
          <a:off x="189012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34</xdr:row>
      <xdr:rowOff>0</xdr:rowOff>
    </xdr:from>
    <xdr:ext cx="65" cy="172227"/>
    <xdr:sp macro="" textlink="">
      <xdr:nvSpPr>
        <xdr:cNvPr id="54" name="TextBox 53">
          <a:extLst>
            <a:ext uri="{FF2B5EF4-FFF2-40B4-BE49-F238E27FC236}">
              <a16:creationId xmlns:a16="http://schemas.microsoft.com/office/drawing/2014/main" id="{00000000-0008-0000-0C00-000036000000}"/>
            </a:ext>
          </a:extLst>
        </xdr:cNvPr>
        <xdr:cNvSpPr txBox="1"/>
      </xdr:nvSpPr>
      <xdr:spPr>
        <a:xfrm>
          <a:off x="19510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34</xdr:row>
      <xdr:rowOff>0</xdr:rowOff>
    </xdr:from>
    <xdr:ext cx="65" cy="172227"/>
    <xdr:sp macro="" textlink="">
      <xdr:nvSpPr>
        <xdr:cNvPr id="55" name="TextBox 54">
          <a:extLst>
            <a:ext uri="{FF2B5EF4-FFF2-40B4-BE49-F238E27FC236}">
              <a16:creationId xmlns:a16="http://schemas.microsoft.com/office/drawing/2014/main" id="{00000000-0008-0000-0C00-000037000000}"/>
            </a:ext>
          </a:extLst>
        </xdr:cNvPr>
        <xdr:cNvSpPr txBox="1"/>
      </xdr:nvSpPr>
      <xdr:spPr>
        <a:xfrm>
          <a:off x="19510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34</xdr:row>
      <xdr:rowOff>0</xdr:rowOff>
    </xdr:from>
    <xdr:ext cx="65" cy="172227"/>
    <xdr:sp macro="" textlink="">
      <xdr:nvSpPr>
        <xdr:cNvPr id="56" name="TextBox 55">
          <a:extLst>
            <a:ext uri="{FF2B5EF4-FFF2-40B4-BE49-F238E27FC236}">
              <a16:creationId xmlns:a16="http://schemas.microsoft.com/office/drawing/2014/main" id="{00000000-0008-0000-0C00-000038000000}"/>
            </a:ext>
          </a:extLst>
        </xdr:cNvPr>
        <xdr:cNvSpPr txBox="1"/>
      </xdr:nvSpPr>
      <xdr:spPr>
        <a:xfrm>
          <a:off x="19510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34</xdr:row>
      <xdr:rowOff>0</xdr:rowOff>
    </xdr:from>
    <xdr:ext cx="65" cy="172227"/>
    <xdr:sp macro="" textlink="">
      <xdr:nvSpPr>
        <xdr:cNvPr id="57" name="TextBox 56">
          <a:extLst>
            <a:ext uri="{FF2B5EF4-FFF2-40B4-BE49-F238E27FC236}">
              <a16:creationId xmlns:a16="http://schemas.microsoft.com/office/drawing/2014/main" id="{00000000-0008-0000-0C00-000039000000}"/>
            </a:ext>
          </a:extLst>
        </xdr:cNvPr>
        <xdr:cNvSpPr txBox="1"/>
      </xdr:nvSpPr>
      <xdr:spPr>
        <a:xfrm>
          <a:off x="19510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34</xdr:row>
      <xdr:rowOff>0</xdr:rowOff>
    </xdr:from>
    <xdr:ext cx="65" cy="172227"/>
    <xdr:sp macro="" textlink="">
      <xdr:nvSpPr>
        <xdr:cNvPr id="58" name="TextBox 57">
          <a:extLst>
            <a:ext uri="{FF2B5EF4-FFF2-40B4-BE49-F238E27FC236}">
              <a16:creationId xmlns:a16="http://schemas.microsoft.com/office/drawing/2014/main" id="{00000000-0008-0000-0C00-00003A000000}"/>
            </a:ext>
          </a:extLst>
        </xdr:cNvPr>
        <xdr:cNvSpPr txBox="1"/>
      </xdr:nvSpPr>
      <xdr:spPr>
        <a:xfrm>
          <a:off x="20120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34</xdr:row>
      <xdr:rowOff>0</xdr:rowOff>
    </xdr:from>
    <xdr:ext cx="65" cy="172227"/>
    <xdr:sp macro="" textlink="">
      <xdr:nvSpPr>
        <xdr:cNvPr id="59" name="TextBox 58">
          <a:extLst>
            <a:ext uri="{FF2B5EF4-FFF2-40B4-BE49-F238E27FC236}">
              <a16:creationId xmlns:a16="http://schemas.microsoft.com/office/drawing/2014/main" id="{00000000-0008-0000-0C00-00003B000000}"/>
            </a:ext>
          </a:extLst>
        </xdr:cNvPr>
        <xdr:cNvSpPr txBox="1"/>
      </xdr:nvSpPr>
      <xdr:spPr>
        <a:xfrm>
          <a:off x="20120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34</xdr:row>
      <xdr:rowOff>0</xdr:rowOff>
    </xdr:from>
    <xdr:ext cx="65" cy="172227"/>
    <xdr:sp macro="" textlink="">
      <xdr:nvSpPr>
        <xdr:cNvPr id="60" name="TextBox 59">
          <a:extLst>
            <a:ext uri="{FF2B5EF4-FFF2-40B4-BE49-F238E27FC236}">
              <a16:creationId xmlns:a16="http://schemas.microsoft.com/office/drawing/2014/main" id="{00000000-0008-0000-0C00-00003C000000}"/>
            </a:ext>
          </a:extLst>
        </xdr:cNvPr>
        <xdr:cNvSpPr txBox="1"/>
      </xdr:nvSpPr>
      <xdr:spPr>
        <a:xfrm>
          <a:off x="20120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34</xdr:row>
      <xdr:rowOff>0</xdr:rowOff>
    </xdr:from>
    <xdr:ext cx="65" cy="172227"/>
    <xdr:sp macro="" textlink="">
      <xdr:nvSpPr>
        <xdr:cNvPr id="61" name="TextBox 60">
          <a:extLst>
            <a:ext uri="{FF2B5EF4-FFF2-40B4-BE49-F238E27FC236}">
              <a16:creationId xmlns:a16="http://schemas.microsoft.com/office/drawing/2014/main" id="{00000000-0008-0000-0C00-00003D000000}"/>
            </a:ext>
          </a:extLst>
        </xdr:cNvPr>
        <xdr:cNvSpPr txBox="1"/>
      </xdr:nvSpPr>
      <xdr:spPr>
        <a:xfrm>
          <a:off x="20120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34</xdr:row>
      <xdr:rowOff>0</xdr:rowOff>
    </xdr:from>
    <xdr:ext cx="65" cy="172227"/>
    <xdr:sp macro="" textlink="">
      <xdr:nvSpPr>
        <xdr:cNvPr id="62" name="TextBox 61">
          <a:extLst>
            <a:ext uri="{FF2B5EF4-FFF2-40B4-BE49-F238E27FC236}">
              <a16:creationId xmlns:a16="http://schemas.microsoft.com/office/drawing/2014/main" id="{00000000-0008-0000-0C00-00003E000000}"/>
            </a:ext>
          </a:extLst>
        </xdr:cNvPr>
        <xdr:cNvSpPr txBox="1"/>
      </xdr:nvSpPr>
      <xdr:spPr>
        <a:xfrm>
          <a:off x="20730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34</xdr:row>
      <xdr:rowOff>0</xdr:rowOff>
    </xdr:from>
    <xdr:ext cx="65" cy="172227"/>
    <xdr:sp macro="" textlink="">
      <xdr:nvSpPr>
        <xdr:cNvPr id="63" name="TextBox 62">
          <a:extLst>
            <a:ext uri="{FF2B5EF4-FFF2-40B4-BE49-F238E27FC236}">
              <a16:creationId xmlns:a16="http://schemas.microsoft.com/office/drawing/2014/main" id="{00000000-0008-0000-0C00-00003F000000}"/>
            </a:ext>
          </a:extLst>
        </xdr:cNvPr>
        <xdr:cNvSpPr txBox="1"/>
      </xdr:nvSpPr>
      <xdr:spPr>
        <a:xfrm>
          <a:off x="20730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34</xdr:row>
      <xdr:rowOff>0</xdr:rowOff>
    </xdr:from>
    <xdr:ext cx="65" cy="172227"/>
    <xdr:sp macro="" textlink="">
      <xdr:nvSpPr>
        <xdr:cNvPr id="64" name="TextBox 63">
          <a:extLst>
            <a:ext uri="{FF2B5EF4-FFF2-40B4-BE49-F238E27FC236}">
              <a16:creationId xmlns:a16="http://schemas.microsoft.com/office/drawing/2014/main" id="{00000000-0008-0000-0C00-000040000000}"/>
            </a:ext>
          </a:extLst>
        </xdr:cNvPr>
        <xdr:cNvSpPr txBox="1"/>
      </xdr:nvSpPr>
      <xdr:spPr>
        <a:xfrm>
          <a:off x="20730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34</xdr:row>
      <xdr:rowOff>0</xdr:rowOff>
    </xdr:from>
    <xdr:ext cx="65" cy="172227"/>
    <xdr:sp macro="" textlink="">
      <xdr:nvSpPr>
        <xdr:cNvPr id="65" name="TextBox 64">
          <a:extLst>
            <a:ext uri="{FF2B5EF4-FFF2-40B4-BE49-F238E27FC236}">
              <a16:creationId xmlns:a16="http://schemas.microsoft.com/office/drawing/2014/main" id="{00000000-0008-0000-0C00-000041000000}"/>
            </a:ext>
          </a:extLst>
        </xdr:cNvPr>
        <xdr:cNvSpPr txBox="1"/>
      </xdr:nvSpPr>
      <xdr:spPr>
        <a:xfrm>
          <a:off x="20730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4" name="TextBox 6">
          <a:extLst>
            <a:ext uri="{FF2B5EF4-FFF2-40B4-BE49-F238E27FC236}">
              <a16:creationId xmlns:a16="http://schemas.microsoft.com/office/drawing/2014/main" id="{00000000-0008-0000-0C00-000004000000}"/>
            </a:ext>
            <a:ext uri="{147F2762-F138-4A5C-976F-8EAC2B608ADB}">
              <a16:predDERef xmlns:a16="http://schemas.microsoft.com/office/drawing/2014/main" pred="{56E2258D-9AAB-4AD0-BCE1-24EF46E7123D}"/>
            </a:ext>
          </a:extLst>
        </xdr:cNvPr>
        <xdr:cNvSpPr txBox="1"/>
      </xdr:nvSpPr>
      <xdr:spPr>
        <a:xfrm>
          <a:off x="11194256" y="2045458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5" name="TextBox 7">
          <a:extLst>
            <a:ext uri="{FF2B5EF4-FFF2-40B4-BE49-F238E27FC236}">
              <a16:creationId xmlns:a16="http://schemas.microsoft.com/office/drawing/2014/main" id="{00000000-0008-0000-0C00-000005000000}"/>
            </a:ext>
            <a:ext uri="{147F2762-F138-4A5C-976F-8EAC2B608ADB}">
              <a16:predDERef xmlns:a16="http://schemas.microsoft.com/office/drawing/2014/main" pred="{FAD1180E-A01F-4C81-80DC-FAA6BD54F43F}"/>
            </a:ext>
          </a:extLst>
        </xdr:cNvPr>
        <xdr:cNvSpPr txBox="1"/>
      </xdr:nvSpPr>
      <xdr:spPr>
        <a:xfrm>
          <a:off x="11194256" y="2045458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 name="TextBox 5">
          <a:extLst>
            <a:ext uri="{FF2B5EF4-FFF2-40B4-BE49-F238E27FC236}">
              <a16:creationId xmlns:a16="http://schemas.microsoft.com/office/drawing/2014/main" id="{87F4AF55-BC45-423E-A8B4-D4138D4495A0}"/>
            </a:ext>
          </a:extLst>
        </xdr:cNvPr>
        <xdr:cNvSpPr txBox="1"/>
      </xdr:nvSpPr>
      <xdr:spPr>
        <a:xfrm>
          <a:off x="27358181" y="40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7" name="TextBox 6">
          <a:extLst>
            <a:ext uri="{FF2B5EF4-FFF2-40B4-BE49-F238E27FC236}">
              <a16:creationId xmlns:a16="http://schemas.microsoft.com/office/drawing/2014/main" id="{6DA0CA37-6730-44B3-89B6-CF3067C3968A}"/>
            </a:ext>
          </a:extLst>
        </xdr:cNvPr>
        <xdr:cNvSpPr txBox="1"/>
      </xdr:nvSpPr>
      <xdr:spPr>
        <a:xfrm>
          <a:off x="27358181" y="40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7</xdr:col>
      <xdr:colOff>0</xdr:colOff>
      <xdr:row>2098</xdr:row>
      <xdr:rowOff>0</xdr:rowOff>
    </xdr:from>
    <xdr:ext cx="65" cy="172227"/>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2098</xdr:row>
      <xdr:rowOff>0</xdr:rowOff>
    </xdr:from>
    <xdr:ext cx="65" cy="172227"/>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2098</xdr:row>
      <xdr:rowOff>0</xdr:rowOff>
    </xdr:from>
    <xdr:ext cx="65" cy="172227"/>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2098</xdr:row>
      <xdr:rowOff>0</xdr:rowOff>
    </xdr:from>
    <xdr:ext cx="65" cy="172227"/>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2098</xdr:row>
      <xdr:rowOff>0</xdr:rowOff>
    </xdr:from>
    <xdr:ext cx="65" cy="172227"/>
    <xdr:sp macro="" textlink="">
      <xdr:nvSpPr>
        <xdr:cNvPr id="6" name="TextBox 5">
          <a:extLst>
            <a:ext uri="{FF2B5EF4-FFF2-40B4-BE49-F238E27FC236}">
              <a16:creationId xmlns:a16="http://schemas.microsoft.com/office/drawing/2014/main" id="{00000000-0008-0000-0900-000006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2098</xdr:row>
      <xdr:rowOff>0</xdr:rowOff>
    </xdr:from>
    <xdr:ext cx="65" cy="172227"/>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2126</xdr:row>
      <xdr:rowOff>0</xdr:rowOff>
    </xdr:from>
    <xdr:ext cx="65" cy="172227"/>
    <xdr:sp macro="" textlink="">
      <xdr:nvSpPr>
        <xdr:cNvPr id="40" name="TextBox 39">
          <a:extLst>
            <a:ext uri="{FF2B5EF4-FFF2-40B4-BE49-F238E27FC236}">
              <a16:creationId xmlns:a16="http://schemas.microsoft.com/office/drawing/2014/main" id="{00000000-0008-0000-0900-000028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2126</xdr:row>
      <xdr:rowOff>0</xdr:rowOff>
    </xdr:from>
    <xdr:ext cx="65" cy="172227"/>
    <xdr:sp macro="" textlink="">
      <xdr:nvSpPr>
        <xdr:cNvPr id="43" name="TextBox 42">
          <a:extLst>
            <a:ext uri="{FF2B5EF4-FFF2-40B4-BE49-F238E27FC236}">
              <a16:creationId xmlns:a16="http://schemas.microsoft.com/office/drawing/2014/main" id="{00000000-0008-0000-0900-00002B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2126</xdr:row>
      <xdr:rowOff>0</xdr:rowOff>
    </xdr:from>
    <xdr:ext cx="65" cy="172227"/>
    <xdr:sp macro="" textlink="">
      <xdr:nvSpPr>
        <xdr:cNvPr id="44" name="TextBox 43">
          <a:extLst>
            <a:ext uri="{FF2B5EF4-FFF2-40B4-BE49-F238E27FC236}">
              <a16:creationId xmlns:a16="http://schemas.microsoft.com/office/drawing/2014/main" id="{00000000-0008-0000-0900-00002C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2126</xdr:row>
      <xdr:rowOff>0</xdr:rowOff>
    </xdr:from>
    <xdr:ext cx="65" cy="172227"/>
    <xdr:sp macro="" textlink="">
      <xdr:nvSpPr>
        <xdr:cNvPr id="45" name="TextBox 44">
          <a:extLst>
            <a:ext uri="{FF2B5EF4-FFF2-40B4-BE49-F238E27FC236}">
              <a16:creationId xmlns:a16="http://schemas.microsoft.com/office/drawing/2014/main" id="{00000000-0008-0000-0900-00002D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2126</xdr:row>
      <xdr:rowOff>0</xdr:rowOff>
    </xdr:from>
    <xdr:ext cx="65" cy="172227"/>
    <xdr:sp macro="" textlink="">
      <xdr:nvSpPr>
        <xdr:cNvPr id="46" name="TextBox 45">
          <a:extLst>
            <a:ext uri="{FF2B5EF4-FFF2-40B4-BE49-F238E27FC236}">
              <a16:creationId xmlns:a16="http://schemas.microsoft.com/office/drawing/2014/main" id="{00000000-0008-0000-0900-00002E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2126</xdr:row>
      <xdr:rowOff>0</xdr:rowOff>
    </xdr:from>
    <xdr:ext cx="65" cy="172227"/>
    <xdr:sp macro="" textlink="">
      <xdr:nvSpPr>
        <xdr:cNvPr id="47" name="TextBox 46">
          <a:extLst>
            <a:ext uri="{FF2B5EF4-FFF2-40B4-BE49-F238E27FC236}">
              <a16:creationId xmlns:a16="http://schemas.microsoft.com/office/drawing/2014/main" id="{00000000-0008-0000-0900-00002F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2118</xdr:row>
      <xdr:rowOff>0</xdr:rowOff>
    </xdr:from>
    <xdr:ext cx="65" cy="172227"/>
    <xdr:sp macro="" textlink="">
      <xdr:nvSpPr>
        <xdr:cNvPr id="48" name="TextBox 47">
          <a:extLst>
            <a:ext uri="{FF2B5EF4-FFF2-40B4-BE49-F238E27FC236}">
              <a16:creationId xmlns:a16="http://schemas.microsoft.com/office/drawing/2014/main" id="{00000000-0008-0000-0900-000030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2118</xdr:row>
      <xdr:rowOff>0</xdr:rowOff>
    </xdr:from>
    <xdr:ext cx="65" cy="172227"/>
    <xdr:sp macro="" textlink="">
      <xdr:nvSpPr>
        <xdr:cNvPr id="49" name="TextBox 48">
          <a:extLst>
            <a:ext uri="{FF2B5EF4-FFF2-40B4-BE49-F238E27FC236}">
              <a16:creationId xmlns:a16="http://schemas.microsoft.com/office/drawing/2014/main" id="{00000000-0008-0000-0900-000031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2118</xdr:row>
      <xdr:rowOff>0</xdr:rowOff>
    </xdr:from>
    <xdr:ext cx="65" cy="172227"/>
    <xdr:sp macro="" textlink="">
      <xdr:nvSpPr>
        <xdr:cNvPr id="50" name="TextBox 49">
          <a:extLst>
            <a:ext uri="{FF2B5EF4-FFF2-40B4-BE49-F238E27FC236}">
              <a16:creationId xmlns:a16="http://schemas.microsoft.com/office/drawing/2014/main" id="{00000000-0008-0000-0900-000032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2118</xdr:row>
      <xdr:rowOff>0</xdr:rowOff>
    </xdr:from>
    <xdr:ext cx="65" cy="172227"/>
    <xdr:sp macro="" textlink="">
      <xdr:nvSpPr>
        <xdr:cNvPr id="51" name="TextBox 50">
          <a:extLst>
            <a:ext uri="{FF2B5EF4-FFF2-40B4-BE49-F238E27FC236}">
              <a16:creationId xmlns:a16="http://schemas.microsoft.com/office/drawing/2014/main" id="{00000000-0008-0000-0900-000033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2118</xdr:row>
      <xdr:rowOff>0</xdr:rowOff>
    </xdr:from>
    <xdr:ext cx="65" cy="172227"/>
    <xdr:sp macro="" textlink="">
      <xdr:nvSpPr>
        <xdr:cNvPr id="52" name="TextBox 51">
          <a:extLst>
            <a:ext uri="{FF2B5EF4-FFF2-40B4-BE49-F238E27FC236}">
              <a16:creationId xmlns:a16="http://schemas.microsoft.com/office/drawing/2014/main" id="{00000000-0008-0000-0900-000034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2118</xdr:row>
      <xdr:rowOff>0</xdr:rowOff>
    </xdr:from>
    <xdr:ext cx="65" cy="172227"/>
    <xdr:sp macro="" textlink="">
      <xdr:nvSpPr>
        <xdr:cNvPr id="53" name="TextBox 52">
          <a:extLst>
            <a:ext uri="{FF2B5EF4-FFF2-40B4-BE49-F238E27FC236}">
              <a16:creationId xmlns:a16="http://schemas.microsoft.com/office/drawing/2014/main" id="{00000000-0008-0000-0900-000035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2138</xdr:row>
      <xdr:rowOff>0</xdr:rowOff>
    </xdr:from>
    <xdr:ext cx="65" cy="172227"/>
    <xdr:sp macro="" textlink="">
      <xdr:nvSpPr>
        <xdr:cNvPr id="54" name="TextBox 53">
          <a:extLst>
            <a:ext uri="{FF2B5EF4-FFF2-40B4-BE49-F238E27FC236}">
              <a16:creationId xmlns:a16="http://schemas.microsoft.com/office/drawing/2014/main" id="{00000000-0008-0000-0900-000036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2138</xdr:row>
      <xdr:rowOff>0</xdr:rowOff>
    </xdr:from>
    <xdr:ext cx="65" cy="172227"/>
    <xdr:sp macro="" textlink="">
      <xdr:nvSpPr>
        <xdr:cNvPr id="55" name="TextBox 54">
          <a:extLst>
            <a:ext uri="{FF2B5EF4-FFF2-40B4-BE49-F238E27FC236}">
              <a16:creationId xmlns:a16="http://schemas.microsoft.com/office/drawing/2014/main" id="{00000000-0008-0000-0900-000037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2138</xdr:row>
      <xdr:rowOff>0</xdr:rowOff>
    </xdr:from>
    <xdr:ext cx="65" cy="172227"/>
    <xdr:sp macro="" textlink="">
      <xdr:nvSpPr>
        <xdr:cNvPr id="56" name="TextBox 55">
          <a:extLst>
            <a:ext uri="{FF2B5EF4-FFF2-40B4-BE49-F238E27FC236}">
              <a16:creationId xmlns:a16="http://schemas.microsoft.com/office/drawing/2014/main" id="{00000000-0008-0000-0900-000038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2138</xdr:row>
      <xdr:rowOff>0</xdr:rowOff>
    </xdr:from>
    <xdr:ext cx="65" cy="172227"/>
    <xdr:sp macro="" textlink="">
      <xdr:nvSpPr>
        <xdr:cNvPr id="57" name="TextBox 56">
          <a:extLst>
            <a:ext uri="{FF2B5EF4-FFF2-40B4-BE49-F238E27FC236}">
              <a16:creationId xmlns:a16="http://schemas.microsoft.com/office/drawing/2014/main" id="{00000000-0008-0000-0900-000039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2138</xdr:row>
      <xdr:rowOff>0</xdr:rowOff>
    </xdr:from>
    <xdr:ext cx="65" cy="172227"/>
    <xdr:sp macro="" textlink="">
      <xdr:nvSpPr>
        <xdr:cNvPr id="58" name="TextBox 57">
          <a:extLst>
            <a:ext uri="{FF2B5EF4-FFF2-40B4-BE49-F238E27FC236}">
              <a16:creationId xmlns:a16="http://schemas.microsoft.com/office/drawing/2014/main" id="{00000000-0008-0000-0900-00003A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2138</xdr:row>
      <xdr:rowOff>0</xdr:rowOff>
    </xdr:from>
    <xdr:ext cx="65" cy="172227"/>
    <xdr:sp macro="" textlink="">
      <xdr:nvSpPr>
        <xdr:cNvPr id="59" name="TextBox 58">
          <a:extLst>
            <a:ext uri="{FF2B5EF4-FFF2-40B4-BE49-F238E27FC236}">
              <a16:creationId xmlns:a16="http://schemas.microsoft.com/office/drawing/2014/main" id="{00000000-0008-0000-0900-00003B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2190</xdr:row>
      <xdr:rowOff>0</xdr:rowOff>
    </xdr:from>
    <xdr:ext cx="65" cy="172227"/>
    <xdr:sp macro="" textlink="">
      <xdr:nvSpPr>
        <xdr:cNvPr id="60" name="TextBox 59">
          <a:extLst>
            <a:ext uri="{FF2B5EF4-FFF2-40B4-BE49-F238E27FC236}">
              <a16:creationId xmlns:a16="http://schemas.microsoft.com/office/drawing/2014/main" id="{00000000-0008-0000-0900-00003C000000}"/>
            </a:ext>
          </a:extLst>
        </xdr:cNvPr>
        <xdr:cNvSpPr txBox="1"/>
      </xdr:nvSpPr>
      <xdr:spPr>
        <a:xfrm>
          <a:off x="11899106"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2190</xdr:row>
      <xdr:rowOff>0</xdr:rowOff>
    </xdr:from>
    <xdr:ext cx="65" cy="172227"/>
    <xdr:sp macro="" textlink="">
      <xdr:nvSpPr>
        <xdr:cNvPr id="61" name="TextBox 60">
          <a:extLst>
            <a:ext uri="{FF2B5EF4-FFF2-40B4-BE49-F238E27FC236}">
              <a16:creationId xmlns:a16="http://schemas.microsoft.com/office/drawing/2014/main" id="{00000000-0008-0000-0900-00003D000000}"/>
            </a:ext>
          </a:extLst>
        </xdr:cNvPr>
        <xdr:cNvSpPr txBox="1"/>
      </xdr:nvSpPr>
      <xdr:spPr>
        <a:xfrm>
          <a:off x="11899106"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2190</xdr:row>
      <xdr:rowOff>0</xdr:rowOff>
    </xdr:from>
    <xdr:ext cx="65" cy="172227"/>
    <xdr:sp macro="" textlink="">
      <xdr:nvSpPr>
        <xdr:cNvPr id="62" name="TextBox 61">
          <a:extLst>
            <a:ext uri="{FF2B5EF4-FFF2-40B4-BE49-F238E27FC236}">
              <a16:creationId xmlns:a16="http://schemas.microsoft.com/office/drawing/2014/main" id="{00000000-0008-0000-0900-00003E000000}"/>
            </a:ext>
          </a:extLst>
        </xdr:cNvPr>
        <xdr:cNvSpPr txBox="1"/>
      </xdr:nvSpPr>
      <xdr:spPr>
        <a:xfrm>
          <a:off x="29596556"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2190</xdr:row>
      <xdr:rowOff>0</xdr:rowOff>
    </xdr:from>
    <xdr:ext cx="65" cy="172227"/>
    <xdr:sp macro="" textlink="">
      <xdr:nvSpPr>
        <xdr:cNvPr id="63" name="TextBox 62">
          <a:extLst>
            <a:ext uri="{FF2B5EF4-FFF2-40B4-BE49-F238E27FC236}">
              <a16:creationId xmlns:a16="http://schemas.microsoft.com/office/drawing/2014/main" id="{00000000-0008-0000-0900-00003F000000}"/>
            </a:ext>
          </a:extLst>
        </xdr:cNvPr>
        <xdr:cNvSpPr txBox="1"/>
      </xdr:nvSpPr>
      <xdr:spPr>
        <a:xfrm>
          <a:off x="29596556"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7</xdr:col>
      <xdr:colOff>2269331</xdr:colOff>
      <xdr:row>5</xdr:row>
      <xdr:rowOff>0</xdr:rowOff>
    </xdr:from>
    <xdr:ext cx="65" cy="172227"/>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84523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14</xdr:col>
      <xdr:colOff>2381</xdr:colOff>
      <xdr:row>603</xdr:row>
      <xdr:rowOff>0</xdr:rowOff>
    </xdr:from>
    <xdr:ext cx="65" cy="172227"/>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20157281" y="392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14</xdr:col>
      <xdr:colOff>2381</xdr:colOff>
      <xdr:row>603</xdr:row>
      <xdr:rowOff>0</xdr:rowOff>
    </xdr:from>
    <xdr:ext cx="65" cy="172227"/>
    <xdr:sp macro="" textlink="">
      <xdr:nvSpPr>
        <xdr:cNvPr id="4" name="TextBox 3">
          <a:extLst>
            <a:ext uri="{FF2B5EF4-FFF2-40B4-BE49-F238E27FC236}">
              <a16:creationId xmlns:a16="http://schemas.microsoft.com/office/drawing/2014/main" id="{00000000-0008-0000-0A00-000004000000}"/>
            </a:ext>
          </a:extLst>
        </xdr:cNvPr>
        <xdr:cNvSpPr txBox="1"/>
      </xdr:nvSpPr>
      <xdr:spPr>
        <a:xfrm>
          <a:off x="20157281" y="392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8</xdr:col>
      <xdr:colOff>7576</xdr:colOff>
      <xdr:row>5</xdr:row>
      <xdr:rowOff>0</xdr:rowOff>
    </xdr:from>
    <xdr:ext cx="65" cy="172227"/>
    <xdr:sp macro="" textlink="">
      <xdr:nvSpPr>
        <xdr:cNvPr id="15" name="TextBox 14">
          <a:extLst>
            <a:ext uri="{FF2B5EF4-FFF2-40B4-BE49-F238E27FC236}">
              <a16:creationId xmlns:a16="http://schemas.microsoft.com/office/drawing/2014/main" id="{00000000-0008-0000-0A00-00000F000000}"/>
            </a:ext>
          </a:extLst>
        </xdr:cNvPr>
        <xdr:cNvSpPr txBox="1"/>
      </xdr:nvSpPr>
      <xdr:spPr>
        <a:xfrm>
          <a:off x="1845750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8</xdr:col>
      <xdr:colOff>2381</xdr:colOff>
      <xdr:row>603</xdr:row>
      <xdr:rowOff>0</xdr:rowOff>
    </xdr:from>
    <xdr:ext cx="65" cy="172227"/>
    <xdr:sp macro="" textlink="">
      <xdr:nvSpPr>
        <xdr:cNvPr id="16" name="TextBox 15">
          <a:extLst>
            <a:ext uri="{FF2B5EF4-FFF2-40B4-BE49-F238E27FC236}">
              <a16:creationId xmlns:a16="http://schemas.microsoft.com/office/drawing/2014/main" id="{00000000-0008-0000-0A00-000010000000}"/>
            </a:ext>
          </a:extLst>
        </xdr:cNvPr>
        <xdr:cNvSpPr txBox="1"/>
      </xdr:nvSpPr>
      <xdr:spPr>
        <a:xfrm>
          <a:off x="14013656" y="392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8</xdr:col>
      <xdr:colOff>2381</xdr:colOff>
      <xdr:row>603</xdr:row>
      <xdr:rowOff>0</xdr:rowOff>
    </xdr:from>
    <xdr:ext cx="65" cy="172227"/>
    <xdr:sp macro="" textlink="">
      <xdr:nvSpPr>
        <xdr:cNvPr id="17" name="TextBox 16">
          <a:extLst>
            <a:ext uri="{FF2B5EF4-FFF2-40B4-BE49-F238E27FC236}">
              <a16:creationId xmlns:a16="http://schemas.microsoft.com/office/drawing/2014/main" id="{00000000-0008-0000-0A00-000011000000}"/>
            </a:ext>
          </a:extLst>
        </xdr:cNvPr>
        <xdr:cNvSpPr txBox="1"/>
      </xdr:nvSpPr>
      <xdr:spPr>
        <a:xfrm>
          <a:off x="14013656" y="392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7</xdr:col>
      <xdr:colOff>2269331</xdr:colOff>
      <xdr:row>5</xdr:row>
      <xdr:rowOff>0</xdr:rowOff>
    </xdr:from>
    <xdr:to>
      <xdr:col>8</xdr:col>
      <xdr:colOff>3567</xdr:colOff>
      <xdr:row>5</xdr:row>
      <xdr:rowOff>172227</xdr:rowOff>
    </xdr:to>
    <xdr:sp macro="" textlink="">
      <xdr:nvSpPr>
        <xdr:cNvPr id="30" name="TextBox 29">
          <a:extLst>
            <a:ext uri="{FF2B5EF4-FFF2-40B4-BE49-F238E27FC236}">
              <a16:creationId xmlns:a16="http://schemas.microsoft.com/office/drawing/2014/main" id="{00000000-0008-0000-0A00-00001E000000}"/>
            </a:ext>
          </a:extLst>
        </xdr:cNvPr>
        <xdr:cNvSpPr txBox="1"/>
      </xdr:nvSpPr>
      <xdr:spPr>
        <a:xfrm>
          <a:off x="18452306" y="10477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4521269</xdr:colOff>
      <xdr:row>41</xdr:row>
      <xdr:rowOff>0</xdr:rowOff>
    </xdr:from>
    <xdr:to>
      <xdr:col>6</xdr:col>
      <xdr:colOff>135763</xdr:colOff>
      <xdr:row>41</xdr:row>
      <xdr:rowOff>0</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00000000-0008-0000-0A00-000021000000}"/>
                </a:ext>
              </a:extLst>
            </xdr:cNvPr>
            <xdr:cNvSpPr txBox="1"/>
          </xdr:nvSpPr>
          <xdr:spPr>
            <a:xfrm>
              <a:off x="8093144" y="6810375"/>
              <a:ext cx="303446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3" name="TextBox 32">
              <a:extLst>
                <a:ext uri="{FF2B5EF4-FFF2-40B4-BE49-F238E27FC236}">
                  <a16:creationId xmlns:a16="http://schemas.microsoft.com/office/drawing/2014/main" id="{388E0D65-B0BE-4CFE-8B48-ECD4456A346E}"/>
                </a:ext>
              </a:extLst>
            </xdr:cNvPr>
            <xdr:cNvSpPr txBox="1"/>
          </xdr:nvSpPr>
          <xdr:spPr>
            <a:xfrm>
              <a:off x="8618924" y="6381750"/>
              <a:ext cx="53795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𝑘𝑊∗𝐶𝐹</a:t>
              </a:r>
              <a:endParaRPr lang="en-US" sz="1400"/>
            </a:p>
          </xdr:txBody>
        </xdr:sp>
      </mc:Fallback>
    </mc:AlternateContent>
    <xdr:clientData/>
  </xdr:twoCellAnchor>
  <xdr:twoCellAnchor>
    <xdr:from>
      <xdr:col>4</xdr:col>
      <xdr:colOff>4448094</xdr:colOff>
      <xdr:row>41</xdr:row>
      <xdr:rowOff>0</xdr:rowOff>
    </xdr:from>
    <xdr:to>
      <xdr:col>6</xdr:col>
      <xdr:colOff>324774</xdr:colOff>
      <xdr:row>41</xdr:row>
      <xdr:rowOff>0</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00000000-0008-0000-0A00-000022000000}"/>
                </a:ext>
              </a:extLst>
            </xdr:cNvPr>
            <xdr:cNvSpPr txBox="1"/>
          </xdr:nvSpPr>
          <xdr:spPr>
            <a:xfrm>
              <a:off x="8019969" y="6810375"/>
              <a:ext cx="32966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𝐷𝑒𝑓𝑎𝑢𝑙𝑡</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𝑆𝑞𝐹𝑡</m:t>
                    </m:r>
                  </m:oMath>
                </m:oMathPara>
              </a14:m>
              <a:endParaRPr lang="en-US" sz="1400">
                <a:solidFill>
                  <a:sysClr val="windowText" lastClr="000000"/>
                </a:solidFill>
              </a:endParaRPr>
            </a:p>
          </xdr:txBody>
        </xdr:sp>
      </mc:Choice>
      <mc:Fallback xmlns="">
        <xdr:sp macro="" textlink="">
          <xdr:nvSpPr>
            <xdr:cNvPr id="34" name="TextBox 33">
              <a:extLst>
                <a:ext uri="{FF2B5EF4-FFF2-40B4-BE49-F238E27FC236}">
                  <a16:creationId xmlns:a16="http://schemas.microsoft.com/office/drawing/2014/main" id="{00000000-0008-0000-0700-000022000000}"/>
                </a:ext>
              </a:extLst>
            </xdr:cNvPr>
            <xdr:cNvSpPr txBox="1"/>
          </xdr:nvSpPr>
          <xdr:spPr>
            <a:xfrm>
              <a:off x="8545749" y="6381750"/>
              <a:ext cx="56417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𝑇ℎ𝑒𝑟𝑚𝑠=𝐷𝑒𝑓𝑎𝑢𝑙𝑡∗𝑆𝑞𝐹𝑡</a:t>
              </a:r>
              <a:endParaRPr lang="en-US" sz="1400">
                <a:solidFill>
                  <a:sysClr val="windowText" lastClr="000000"/>
                </a:solidFill>
              </a:endParaRPr>
            </a:p>
          </xdr:txBody>
        </xdr:sp>
      </mc:Fallback>
    </mc:AlternateContent>
    <xdr:clientData/>
  </xdr:twoCellAnchor>
  <xdr:twoCellAnchor>
    <xdr:from>
      <xdr:col>6</xdr:col>
      <xdr:colOff>398771</xdr:colOff>
      <xdr:row>425</xdr:row>
      <xdr:rowOff>0</xdr:rowOff>
    </xdr:from>
    <xdr:to>
      <xdr:col>15</xdr:col>
      <xdr:colOff>0</xdr:colOff>
      <xdr:row>425</xdr:row>
      <xdr:rowOff>0</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00000000-0008-0000-0A00-000027000000}"/>
                </a:ext>
              </a:extLst>
            </xdr:cNvPr>
            <xdr:cNvSpPr txBox="1"/>
          </xdr:nvSpPr>
          <xdr:spPr>
            <a:xfrm>
              <a:off x="11390621" y="29165550"/>
              <a:ext cx="951675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𝑓𝑙𝑜𝑜𝑟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𝑓𝑙𝑜𝑜𝑟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∗1000</m:t>
                        </m:r>
                      </m:den>
                    </m:f>
                  </m:oMath>
                </m:oMathPara>
              </a14:m>
              <a:endParaRPr lang="en-US" sz="1400"/>
            </a:p>
          </xdr:txBody>
        </xdr:sp>
      </mc:Choice>
      <mc:Fallback xmlns="">
        <xdr:sp macro="" textlink="">
          <xdr:nvSpPr>
            <xdr:cNvPr id="39" name="TextBox 38">
              <a:extLst>
                <a:ext uri="{FF2B5EF4-FFF2-40B4-BE49-F238E27FC236}">
                  <a16:creationId xmlns:a16="http://schemas.microsoft.com/office/drawing/2014/main" id="{00000000-0008-0000-0700-000027000000}"/>
                </a:ext>
              </a:extLst>
            </xdr:cNvPr>
            <xdr:cNvSpPr txBox="1"/>
          </xdr:nvSpPr>
          <xdr:spPr>
            <a:xfrm>
              <a:off x="11400962" y="90623571"/>
              <a:ext cx="9200252" cy="10240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−1/(𝑅_𝑜𝑙𝑑+𝑅_𝑎𝑑𝑑𝑒𝑑 ))∗𝐴_𝑓𝑙𝑜𝑜𝑟∗(1−𝐹𝑟𝑎𝑚𝑖𝑛𝑔𝐹𝑎𝑐𝑡𝑜𝑟_𝑓𝑙𝑜𝑜𝑟 )∗𝐶𝐷𝐷∗24∗𝐷𝑈𝐴))/(𝜂𝑐𝑜𝑜𝑙∗1000)</a:t>
              </a:r>
              <a:endParaRPr lang="en-US" sz="1400"/>
            </a:p>
          </xdr:txBody>
        </xdr:sp>
      </mc:Fallback>
    </mc:AlternateContent>
    <xdr:clientData/>
  </xdr:twoCellAnchor>
  <xdr:twoCellAnchor>
    <xdr:from>
      <xdr:col>4</xdr:col>
      <xdr:colOff>3254</xdr:colOff>
      <xdr:row>425</xdr:row>
      <xdr:rowOff>0</xdr:rowOff>
    </xdr:from>
    <xdr:to>
      <xdr:col>4</xdr:col>
      <xdr:colOff>2739839</xdr:colOff>
      <xdr:row>425</xdr:row>
      <xdr:rowOff>0</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0000000-0008-0000-0A00-000028000000}"/>
                </a:ext>
              </a:extLst>
            </xdr:cNvPr>
            <xdr:cNvSpPr txBox="1"/>
          </xdr:nvSpPr>
          <xdr:spPr>
            <a:xfrm>
              <a:off x="3575129" y="29165550"/>
              <a:ext cx="273658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ea typeface="Cambria Math" panose="02040503050406030204" pitchFamily="18" charset="0"/>
                </a:rPr>
                <a:t>6</a:t>
              </a:r>
              <a14:m>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a14:m>
              <a:endParaRPr lang="en-US" sz="1400"/>
            </a:p>
          </xdr:txBody>
        </xdr:sp>
      </mc:Choice>
      <mc:Fallback xmlns="">
        <xdr:sp macro="" textlink="">
          <xdr:nvSpPr>
            <xdr:cNvPr id="40" name="TextBox 39">
              <a:extLst>
                <a:ext uri="{FF2B5EF4-FFF2-40B4-BE49-F238E27FC236}">
                  <a16:creationId xmlns:a16="http://schemas.microsoft.com/office/drawing/2014/main" id="{00000000-0008-0000-0A00-000028000000}"/>
                </a:ext>
              </a:extLst>
            </xdr:cNvPr>
            <xdr:cNvSpPr txBox="1"/>
          </xdr:nvSpPr>
          <xdr:spPr>
            <a:xfrm>
              <a:off x="3575129" y="29165550"/>
              <a:ext cx="273658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a:ea typeface="Cambria Math" panose="02040503050406030204" pitchFamily="18" charset="0"/>
                </a:rPr>
                <a:t>6</a:t>
              </a: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784315</xdr:colOff>
      <xdr:row>459</xdr:row>
      <xdr:rowOff>0</xdr:rowOff>
    </xdr:from>
    <xdr:to>
      <xdr:col>14</xdr:col>
      <xdr:colOff>1631</xdr:colOff>
      <xdr:row>459</xdr:row>
      <xdr:rowOff>0</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00000000-0008-0000-0A00-000029000000}"/>
                </a:ext>
              </a:extLst>
            </xdr:cNvPr>
            <xdr:cNvSpPr txBox="1"/>
          </xdr:nvSpPr>
          <xdr:spPr>
            <a:xfrm>
              <a:off x="4356190" y="30794325"/>
              <a:ext cx="158003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100"/>
            </a:p>
          </xdr:txBody>
        </xdr:sp>
      </mc:Choice>
      <mc:Fallback xmlns="">
        <xdr:sp macro="" textlink="">
          <xdr:nvSpPr>
            <xdr:cNvPr id="41" name="TextBox 40">
              <a:extLst>
                <a:ext uri="{FF2B5EF4-FFF2-40B4-BE49-F238E27FC236}">
                  <a16:creationId xmlns:a16="http://schemas.microsoft.com/office/drawing/2014/main" id="{00000000-0008-0000-0700-000029000000}"/>
                </a:ext>
              </a:extLst>
            </xdr:cNvPr>
            <xdr:cNvSpPr txBox="1"/>
          </xdr:nvSpPr>
          <xdr:spPr>
            <a:xfrm>
              <a:off x="4368709" y="99733826"/>
              <a:ext cx="15484111" cy="3281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100"/>
            </a:p>
          </xdr:txBody>
        </xdr:sp>
      </mc:Fallback>
    </mc:AlternateContent>
    <xdr:clientData/>
  </xdr:twoCellAnchor>
  <xdr:twoCellAnchor>
    <xdr:from>
      <xdr:col>4</xdr:col>
      <xdr:colOff>777901</xdr:colOff>
      <xdr:row>459</xdr:row>
      <xdr:rowOff>0</xdr:rowOff>
    </xdr:from>
    <xdr:to>
      <xdr:col>14</xdr:col>
      <xdr:colOff>0</xdr:colOff>
      <xdr:row>459</xdr:row>
      <xdr:rowOff>0</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00000000-0008-0000-0A00-00002A000000}"/>
                </a:ext>
              </a:extLst>
            </xdr:cNvPr>
            <xdr:cNvSpPr txBox="1"/>
          </xdr:nvSpPr>
          <xdr:spPr>
            <a:xfrm>
              <a:off x="4349776" y="30794325"/>
              <a:ext cx="158051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42" name="TextBox 41">
              <a:extLst>
                <a:ext uri="{FF2B5EF4-FFF2-40B4-BE49-F238E27FC236}">
                  <a16:creationId xmlns:a16="http://schemas.microsoft.com/office/drawing/2014/main" id="{00000000-0008-0000-0700-00002A000000}"/>
                </a:ext>
              </a:extLst>
            </xdr:cNvPr>
            <xdr:cNvSpPr txBox="1"/>
          </xdr:nvSpPr>
          <xdr:spPr>
            <a:xfrm>
              <a:off x="4350865" y="99379299"/>
              <a:ext cx="15501956" cy="3474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7</xdr:col>
      <xdr:colOff>401494</xdr:colOff>
      <xdr:row>487</xdr:row>
      <xdr:rowOff>0</xdr:rowOff>
    </xdr:from>
    <xdr:to>
      <xdr:col>12</xdr:col>
      <xdr:colOff>0</xdr:colOff>
      <xdr:row>487</xdr:row>
      <xdr:rowOff>0</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00000000-0008-0000-0A00-00002C000000}"/>
                </a:ext>
              </a:extLst>
            </xdr:cNvPr>
            <xdr:cNvSpPr txBox="1"/>
          </xdr:nvSpPr>
          <xdr:spPr>
            <a:xfrm>
              <a:off x="12869719" y="32461200"/>
              <a:ext cx="536113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𝑡h𝑒𝑟𝑚𝑠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𝑛𝑒𝑤</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𝐸𝐹𝐿𝐻h𝑒𝑎𝑡</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𝐴𝑣𝑔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num>
                      <m:den>
                        <m:r>
                          <a:rPr lang="en-US" sz="1400" b="0" i="1">
                            <a:latin typeface="Cambria Math" panose="02040503050406030204" pitchFamily="18" charset="0"/>
                            <a:ea typeface="Cambria Math" panose="02040503050406030204" pitchFamily="18" charset="0"/>
                          </a:rPr>
                          <m:t>(100,000∗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𝐸𝑓𝑓</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en>
                    </m:f>
                    <m:r>
                      <a:rPr lang="en-US" sz="1400" b="0" i="1">
                        <a:latin typeface="Cambria Math" panose="02040503050406030204" pitchFamily="18" charset="0"/>
                        <a:ea typeface="Cambria Math" panose="02040503050406030204" pitchFamily="18" charset="0"/>
                      </a:rPr>
                      <m:t> </m:t>
                    </m:r>
                  </m:oMath>
                </m:oMathPara>
              </a14:m>
              <a:endParaRPr lang="en-US" sz="1400"/>
            </a:p>
          </xdr:txBody>
        </xdr:sp>
      </mc:Choice>
      <mc:Fallback xmlns="">
        <xdr:sp macro="" textlink="">
          <xdr:nvSpPr>
            <xdr:cNvPr id="44" name="TextBox 43">
              <a:extLst>
                <a:ext uri="{FF2B5EF4-FFF2-40B4-BE49-F238E27FC236}">
                  <a16:creationId xmlns:a16="http://schemas.microsoft.com/office/drawing/2014/main" id="{00000000-0008-0000-0700-00002C000000}"/>
                </a:ext>
              </a:extLst>
            </xdr:cNvPr>
            <xdr:cNvSpPr txBox="1"/>
          </xdr:nvSpPr>
          <xdr:spPr>
            <a:xfrm>
              <a:off x="12772564" y="109545119"/>
              <a:ext cx="5148043" cy="84825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𝑡ℎ𝑒𝑟𝑚𝑠=((1/𝑅_𝑒𝑥𝑖𝑠𝑡𝑖𝑛𝑔 −</a:t>
              </a:r>
              <a:r>
                <a:rPr lang="en-US" sz="1400" b="0" i="0">
                  <a:solidFill>
                    <a:schemeClr val="tx1"/>
                  </a:solidFill>
                  <a:effectLst/>
                  <a:latin typeface="Cambria Math" panose="02040503050406030204" pitchFamily="18" charset="0"/>
                  <a:ea typeface="+mn-ea"/>
                  <a:cs typeface="+mn-cs"/>
                </a:rPr>
                <a:t>1/𝑅_𝑛𝑒𝑤 )</a:t>
              </a:r>
              <a:r>
                <a:rPr lang="en-US" sz="1400" b="0" i="0">
                  <a:latin typeface="Cambria Math" panose="02040503050406030204" pitchFamily="18" charset="0"/>
                  <a:ea typeface="Cambria Math" panose="02040503050406030204" pitchFamily="18" charset="0"/>
                </a:rPr>
                <a:t>∗𝐴𝑟𝑒𝑎∗𝐸𝐹𝐿𝐻ℎ𝑒𝑎𝑡∗∆𝑇_(𝐴𝑣𝑔,ℎ𝑒𝑎𝑡𝑖𝑛𝑔))/((100,000∗〖𝐸𝑓𝑓〗_ℎ𝑒𝑎𝑡))  </a:t>
              </a:r>
              <a:endParaRPr lang="en-US" sz="1400"/>
            </a:p>
          </xdr:txBody>
        </xdr:sp>
      </mc:Fallback>
    </mc:AlternateContent>
    <xdr:clientData/>
  </xdr:twoCellAnchor>
  <xdr:twoCellAnchor>
    <xdr:from>
      <xdr:col>4</xdr:col>
      <xdr:colOff>95251</xdr:colOff>
      <xdr:row>487</xdr:row>
      <xdr:rowOff>0</xdr:rowOff>
    </xdr:from>
    <xdr:to>
      <xdr:col>12</xdr:col>
      <xdr:colOff>272</xdr:colOff>
      <xdr:row>487</xdr:row>
      <xdr:rowOff>0</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00000000-0008-0000-0A00-00002E000000}"/>
                </a:ext>
              </a:extLst>
            </xdr:cNvPr>
            <xdr:cNvSpPr txBox="1"/>
          </xdr:nvSpPr>
          <xdr:spPr>
            <a:xfrm>
              <a:off x="3667126" y="32461200"/>
              <a:ext cx="145639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l-GR" sz="1400" b="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l-GR" sz="1400" b="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𝐻𝑒𝑎𝑡𝑖𝑛𝑔𝐸𝑙𝑒𝑐𝑡𝑟𝑖𝑐</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𝐻𝑒𝑎𝑡𝑖𝑛𝑔𝐺𝑎𝑠</m:t>
                        </m:r>
                      </m:sub>
                    </m:sSub>
                  </m:oMath>
                </m:oMathPara>
              </a14:m>
              <a:endParaRPr lang="en-US" sz="140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00000000-0008-0000-0700-00002E000000}"/>
                </a:ext>
              </a:extLst>
            </xdr:cNvPr>
            <xdr:cNvSpPr txBox="1"/>
          </xdr:nvSpPr>
          <xdr:spPr>
            <a:xfrm>
              <a:off x="3673930" y="108380893"/>
              <a:ext cx="14244772" cy="346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l-GR" sz="1400" b="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𝑘𝑊ℎ_𝐶𝑜𝑜𝑙𝑖𝑛𝑔+</a:t>
              </a:r>
              <a:r>
                <a:rPr lang="el-GR" sz="1400" b="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𝑘𝑊ℎ_𝐻𝑒𝑎𝑡𝑖𝑛𝑔𝐸𝑙𝑒𝑐𝑡𝑟𝑖𝑐+Δ𝑘𝑊ℎ_𝐻𝑒𝑎𝑡𝑖𝑛𝑔𝐺𝑎𝑠</a:t>
              </a:r>
              <a:endParaRPr lang="en-US" sz="1400">
                <a:solidFill>
                  <a:sysClr val="windowText" lastClr="000000"/>
                </a:solidFill>
              </a:endParaRPr>
            </a:p>
          </xdr:txBody>
        </xdr:sp>
      </mc:Fallback>
    </mc:AlternateContent>
    <xdr:clientData/>
  </xdr:twoCellAnchor>
  <xdr:twoCellAnchor>
    <xdr:from>
      <xdr:col>8</xdr:col>
      <xdr:colOff>2381</xdr:colOff>
      <xdr:row>603</xdr:row>
      <xdr:rowOff>0</xdr:rowOff>
    </xdr:from>
    <xdr:to>
      <xdr:col>8</xdr:col>
      <xdr:colOff>3567</xdr:colOff>
      <xdr:row>603</xdr:row>
      <xdr:rowOff>172227</xdr:rowOff>
    </xdr:to>
    <xdr:sp macro="" textlink="">
      <xdr:nvSpPr>
        <xdr:cNvPr id="49" name="TextBox 48">
          <a:extLst>
            <a:ext uri="{FF2B5EF4-FFF2-40B4-BE49-F238E27FC236}">
              <a16:creationId xmlns:a16="http://schemas.microsoft.com/office/drawing/2014/main" id="{00000000-0008-0000-0A00-000031000000}"/>
            </a:ext>
          </a:extLst>
        </xdr:cNvPr>
        <xdr:cNvSpPr txBox="1"/>
      </xdr:nvSpPr>
      <xdr:spPr>
        <a:xfrm>
          <a:off x="14013656" y="39233475"/>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8</xdr:col>
      <xdr:colOff>2381</xdr:colOff>
      <xdr:row>603</xdr:row>
      <xdr:rowOff>0</xdr:rowOff>
    </xdr:from>
    <xdr:to>
      <xdr:col>8</xdr:col>
      <xdr:colOff>3567</xdr:colOff>
      <xdr:row>603</xdr:row>
      <xdr:rowOff>172227</xdr:rowOff>
    </xdr:to>
    <xdr:sp macro="" textlink="">
      <xdr:nvSpPr>
        <xdr:cNvPr id="50" name="TextBox 49">
          <a:extLst>
            <a:ext uri="{FF2B5EF4-FFF2-40B4-BE49-F238E27FC236}">
              <a16:creationId xmlns:a16="http://schemas.microsoft.com/office/drawing/2014/main" id="{00000000-0008-0000-0A00-000032000000}"/>
            </a:ext>
          </a:extLst>
        </xdr:cNvPr>
        <xdr:cNvSpPr txBox="1"/>
      </xdr:nvSpPr>
      <xdr:spPr>
        <a:xfrm>
          <a:off x="14013656" y="39233475"/>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26</xdr:col>
      <xdr:colOff>2269331</xdr:colOff>
      <xdr:row>3</xdr:row>
      <xdr:rowOff>0</xdr:rowOff>
    </xdr:from>
    <xdr:ext cx="65" cy="172227"/>
    <xdr:sp macro="" textlink="">
      <xdr:nvSpPr>
        <xdr:cNvPr id="63" name="TextBox 62">
          <a:extLst>
            <a:ext uri="{FF2B5EF4-FFF2-40B4-BE49-F238E27FC236}">
              <a16:creationId xmlns:a16="http://schemas.microsoft.com/office/drawing/2014/main" id="{00000000-0008-0000-0A00-00003F000000}"/>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4" name="TextBox 63">
          <a:extLst>
            <a:ext uri="{FF2B5EF4-FFF2-40B4-BE49-F238E27FC236}">
              <a16:creationId xmlns:a16="http://schemas.microsoft.com/office/drawing/2014/main" id="{00000000-0008-0000-0A00-000040000000}"/>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454</xdr:row>
      <xdr:rowOff>0</xdr:rowOff>
    </xdr:from>
    <xdr:ext cx="65" cy="172227"/>
    <xdr:sp macro="" textlink="">
      <xdr:nvSpPr>
        <xdr:cNvPr id="65" name="TextBox 64">
          <a:extLst>
            <a:ext uri="{FF2B5EF4-FFF2-40B4-BE49-F238E27FC236}">
              <a16:creationId xmlns:a16="http://schemas.microsoft.com/office/drawing/2014/main" id="{00000000-0008-0000-0A00-000041000000}"/>
            </a:ext>
          </a:extLst>
        </xdr:cNvPr>
        <xdr:cNvSpPr txBox="1"/>
      </xdr:nvSpPr>
      <xdr:spPr>
        <a:xfrm>
          <a:off x="34176176" y="2952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454</xdr:row>
      <xdr:rowOff>0</xdr:rowOff>
    </xdr:from>
    <xdr:ext cx="65" cy="172227"/>
    <xdr:sp macro="" textlink="">
      <xdr:nvSpPr>
        <xdr:cNvPr id="66" name="TextBox 65">
          <a:extLst>
            <a:ext uri="{FF2B5EF4-FFF2-40B4-BE49-F238E27FC236}">
              <a16:creationId xmlns:a16="http://schemas.microsoft.com/office/drawing/2014/main" id="{00000000-0008-0000-0A00-000042000000}"/>
            </a:ext>
          </a:extLst>
        </xdr:cNvPr>
        <xdr:cNvSpPr txBox="1"/>
      </xdr:nvSpPr>
      <xdr:spPr>
        <a:xfrm>
          <a:off x="34176176" y="2952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626</xdr:row>
      <xdr:rowOff>0</xdr:rowOff>
    </xdr:from>
    <xdr:ext cx="65" cy="172227"/>
    <xdr:sp macro="" textlink="">
      <xdr:nvSpPr>
        <xdr:cNvPr id="67" name="TextBox 66">
          <a:extLst>
            <a:ext uri="{FF2B5EF4-FFF2-40B4-BE49-F238E27FC236}">
              <a16:creationId xmlns:a16="http://schemas.microsoft.com/office/drawing/2014/main" id="{00000000-0008-0000-0A00-000043000000}"/>
            </a:ext>
          </a:extLst>
        </xdr:cNvPr>
        <xdr:cNvSpPr txBox="1"/>
      </xdr:nvSpPr>
      <xdr:spPr>
        <a:xfrm>
          <a:off x="34176176" y="45281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626</xdr:row>
      <xdr:rowOff>0</xdr:rowOff>
    </xdr:from>
    <xdr:ext cx="65" cy="172227"/>
    <xdr:sp macro="" textlink="">
      <xdr:nvSpPr>
        <xdr:cNvPr id="68" name="TextBox 67">
          <a:extLst>
            <a:ext uri="{FF2B5EF4-FFF2-40B4-BE49-F238E27FC236}">
              <a16:creationId xmlns:a16="http://schemas.microsoft.com/office/drawing/2014/main" id="{00000000-0008-0000-0A00-000044000000}"/>
            </a:ext>
          </a:extLst>
        </xdr:cNvPr>
        <xdr:cNvSpPr txBox="1"/>
      </xdr:nvSpPr>
      <xdr:spPr>
        <a:xfrm>
          <a:off x="34176176" y="45281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697</xdr:row>
      <xdr:rowOff>0</xdr:rowOff>
    </xdr:from>
    <xdr:ext cx="65" cy="172227"/>
    <xdr:sp macro="" textlink="">
      <xdr:nvSpPr>
        <xdr:cNvPr id="69" name="TextBox 68">
          <a:extLst>
            <a:ext uri="{FF2B5EF4-FFF2-40B4-BE49-F238E27FC236}">
              <a16:creationId xmlns:a16="http://schemas.microsoft.com/office/drawing/2014/main" id="{00000000-0008-0000-0A00-000045000000}"/>
            </a:ext>
          </a:extLst>
        </xdr:cNvPr>
        <xdr:cNvSpPr txBox="1"/>
      </xdr:nvSpPr>
      <xdr:spPr>
        <a:xfrm>
          <a:off x="34179314" y="48977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697</xdr:row>
      <xdr:rowOff>0</xdr:rowOff>
    </xdr:from>
    <xdr:ext cx="65" cy="172227"/>
    <xdr:sp macro="" textlink="">
      <xdr:nvSpPr>
        <xdr:cNvPr id="70" name="TextBox 69">
          <a:extLst>
            <a:ext uri="{FF2B5EF4-FFF2-40B4-BE49-F238E27FC236}">
              <a16:creationId xmlns:a16="http://schemas.microsoft.com/office/drawing/2014/main" id="{00000000-0008-0000-0A00-000046000000}"/>
            </a:ext>
          </a:extLst>
        </xdr:cNvPr>
        <xdr:cNvSpPr txBox="1"/>
      </xdr:nvSpPr>
      <xdr:spPr>
        <a:xfrm>
          <a:off x="34179314" y="48977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739</xdr:row>
      <xdr:rowOff>0</xdr:rowOff>
    </xdr:from>
    <xdr:ext cx="65" cy="172227"/>
    <xdr:sp macro="" textlink="">
      <xdr:nvSpPr>
        <xdr:cNvPr id="71" name="TextBox 70">
          <a:extLst>
            <a:ext uri="{FF2B5EF4-FFF2-40B4-BE49-F238E27FC236}">
              <a16:creationId xmlns:a16="http://schemas.microsoft.com/office/drawing/2014/main" id="{00000000-0008-0000-0A00-000047000000}"/>
            </a:ext>
          </a:extLst>
        </xdr:cNvPr>
        <xdr:cNvSpPr txBox="1"/>
      </xdr:nvSpPr>
      <xdr:spPr>
        <a:xfrm>
          <a:off x="34179314" y="51254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739</xdr:row>
      <xdr:rowOff>0</xdr:rowOff>
    </xdr:from>
    <xdr:ext cx="65" cy="172227"/>
    <xdr:sp macro="" textlink="">
      <xdr:nvSpPr>
        <xdr:cNvPr id="72" name="TextBox 71">
          <a:extLst>
            <a:ext uri="{FF2B5EF4-FFF2-40B4-BE49-F238E27FC236}">
              <a16:creationId xmlns:a16="http://schemas.microsoft.com/office/drawing/2014/main" id="{00000000-0008-0000-0A00-000048000000}"/>
            </a:ext>
          </a:extLst>
        </xdr:cNvPr>
        <xdr:cNvSpPr txBox="1"/>
      </xdr:nvSpPr>
      <xdr:spPr>
        <a:xfrm>
          <a:off x="34179314" y="51254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767</xdr:row>
      <xdr:rowOff>0</xdr:rowOff>
    </xdr:from>
    <xdr:ext cx="65" cy="172227"/>
    <xdr:sp macro="" textlink="">
      <xdr:nvSpPr>
        <xdr:cNvPr id="73" name="TextBox 72">
          <a:extLst>
            <a:ext uri="{FF2B5EF4-FFF2-40B4-BE49-F238E27FC236}">
              <a16:creationId xmlns:a16="http://schemas.microsoft.com/office/drawing/2014/main" id="{00000000-0008-0000-0A00-000049000000}"/>
            </a:ext>
          </a:extLst>
        </xdr:cNvPr>
        <xdr:cNvSpPr txBox="1"/>
      </xdr:nvSpPr>
      <xdr:spPr>
        <a:xfrm>
          <a:off x="34179314" y="5294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767</xdr:row>
      <xdr:rowOff>0</xdr:rowOff>
    </xdr:from>
    <xdr:ext cx="65" cy="172227"/>
    <xdr:sp macro="" textlink="">
      <xdr:nvSpPr>
        <xdr:cNvPr id="74" name="TextBox 73">
          <a:extLst>
            <a:ext uri="{FF2B5EF4-FFF2-40B4-BE49-F238E27FC236}">
              <a16:creationId xmlns:a16="http://schemas.microsoft.com/office/drawing/2014/main" id="{00000000-0008-0000-0A00-00004A000000}"/>
            </a:ext>
          </a:extLst>
        </xdr:cNvPr>
        <xdr:cNvSpPr txBox="1"/>
      </xdr:nvSpPr>
      <xdr:spPr>
        <a:xfrm>
          <a:off x="34179314" y="5294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832</xdr:row>
      <xdr:rowOff>0</xdr:rowOff>
    </xdr:from>
    <xdr:ext cx="65" cy="172227"/>
    <xdr:sp macro="" textlink="">
      <xdr:nvSpPr>
        <xdr:cNvPr id="75" name="TextBox 74">
          <a:extLst>
            <a:ext uri="{FF2B5EF4-FFF2-40B4-BE49-F238E27FC236}">
              <a16:creationId xmlns:a16="http://schemas.microsoft.com/office/drawing/2014/main" id="{00000000-0008-0000-0A00-00004B000000}"/>
            </a:ext>
          </a:extLst>
        </xdr:cNvPr>
        <xdr:cNvSpPr txBox="1"/>
      </xdr:nvSpPr>
      <xdr:spPr>
        <a:xfrm>
          <a:off x="34179314" y="6427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832</xdr:row>
      <xdr:rowOff>0</xdr:rowOff>
    </xdr:from>
    <xdr:ext cx="65" cy="172227"/>
    <xdr:sp macro="" textlink="">
      <xdr:nvSpPr>
        <xdr:cNvPr id="76" name="TextBox 75">
          <a:extLst>
            <a:ext uri="{FF2B5EF4-FFF2-40B4-BE49-F238E27FC236}">
              <a16:creationId xmlns:a16="http://schemas.microsoft.com/office/drawing/2014/main" id="{00000000-0008-0000-0A00-00004C000000}"/>
            </a:ext>
          </a:extLst>
        </xdr:cNvPr>
        <xdr:cNvSpPr txBox="1"/>
      </xdr:nvSpPr>
      <xdr:spPr>
        <a:xfrm>
          <a:off x="34179314" y="6427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29</xdr:row>
      <xdr:rowOff>0</xdr:rowOff>
    </xdr:from>
    <xdr:ext cx="65" cy="172227"/>
    <xdr:sp macro="" textlink="">
      <xdr:nvSpPr>
        <xdr:cNvPr id="77" name="TextBox 76">
          <a:extLst>
            <a:ext uri="{FF2B5EF4-FFF2-40B4-BE49-F238E27FC236}">
              <a16:creationId xmlns:a16="http://schemas.microsoft.com/office/drawing/2014/main" id="{00000000-0008-0000-0A00-00004D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29</xdr:row>
      <xdr:rowOff>0</xdr:rowOff>
    </xdr:from>
    <xdr:ext cx="65" cy="172227"/>
    <xdr:sp macro="" textlink="">
      <xdr:nvSpPr>
        <xdr:cNvPr id="78" name="TextBox 77">
          <a:extLst>
            <a:ext uri="{FF2B5EF4-FFF2-40B4-BE49-F238E27FC236}">
              <a16:creationId xmlns:a16="http://schemas.microsoft.com/office/drawing/2014/main" id="{00000000-0008-0000-0A00-00004E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97</xdr:row>
      <xdr:rowOff>0</xdr:rowOff>
    </xdr:from>
    <xdr:ext cx="65" cy="172227"/>
    <xdr:sp macro="" textlink="">
      <xdr:nvSpPr>
        <xdr:cNvPr id="79" name="TextBox 78">
          <a:extLst>
            <a:ext uri="{FF2B5EF4-FFF2-40B4-BE49-F238E27FC236}">
              <a16:creationId xmlns:a16="http://schemas.microsoft.com/office/drawing/2014/main" id="{00000000-0008-0000-0A00-00004F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97</xdr:row>
      <xdr:rowOff>0</xdr:rowOff>
    </xdr:from>
    <xdr:ext cx="65" cy="172227"/>
    <xdr:sp macro="" textlink="">
      <xdr:nvSpPr>
        <xdr:cNvPr id="80" name="TextBox 79">
          <a:extLst>
            <a:ext uri="{FF2B5EF4-FFF2-40B4-BE49-F238E27FC236}">
              <a16:creationId xmlns:a16="http://schemas.microsoft.com/office/drawing/2014/main" id="{00000000-0008-0000-0A00-000050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416</xdr:row>
      <xdr:rowOff>0</xdr:rowOff>
    </xdr:from>
    <xdr:ext cx="65" cy="172227"/>
    <xdr:sp macro="" textlink="">
      <xdr:nvSpPr>
        <xdr:cNvPr id="81" name="TextBox 80">
          <a:extLst>
            <a:ext uri="{FF2B5EF4-FFF2-40B4-BE49-F238E27FC236}">
              <a16:creationId xmlns:a16="http://schemas.microsoft.com/office/drawing/2014/main" id="{00000000-0008-0000-0A00-000051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416</xdr:row>
      <xdr:rowOff>0</xdr:rowOff>
    </xdr:from>
    <xdr:ext cx="65" cy="172227"/>
    <xdr:sp macro="" textlink="">
      <xdr:nvSpPr>
        <xdr:cNvPr id="82" name="TextBox 81">
          <a:extLst>
            <a:ext uri="{FF2B5EF4-FFF2-40B4-BE49-F238E27FC236}">
              <a16:creationId xmlns:a16="http://schemas.microsoft.com/office/drawing/2014/main" id="{00000000-0008-0000-0A00-000052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481</xdr:row>
      <xdr:rowOff>0</xdr:rowOff>
    </xdr:from>
    <xdr:ext cx="65" cy="172227"/>
    <xdr:sp macro="" textlink="">
      <xdr:nvSpPr>
        <xdr:cNvPr id="83" name="TextBox 82">
          <a:extLst>
            <a:ext uri="{FF2B5EF4-FFF2-40B4-BE49-F238E27FC236}">
              <a16:creationId xmlns:a16="http://schemas.microsoft.com/office/drawing/2014/main" id="{00000000-0008-0000-0A00-000053000000}"/>
            </a:ext>
          </a:extLst>
        </xdr:cNvPr>
        <xdr:cNvSpPr txBox="1"/>
      </xdr:nvSpPr>
      <xdr:spPr>
        <a:xfrm>
          <a:off x="34176176" y="3097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481</xdr:row>
      <xdr:rowOff>0</xdr:rowOff>
    </xdr:from>
    <xdr:ext cx="65" cy="172227"/>
    <xdr:sp macro="" textlink="">
      <xdr:nvSpPr>
        <xdr:cNvPr id="84" name="TextBox 83">
          <a:extLst>
            <a:ext uri="{FF2B5EF4-FFF2-40B4-BE49-F238E27FC236}">
              <a16:creationId xmlns:a16="http://schemas.microsoft.com/office/drawing/2014/main" id="{00000000-0008-0000-0A00-000054000000}"/>
            </a:ext>
          </a:extLst>
        </xdr:cNvPr>
        <xdr:cNvSpPr txBox="1"/>
      </xdr:nvSpPr>
      <xdr:spPr>
        <a:xfrm>
          <a:off x="34176176" y="3097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516</xdr:row>
      <xdr:rowOff>0</xdr:rowOff>
    </xdr:from>
    <xdr:ext cx="65" cy="172227"/>
    <xdr:sp macro="" textlink="">
      <xdr:nvSpPr>
        <xdr:cNvPr id="85" name="TextBox 84">
          <a:extLst>
            <a:ext uri="{FF2B5EF4-FFF2-40B4-BE49-F238E27FC236}">
              <a16:creationId xmlns:a16="http://schemas.microsoft.com/office/drawing/2014/main" id="{00000000-0008-0000-0A00-000055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516</xdr:row>
      <xdr:rowOff>0</xdr:rowOff>
    </xdr:from>
    <xdr:ext cx="65" cy="172227"/>
    <xdr:sp macro="" textlink="">
      <xdr:nvSpPr>
        <xdr:cNvPr id="86" name="TextBox 85">
          <a:extLst>
            <a:ext uri="{FF2B5EF4-FFF2-40B4-BE49-F238E27FC236}">
              <a16:creationId xmlns:a16="http://schemas.microsoft.com/office/drawing/2014/main" id="{00000000-0008-0000-0A00-000056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551</xdr:row>
      <xdr:rowOff>0</xdr:rowOff>
    </xdr:from>
    <xdr:ext cx="65" cy="172227"/>
    <xdr:sp macro="" textlink="">
      <xdr:nvSpPr>
        <xdr:cNvPr id="87" name="TextBox 86">
          <a:extLst>
            <a:ext uri="{FF2B5EF4-FFF2-40B4-BE49-F238E27FC236}">
              <a16:creationId xmlns:a16="http://schemas.microsoft.com/office/drawing/2014/main" id="{00000000-0008-0000-0A00-000057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551</xdr:row>
      <xdr:rowOff>0</xdr:rowOff>
    </xdr:from>
    <xdr:ext cx="65" cy="172227"/>
    <xdr:sp macro="" textlink="">
      <xdr:nvSpPr>
        <xdr:cNvPr id="88" name="TextBox 87">
          <a:extLst>
            <a:ext uri="{FF2B5EF4-FFF2-40B4-BE49-F238E27FC236}">
              <a16:creationId xmlns:a16="http://schemas.microsoft.com/office/drawing/2014/main" id="{00000000-0008-0000-0A00-000058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601</xdr:row>
      <xdr:rowOff>0</xdr:rowOff>
    </xdr:from>
    <xdr:ext cx="65" cy="172227"/>
    <xdr:sp macro="" textlink="">
      <xdr:nvSpPr>
        <xdr:cNvPr id="89" name="TextBox 88">
          <a:extLst>
            <a:ext uri="{FF2B5EF4-FFF2-40B4-BE49-F238E27FC236}">
              <a16:creationId xmlns:a16="http://schemas.microsoft.com/office/drawing/2014/main" id="{00000000-0008-0000-0A00-000059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601</xdr:row>
      <xdr:rowOff>0</xdr:rowOff>
    </xdr:from>
    <xdr:ext cx="65" cy="172227"/>
    <xdr:sp macro="" textlink="">
      <xdr:nvSpPr>
        <xdr:cNvPr id="90" name="TextBox 89">
          <a:extLst>
            <a:ext uri="{FF2B5EF4-FFF2-40B4-BE49-F238E27FC236}">
              <a16:creationId xmlns:a16="http://schemas.microsoft.com/office/drawing/2014/main" id="{00000000-0008-0000-0A00-00005A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829</xdr:row>
      <xdr:rowOff>0</xdr:rowOff>
    </xdr:from>
    <xdr:ext cx="65" cy="172227"/>
    <xdr:sp macro="" textlink="">
      <xdr:nvSpPr>
        <xdr:cNvPr id="91" name="TextBox 90">
          <a:extLst>
            <a:ext uri="{FF2B5EF4-FFF2-40B4-BE49-F238E27FC236}">
              <a16:creationId xmlns:a16="http://schemas.microsoft.com/office/drawing/2014/main" id="{00000000-0008-0000-0A00-00005B000000}"/>
            </a:ext>
          </a:extLst>
        </xdr:cNvPr>
        <xdr:cNvSpPr txBox="1"/>
      </xdr:nvSpPr>
      <xdr:spPr>
        <a:xfrm>
          <a:off x="34179314" y="58378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829</xdr:row>
      <xdr:rowOff>0</xdr:rowOff>
    </xdr:from>
    <xdr:ext cx="65" cy="172227"/>
    <xdr:sp macro="" textlink="">
      <xdr:nvSpPr>
        <xdr:cNvPr id="92" name="TextBox 91">
          <a:extLst>
            <a:ext uri="{FF2B5EF4-FFF2-40B4-BE49-F238E27FC236}">
              <a16:creationId xmlns:a16="http://schemas.microsoft.com/office/drawing/2014/main" id="{00000000-0008-0000-0A00-00005C000000}"/>
            </a:ext>
          </a:extLst>
        </xdr:cNvPr>
        <xdr:cNvSpPr txBox="1"/>
      </xdr:nvSpPr>
      <xdr:spPr>
        <a:xfrm>
          <a:off x="34179314" y="58378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829</xdr:row>
      <xdr:rowOff>0</xdr:rowOff>
    </xdr:from>
    <xdr:ext cx="65" cy="172227"/>
    <xdr:sp macro="" textlink="">
      <xdr:nvSpPr>
        <xdr:cNvPr id="93" name="TextBox 92">
          <a:extLst>
            <a:ext uri="{FF2B5EF4-FFF2-40B4-BE49-F238E27FC236}">
              <a16:creationId xmlns:a16="http://schemas.microsoft.com/office/drawing/2014/main" id="{00000000-0008-0000-0A00-00005D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829</xdr:row>
      <xdr:rowOff>0</xdr:rowOff>
    </xdr:from>
    <xdr:ext cx="65" cy="172227"/>
    <xdr:sp macro="" textlink="">
      <xdr:nvSpPr>
        <xdr:cNvPr id="94" name="TextBox 93">
          <a:extLst>
            <a:ext uri="{FF2B5EF4-FFF2-40B4-BE49-F238E27FC236}">
              <a16:creationId xmlns:a16="http://schemas.microsoft.com/office/drawing/2014/main" id="{00000000-0008-0000-0A00-00005E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829</xdr:row>
      <xdr:rowOff>0</xdr:rowOff>
    </xdr:from>
    <xdr:ext cx="65" cy="172227"/>
    <xdr:sp macro="" textlink="">
      <xdr:nvSpPr>
        <xdr:cNvPr id="95" name="TextBox 94">
          <a:extLst>
            <a:ext uri="{FF2B5EF4-FFF2-40B4-BE49-F238E27FC236}">
              <a16:creationId xmlns:a16="http://schemas.microsoft.com/office/drawing/2014/main" id="{00000000-0008-0000-0A00-00005F000000}"/>
            </a:ext>
          </a:extLst>
        </xdr:cNvPr>
        <xdr:cNvSpPr txBox="1"/>
      </xdr:nvSpPr>
      <xdr:spPr>
        <a:xfrm>
          <a:off x="34179314" y="61426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829</xdr:row>
      <xdr:rowOff>0</xdr:rowOff>
    </xdr:from>
    <xdr:ext cx="65" cy="172227"/>
    <xdr:sp macro="" textlink="">
      <xdr:nvSpPr>
        <xdr:cNvPr id="96" name="TextBox 95">
          <a:extLst>
            <a:ext uri="{FF2B5EF4-FFF2-40B4-BE49-F238E27FC236}">
              <a16:creationId xmlns:a16="http://schemas.microsoft.com/office/drawing/2014/main" id="{00000000-0008-0000-0A00-000060000000}"/>
            </a:ext>
          </a:extLst>
        </xdr:cNvPr>
        <xdr:cNvSpPr txBox="1"/>
      </xdr:nvSpPr>
      <xdr:spPr>
        <a:xfrm>
          <a:off x="34179314" y="61426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831</xdr:row>
      <xdr:rowOff>0</xdr:rowOff>
    </xdr:from>
    <xdr:ext cx="65" cy="172227"/>
    <xdr:sp macro="" textlink="">
      <xdr:nvSpPr>
        <xdr:cNvPr id="97" name="TextBox 96">
          <a:extLst>
            <a:ext uri="{FF2B5EF4-FFF2-40B4-BE49-F238E27FC236}">
              <a16:creationId xmlns:a16="http://schemas.microsoft.com/office/drawing/2014/main" id="{00000000-0008-0000-0A00-000061000000}"/>
            </a:ext>
          </a:extLst>
        </xdr:cNvPr>
        <xdr:cNvSpPr txBox="1"/>
      </xdr:nvSpPr>
      <xdr:spPr>
        <a:xfrm>
          <a:off x="34179314" y="6273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831</xdr:row>
      <xdr:rowOff>0</xdr:rowOff>
    </xdr:from>
    <xdr:ext cx="65" cy="172227"/>
    <xdr:sp macro="" textlink="">
      <xdr:nvSpPr>
        <xdr:cNvPr id="98" name="TextBox 97">
          <a:extLst>
            <a:ext uri="{FF2B5EF4-FFF2-40B4-BE49-F238E27FC236}">
              <a16:creationId xmlns:a16="http://schemas.microsoft.com/office/drawing/2014/main" id="{00000000-0008-0000-0A00-000062000000}"/>
            </a:ext>
          </a:extLst>
        </xdr:cNvPr>
        <xdr:cNvSpPr txBox="1"/>
      </xdr:nvSpPr>
      <xdr:spPr>
        <a:xfrm>
          <a:off x="34179314" y="6273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910</xdr:row>
      <xdr:rowOff>0</xdr:rowOff>
    </xdr:from>
    <xdr:ext cx="65" cy="172227"/>
    <xdr:sp macro="" textlink="">
      <xdr:nvSpPr>
        <xdr:cNvPr id="99" name="TextBox 98">
          <a:extLst>
            <a:ext uri="{FF2B5EF4-FFF2-40B4-BE49-F238E27FC236}">
              <a16:creationId xmlns:a16="http://schemas.microsoft.com/office/drawing/2014/main" id="{00000000-0008-0000-0A00-000063000000}"/>
            </a:ext>
          </a:extLst>
        </xdr:cNvPr>
        <xdr:cNvSpPr txBox="1"/>
      </xdr:nvSpPr>
      <xdr:spPr>
        <a:xfrm>
          <a:off x="341793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910</xdr:row>
      <xdr:rowOff>0</xdr:rowOff>
    </xdr:from>
    <xdr:ext cx="65" cy="172227"/>
    <xdr:sp macro="" textlink="">
      <xdr:nvSpPr>
        <xdr:cNvPr id="100" name="TextBox 99">
          <a:extLst>
            <a:ext uri="{FF2B5EF4-FFF2-40B4-BE49-F238E27FC236}">
              <a16:creationId xmlns:a16="http://schemas.microsoft.com/office/drawing/2014/main" id="{00000000-0008-0000-0A00-000064000000}"/>
            </a:ext>
          </a:extLst>
        </xdr:cNvPr>
        <xdr:cNvSpPr txBox="1"/>
      </xdr:nvSpPr>
      <xdr:spPr>
        <a:xfrm>
          <a:off x="341793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927</xdr:row>
      <xdr:rowOff>0</xdr:rowOff>
    </xdr:from>
    <xdr:ext cx="65" cy="172227"/>
    <xdr:sp macro="" textlink="">
      <xdr:nvSpPr>
        <xdr:cNvPr id="101" name="TextBox 100">
          <a:extLst>
            <a:ext uri="{FF2B5EF4-FFF2-40B4-BE49-F238E27FC236}">
              <a16:creationId xmlns:a16="http://schemas.microsoft.com/office/drawing/2014/main" id="{00000000-0008-0000-0A00-000065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927</xdr:row>
      <xdr:rowOff>0</xdr:rowOff>
    </xdr:from>
    <xdr:ext cx="65" cy="172227"/>
    <xdr:sp macro="" textlink="">
      <xdr:nvSpPr>
        <xdr:cNvPr id="102" name="TextBox 101">
          <a:extLst>
            <a:ext uri="{FF2B5EF4-FFF2-40B4-BE49-F238E27FC236}">
              <a16:creationId xmlns:a16="http://schemas.microsoft.com/office/drawing/2014/main" id="{00000000-0008-0000-0A00-000066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29</xdr:row>
      <xdr:rowOff>0</xdr:rowOff>
    </xdr:from>
    <xdr:ext cx="65" cy="172227"/>
    <xdr:sp macro="" textlink="">
      <xdr:nvSpPr>
        <xdr:cNvPr id="103" name="TextBox 102">
          <a:extLst>
            <a:ext uri="{FF2B5EF4-FFF2-40B4-BE49-F238E27FC236}">
              <a16:creationId xmlns:a16="http://schemas.microsoft.com/office/drawing/2014/main" id="{00000000-0008-0000-0A00-000067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29</xdr:row>
      <xdr:rowOff>0</xdr:rowOff>
    </xdr:from>
    <xdr:ext cx="65" cy="172227"/>
    <xdr:sp macro="" textlink="">
      <xdr:nvSpPr>
        <xdr:cNvPr id="104" name="TextBox 103">
          <a:extLst>
            <a:ext uri="{FF2B5EF4-FFF2-40B4-BE49-F238E27FC236}">
              <a16:creationId xmlns:a16="http://schemas.microsoft.com/office/drawing/2014/main" id="{00000000-0008-0000-0A00-000068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97</xdr:row>
      <xdr:rowOff>0</xdr:rowOff>
    </xdr:from>
    <xdr:ext cx="65" cy="172227"/>
    <xdr:sp macro="" textlink="">
      <xdr:nvSpPr>
        <xdr:cNvPr id="105" name="TextBox 104">
          <a:extLst>
            <a:ext uri="{FF2B5EF4-FFF2-40B4-BE49-F238E27FC236}">
              <a16:creationId xmlns:a16="http://schemas.microsoft.com/office/drawing/2014/main" id="{00000000-0008-0000-0A00-000069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97</xdr:row>
      <xdr:rowOff>0</xdr:rowOff>
    </xdr:from>
    <xdr:ext cx="65" cy="172227"/>
    <xdr:sp macro="" textlink="">
      <xdr:nvSpPr>
        <xdr:cNvPr id="106" name="TextBox 105">
          <a:extLst>
            <a:ext uri="{FF2B5EF4-FFF2-40B4-BE49-F238E27FC236}">
              <a16:creationId xmlns:a16="http://schemas.microsoft.com/office/drawing/2014/main" id="{00000000-0008-0000-0A00-00006A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97</xdr:row>
      <xdr:rowOff>0</xdr:rowOff>
    </xdr:from>
    <xdr:ext cx="65" cy="172227"/>
    <xdr:sp macro="" textlink="">
      <xdr:nvSpPr>
        <xdr:cNvPr id="107" name="TextBox 106">
          <a:extLst>
            <a:ext uri="{FF2B5EF4-FFF2-40B4-BE49-F238E27FC236}">
              <a16:creationId xmlns:a16="http://schemas.microsoft.com/office/drawing/2014/main" id="{00000000-0008-0000-0A00-00006B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97</xdr:row>
      <xdr:rowOff>0</xdr:rowOff>
    </xdr:from>
    <xdr:ext cx="65" cy="172227"/>
    <xdr:sp macro="" textlink="">
      <xdr:nvSpPr>
        <xdr:cNvPr id="108" name="TextBox 107">
          <a:extLst>
            <a:ext uri="{FF2B5EF4-FFF2-40B4-BE49-F238E27FC236}">
              <a16:creationId xmlns:a16="http://schemas.microsoft.com/office/drawing/2014/main" id="{00000000-0008-0000-0A00-00006C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416</xdr:row>
      <xdr:rowOff>0</xdr:rowOff>
    </xdr:from>
    <xdr:ext cx="65" cy="172227"/>
    <xdr:sp macro="" textlink="">
      <xdr:nvSpPr>
        <xdr:cNvPr id="109" name="TextBox 108">
          <a:extLst>
            <a:ext uri="{FF2B5EF4-FFF2-40B4-BE49-F238E27FC236}">
              <a16:creationId xmlns:a16="http://schemas.microsoft.com/office/drawing/2014/main" id="{00000000-0008-0000-0A00-00006D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416</xdr:row>
      <xdr:rowOff>0</xdr:rowOff>
    </xdr:from>
    <xdr:ext cx="65" cy="172227"/>
    <xdr:sp macro="" textlink="">
      <xdr:nvSpPr>
        <xdr:cNvPr id="110" name="TextBox 109">
          <a:extLst>
            <a:ext uri="{FF2B5EF4-FFF2-40B4-BE49-F238E27FC236}">
              <a16:creationId xmlns:a16="http://schemas.microsoft.com/office/drawing/2014/main" id="{00000000-0008-0000-0A00-00006E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416</xdr:row>
      <xdr:rowOff>0</xdr:rowOff>
    </xdr:from>
    <xdr:ext cx="65" cy="172227"/>
    <xdr:sp macro="" textlink="">
      <xdr:nvSpPr>
        <xdr:cNvPr id="111" name="TextBox 110">
          <a:extLst>
            <a:ext uri="{FF2B5EF4-FFF2-40B4-BE49-F238E27FC236}">
              <a16:creationId xmlns:a16="http://schemas.microsoft.com/office/drawing/2014/main" id="{00000000-0008-0000-0A00-00006F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416</xdr:row>
      <xdr:rowOff>0</xdr:rowOff>
    </xdr:from>
    <xdr:ext cx="65" cy="172227"/>
    <xdr:sp macro="" textlink="">
      <xdr:nvSpPr>
        <xdr:cNvPr id="112" name="TextBox 111">
          <a:extLst>
            <a:ext uri="{FF2B5EF4-FFF2-40B4-BE49-F238E27FC236}">
              <a16:creationId xmlns:a16="http://schemas.microsoft.com/office/drawing/2014/main" id="{00000000-0008-0000-0A00-000070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416</xdr:row>
      <xdr:rowOff>0</xdr:rowOff>
    </xdr:from>
    <xdr:ext cx="65" cy="172227"/>
    <xdr:sp macro="" textlink="">
      <xdr:nvSpPr>
        <xdr:cNvPr id="113" name="TextBox 112">
          <a:extLst>
            <a:ext uri="{FF2B5EF4-FFF2-40B4-BE49-F238E27FC236}">
              <a16:creationId xmlns:a16="http://schemas.microsoft.com/office/drawing/2014/main" id="{00000000-0008-0000-0A00-000071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416</xdr:row>
      <xdr:rowOff>0</xdr:rowOff>
    </xdr:from>
    <xdr:ext cx="65" cy="172227"/>
    <xdr:sp macro="" textlink="">
      <xdr:nvSpPr>
        <xdr:cNvPr id="114" name="TextBox 113">
          <a:extLst>
            <a:ext uri="{FF2B5EF4-FFF2-40B4-BE49-F238E27FC236}">
              <a16:creationId xmlns:a16="http://schemas.microsoft.com/office/drawing/2014/main" id="{00000000-0008-0000-0A00-000072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481</xdr:row>
      <xdr:rowOff>0</xdr:rowOff>
    </xdr:from>
    <xdr:ext cx="65" cy="172227"/>
    <xdr:sp macro="" textlink="">
      <xdr:nvSpPr>
        <xdr:cNvPr id="115" name="TextBox 114">
          <a:extLst>
            <a:ext uri="{FF2B5EF4-FFF2-40B4-BE49-F238E27FC236}">
              <a16:creationId xmlns:a16="http://schemas.microsoft.com/office/drawing/2014/main" id="{00000000-0008-0000-0A00-000073000000}"/>
            </a:ext>
          </a:extLst>
        </xdr:cNvPr>
        <xdr:cNvSpPr txBox="1"/>
      </xdr:nvSpPr>
      <xdr:spPr>
        <a:xfrm>
          <a:off x="34176176" y="3097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481</xdr:row>
      <xdr:rowOff>0</xdr:rowOff>
    </xdr:from>
    <xdr:ext cx="65" cy="172227"/>
    <xdr:sp macro="" textlink="">
      <xdr:nvSpPr>
        <xdr:cNvPr id="116" name="TextBox 115">
          <a:extLst>
            <a:ext uri="{FF2B5EF4-FFF2-40B4-BE49-F238E27FC236}">
              <a16:creationId xmlns:a16="http://schemas.microsoft.com/office/drawing/2014/main" id="{00000000-0008-0000-0A00-000074000000}"/>
            </a:ext>
          </a:extLst>
        </xdr:cNvPr>
        <xdr:cNvSpPr txBox="1"/>
      </xdr:nvSpPr>
      <xdr:spPr>
        <a:xfrm>
          <a:off x="34176176" y="3097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516</xdr:row>
      <xdr:rowOff>0</xdr:rowOff>
    </xdr:from>
    <xdr:ext cx="65" cy="172227"/>
    <xdr:sp macro="" textlink="">
      <xdr:nvSpPr>
        <xdr:cNvPr id="117" name="TextBox 116">
          <a:extLst>
            <a:ext uri="{FF2B5EF4-FFF2-40B4-BE49-F238E27FC236}">
              <a16:creationId xmlns:a16="http://schemas.microsoft.com/office/drawing/2014/main" id="{00000000-0008-0000-0A00-000075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516</xdr:row>
      <xdr:rowOff>0</xdr:rowOff>
    </xdr:from>
    <xdr:ext cx="65" cy="172227"/>
    <xdr:sp macro="" textlink="">
      <xdr:nvSpPr>
        <xdr:cNvPr id="118" name="TextBox 117">
          <a:extLst>
            <a:ext uri="{FF2B5EF4-FFF2-40B4-BE49-F238E27FC236}">
              <a16:creationId xmlns:a16="http://schemas.microsoft.com/office/drawing/2014/main" id="{00000000-0008-0000-0A00-000076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516</xdr:row>
      <xdr:rowOff>0</xdr:rowOff>
    </xdr:from>
    <xdr:ext cx="65" cy="172227"/>
    <xdr:sp macro="" textlink="">
      <xdr:nvSpPr>
        <xdr:cNvPr id="119" name="TextBox 118">
          <a:extLst>
            <a:ext uri="{FF2B5EF4-FFF2-40B4-BE49-F238E27FC236}">
              <a16:creationId xmlns:a16="http://schemas.microsoft.com/office/drawing/2014/main" id="{00000000-0008-0000-0A00-000077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516</xdr:row>
      <xdr:rowOff>0</xdr:rowOff>
    </xdr:from>
    <xdr:ext cx="65" cy="172227"/>
    <xdr:sp macro="" textlink="">
      <xdr:nvSpPr>
        <xdr:cNvPr id="120" name="TextBox 119">
          <a:extLst>
            <a:ext uri="{FF2B5EF4-FFF2-40B4-BE49-F238E27FC236}">
              <a16:creationId xmlns:a16="http://schemas.microsoft.com/office/drawing/2014/main" id="{00000000-0008-0000-0A00-000078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551</xdr:row>
      <xdr:rowOff>0</xdr:rowOff>
    </xdr:from>
    <xdr:ext cx="65" cy="172227"/>
    <xdr:sp macro="" textlink="">
      <xdr:nvSpPr>
        <xdr:cNvPr id="121" name="TextBox 120">
          <a:extLst>
            <a:ext uri="{FF2B5EF4-FFF2-40B4-BE49-F238E27FC236}">
              <a16:creationId xmlns:a16="http://schemas.microsoft.com/office/drawing/2014/main" id="{00000000-0008-0000-0A00-000079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551</xdr:row>
      <xdr:rowOff>0</xdr:rowOff>
    </xdr:from>
    <xdr:ext cx="65" cy="172227"/>
    <xdr:sp macro="" textlink="">
      <xdr:nvSpPr>
        <xdr:cNvPr id="122" name="TextBox 121">
          <a:extLst>
            <a:ext uri="{FF2B5EF4-FFF2-40B4-BE49-F238E27FC236}">
              <a16:creationId xmlns:a16="http://schemas.microsoft.com/office/drawing/2014/main" id="{00000000-0008-0000-0A00-00007A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551</xdr:row>
      <xdr:rowOff>0</xdr:rowOff>
    </xdr:from>
    <xdr:ext cx="65" cy="172227"/>
    <xdr:sp macro="" textlink="">
      <xdr:nvSpPr>
        <xdr:cNvPr id="123" name="TextBox 122">
          <a:extLst>
            <a:ext uri="{FF2B5EF4-FFF2-40B4-BE49-F238E27FC236}">
              <a16:creationId xmlns:a16="http://schemas.microsoft.com/office/drawing/2014/main" id="{00000000-0008-0000-0A00-00007B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551</xdr:row>
      <xdr:rowOff>0</xdr:rowOff>
    </xdr:from>
    <xdr:ext cx="65" cy="172227"/>
    <xdr:sp macro="" textlink="">
      <xdr:nvSpPr>
        <xdr:cNvPr id="124" name="TextBox 123">
          <a:extLst>
            <a:ext uri="{FF2B5EF4-FFF2-40B4-BE49-F238E27FC236}">
              <a16:creationId xmlns:a16="http://schemas.microsoft.com/office/drawing/2014/main" id="{00000000-0008-0000-0A00-00007C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551</xdr:row>
      <xdr:rowOff>0</xdr:rowOff>
    </xdr:from>
    <xdr:ext cx="65" cy="172227"/>
    <xdr:sp macro="" textlink="">
      <xdr:nvSpPr>
        <xdr:cNvPr id="125" name="TextBox 124">
          <a:extLst>
            <a:ext uri="{FF2B5EF4-FFF2-40B4-BE49-F238E27FC236}">
              <a16:creationId xmlns:a16="http://schemas.microsoft.com/office/drawing/2014/main" id="{00000000-0008-0000-0A00-00007D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551</xdr:row>
      <xdr:rowOff>0</xdr:rowOff>
    </xdr:from>
    <xdr:ext cx="65" cy="172227"/>
    <xdr:sp macro="" textlink="">
      <xdr:nvSpPr>
        <xdr:cNvPr id="126" name="TextBox 125">
          <a:extLst>
            <a:ext uri="{FF2B5EF4-FFF2-40B4-BE49-F238E27FC236}">
              <a16:creationId xmlns:a16="http://schemas.microsoft.com/office/drawing/2014/main" id="{00000000-0008-0000-0A00-00007E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601</xdr:row>
      <xdr:rowOff>0</xdr:rowOff>
    </xdr:from>
    <xdr:ext cx="65" cy="172227"/>
    <xdr:sp macro="" textlink="">
      <xdr:nvSpPr>
        <xdr:cNvPr id="127" name="TextBox 126">
          <a:extLst>
            <a:ext uri="{FF2B5EF4-FFF2-40B4-BE49-F238E27FC236}">
              <a16:creationId xmlns:a16="http://schemas.microsoft.com/office/drawing/2014/main" id="{00000000-0008-0000-0A00-00007F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601</xdr:row>
      <xdr:rowOff>0</xdr:rowOff>
    </xdr:from>
    <xdr:ext cx="65" cy="172227"/>
    <xdr:sp macro="" textlink="">
      <xdr:nvSpPr>
        <xdr:cNvPr id="128" name="TextBox 127">
          <a:extLst>
            <a:ext uri="{FF2B5EF4-FFF2-40B4-BE49-F238E27FC236}">
              <a16:creationId xmlns:a16="http://schemas.microsoft.com/office/drawing/2014/main" id="{00000000-0008-0000-0A00-000080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601</xdr:row>
      <xdr:rowOff>0</xdr:rowOff>
    </xdr:from>
    <xdr:ext cx="65" cy="172227"/>
    <xdr:sp macro="" textlink="">
      <xdr:nvSpPr>
        <xdr:cNvPr id="129" name="TextBox 128">
          <a:extLst>
            <a:ext uri="{FF2B5EF4-FFF2-40B4-BE49-F238E27FC236}">
              <a16:creationId xmlns:a16="http://schemas.microsoft.com/office/drawing/2014/main" id="{00000000-0008-0000-0A00-000081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601</xdr:row>
      <xdr:rowOff>0</xdr:rowOff>
    </xdr:from>
    <xdr:ext cx="65" cy="172227"/>
    <xdr:sp macro="" textlink="">
      <xdr:nvSpPr>
        <xdr:cNvPr id="130" name="TextBox 129">
          <a:extLst>
            <a:ext uri="{FF2B5EF4-FFF2-40B4-BE49-F238E27FC236}">
              <a16:creationId xmlns:a16="http://schemas.microsoft.com/office/drawing/2014/main" id="{00000000-0008-0000-0A00-000082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601</xdr:row>
      <xdr:rowOff>0</xdr:rowOff>
    </xdr:from>
    <xdr:ext cx="65" cy="172227"/>
    <xdr:sp macro="" textlink="">
      <xdr:nvSpPr>
        <xdr:cNvPr id="131" name="TextBox 130">
          <a:extLst>
            <a:ext uri="{FF2B5EF4-FFF2-40B4-BE49-F238E27FC236}">
              <a16:creationId xmlns:a16="http://schemas.microsoft.com/office/drawing/2014/main" id="{00000000-0008-0000-0A00-000083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601</xdr:row>
      <xdr:rowOff>0</xdr:rowOff>
    </xdr:from>
    <xdr:ext cx="65" cy="172227"/>
    <xdr:sp macro="" textlink="">
      <xdr:nvSpPr>
        <xdr:cNvPr id="132" name="TextBox 131">
          <a:extLst>
            <a:ext uri="{FF2B5EF4-FFF2-40B4-BE49-F238E27FC236}">
              <a16:creationId xmlns:a16="http://schemas.microsoft.com/office/drawing/2014/main" id="{00000000-0008-0000-0A00-000084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601</xdr:row>
      <xdr:rowOff>0</xdr:rowOff>
    </xdr:from>
    <xdr:ext cx="65" cy="172227"/>
    <xdr:sp macro="" textlink="">
      <xdr:nvSpPr>
        <xdr:cNvPr id="133" name="TextBox 132">
          <a:extLst>
            <a:ext uri="{FF2B5EF4-FFF2-40B4-BE49-F238E27FC236}">
              <a16:creationId xmlns:a16="http://schemas.microsoft.com/office/drawing/2014/main" id="{00000000-0008-0000-0A00-000085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601</xdr:row>
      <xdr:rowOff>0</xdr:rowOff>
    </xdr:from>
    <xdr:ext cx="65" cy="172227"/>
    <xdr:sp macro="" textlink="">
      <xdr:nvSpPr>
        <xdr:cNvPr id="134" name="TextBox 133">
          <a:extLst>
            <a:ext uri="{FF2B5EF4-FFF2-40B4-BE49-F238E27FC236}">
              <a16:creationId xmlns:a16="http://schemas.microsoft.com/office/drawing/2014/main" id="{00000000-0008-0000-0A00-000086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829</xdr:row>
      <xdr:rowOff>0</xdr:rowOff>
    </xdr:from>
    <xdr:ext cx="65" cy="172227"/>
    <xdr:sp macro="" textlink="">
      <xdr:nvSpPr>
        <xdr:cNvPr id="135" name="TextBox 134">
          <a:extLst>
            <a:ext uri="{FF2B5EF4-FFF2-40B4-BE49-F238E27FC236}">
              <a16:creationId xmlns:a16="http://schemas.microsoft.com/office/drawing/2014/main" id="{00000000-0008-0000-0A00-000087000000}"/>
            </a:ext>
          </a:extLst>
        </xdr:cNvPr>
        <xdr:cNvSpPr txBox="1"/>
      </xdr:nvSpPr>
      <xdr:spPr>
        <a:xfrm>
          <a:off x="34179314" y="58378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829</xdr:row>
      <xdr:rowOff>0</xdr:rowOff>
    </xdr:from>
    <xdr:ext cx="65" cy="172227"/>
    <xdr:sp macro="" textlink="">
      <xdr:nvSpPr>
        <xdr:cNvPr id="136" name="TextBox 135">
          <a:extLst>
            <a:ext uri="{FF2B5EF4-FFF2-40B4-BE49-F238E27FC236}">
              <a16:creationId xmlns:a16="http://schemas.microsoft.com/office/drawing/2014/main" id="{00000000-0008-0000-0A00-000088000000}"/>
            </a:ext>
          </a:extLst>
        </xdr:cNvPr>
        <xdr:cNvSpPr txBox="1"/>
      </xdr:nvSpPr>
      <xdr:spPr>
        <a:xfrm>
          <a:off x="34179314" y="58378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829</xdr:row>
      <xdr:rowOff>0</xdr:rowOff>
    </xdr:from>
    <xdr:ext cx="65" cy="172227"/>
    <xdr:sp macro="" textlink="">
      <xdr:nvSpPr>
        <xdr:cNvPr id="137" name="TextBox 136">
          <a:extLst>
            <a:ext uri="{FF2B5EF4-FFF2-40B4-BE49-F238E27FC236}">
              <a16:creationId xmlns:a16="http://schemas.microsoft.com/office/drawing/2014/main" id="{00000000-0008-0000-0A00-000089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829</xdr:row>
      <xdr:rowOff>0</xdr:rowOff>
    </xdr:from>
    <xdr:ext cx="65" cy="172227"/>
    <xdr:sp macro="" textlink="">
      <xdr:nvSpPr>
        <xdr:cNvPr id="138" name="TextBox 137">
          <a:extLst>
            <a:ext uri="{FF2B5EF4-FFF2-40B4-BE49-F238E27FC236}">
              <a16:creationId xmlns:a16="http://schemas.microsoft.com/office/drawing/2014/main" id="{00000000-0008-0000-0A00-00008A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829</xdr:row>
      <xdr:rowOff>0</xdr:rowOff>
    </xdr:from>
    <xdr:ext cx="65" cy="172227"/>
    <xdr:sp macro="" textlink="">
      <xdr:nvSpPr>
        <xdr:cNvPr id="139" name="TextBox 138">
          <a:extLst>
            <a:ext uri="{FF2B5EF4-FFF2-40B4-BE49-F238E27FC236}">
              <a16:creationId xmlns:a16="http://schemas.microsoft.com/office/drawing/2014/main" id="{00000000-0008-0000-0A00-00008B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829</xdr:row>
      <xdr:rowOff>0</xdr:rowOff>
    </xdr:from>
    <xdr:ext cx="65" cy="172227"/>
    <xdr:sp macro="" textlink="">
      <xdr:nvSpPr>
        <xdr:cNvPr id="140" name="TextBox 139">
          <a:extLst>
            <a:ext uri="{FF2B5EF4-FFF2-40B4-BE49-F238E27FC236}">
              <a16:creationId xmlns:a16="http://schemas.microsoft.com/office/drawing/2014/main" id="{00000000-0008-0000-0A00-00008C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831</xdr:row>
      <xdr:rowOff>0</xdr:rowOff>
    </xdr:from>
    <xdr:ext cx="65" cy="172227"/>
    <xdr:sp macro="" textlink="">
      <xdr:nvSpPr>
        <xdr:cNvPr id="141" name="TextBox 140">
          <a:extLst>
            <a:ext uri="{FF2B5EF4-FFF2-40B4-BE49-F238E27FC236}">
              <a16:creationId xmlns:a16="http://schemas.microsoft.com/office/drawing/2014/main" id="{00000000-0008-0000-0A00-00008D000000}"/>
            </a:ext>
          </a:extLst>
        </xdr:cNvPr>
        <xdr:cNvSpPr txBox="1"/>
      </xdr:nvSpPr>
      <xdr:spPr>
        <a:xfrm>
          <a:off x="34179314" y="6273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831</xdr:row>
      <xdr:rowOff>0</xdr:rowOff>
    </xdr:from>
    <xdr:ext cx="65" cy="172227"/>
    <xdr:sp macro="" textlink="">
      <xdr:nvSpPr>
        <xdr:cNvPr id="142" name="TextBox 141">
          <a:extLst>
            <a:ext uri="{FF2B5EF4-FFF2-40B4-BE49-F238E27FC236}">
              <a16:creationId xmlns:a16="http://schemas.microsoft.com/office/drawing/2014/main" id="{00000000-0008-0000-0A00-00008E000000}"/>
            </a:ext>
          </a:extLst>
        </xdr:cNvPr>
        <xdr:cNvSpPr txBox="1"/>
      </xdr:nvSpPr>
      <xdr:spPr>
        <a:xfrm>
          <a:off x="34179314" y="6273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910</xdr:row>
      <xdr:rowOff>0</xdr:rowOff>
    </xdr:from>
    <xdr:ext cx="65" cy="172227"/>
    <xdr:sp macro="" textlink="">
      <xdr:nvSpPr>
        <xdr:cNvPr id="143" name="TextBox 142">
          <a:extLst>
            <a:ext uri="{FF2B5EF4-FFF2-40B4-BE49-F238E27FC236}">
              <a16:creationId xmlns:a16="http://schemas.microsoft.com/office/drawing/2014/main" id="{00000000-0008-0000-0A00-00008F000000}"/>
            </a:ext>
          </a:extLst>
        </xdr:cNvPr>
        <xdr:cNvSpPr txBox="1"/>
      </xdr:nvSpPr>
      <xdr:spPr>
        <a:xfrm>
          <a:off x="341793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910</xdr:row>
      <xdr:rowOff>0</xdr:rowOff>
    </xdr:from>
    <xdr:ext cx="65" cy="172227"/>
    <xdr:sp macro="" textlink="">
      <xdr:nvSpPr>
        <xdr:cNvPr id="144" name="TextBox 143">
          <a:extLst>
            <a:ext uri="{FF2B5EF4-FFF2-40B4-BE49-F238E27FC236}">
              <a16:creationId xmlns:a16="http://schemas.microsoft.com/office/drawing/2014/main" id="{00000000-0008-0000-0A00-000090000000}"/>
            </a:ext>
          </a:extLst>
        </xdr:cNvPr>
        <xdr:cNvSpPr txBox="1"/>
      </xdr:nvSpPr>
      <xdr:spPr>
        <a:xfrm>
          <a:off x="341793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927</xdr:row>
      <xdr:rowOff>0</xdr:rowOff>
    </xdr:from>
    <xdr:ext cx="65" cy="172227"/>
    <xdr:sp macro="" textlink="">
      <xdr:nvSpPr>
        <xdr:cNvPr id="145" name="TextBox 144">
          <a:extLst>
            <a:ext uri="{FF2B5EF4-FFF2-40B4-BE49-F238E27FC236}">
              <a16:creationId xmlns:a16="http://schemas.microsoft.com/office/drawing/2014/main" id="{00000000-0008-0000-0A00-000091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927</xdr:row>
      <xdr:rowOff>0</xdr:rowOff>
    </xdr:from>
    <xdr:ext cx="65" cy="172227"/>
    <xdr:sp macro="" textlink="">
      <xdr:nvSpPr>
        <xdr:cNvPr id="146" name="TextBox 145">
          <a:extLst>
            <a:ext uri="{FF2B5EF4-FFF2-40B4-BE49-F238E27FC236}">
              <a16:creationId xmlns:a16="http://schemas.microsoft.com/office/drawing/2014/main" id="{00000000-0008-0000-0A00-000092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0</xdr:colOff>
      <xdr:row>968</xdr:row>
      <xdr:rowOff>0</xdr:rowOff>
    </xdr:from>
    <xdr:to>
      <xdr:col>12</xdr:col>
      <xdr:colOff>0</xdr:colOff>
      <xdr:row>968</xdr:row>
      <xdr:rowOff>0</xdr:rowOff>
    </xdr:to>
    <mc:AlternateContent xmlns:mc="http://schemas.openxmlformats.org/markup-compatibility/2006" xmlns:a14="http://schemas.microsoft.com/office/drawing/2010/main">
      <mc:Choice Requires="a14">
        <xdr:sp macro="" textlink="">
          <xdr:nvSpPr>
            <xdr:cNvPr id="148" name="TextBox 147">
              <a:extLst>
                <a:ext uri="{FF2B5EF4-FFF2-40B4-BE49-F238E27FC236}">
                  <a16:creationId xmlns:a16="http://schemas.microsoft.com/office/drawing/2014/main" id="{00000000-0008-0000-0A00-000094000000}"/>
                </a:ext>
              </a:extLst>
            </xdr:cNvPr>
            <xdr:cNvSpPr txBox="1"/>
          </xdr:nvSpPr>
          <xdr:spPr>
            <a:xfrm>
              <a:off x="3571875" y="80086200"/>
              <a:ext cx="1465897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48" name="TextBox 147">
              <a:extLst>
                <a:ext uri="{FF2B5EF4-FFF2-40B4-BE49-F238E27FC236}">
                  <a16:creationId xmlns:a16="http://schemas.microsoft.com/office/drawing/2014/main" id="{00000000-0008-0000-0700-000094000000}"/>
                </a:ext>
              </a:extLst>
            </xdr:cNvPr>
            <xdr:cNvSpPr txBox="1"/>
          </xdr:nvSpPr>
          <xdr:spPr>
            <a:xfrm>
              <a:off x="3578679" y="66659168"/>
              <a:ext cx="14518821" cy="3462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27</xdr:col>
      <xdr:colOff>3614</xdr:colOff>
      <xdr:row>963</xdr:row>
      <xdr:rowOff>0</xdr:rowOff>
    </xdr:from>
    <xdr:ext cx="65" cy="172227"/>
    <xdr:sp macro="" textlink="">
      <xdr:nvSpPr>
        <xdr:cNvPr id="149" name="TextBox 148">
          <a:extLst>
            <a:ext uri="{FF2B5EF4-FFF2-40B4-BE49-F238E27FC236}">
              <a16:creationId xmlns:a16="http://schemas.microsoft.com/office/drawing/2014/main" id="{00000000-0008-0000-0A00-000095000000}"/>
            </a:ext>
          </a:extLst>
        </xdr:cNvPr>
        <xdr:cNvSpPr txBox="1"/>
      </xdr:nvSpPr>
      <xdr:spPr>
        <a:xfrm>
          <a:off x="34179314" y="74971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963</xdr:row>
      <xdr:rowOff>0</xdr:rowOff>
    </xdr:from>
    <xdr:ext cx="65" cy="172227"/>
    <xdr:sp macro="" textlink="">
      <xdr:nvSpPr>
        <xdr:cNvPr id="150" name="TextBox 149">
          <a:extLst>
            <a:ext uri="{FF2B5EF4-FFF2-40B4-BE49-F238E27FC236}">
              <a16:creationId xmlns:a16="http://schemas.microsoft.com/office/drawing/2014/main" id="{00000000-0008-0000-0A00-000096000000}"/>
            </a:ext>
          </a:extLst>
        </xdr:cNvPr>
        <xdr:cNvSpPr txBox="1"/>
      </xdr:nvSpPr>
      <xdr:spPr>
        <a:xfrm>
          <a:off x="34179314" y="74971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1045550</xdr:colOff>
      <xdr:row>41</xdr:row>
      <xdr:rowOff>0</xdr:rowOff>
    </xdr:from>
    <xdr:to>
      <xdr:col>8</xdr:col>
      <xdr:colOff>1187609</xdr:colOff>
      <xdr:row>41</xdr:row>
      <xdr:rowOff>0</xdr:rowOff>
    </xdr:to>
    <mc:AlternateContent xmlns:mc="http://schemas.openxmlformats.org/markup-compatibility/2006" xmlns:a14="http://schemas.microsoft.com/office/drawing/2010/main">
      <mc:Choice Requires="a14">
        <xdr:sp macro="" textlink="">
          <xdr:nvSpPr>
            <xdr:cNvPr id="151" name="TextBox 150">
              <a:extLst>
                <a:ext uri="{FF2B5EF4-FFF2-40B4-BE49-F238E27FC236}">
                  <a16:creationId xmlns:a16="http://schemas.microsoft.com/office/drawing/2014/main" id="{00000000-0008-0000-0A00-000097000000}"/>
                </a:ext>
              </a:extLst>
            </xdr:cNvPr>
            <xdr:cNvSpPr txBox="1"/>
          </xdr:nvSpPr>
          <xdr:spPr>
            <a:xfrm>
              <a:off x="12037400" y="6810375"/>
              <a:ext cx="316148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14:m>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l-GR" sz="1400" b="0" i="1">
                      <a:solidFill>
                        <a:sysClr val="windowText" lastClr="000000"/>
                      </a:solidFill>
                      <a:latin typeface="Cambria Math" panose="02040503050406030204" pitchFamily="18" charset="0"/>
                      <a:ea typeface="Cambria Math" panose="02040503050406030204" pitchFamily="18" charset="0"/>
                    </a:rPr>
                    <m:t>𝛥</m:t>
                  </m:r>
                  <m:r>
                    <a:rPr lang="el-GR"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𝐹</m:t>
                      </m:r>
                    </m:e>
                    <m:sub>
                      <m:r>
                        <a:rPr lang="en-US" sz="1400" b="0" i="1">
                          <a:solidFill>
                            <a:sysClr val="windowText" lastClr="000000"/>
                          </a:solidFill>
                          <a:latin typeface="Cambria Math" panose="02040503050406030204" pitchFamily="18" charset="0"/>
                          <a:ea typeface="Cambria Math" panose="02040503050406030204" pitchFamily="18" charset="0"/>
                        </a:rPr>
                        <m:t>𝑒</m:t>
                      </m:r>
                    </m:sub>
                  </m:sSub>
                  <m:r>
                    <a:rPr lang="en-US" sz="1400" b="0" i="1">
                      <a:solidFill>
                        <a:sysClr val="windowText" lastClr="000000"/>
                      </a:solidFill>
                      <a:latin typeface="Cambria Math" panose="02040503050406030204" pitchFamily="18" charset="0"/>
                      <a:ea typeface="Cambria Math" panose="02040503050406030204" pitchFamily="18" charset="0"/>
                    </a:rPr>
                    <m:t>∗29.3</m:t>
                  </m:r>
                </m:oMath>
              </a14:m>
              <a:endParaRPr lang="en-US" sz="1400">
                <a:solidFill>
                  <a:sysClr val="windowText" lastClr="000000"/>
                </a:solidFill>
              </a:endParaRPr>
            </a:p>
          </xdr:txBody>
        </xdr:sp>
      </mc:Choice>
      <mc:Fallback xmlns="">
        <xdr:sp macro="" textlink="">
          <xdr:nvSpPr>
            <xdr:cNvPr id="151" name="TextBox 150">
              <a:extLst>
                <a:ext uri="{FF2B5EF4-FFF2-40B4-BE49-F238E27FC236}">
                  <a16:creationId xmlns:a16="http://schemas.microsoft.com/office/drawing/2014/main" id="{CF75FF45-B841-42A8-82B9-7F8503196537}"/>
                </a:ext>
              </a:extLst>
            </xdr:cNvPr>
            <xdr:cNvSpPr txBox="1"/>
          </xdr:nvSpPr>
          <xdr:spPr>
            <a:xfrm>
              <a:off x="14896285" y="12996634"/>
              <a:ext cx="5108741" cy="312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a:t>
              </a:r>
              <a:r>
                <a:rPr lang="el-GR" sz="1400" b="0" i="0">
                  <a:solidFill>
                    <a:sysClr val="windowText" lastClr="000000"/>
                  </a:solidFill>
                  <a:latin typeface="Cambria Math" panose="02040503050406030204" pitchFamily="18" charset="0"/>
                  <a:ea typeface="Cambria Math" panose="02040503050406030204" pitchFamily="18" charset="0"/>
                </a:rPr>
                <a:t>𝛥𝑇ℎ𝑒𝑟𝑚𝑠</a:t>
              </a:r>
              <a:r>
                <a:rPr lang="en-US" sz="1400" b="0" i="0">
                  <a:solidFill>
                    <a:sysClr val="windowText" lastClr="000000"/>
                  </a:solidFill>
                  <a:latin typeface="Cambria Math" panose="02040503050406030204" pitchFamily="18" charset="0"/>
                  <a:ea typeface="Cambria Math" panose="02040503050406030204" pitchFamily="18" charset="0"/>
                </a:rPr>
                <a:t>∗𝐹_𝑒∗29.3</a:t>
              </a:r>
              <a:endParaRPr lang="en-US" sz="1400">
                <a:solidFill>
                  <a:sysClr val="windowText" lastClr="000000"/>
                </a:solidFill>
              </a:endParaRPr>
            </a:p>
          </xdr:txBody>
        </xdr:sp>
      </mc:Fallback>
    </mc:AlternateContent>
    <xdr:clientData/>
  </xdr:twoCellAnchor>
  <xdr:twoCellAnchor>
    <xdr:from>
      <xdr:col>4</xdr:col>
      <xdr:colOff>250372</xdr:colOff>
      <xdr:row>669</xdr:row>
      <xdr:rowOff>114300</xdr:rowOff>
    </xdr:from>
    <xdr:to>
      <xdr:col>13</xdr:col>
      <xdr:colOff>209550</xdr:colOff>
      <xdr:row>669</xdr:row>
      <xdr:rowOff>114300</xdr:rowOff>
    </xdr:to>
    <mc:AlternateContent xmlns:mc="http://schemas.openxmlformats.org/markup-compatibility/2006" xmlns:a14="http://schemas.microsoft.com/office/drawing/2010/main">
      <mc:Choice Requires="a14">
        <xdr:sp macro="" textlink="">
          <xdr:nvSpPr>
            <xdr:cNvPr id="152" name="TextBox 151">
              <a:extLst>
                <a:ext uri="{FF2B5EF4-FFF2-40B4-BE49-F238E27FC236}">
                  <a16:creationId xmlns:a16="http://schemas.microsoft.com/office/drawing/2014/main" id="{00000000-0008-0000-0A00-000098000000}"/>
                </a:ext>
              </a:extLst>
            </xdr:cNvPr>
            <xdr:cNvSpPr txBox="1"/>
          </xdr:nvSpPr>
          <xdr:spPr>
            <a:xfrm>
              <a:off x="3717472" y="172812075"/>
              <a:ext cx="1423715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d>
                      <m:dPr>
                        <m:ctrlPr>
                          <a:rPr lang="en-US" sz="14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𝐿𝑂𝑊</m:t>
                                </m:r>
                              </m:sub>
                            </m:sSub>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𝐿𝑂𝑊</m:t>
                                </m:r>
                              </m:sub>
                            </m:sSub>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DF</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𝐹𝑃𝐻</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𝐸𝑃𝐺</m:t>
                    </m:r>
                    <m:r>
                      <a:rPr lang="en-US" sz="1400" b="0" i="1">
                        <a:solidFill>
                          <a:sysClr val="windowText" lastClr="000000"/>
                        </a:solidFill>
                        <a:latin typeface="Cambria Math" panose="02040503050406030204" pitchFamily="18" charset="0"/>
                        <a:ea typeface="Cambria Math" panose="02040503050406030204" pitchFamily="18" charset="0"/>
                      </a:rPr>
                      <m:t>_</m:t>
                    </m:r>
                    <m:r>
                      <a:rPr lang="en-US" sz="14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4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ysClr val="windowText" lastClr="000000"/>
                </a:solidFill>
              </a:endParaRPr>
            </a:p>
          </xdr:txBody>
        </xdr:sp>
      </mc:Choice>
      <mc:Fallback xmlns="">
        <xdr:sp macro="" textlink="">
          <xdr:nvSpPr>
            <xdr:cNvPr id="152" name="TextBox 151">
              <a:extLst>
                <a:ext uri="{FF2B5EF4-FFF2-40B4-BE49-F238E27FC236}">
                  <a16:creationId xmlns:a16="http://schemas.microsoft.com/office/drawing/2014/main" id="{D29502B8-957F-48C9-B5E8-02A39087FEF0}"/>
                </a:ext>
              </a:extLst>
            </xdr:cNvPr>
            <xdr:cNvSpPr txBox="1"/>
          </xdr:nvSpPr>
          <xdr:spPr>
            <a:xfrm>
              <a:off x="3717472" y="172812075"/>
              <a:ext cx="1423715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x ("  〖𝐺𝑃𝑀〗_𝐵𝐴𝑆𝐸 "</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 ×𝐿_𝐵𝐴𝑆𝐸 " " 〖−  𝐺𝑃𝑀〗_𝐿𝑂𝑊 " " ×" " 𝐿_𝐿𝑂𝑊 "</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DF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𝐹𝑃𝐻)</a:t>
              </a:r>
              <a:r>
                <a:rPr lang="en-US" sz="1400" b="0" i="0">
                  <a:solidFill>
                    <a:sysClr val="windowText" lastClr="000000"/>
                  </a:solidFill>
                  <a:latin typeface="Cambria Math" panose="02040503050406030204" pitchFamily="18" charset="0"/>
                  <a:ea typeface="Cambria Math" panose="02040503050406030204" pitchFamily="18" charset="0"/>
                </a:rPr>
                <a:t>×𝐸𝑃𝐺_</a:t>
              </a:r>
              <a:r>
                <a:rPr lang="en-US" sz="14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4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ysClr val="windowText" lastClr="000000"/>
                </a:solidFill>
              </a:endParaRPr>
            </a:p>
          </xdr:txBody>
        </xdr:sp>
      </mc:Fallback>
    </mc:AlternateContent>
    <xdr:clientData/>
  </xdr:twoCellAnchor>
  <xdr:twoCellAnchor>
    <xdr:from>
      <xdr:col>4</xdr:col>
      <xdr:colOff>550272</xdr:colOff>
      <xdr:row>667</xdr:row>
      <xdr:rowOff>0</xdr:rowOff>
    </xdr:from>
    <xdr:to>
      <xdr:col>13</xdr:col>
      <xdr:colOff>0</xdr:colOff>
      <xdr:row>667</xdr:row>
      <xdr:rowOff>0</xdr:rowOff>
    </xdr:to>
    <mc:AlternateContent xmlns:mc="http://schemas.openxmlformats.org/markup-compatibility/2006" xmlns:a14="http://schemas.microsoft.com/office/drawing/2010/main">
      <mc:Choice Requires="a14">
        <xdr:sp macro="" textlink="">
          <xdr:nvSpPr>
            <xdr:cNvPr id="153" name="TextBox 152">
              <a:extLst>
                <a:ext uri="{FF2B5EF4-FFF2-40B4-BE49-F238E27FC236}">
                  <a16:creationId xmlns:a16="http://schemas.microsoft.com/office/drawing/2014/main" id="{00000000-0008-0000-0A00-000099000000}"/>
                </a:ext>
              </a:extLst>
            </xdr:cNvPr>
            <xdr:cNvSpPr txBox="1"/>
          </xdr:nvSpPr>
          <xdr:spPr>
            <a:xfrm>
              <a:off x="4122147" y="48596550"/>
              <a:ext cx="150993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b="0" i="1">
                        <a:solidFill>
                          <a:sysClr val="windowText" lastClr="000000"/>
                        </a:solidFill>
                        <a:effectLst/>
                        <a:latin typeface="Book Antiqua" panose="02040602050305030304" pitchFamily="18" charset="0"/>
                        <a:ea typeface="+mn-ea"/>
                        <a:cs typeface="+mn-cs"/>
                      </a:rPr>
                      <m:t>EPG</m:t>
                    </m:r>
                    <m:r>
                      <m:rPr>
                        <m:nor/>
                      </m:rPr>
                      <a:rPr lang="en-US" sz="1600" b="0" i="1">
                        <a:solidFill>
                          <a:sysClr val="windowText" lastClr="000000"/>
                        </a:solidFill>
                        <a:effectLst/>
                        <a:latin typeface="Book Antiqua" panose="02040602050305030304" pitchFamily="18" charset="0"/>
                        <a:ea typeface="+mn-ea"/>
                        <a:cs typeface="+mn-cs"/>
                      </a:rPr>
                      <m:t>_</m:t>
                    </m:r>
                    <m:r>
                      <m:rPr>
                        <m:nor/>
                      </m:rPr>
                      <a:rPr lang="en-US" sz="1600" b="0" i="1">
                        <a:solidFill>
                          <a:sysClr val="windowText" lastClr="000000"/>
                        </a:solidFill>
                        <a:effectLst/>
                        <a:latin typeface="Book Antiqua" panose="02040602050305030304" pitchFamily="18" charset="0"/>
                        <a:ea typeface="+mn-ea"/>
                        <a:cs typeface="+mn-cs"/>
                      </a:rPr>
                      <m:t>electric</m:t>
                    </m:r>
                    <m:r>
                      <m:rPr>
                        <m:nor/>
                      </m:rPr>
                      <a:rPr lang="en-US" sz="1600" i="1">
                        <a:solidFill>
                          <a:sysClr val="windowText" lastClr="000000"/>
                        </a:solidFill>
                        <a:effectLst/>
                        <a:latin typeface="Book Antiqua" panose="02040602050305030304" pitchFamily="18" charset="0"/>
                        <a:ea typeface="+mn-ea"/>
                        <a:cs typeface="+mn-cs"/>
                      </a:rPr>
                      <m:t> </m:t>
                    </m:r>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200" b="0" i="1">
                            <a:solidFill>
                              <a:sysClr val="windowText" lastClr="000000"/>
                            </a:solidFill>
                            <a:effectLst/>
                            <a:latin typeface="Cambria Math" panose="02040503050406030204" pitchFamily="18" charset="0"/>
                            <a:ea typeface="+mn-ea"/>
                            <a:cs typeface="+mn-cs"/>
                          </a:rPr>
                          <m:t>8.33</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200" b="0" i="1">
                            <a:solidFill>
                              <a:sysClr val="windowText" lastClr="000000"/>
                            </a:solidFill>
                            <a:effectLst/>
                            <a:latin typeface="Cambria Math" panose="02040503050406030204" pitchFamily="18" charset="0"/>
                            <a:ea typeface="+mn-ea"/>
                            <a:cs typeface="+mn-cs"/>
                          </a:rPr>
                          <m:t>1.0</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200" b="0" i="1">
                            <a:solidFill>
                              <a:sysClr val="windowText" lastClr="000000"/>
                            </a:solidFill>
                            <a:effectLst/>
                            <a:latin typeface="Cambria Math" panose="02040503050406030204" pitchFamily="18" charset="0"/>
                            <a:ea typeface="+mn-ea"/>
                            <a:cs typeface="+mn-cs"/>
                          </a:rPr>
                          <m:t>(</m:t>
                        </m:r>
                        <m:r>
                          <a:rPr lang="en-US" sz="1200" b="0" i="1">
                            <a:solidFill>
                              <a:sysClr val="windowText" lastClr="000000"/>
                            </a:solidFill>
                            <a:effectLst/>
                            <a:latin typeface="Cambria Math" panose="02040503050406030204" pitchFamily="18" charset="0"/>
                            <a:ea typeface="+mn-ea"/>
                            <a:cs typeface="+mn-cs"/>
                          </a:rPr>
                          <m:t>𝑆h𝑜𝑤𝑒𝑟𝑇𝑒𝑚𝑝</m:t>
                        </m:r>
                        <m:r>
                          <a:rPr lang="en-US" sz="1200" b="0" i="1">
                            <a:solidFill>
                              <a:sysClr val="windowText" lastClr="000000"/>
                            </a:solidFill>
                            <a:effectLst/>
                            <a:latin typeface="Cambria Math" panose="02040503050406030204" pitchFamily="18" charset="0"/>
                            <a:ea typeface="+mn-ea"/>
                            <a:cs typeface="+mn-cs"/>
                          </a:rPr>
                          <m:t> −</m:t>
                        </m:r>
                        <m:r>
                          <a:rPr lang="en-US" sz="1200" b="0" i="1">
                            <a:solidFill>
                              <a:sysClr val="windowText" lastClr="000000"/>
                            </a:solidFill>
                            <a:effectLst/>
                            <a:latin typeface="Cambria Math" panose="02040503050406030204" pitchFamily="18" charset="0"/>
                            <a:ea typeface="+mn-ea"/>
                            <a:cs typeface="+mn-cs"/>
                          </a:rPr>
                          <m:t>𝑆𝑢𝑝𝑝𝑙𝑦𝑇𝑒𝑚𝑝</m:t>
                        </m:r>
                        <m:r>
                          <a:rPr lang="en-US" sz="1200" b="0" i="1">
                            <a:solidFill>
                              <a:sysClr val="windowText" lastClr="000000"/>
                            </a:solidFill>
                            <a:effectLst/>
                            <a:latin typeface="Cambria Math" panose="02040503050406030204" pitchFamily="18" charset="0"/>
                            <a:ea typeface="+mn-ea"/>
                            <a:cs typeface="+mn-cs"/>
                          </a:rPr>
                          <m:t>)</m:t>
                        </m:r>
                      </m:num>
                      <m:den>
                        <m:r>
                          <a:rPr lang="en-US" sz="1200" b="0" i="1">
                            <a:solidFill>
                              <a:sysClr val="windowText" lastClr="000000"/>
                            </a:solidFill>
                            <a:effectLst/>
                            <a:latin typeface="Cambria Math" panose="02040503050406030204" pitchFamily="18" charset="0"/>
                            <a:ea typeface="+mn-ea"/>
                            <a:cs typeface="+mn-cs"/>
                          </a:rPr>
                          <m:t>𝑅𝐸</m:t>
                        </m:r>
                        <m:r>
                          <a:rPr lang="en-US" sz="1200" b="0" i="1">
                            <a:solidFill>
                              <a:sysClr val="windowText" lastClr="000000"/>
                            </a:solidFill>
                            <a:effectLst/>
                            <a:latin typeface="Cambria Math" panose="02040503050406030204" pitchFamily="18" charset="0"/>
                            <a:ea typeface="+mn-ea"/>
                            <a:cs typeface="+mn-cs"/>
                          </a:rPr>
                          <m:t>_</m:t>
                        </m:r>
                        <m:r>
                          <a:rPr lang="en-US" sz="1200" b="0" i="1">
                            <a:solidFill>
                              <a:sysClr val="windowText" lastClr="000000"/>
                            </a:solidFill>
                            <a:effectLst/>
                            <a:latin typeface="Cambria Math" panose="02040503050406030204" pitchFamily="18" charset="0"/>
                            <a:ea typeface="+mn-ea"/>
                            <a:cs typeface="+mn-cs"/>
                          </a:rPr>
                          <m:t>𝑒𝑙𝑒𝑐𝑡𝑟𝑖𝑐</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200" b="0" i="1">
                            <a:solidFill>
                              <a:sysClr val="windowText" lastClr="000000"/>
                            </a:solidFill>
                            <a:effectLst/>
                            <a:latin typeface="Cambria Math" panose="02040503050406030204" pitchFamily="18" charset="0"/>
                            <a:ea typeface="+mn-ea"/>
                            <a:cs typeface="+mn-cs"/>
                          </a:rPr>
                          <m:t>3,412</m:t>
                        </m:r>
                      </m:den>
                    </m:f>
                  </m:oMath>
                </m:oMathPara>
              </a14:m>
              <a:endParaRPr lang="en-US" sz="1200" i="1" baseline="-25000">
                <a:solidFill>
                  <a:sysClr val="windowText" lastClr="000000"/>
                </a:solidFill>
                <a:effectLst/>
                <a:latin typeface="Book Antiqua" panose="02040602050305030304" pitchFamily="18" charset="0"/>
              </a:endParaRPr>
            </a:p>
            <a:p>
              <a:pPr algn="l"/>
              <a:endParaRPr lang="en-US" sz="1200" i="0">
                <a:solidFill>
                  <a:sysClr val="windowText" lastClr="000000"/>
                </a:solidFill>
              </a:endParaRPr>
            </a:p>
          </xdr:txBody>
        </xdr:sp>
      </mc:Choice>
      <mc:Fallback xmlns="">
        <xdr:sp macro="" textlink="">
          <xdr:nvSpPr>
            <xdr:cNvPr id="153" name="TextBox 152">
              <a:extLst>
                <a:ext uri="{FF2B5EF4-FFF2-40B4-BE49-F238E27FC236}">
                  <a16:creationId xmlns:a16="http://schemas.microsoft.com/office/drawing/2014/main" id="{3883898A-2DF7-4596-85FB-B0D8CE09B75E}"/>
                </a:ext>
              </a:extLst>
            </xdr:cNvPr>
            <xdr:cNvSpPr txBox="1"/>
          </xdr:nvSpPr>
          <xdr:spPr>
            <a:xfrm>
              <a:off x="4136571" y="166117656"/>
              <a:ext cx="14777358" cy="49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0" i="0">
                  <a:solidFill>
                    <a:sysClr val="windowText" lastClr="000000"/>
                  </a:solidFill>
                  <a:effectLst/>
                  <a:latin typeface="Cambria Math" panose="02040503050406030204" pitchFamily="18" charset="0"/>
                  <a:ea typeface="+mn-ea"/>
                  <a:cs typeface="+mn-cs"/>
                </a:rPr>
                <a:t>"EPG_electric</a:t>
              </a:r>
              <a:r>
                <a:rPr lang="en-US" sz="1600" i="0">
                  <a:solidFill>
                    <a:sysClr val="windowText" lastClr="000000"/>
                  </a:solidFill>
                  <a:effectLst/>
                  <a:latin typeface="Cambria Math" panose="02040503050406030204" pitchFamily="18" charset="0"/>
                  <a:ea typeface="+mn-ea"/>
                  <a:cs typeface="+mn-cs"/>
                </a:rPr>
                <a:t> "</a:t>
              </a:r>
              <a:r>
                <a:rPr lang="en-US" sz="1600" i="0">
                  <a:solidFill>
                    <a:sysClr val="windowText" lastClr="000000"/>
                  </a:solidFill>
                  <a:latin typeface="Cambria Math" panose="02040503050406030204" pitchFamily="18" charset="0"/>
                </a:rPr>
                <a:t>=(</a:t>
              </a:r>
              <a:r>
                <a:rPr lang="en-US" sz="1200" b="0" i="0">
                  <a:solidFill>
                    <a:sysClr val="windowText" lastClr="000000"/>
                  </a:solidFill>
                  <a:effectLst/>
                  <a:latin typeface="Cambria Math" panose="02040503050406030204" pitchFamily="18" charset="0"/>
                  <a:ea typeface="+mn-ea"/>
                  <a:cs typeface="+mn-cs"/>
                </a:rPr>
                <a:t>8.33</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ysClr val="windowText" lastClr="000000"/>
                  </a:solidFill>
                  <a:effectLst/>
                  <a:latin typeface="Cambria Math" panose="02040503050406030204" pitchFamily="18" charset="0"/>
                  <a:ea typeface="+mn-ea"/>
                  <a:cs typeface="+mn-cs"/>
                </a:rPr>
                <a:t>1.0</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ysClr val="windowText" lastClr="000000"/>
                  </a:solidFill>
                  <a:effectLst/>
                  <a:latin typeface="Cambria Math" panose="02040503050406030204" pitchFamily="18" charset="0"/>
                  <a:ea typeface="+mn-ea"/>
                  <a:cs typeface="+mn-cs"/>
                </a:rPr>
                <a:t>(𝑆ℎ𝑜𝑤𝑒𝑟𝑇𝑒𝑚𝑝 −𝑆𝑢𝑝𝑝𝑙𝑦𝑇𝑒𝑚𝑝)</a:t>
              </a:r>
              <a:r>
                <a:rPr lang="en-US" sz="1600" b="0" i="0">
                  <a:solidFill>
                    <a:sysClr val="windowText" lastClr="000000"/>
                  </a:solidFill>
                  <a:effectLst/>
                  <a:latin typeface="Cambria Math" panose="02040503050406030204" pitchFamily="18" charset="0"/>
                  <a:ea typeface="+mn-ea"/>
                  <a:cs typeface="+mn-cs"/>
                </a:rPr>
                <a:t>)/(</a:t>
              </a:r>
              <a:r>
                <a:rPr lang="en-US" sz="1200" b="0" i="0">
                  <a:solidFill>
                    <a:sysClr val="windowText" lastClr="000000"/>
                  </a:solidFill>
                  <a:effectLst/>
                  <a:latin typeface="Cambria Math" panose="02040503050406030204" pitchFamily="18" charset="0"/>
                  <a:ea typeface="+mn-ea"/>
                  <a:cs typeface="+mn-cs"/>
                </a:rPr>
                <a:t>𝑅𝐸_𝑒𝑙𝑒𝑐𝑡𝑟𝑖𝑐</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ysClr val="windowText" lastClr="000000"/>
                  </a:solidFill>
                  <a:effectLst/>
                  <a:latin typeface="Cambria Math" panose="02040503050406030204" pitchFamily="18" charset="0"/>
                  <a:ea typeface="+mn-ea"/>
                  <a:cs typeface="+mn-cs"/>
                </a:rPr>
                <a:t>3,412</a:t>
              </a:r>
              <a:r>
                <a:rPr lang="en-US" sz="1600" b="0" i="0">
                  <a:solidFill>
                    <a:sysClr val="windowText" lastClr="000000"/>
                  </a:solidFill>
                  <a:effectLst/>
                  <a:latin typeface="Cambria Math" panose="02040503050406030204" pitchFamily="18" charset="0"/>
                  <a:ea typeface="+mn-ea"/>
                  <a:cs typeface="+mn-cs"/>
                </a:rPr>
                <a:t>)</a:t>
              </a:r>
              <a:endParaRPr lang="en-US" sz="1200" i="1" baseline="-25000">
                <a:solidFill>
                  <a:sysClr val="windowText" lastClr="000000"/>
                </a:solidFill>
                <a:effectLst/>
                <a:latin typeface="Book Antiqua" panose="02040602050305030304" pitchFamily="18" charset="0"/>
              </a:endParaRPr>
            </a:p>
            <a:p>
              <a:pPr algn="l"/>
              <a:endParaRPr lang="en-US" sz="1200" i="0">
                <a:solidFill>
                  <a:sysClr val="windowText" lastClr="000000"/>
                </a:solidFill>
              </a:endParaRPr>
            </a:p>
          </xdr:txBody>
        </xdr:sp>
      </mc:Fallback>
    </mc:AlternateContent>
    <xdr:clientData/>
  </xdr:twoCellAnchor>
  <xdr:oneCellAnchor>
    <xdr:from>
      <xdr:col>27</xdr:col>
      <xdr:colOff>3614</xdr:colOff>
      <xdr:row>662</xdr:row>
      <xdr:rowOff>0</xdr:rowOff>
    </xdr:from>
    <xdr:ext cx="65" cy="172227"/>
    <xdr:sp macro="" textlink="">
      <xdr:nvSpPr>
        <xdr:cNvPr id="154" name="TextBox 153">
          <a:extLst>
            <a:ext uri="{FF2B5EF4-FFF2-40B4-BE49-F238E27FC236}">
              <a16:creationId xmlns:a16="http://schemas.microsoft.com/office/drawing/2014/main" id="{00000000-0008-0000-0A00-00009A000000}"/>
            </a:ext>
          </a:extLst>
        </xdr:cNvPr>
        <xdr:cNvSpPr txBox="1"/>
      </xdr:nvSpPr>
      <xdr:spPr>
        <a:xfrm>
          <a:off x="34179314" y="4712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662</xdr:row>
      <xdr:rowOff>0</xdr:rowOff>
    </xdr:from>
    <xdr:ext cx="65" cy="172227"/>
    <xdr:sp macro="" textlink="">
      <xdr:nvSpPr>
        <xdr:cNvPr id="155" name="TextBox 154">
          <a:extLst>
            <a:ext uri="{FF2B5EF4-FFF2-40B4-BE49-F238E27FC236}">
              <a16:creationId xmlns:a16="http://schemas.microsoft.com/office/drawing/2014/main" id="{00000000-0008-0000-0A00-00009B000000}"/>
            </a:ext>
          </a:extLst>
        </xdr:cNvPr>
        <xdr:cNvSpPr txBox="1"/>
      </xdr:nvSpPr>
      <xdr:spPr>
        <a:xfrm>
          <a:off x="34179314" y="4712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988</xdr:row>
      <xdr:rowOff>0</xdr:rowOff>
    </xdr:from>
    <xdr:ext cx="65" cy="172227"/>
    <xdr:sp macro="" textlink="">
      <xdr:nvSpPr>
        <xdr:cNvPr id="159" name="TextBox 158">
          <a:extLst>
            <a:ext uri="{FF2B5EF4-FFF2-40B4-BE49-F238E27FC236}">
              <a16:creationId xmlns:a16="http://schemas.microsoft.com/office/drawing/2014/main" id="{00000000-0008-0000-0A00-00009F000000}"/>
            </a:ext>
          </a:extLst>
        </xdr:cNvPr>
        <xdr:cNvSpPr txBox="1"/>
      </xdr:nvSpPr>
      <xdr:spPr>
        <a:xfrm>
          <a:off x="34179314" y="80629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988</xdr:row>
      <xdr:rowOff>0</xdr:rowOff>
    </xdr:from>
    <xdr:ext cx="65" cy="172227"/>
    <xdr:sp macro="" textlink="">
      <xdr:nvSpPr>
        <xdr:cNvPr id="160" name="TextBox 159">
          <a:extLst>
            <a:ext uri="{FF2B5EF4-FFF2-40B4-BE49-F238E27FC236}">
              <a16:creationId xmlns:a16="http://schemas.microsoft.com/office/drawing/2014/main" id="{00000000-0008-0000-0A00-0000A0000000}"/>
            </a:ext>
          </a:extLst>
        </xdr:cNvPr>
        <xdr:cNvSpPr txBox="1"/>
      </xdr:nvSpPr>
      <xdr:spPr>
        <a:xfrm>
          <a:off x="34179314" y="80629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740500</xdr:colOff>
      <xdr:row>131</xdr:row>
      <xdr:rowOff>0</xdr:rowOff>
    </xdr:from>
    <xdr:to>
      <xdr:col>5</xdr:col>
      <xdr:colOff>340177</xdr:colOff>
      <xdr:row>131</xdr:row>
      <xdr:rowOff>0</xdr:rowOff>
    </xdr:to>
    <mc:AlternateContent xmlns:mc="http://schemas.openxmlformats.org/markup-compatibility/2006" xmlns:a14="http://schemas.microsoft.com/office/drawing/2010/main">
      <mc:Choice Requires="a14">
        <xdr:sp macro="" textlink="">
          <xdr:nvSpPr>
            <xdr:cNvPr id="161" name="TextBox 160">
              <a:extLst>
                <a:ext uri="{FF2B5EF4-FFF2-40B4-BE49-F238E27FC236}">
                  <a16:creationId xmlns:a16="http://schemas.microsoft.com/office/drawing/2014/main" id="{00000000-0008-0000-0A00-0000A1000000}"/>
                </a:ext>
              </a:extLst>
            </xdr:cNvPr>
            <xdr:cNvSpPr txBox="1"/>
          </xdr:nvSpPr>
          <xdr:spPr>
            <a:xfrm>
              <a:off x="4312375" y="27174825"/>
              <a:ext cx="519085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oMath>
                </m:oMathPara>
              </a14:m>
              <a:endParaRPr lang="en-US" sz="1100">
                <a:solidFill>
                  <a:sysClr val="windowText" lastClr="000000"/>
                </a:solidFill>
              </a:endParaRPr>
            </a:p>
          </xdr:txBody>
        </xdr:sp>
      </mc:Choice>
      <mc:Fallback xmlns="">
        <xdr:sp macro="" textlink="">
          <xdr:nvSpPr>
            <xdr:cNvPr id="161" name="TextBox 160">
              <a:extLst>
                <a:ext uri="{FF2B5EF4-FFF2-40B4-BE49-F238E27FC236}">
                  <a16:creationId xmlns:a16="http://schemas.microsoft.com/office/drawing/2014/main" id="{0DC1DB57-A587-409A-98B4-F2009FBD6665}"/>
                </a:ext>
              </a:extLst>
            </xdr:cNvPr>
            <xdr:cNvSpPr txBox="1"/>
          </xdr:nvSpPr>
          <xdr:spPr>
            <a:xfrm>
              <a:off x="4204606" y="37419644"/>
              <a:ext cx="5048250" cy="4027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𝑘𝑊ℎ=Δ𝑘𝑊ℎ_𝑐𝑜𝑜𝑙𝑖𝑛𝑔+Δ𝑘𝑊ℎ_ℎ𝑒𝑎𝑡𝑖𝑛𝑔</a:t>
              </a:r>
              <a:endParaRPr lang="en-US" sz="1100">
                <a:solidFill>
                  <a:sysClr val="windowText" lastClr="000000"/>
                </a:solidFill>
              </a:endParaRPr>
            </a:p>
          </xdr:txBody>
        </xdr:sp>
      </mc:Fallback>
    </mc:AlternateContent>
    <xdr:clientData/>
  </xdr:twoCellAnchor>
  <xdr:oneCellAnchor>
    <xdr:from>
      <xdr:col>27</xdr:col>
      <xdr:colOff>3614</xdr:colOff>
      <xdr:row>927</xdr:row>
      <xdr:rowOff>0</xdr:rowOff>
    </xdr:from>
    <xdr:ext cx="65" cy="172227"/>
    <xdr:sp macro="" textlink="">
      <xdr:nvSpPr>
        <xdr:cNvPr id="165" name="TextBox 164">
          <a:extLst>
            <a:ext uri="{FF2B5EF4-FFF2-40B4-BE49-F238E27FC236}">
              <a16:creationId xmlns:a16="http://schemas.microsoft.com/office/drawing/2014/main" id="{00000000-0008-0000-0A00-0000A5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927</xdr:row>
      <xdr:rowOff>0</xdr:rowOff>
    </xdr:from>
    <xdr:ext cx="65" cy="172227"/>
    <xdr:sp macro="" textlink="">
      <xdr:nvSpPr>
        <xdr:cNvPr id="166" name="TextBox 165">
          <a:extLst>
            <a:ext uri="{FF2B5EF4-FFF2-40B4-BE49-F238E27FC236}">
              <a16:creationId xmlns:a16="http://schemas.microsoft.com/office/drawing/2014/main" id="{00000000-0008-0000-0A00-0000A6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927</xdr:row>
      <xdr:rowOff>0</xdr:rowOff>
    </xdr:from>
    <xdr:ext cx="65" cy="172227"/>
    <xdr:sp macro="" textlink="">
      <xdr:nvSpPr>
        <xdr:cNvPr id="167" name="TextBox 166">
          <a:extLst>
            <a:ext uri="{FF2B5EF4-FFF2-40B4-BE49-F238E27FC236}">
              <a16:creationId xmlns:a16="http://schemas.microsoft.com/office/drawing/2014/main" id="{00000000-0008-0000-0A00-0000A7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927</xdr:row>
      <xdr:rowOff>0</xdr:rowOff>
    </xdr:from>
    <xdr:ext cx="65" cy="172227"/>
    <xdr:sp macro="" textlink="">
      <xdr:nvSpPr>
        <xdr:cNvPr id="168" name="TextBox 167">
          <a:extLst>
            <a:ext uri="{FF2B5EF4-FFF2-40B4-BE49-F238E27FC236}">
              <a16:creationId xmlns:a16="http://schemas.microsoft.com/office/drawing/2014/main" id="{00000000-0008-0000-0A00-0000A8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927</xdr:row>
      <xdr:rowOff>0</xdr:rowOff>
    </xdr:from>
    <xdr:ext cx="65" cy="172227"/>
    <xdr:sp macro="" textlink="">
      <xdr:nvSpPr>
        <xdr:cNvPr id="169" name="TextBox 168">
          <a:extLst>
            <a:ext uri="{FF2B5EF4-FFF2-40B4-BE49-F238E27FC236}">
              <a16:creationId xmlns:a16="http://schemas.microsoft.com/office/drawing/2014/main" id="{00000000-0008-0000-0A00-0000A9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927</xdr:row>
      <xdr:rowOff>0</xdr:rowOff>
    </xdr:from>
    <xdr:ext cx="65" cy="172227"/>
    <xdr:sp macro="" textlink="">
      <xdr:nvSpPr>
        <xdr:cNvPr id="170" name="TextBox 169">
          <a:extLst>
            <a:ext uri="{FF2B5EF4-FFF2-40B4-BE49-F238E27FC236}">
              <a16:creationId xmlns:a16="http://schemas.microsoft.com/office/drawing/2014/main" id="{00000000-0008-0000-0A00-0000AA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927</xdr:row>
      <xdr:rowOff>0</xdr:rowOff>
    </xdr:from>
    <xdr:ext cx="65" cy="172227"/>
    <xdr:sp macro="" textlink="">
      <xdr:nvSpPr>
        <xdr:cNvPr id="171" name="TextBox 170">
          <a:extLst>
            <a:ext uri="{FF2B5EF4-FFF2-40B4-BE49-F238E27FC236}">
              <a16:creationId xmlns:a16="http://schemas.microsoft.com/office/drawing/2014/main" id="{00000000-0008-0000-0A00-0000AB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927</xdr:row>
      <xdr:rowOff>0</xdr:rowOff>
    </xdr:from>
    <xdr:ext cx="65" cy="172227"/>
    <xdr:sp macro="" textlink="">
      <xdr:nvSpPr>
        <xdr:cNvPr id="172" name="TextBox 171">
          <a:extLst>
            <a:ext uri="{FF2B5EF4-FFF2-40B4-BE49-F238E27FC236}">
              <a16:creationId xmlns:a16="http://schemas.microsoft.com/office/drawing/2014/main" id="{00000000-0008-0000-0A00-0000AC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927</xdr:row>
      <xdr:rowOff>0</xdr:rowOff>
    </xdr:from>
    <xdr:ext cx="65" cy="172227"/>
    <xdr:sp macro="" textlink="">
      <xdr:nvSpPr>
        <xdr:cNvPr id="173" name="TextBox 172">
          <a:extLst>
            <a:ext uri="{FF2B5EF4-FFF2-40B4-BE49-F238E27FC236}">
              <a16:creationId xmlns:a16="http://schemas.microsoft.com/office/drawing/2014/main" id="{00000000-0008-0000-0A00-0000AD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927</xdr:row>
      <xdr:rowOff>0</xdr:rowOff>
    </xdr:from>
    <xdr:ext cx="65" cy="172227"/>
    <xdr:sp macro="" textlink="">
      <xdr:nvSpPr>
        <xdr:cNvPr id="174" name="TextBox 173">
          <a:extLst>
            <a:ext uri="{FF2B5EF4-FFF2-40B4-BE49-F238E27FC236}">
              <a16:creationId xmlns:a16="http://schemas.microsoft.com/office/drawing/2014/main" id="{00000000-0008-0000-0A00-0000AE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927</xdr:row>
      <xdr:rowOff>0</xdr:rowOff>
    </xdr:from>
    <xdr:ext cx="65" cy="172227"/>
    <xdr:sp macro="" textlink="">
      <xdr:nvSpPr>
        <xdr:cNvPr id="175" name="TextBox 174">
          <a:extLst>
            <a:ext uri="{FF2B5EF4-FFF2-40B4-BE49-F238E27FC236}">
              <a16:creationId xmlns:a16="http://schemas.microsoft.com/office/drawing/2014/main" id="{00000000-0008-0000-0A00-0000AF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927</xdr:row>
      <xdr:rowOff>0</xdr:rowOff>
    </xdr:from>
    <xdr:ext cx="65" cy="172227"/>
    <xdr:sp macro="" textlink="">
      <xdr:nvSpPr>
        <xdr:cNvPr id="176" name="TextBox 175">
          <a:extLst>
            <a:ext uri="{FF2B5EF4-FFF2-40B4-BE49-F238E27FC236}">
              <a16:creationId xmlns:a16="http://schemas.microsoft.com/office/drawing/2014/main" id="{00000000-0008-0000-0A00-0000B0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927</xdr:row>
      <xdr:rowOff>0</xdr:rowOff>
    </xdr:from>
    <xdr:ext cx="65" cy="172227"/>
    <xdr:sp macro="" textlink="">
      <xdr:nvSpPr>
        <xdr:cNvPr id="177" name="TextBox 176">
          <a:extLst>
            <a:ext uri="{FF2B5EF4-FFF2-40B4-BE49-F238E27FC236}">
              <a16:creationId xmlns:a16="http://schemas.microsoft.com/office/drawing/2014/main" id="{00000000-0008-0000-0A00-0000B1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927</xdr:row>
      <xdr:rowOff>0</xdr:rowOff>
    </xdr:from>
    <xdr:ext cx="65" cy="172227"/>
    <xdr:sp macro="" textlink="">
      <xdr:nvSpPr>
        <xdr:cNvPr id="178" name="TextBox 177">
          <a:extLst>
            <a:ext uri="{FF2B5EF4-FFF2-40B4-BE49-F238E27FC236}">
              <a16:creationId xmlns:a16="http://schemas.microsoft.com/office/drawing/2014/main" id="{00000000-0008-0000-0A00-0000B2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927</xdr:row>
      <xdr:rowOff>0</xdr:rowOff>
    </xdr:from>
    <xdr:ext cx="65" cy="172227"/>
    <xdr:sp macro="" textlink="">
      <xdr:nvSpPr>
        <xdr:cNvPr id="179" name="TextBox 178">
          <a:extLst>
            <a:ext uri="{FF2B5EF4-FFF2-40B4-BE49-F238E27FC236}">
              <a16:creationId xmlns:a16="http://schemas.microsoft.com/office/drawing/2014/main" id="{00000000-0008-0000-0A00-0000B3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927</xdr:row>
      <xdr:rowOff>0</xdr:rowOff>
    </xdr:from>
    <xdr:ext cx="65" cy="172227"/>
    <xdr:sp macro="" textlink="">
      <xdr:nvSpPr>
        <xdr:cNvPr id="180" name="TextBox 179">
          <a:extLst>
            <a:ext uri="{FF2B5EF4-FFF2-40B4-BE49-F238E27FC236}">
              <a16:creationId xmlns:a16="http://schemas.microsoft.com/office/drawing/2014/main" id="{00000000-0008-0000-0A00-0000B4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927</xdr:row>
      <xdr:rowOff>0</xdr:rowOff>
    </xdr:from>
    <xdr:ext cx="65" cy="172227"/>
    <xdr:sp macro="" textlink="">
      <xdr:nvSpPr>
        <xdr:cNvPr id="181" name="TextBox 180">
          <a:extLst>
            <a:ext uri="{FF2B5EF4-FFF2-40B4-BE49-F238E27FC236}">
              <a16:creationId xmlns:a16="http://schemas.microsoft.com/office/drawing/2014/main" id="{00000000-0008-0000-0A00-0000B5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927</xdr:row>
      <xdr:rowOff>0</xdr:rowOff>
    </xdr:from>
    <xdr:ext cx="65" cy="172227"/>
    <xdr:sp macro="" textlink="">
      <xdr:nvSpPr>
        <xdr:cNvPr id="182" name="TextBox 181">
          <a:extLst>
            <a:ext uri="{FF2B5EF4-FFF2-40B4-BE49-F238E27FC236}">
              <a16:creationId xmlns:a16="http://schemas.microsoft.com/office/drawing/2014/main" id="{00000000-0008-0000-0A00-0000B6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927</xdr:row>
      <xdr:rowOff>0</xdr:rowOff>
    </xdr:from>
    <xdr:ext cx="65" cy="172227"/>
    <xdr:sp macro="" textlink="">
      <xdr:nvSpPr>
        <xdr:cNvPr id="183" name="TextBox 182">
          <a:extLst>
            <a:ext uri="{FF2B5EF4-FFF2-40B4-BE49-F238E27FC236}">
              <a16:creationId xmlns:a16="http://schemas.microsoft.com/office/drawing/2014/main" id="{00000000-0008-0000-0A00-0000B7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927</xdr:row>
      <xdr:rowOff>0</xdr:rowOff>
    </xdr:from>
    <xdr:ext cx="65" cy="172227"/>
    <xdr:sp macro="" textlink="">
      <xdr:nvSpPr>
        <xdr:cNvPr id="184" name="TextBox 183">
          <a:extLst>
            <a:ext uri="{FF2B5EF4-FFF2-40B4-BE49-F238E27FC236}">
              <a16:creationId xmlns:a16="http://schemas.microsoft.com/office/drawing/2014/main" id="{00000000-0008-0000-0A00-0000B8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927</xdr:row>
      <xdr:rowOff>0</xdr:rowOff>
    </xdr:from>
    <xdr:ext cx="65" cy="172227"/>
    <xdr:sp macro="" textlink="">
      <xdr:nvSpPr>
        <xdr:cNvPr id="185" name="TextBox 184">
          <a:extLst>
            <a:ext uri="{FF2B5EF4-FFF2-40B4-BE49-F238E27FC236}">
              <a16:creationId xmlns:a16="http://schemas.microsoft.com/office/drawing/2014/main" id="{00000000-0008-0000-0A00-0000B9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927</xdr:row>
      <xdr:rowOff>0</xdr:rowOff>
    </xdr:from>
    <xdr:ext cx="65" cy="172227"/>
    <xdr:sp macro="" textlink="">
      <xdr:nvSpPr>
        <xdr:cNvPr id="186" name="TextBox 185">
          <a:extLst>
            <a:ext uri="{FF2B5EF4-FFF2-40B4-BE49-F238E27FC236}">
              <a16:creationId xmlns:a16="http://schemas.microsoft.com/office/drawing/2014/main" id="{00000000-0008-0000-0A00-0000BA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927</xdr:row>
      <xdr:rowOff>0</xdr:rowOff>
    </xdr:from>
    <xdr:ext cx="65" cy="172227"/>
    <xdr:sp macro="" textlink="">
      <xdr:nvSpPr>
        <xdr:cNvPr id="187" name="TextBox 186">
          <a:extLst>
            <a:ext uri="{FF2B5EF4-FFF2-40B4-BE49-F238E27FC236}">
              <a16:creationId xmlns:a16="http://schemas.microsoft.com/office/drawing/2014/main" id="{00000000-0008-0000-0A00-0000BB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927</xdr:row>
      <xdr:rowOff>0</xdr:rowOff>
    </xdr:from>
    <xdr:ext cx="65" cy="172227"/>
    <xdr:sp macro="" textlink="">
      <xdr:nvSpPr>
        <xdr:cNvPr id="188" name="TextBox 187">
          <a:extLst>
            <a:ext uri="{FF2B5EF4-FFF2-40B4-BE49-F238E27FC236}">
              <a16:creationId xmlns:a16="http://schemas.microsoft.com/office/drawing/2014/main" id="{00000000-0008-0000-0A00-0000BC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927</xdr:row>
      <xdr:rowOff>0</xdr:rowOff>
    </xdr:from>
    <xdr:ext cx="65" cy="172227"/>
    <xdr:sp macro="" textlink="">
      <xdr:nvSpPr>
        <xdr:cNvPr id="189" name="TextBox 188">
          <a:extLst>
            <a:ext uri="{FF2B5EF4-FFF2-40B4-BE49-F238E27FC236}">
              <a16:creationId xmlns:a16="http://schemas.microsoft.com/office/drawing/2014/main" id="{00000000-0008-0000-0A00-0000BD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927</xdr:row>
      <xdr:rowOff>0</xdr:rowOff>
    </xdr:from>
    <xdr:ext cx="65" cy="172227"/>
    <xdr:sp macro="" textlink="">
      <xdr:nvSpPr>
        <xdr:cNvPr id="190" name="TextBox 189">
          <a:extLst>
            <a:ext uri="{FF2B5EF4-FFF2-40B4-BE49-F238E27FC236}">
              <a16:creationId xmlns:a16="http://schemas.microsoft.com/office/drawing/2014/main" id="{00000000-0008-0000-0A00-0000BE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927</xdr:row>
      <xdr:rowOff>0</xdr:rowOff>
    </xdr:from>
    <xdr:ext cx="65" cy="172227"/>
    <xdr:sp macro="" textlink="">
      <xdr:nvSpPr>
        <xdr:cNvPr id="191" name="TextBox 190">
          <a:extLst>
            <a:ext uri="{FF2B5EF4-FFF2-40B4-BE49-F238E27FC236}">
              <a16:creationId xmlns:a16="http://schemas.microsoft.com/office/drawing/2014/main" id="{00000000-0008-0000-0A00-0000BF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927</xdr:row>
      <xdr:rowOff>0</xdr:rowOff>
    </xdr:from>
    <xdr:ext cx="65" cy="172227"/>
    <xdr:sp macro="" textlink="">
      <xdr:nvSpPr>
        <xdr:cNvPr id="192" name="TextBox 191">
          <a:extLst>
            <a:ext uri="{FF2B5EF4-FFF2-40B4-BE49-F238E27FC236}">
              <a16:creationId xmlns:a16="http://schemas.microsoft.com/office/drawing/2014/main" id="{00000000-0008-0000-0A00-0000C0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927</xdr:row>
      <xdr:rowOff>0</xdr:rowOff>
    </xdr:from>
    <xdr:ext cx="65" cy="172227"/>
    <xdr:sp macro="" textlink="">
      <xdr:nvSpPr>
        <xdr:cNvPr id="193" name="TextBox 192">
          <a:extLst>
            <a:ext uri="{FF2B5EF4-FFF2-40B4-BE49-F238E27FC236}">
              <a16:creationId xmlns:a16="http://schemas.microsoft.com/office/drawing/2014/main" id="{00000000-0008-0000-0A00-0000C1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927</xdr:row>
      <xdr:rowOff>0</xdr:rowOff>
    </xdr:from>
    <xdr:ext cx="65" cy="172227"/>
    <xdr:sp macro="" textlink="">
      <xdr:nvSpPr>
        <xdr:cNvPr id="194" name="TextBox 193">
          <a:extLst>
            <a:ext uri="{FF2B5EF4-FFF2-40B4-BE49-F238E27FC236}">
              <a16:creationId xmlns:a16="http://schemas.microsoft.com/office/drawing/2014/main" id="{00000000-0008-0000-0A00-0000C2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927</xdr:row>
      <xdr:rowOff>0</xdr:rowOff>
    </xdr:from>
    <xdr:ext cx="65" cy="172227"/>
    <xdr:sp macro="" textlink="">
      <xdr:nvSpPr>
        <xdr:cNvPr id="195" name="TextBox 194">
          <a:extLst>
            <a:ext uri="{FF2B5EF4-FFF2-40B4-BE49-F238E27FC236}">
              <a16:creationId xmlns:a16="http://schemas.microsoft.com/office/drawing/2014/main" id="{00000000-0008-0000-0A00-0000C3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927</xdr:row>
      <xdr:rowOff>0</xdr:rowOff>
    </xdr:from>
    <xdr:ext cx="65" cy="172227"/>
    <xdr:sp macro="" textlink="">
      <xdr:nvSpPr>
        <xdr:cNvPr id="196" name="TextBox 195">
          <a:extLst>
            <a:ext uri="{FF2B5EF4-FFF2-40B4-BE49-F238E27FC236}">
              <a16:creationId xmlns:a16="http://schemas.microsoft.com/office/drawing/2014/main" id="{00000000-0008-0000-0A00-0000C4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927</xdr:row>
      <xdr:rowOff>0</xdr:rowOff>
    </xdr:from>
    <xdr:ext cx="65" cy="172227"/>
    <xdr:sp macro="" textlink="">
      <xdr:nvSpPr>
        <xdr:cNvPr id="197" name="TextBox 196">
          <a:extLst>
            <a:ext uri="{FF2B5EF4-FFF2-40B4-BE49-F238E27FC236}">
              <a16:creationId xmlns:a16="http://schemas.microsoft.com/office/drawing/2014/main" id="{00000000-0008-0000-0A00-0000C5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927</xdr:row>
      <xdr:rowOff>0</xdr:rowOff>
    </xdr:from>
    <xdr:ext cx="65" cy="172227"/>
    <xdr:sp macro="" textlink="">
      <xdr:nvSpPr>
        <xdr:cNvPr id="198" name="TextBox 197">
          <a:extLst>
            <a:ext uri="{FF2B5EF4-FFF2-40B4-BE49-F238E27FC236}">
              <a16:creationId xmlns:a16="http://schemas.microsoft.com/office/drawing/2014/main" id="{00000000-0008-0000-0A00-0000C6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927</xdr:row>
      <xdr:rowOff>0</xdr:rowOff>
    </xdr:from>
    <xdr:ext cx="65" cy="172227"/>
    <xdr:sp macro="" textlink="">
      <xdr:nvSpPr>
        <xdr:cNvPr id="199" name="TextBox 198">
          <a:extLst>
            <a:ext uri="{FF2B5EF4-FFF2-40B4-BE49-F238E27FC236}">
              <a16:creationId xmlns:a16="http://schemas.microsoft.com/office/drawing/2014/main" id="{00000000-0008-0000-0A00-0000C7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927</xdr:row>
      <xdr:rowOff>0</xdr:rowOff>
    </xdr:from>
    <xdr:ext cx="65" cy="172227"/>
    <xdr:sp macro="" textlink="">
      <xdr:nvSpPr>
        <xdr:cNvPr id="200" name="TextBox 199">
          <a:extLst>
            <a:ext uri="{FF2B5EF4-FFF2-40B4-BE49-F238E27FC236}">
              <a16:creationId xmlns:a16="http://schemas.microsoft.com/office/drawing/2014/main" id="{00000000-0008-0000-0A00-0000C8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927</xdr:row>
      <xdr:rowOff>0</xdr:rowOff>
    </xdr:from>
    <xdr:ext cx="65" cy="172227"/>
    <xdr:sp macro="" textlink="">
      <xdr:nvSpPr>
        <xdr:cNvPr id="201" name="TextBox 200">
          <a:extLst>
            <a:ext uri="{FF2B5EF4-FFF2-40B4-BE49-F238E27FC236}">
              <a16:creationId xmlns:a16="http://schemas.microsoft.com/office/drawing/2014/main" id="{00000000-0008-0000-0A00-0000C9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927</xdr:row>
      <xdr:rowOff>0</xdr:rowOff>
    </xdr:from>
    <xdr:ext cx="65" cy="172227"/>
    <xdr:sp macro="" textlink="">
      <xdr:nvSpPr>
        <xdr:cNvPr id="202" name="TextBox 201">
          <a:extLst>
            <a:ext uri="{FF2B5EF4-FFF2-40B4-BE49-F238E27FC236}">
              <a16:creationId xmlns:a16="http://schemas.microsoft.com/office/drawing/2014/main" id="{00000000-0008-0000-0A00-0000CA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927</xdr:row>
      <xdr:rowOff>0</xdr:rowOff>
    </xdr:from>
    <xdr:ext cx="65" cy="172227"/>
    <xdr:sp macro="" textlink="">
      <xdr:nvSpPr>
        <xdr:cNvPr id="203" name="TextBox 202">
          <a:extLst>
            <a:ext uri="{FF2B5EF4-FFF2-40B4-BE49-F238E27FC236}">
              <a16:creationId xmlns:a16="http://schemas.microsoft.com/office/drawing/2014/main" id="{00000000-0008-0000-0A00-0000CB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927</xdr:row>
      <xdr:rowOff>0</xdr:rowOff>
    </xdr:from>
    <xdr:ext cx="65" cy="172227"/>
    <xdr:sp macro="" textlink="">
      <xdr:nvSpPr>
        <xdr:cNvPr id="204" name="TextBox 203">
          <a:extLst>
            <a:ext uri="{FF2B5EF4-FFF2-40B4-BE49-F238E27FC236}">
              <a16:creationId xmlns:a16="http://schemas.microsoft.com/office/drawing/2014/main" id="{00000000-0008-0000-0A00-0000CC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927</xdr:row>
      <xdr:rowOff>0</xdr:rowOff>
    </xdr:from>
    <xdr:ext cx="65" cy="172227"/>
    <xdr:sp macro="" textlink="">
      <xdr:nvSpPr>
        <xdr:cNvPr id="205" name="TextBox 204">
          <a:extLst>
            <a:ext uri="{FF2B5EF4-FFF2-40B4-BE49-F238E27FC236}">
              <a16:creationId xmlns:a16="http://schemas.microsoft.com/office/drawing/2014/main" id="{00000000-0008-0000-0A00-0000CD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927</xdr:row>
      <xdr:rowOff>0</xdr:rowOff>
    </xdr:from>
    <xdr:ext cx="65" cy="172227"/>
    <xdr:sp macro="" textlink="">
      <xdr:nvSpPr>
        <xdr:cNvPr id="206" name="TextBox 205">
          <a:extLst>
            <a:ext uri="{FF2B5EF4-FFF2-40B4-BE49-F238E27FC236}">
              <a16:creationId xmlns:a16="http://schemas.microsoft.com/office/drawing/2014/main" id="{00000000-0008-0000-0A00-0000CE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927</xdr:row>
      <xdr:rowOff>0</xdr:rowOff>
    </xdr:from>
    <xdr:ext cx="65" cy="172227"/>
    <xdr:sp macro="" textlink="">
      <xdr:nvSpPr>
        <xdr:cNvPr id="207" name="TextBox 206">
          <a:extLst>
            <a:ext uri="{FF2B5EF4-FFF2-40B4-BE49-F238E27FC236}">
              <a16:creationId xmlns:a16="http://schemas.microsoft.com/office/drawing/2014/main" id="{00000000-0008-0000-0A00-0000CF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927</xdr:row>
      <xdr:rowOff>0</xdr:rowOff>
    </xdr:from>
    <xdr:ext cx="65" cy="172227"/>
    <xdr:sp macro="" textlink="">
      <xdr:nvSpPr>
        <xdr:cNvPr id="208" name="TextBox 207">
          <a:extLst>
            <a:ext uri="{FF2B5EF4-FFF2-40B4-BE49-F238E27FC236}">
              <a16:creationId xmlns:a16="http://schemas.microsoft.com/office/drawing/2014/main" id="{00000000-0008-0000-0A00-0000D0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927</xdr:row>
      <xdr:rowOff>0</xdr:rowOff>
    </xdr:from>
    <xdr:ext cx="65" cy="172227"/>
    <xdr:sp macro="" textlink="">
      <xdr:nvSpPr>
        <xdr:cNvPr id="209" name="TextBox 208">
          <a:extLst>
            <a:ext uri="{FF2B5EF4-FFF2-40B4-BE49-F238E27FC236}">
              <a16:creationId xmlns:a16="http://schemas.microsoft.com/office/drawing/2014/main" id="{00000000-0008-0000-0A00-0000D1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927</xdr:row>
      <xdr:rowOff>0</xdr:rowOff>
    </xdr:from>
    <xdr:ext cx="65" cy="172227"/>
    <xdr:sp macro="" textlink="">
      <xdr:nvSpPr>
        <xdr:cNvPr id="210" name="TextBox 209">
          <a:extLst>
            <a:ext uri="{FF2B5EF4-FFF2-40B4-BE49-F238E27FC236}">
              <a16:creationId xmlns:a16="http://schemas.microsoft.com/office/drawing/2014/main" id="{00000000-0008-0000-0A00-0000D2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927</xdr:row>
      <xdr:rowOff>0</xdr:rowOff>
    </xdr:from>
    <xdr:ext cx="65" cy="172227"/>
    <xdr:sp macro="" textlink="">
      <xdr:nvSpPr>
        <xdr:cNvPr id="211" name="TextBox 210">
          <a:extLst>
            <a:ext uri="{FF2B5EF4-FFF2-40B4-BE49-F238E27FC236}">
              <a16:creationId xmlns:a16="http://schemas.microsoft.com/office/drawing/2014/main" id="{00000000-0008-0000-0A00-0000D3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927</xdr:row>
      <xdr:rowOff>0</xdr:rowOff>
    </xdr:from>
    <xdr:ext cx="65" cy="172227"/>
    <xdr:sp macro="" textlink="">
      <xdr:nvSpPr>
        <xdr:cNvPr id="212" name="TextBox 211">
          <a:extLst>
            <a:ext uri="{FF2B5EF4-FFF2-40B4-BE49-F238E27FC236}">
              <a16:creationId xmlns:a16="http://schemas.microsoft.com/office/drawing/2014/main" id="{00000000-0008-0000-0A00-0000D4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927</xdr:row>
      <xdr:rowOff>0</xdr:rowOff>
    </xdr:from>
    <xdr:ext cx="65" cy="172227"/>
    <xdr:sp macro="" textlink="">
      <xdr:nvSpPr>
        <xdr:cNvPr id="213" name="TextBox 212">
          <a:extLst>
            <a:ext uri="{FF2B5EF4-FFF2-40B4-BE49-F238E27FC236}">
              <a16:creationId xmlns:a16="http://schemas.microsoft.com/office/drawing/2014/main" id="{00000000-0008-0000-0A00-0000D5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927</xdr:row>
      <xdr:rowOff>0</xdr:rowOff>
    </xdr:from>
    <xdr:ext cx="65" cy="172227"/>
    <xdr:sp macro="" textlink="">
      <xdr:nvSpPr>
        <xdr:cNvPr id="214" name="TextBox 213">
          <a:extLst>
            <a:ext uri="{FF2B5EF4-FFF2-40B4-BE49-F238E27FC236}">
              <a16:creationId xmlns:a16="http://schemas.microsoft.com/office/drawing/2014/main" id="{00000000-0008-0000-0A00-0000D6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927</xdr:row>
      <xdr:rowOff>0</xdr:rowOff>
    </xdr:from>
    <xdr:ext cx="65" cy="172227"/>
    <xdr:sp macro="" textlink="">
      <xdr:nvSpPr>
        <xdr:cNvPr id="215" name="TextBox 214">
          <a:extLst>
            <a:ext uri="{FF2B5EF4-FFF2-40B4-BE49-F238E27FC236}">
              <a16:creationId xmlns:a16="http://schemas.microsoft.com/office/drawing/2014/main" id="{00000000-0008-0000-0A00-0000D7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927</xdr:row>
      <xdr:rowOff>0</xdr:rowOff>
    </xdr:from>
    <xdr:ext cx="65" cy="172227"/>
    <xdr:sp macro="" textlink="">
      <xdr:nvSpPr>
        <xdr:cNvPr id="216" name="TextBox 215">
          <a:extLst>
            <a:ext uri="{FF2B5EF4-FFF2-40B4-BE49-F238E27FC236}">
              <a16:creationId xmlns:a16="http://schemas.microsoft.com/office/drawing/2014/main" id="{00000000-0008-0000-0A00-0000D8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927</xdr:row>
      <xdr:rowOff>0</xdr:rowOff>
    </xdr:from>
    <xdr:ext cx="65" cy="172227"/>
    <xdr:sp macro="" textlink="">
      <xdr:nvSpPr>
        <xdr:cNvPr id="217" name="TextBox 216">
          <a:extLst>
            <a:ext uri="{FF2B5EF4-FFF2-40B4-BE49-F238E27FC236}">
              <a16:creationId xmlns:a16="http://schemas.microsoft.com/office/drawing/2014/main" id="{00000000-0008-0000-0A00-0000D9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927</xdr:row>
      <xdr:rowOff>0</xdr:rowOff>
    </xdr:from>
    <xdr:ext cx="65" cy="172227"/>
    <xdr:sp macro="" textlink="">
      <xdr:nvSpPr>
        <xdr:cNvPr id="218" name="TextBox 217">
          <a:extLst>
            <a:ext uri="{FF2B5EF4-FFF2-40B4-BE49-F238E27FC236}">
              <a16:creationId xmlns:a16="http://schemas.microsoft.com/office/drawing/2014/main" id="{00000000-0008-0000-0A00-0000DA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927</xdr:row>
      <xdr:rowOff>0</xdr:rowOff>
    </xdr:from>
    <xdr:ext cx="65" cy="172227"/>
    <xdr:sp macro="" textlink="">
      <xdr:nvSpPr>
        <xdr:cNvPr id="219" name="TextBox 218">
          <a:extLst>
            <a:ext uri="{FF2B5EF4-FFF2-40B4-BE49-F238E27FC236}">
              <a16:creationId xmlns:a16="http://schemas.microsoft.com/office/drawing/2014/main" id="{00000000-0008-0000-0A00-0000DB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927</xdr:row>
      <xdr:rowOff>0</xdr:rowOff>
    </xdr:from>
    <xdr:ext cx="65" cy="172227"/>
    <xdr:sp macro="" textlink="">
      <xdr:nvSpPr>
        <xdr:cNvPr id="220" name="TextBox 219">
          <a:extLst>
            <a:ext uri="{FF2B5EF4-FFF2-40B4-BE49-F238E27FC236}">
              <a16:creationId xmlns:a16="http://schemas.microsoft.com/office/drawing/2014/main" id="{00000000-0008-0000-0A00-0000DC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927</xdr:row>
      <xdr:rowOff>0</xdr:rowOff>
    </xdr:from>
    <xdr:ext cx="65" cy="172227"/>
    <xdr:sp macro="" textlink="">
      <xdr:nvSpPr>
        <xdr:cNvPr id="221" name="TextBox 220">
          <a:extLst>
            <a:ext uri="{FF2B5EF4-FFF2-40B4-BE49-F238E27FC236}">
              <a16:creationId xmlns:a16="http://schemas.microsoft.com/office/drawing/2014/main" id="{00000000-0008-0000-0A00-0000DD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927</xdr:row>
      <xdr:rowOff>0</xdr:rowOff>
    </xdr:from>
    <xdr:ext cx="65" cy="172227"/>
    <xdr:sp macro="" textlink="">
      <xdr:nvSpPr>
        <xdr:cNvPr id="222" name="TextBox 221">
          <a:extLst>
            <a:ext uri="{FF2B5EF4-FFF2-40B4-BE49-F238E27FC236}">
              <a16:creationId xmlns:a16="http://schemas.microsoft.com/office/drawing/2014/main" id="{00000000-0008-0000-0A00-0000DE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927</xdr:row>
      <xdr:rowOff>0</xdr:rowOff>
    </xdr:from>
    <xdr:ext cx="65" cy="172227"/>
    <xdr:sp macro="" textlink="">
      <xdr:nvSpPr>
        <xdr:cNvPr id="223" name="TextBox 222">
          <a:extLst>
            <a:ext uri="{FF2B5EF4-FFF2-40B4-BE49-F238E27FC236}">
              <a16:creationId xmlns:a16="http://schemas.microsoft.com/office/drawing/2014/main" id="{00000000-0008-0000-0A00-0000DF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927</xdr:row>
      <xdr:rowOff>0</xdr:rowOff>
    </xdr:from>
    <xdr:ext cx="65" cy="172227"/>
    <xdr:sp macro="" textlink="">
      <xdr:nvSpPr>
        <xdr:cNvPr id="224" name="TextBox 223">
          <a:extLst>
            <a:ext uri="{FF2B5EF4-FFF2-40B4-BE49-F238E27FC236}">
              <a16:creationId xmlns:a16="http://schemas.microsoft.com/office/drawing/2014/main" id="{00000000-0008-0000-0A00-0000E0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927</xdr:row>
      <xdr:rowOff>0</xdr:rowOff>
    </xdr:from>
    <xdr:ext cx="65" cy="172227"/>
    <xdr:sp macro="" textlink="">
      <xdr:nvSpPr>
        <xdr:cNvPr id="225" name="TextBox 224">
          <a:extLst>
            <a:ext uri="{FF2B5EF4-FFF2-40B4-BE49-F238E27FC236}">
              <a16:creationId xmlns:a16="http://schemas.microsoft.com/office/drawing/2014/main" id="{00000000-0008-0000-0A00-0000E1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927</xdr:row>
      <xdr:rowOff>0</xdr:rowOff>
    </xdr:from>
    <xdr:ext cx="65" cy="172227"/>
    <xdr:sp macro="" textlink="">
      <xdr:nvSpPr>
        <xdr:cNvPr id="226" name="TextBox 225">
          <a:extLst>
            <a:ext uri="{FF2B5EF4-FFF2-40B4-BE49-F238E27FC236}">
              <a16:creationId xmlns:a16="http://schemas.microsoft.com/office/drawing/2014/main" id="{00000000-0008-0000-0A00-0000E2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927</xdr:row>
      <xdr:rowOff>0</xdr:rowOff>
    </xdr:from>
    <xdr:ext cx="65" cy="172227"/>
    <xdr:sp macro="" textlink="">
      <xdr:nvSpPr>
        <xdr:cNvPr id="227" name="TextBox 226">
          <a:extLst>
            <a:ext uri="{FF2B5EF4-FFF2-40B4-BE49-F238E27FC236}">
              <a16:creationId xmlns:a16="http://schemas.microsoft.com/office/drawing/2014/main" id="{00000000-0008-0000-0A00-0000E3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927</xdr:row>
      <xdr:rowOff>0</xdr:rowOff>
    </xdr:from>
    <xdr:ext cx="65" cy="172227"/>
    <xdr:sp macro="" textlink="">
      <xdr:nvSpPr>
        <xdr:cNvPr id="228" name="TextBox 227">
          <a:extLst>
            <a:ext uri="{FF2B5EF4-FFF2-40B4-BE49-F238E27FC236}">
              <a16:creationId xmlns:a16="http://schemas.microsoft.com/office/drawing/2014/main" id="{00000000-0008-0000-0A00-0000E4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927</xdr:row>
      <xdr:rowOff>0</xdr:rowOff>
    </xdr:from>
    <xdr:ext cx="65" cy="172227"/>
    <xdr:sp macro="" textlink="">
      <xdr:nvSpPr>
        <xdr:cNvPr id="229" name="TextBox 228">
          <a:extLst>
            <a:ext uri="{FF2B5EF4-FFF2-40B4-BE49-F238E27FC236}">
              <a16:creationId xmlns:a16="http://schemas.microsoft.com/office/drawing/2014/main" id="{00000000-0008-0000-0A00-0000E5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927</xdr:row>
      <xdr:rowOff>0</xdr:rowOff>
    </xdr:from>
    <xdr:ext cx="65" cy="172227"/>
    <xdr:sp macro="" textlink="">
      <xdr:nvSpPr>
        <xdr:cNvPr id="230" name="TextBox 229">
          <a:extLst>
            <a:ext uri="{FF2B5EF4-FFF2-40B4-BE49-F238E27FC236}">
              <a16:creationId xmlns:a16="http://schemas.microsoft.com/office/drawing/2014/main" id="{00000000-0008-0000-0A00-0000E6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927</xdr:row>
      <xdr:rowOff>0</xdr:rowOff>
    </xdr:from>
    <xdr:ext cx="65" cy="172227"/>
    <xdr:sp macro="" textlink="">
      <xdr:nvSpPr>
        <xdr:cNvPr id="231" name="TextBox 230">
          <a:extLst>
            <a:ext uri="{FF2B5EF4-FFF2-40B4-BE49-F238E27FC236}">
              <a16:creationId xmlns:a16="http://schemas.microsoft.com/office/drawing/2014/main" id="{00000000-0008-0000-0A00-0000E7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927</xdr:row>
      <xdr:rowOff>0</xdr:rowOff>
    </xdr:from>
    <xdr:ext cx="65" cy="172227"/>
    <xdr:sp macro="" textlink="">
      <xdr:nvSpPr>
        <xdr:cNvPr id="232" name="TextBox 231">
          <a:extLst>
            <a:ext uri="{FF2B5EF4-FFF2-40B4-BE49-F238E27FC236}">
              <a16:creationId xmlns:a16="http://schemas.microsoft.com/office/drawing/2014/main" id="{00000000-0008-0000-0A00-0000E8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927</xdr:row>
      <xdr:rowOff>0</xdr:rowOff>
    </xdr:from>
    <xdr:ext cx="65" cy="172227"/>
    <xdr:sp macro="" textlink="">
      <xdr:nvSpPr>
        <xdr:cNvPr id="233" name="TextBox 232">
          <a:extLst>
            <a:ext uri="{FF2B5EF4-FFF2-40B4-BE49-F238E27FC236}">
              <a16:creationId xmlns:a16="http://schemas.microsoft.com/office/drawing/2014/main" id="{00000000-0008-0000-0A00-0000E9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927</xdr:row>
      <xdr:rowOff>0</xdr:rowOff>
    </xdr:from>
    <xdr:ext cx="65" cy="172227"/>
    <xdr:sp macro="" textlink="">
      <xdr:nvSpPr>
        <xdr:cNvPr id="234" name="TextBox 233">
          <a:extLst>
            <a:ext uri="{FF2B5EF4-FFF2-40B4-BE49-F238E27FC236}">
              <a16:creationId xmlns:a16="http://schemas.microsoft.com/office/drawing/2014/main" id="{00000000-0008-0000-0A00-0000EA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927</xdr:row>
      <xdr:rowOff>0</xdr:rowOff>
    </xdr:from>
    <xdr:ext cx="65" cy="172227"/>
    <xdr:sp macro="" textlink="">
      <xdr:nvSpPr>
        <xdr:cNvPr id="235" name="TextBox 234">
          <a:extLst>
            <a:ext uri="{FF2B5EF4-FFF2-40B4-BE49-F238E27FC236}">
              <a16:creationId xmlns:a16="http://schemas.microsoft.com/office/drawing/2014/main" id="{00000000-0008-0000-0A00-0000EB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927</xdr:row>
      <xdr:rowOff>0</xdr:rowOff>
    </xdr:from>
    <xdr:ext cx="65" cy="172227"/>
    <xdr:sp macro="" textlink="">
      <xdr:nvSpPr>
        <xdr:cNvPr id="236" name="TextBox 235">
          <a:extLst>
            <a:ext uri="{FF2B5EF4-FFF2-40B4-BE49-F238E27FC236}">
              <a16:creationId xmlns:a16="http://schemas.microsoft.com/office/drawing/2014/main" id="{00000000-0008-0000-0A00-0000EC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927</xdr:row>
      <xdr:rowOff>0</xdr:rowOff>
    </xdr:from>
    <xdr:ext cx="65" cy="172227"/>
    <xdr:sp macro="" textlink="">
      <xdr:nvSpPr>
        <xdr:cNvPr id="237" name="TextBox 236">
          <a:extLst>
            <a:ext uri="{FF2B5EF4-FFF2-40B4-BE49-F238E27FC236}">
              <a16:creationId xmlns:a16="http://schemas.microsoft.com/office/drawing/2014/main" id="{00000000-0008-0000-0A00-0000ED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927</xdr:row>
      <xdr:rowOff>0</xdr:rowOff>
    </xdr:from>
    <xdr:ext cx="65" cy="172227"/>
    <xdr:sp macro="" textlink="">
      <xdr:nvSpPr>
        <xdr:cNvPr id="238" name="TextBox 237">
          <a:extLst>
            <a:ext uri="{FF2B5EF4-FFF2-40B4-BE49-F238E27FC236}">
              <a16:creationId xmlns:a16="http://schemas.microsoft.com/office/drawing/2014/main" id="{00000000-0008-0000-0A00-0000EE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927</xdr:row>
      <xdr:rowOff>0</xdr:rowOff>
    </xdr:from>
    <xdr:ext cx="65" cy="172227"/>
    <xdr:sp macro="" textlink="">
      <xdr:nvSpPr>
        <xdr:cNvPr id="239" name="TextBox 238">
          <a:extLst>
            <a:ext uri="{FF2B5EF4-FFF2-40B4-BE49-F238E27FC236}">
              <a16:creationId xmlns:a16="http://schemas.microsoft.com/office/drawing/2014/main" id="{00000000-0008-0000-0A00-0000EF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927</xdr:row>
      <xdr:rowOff>0</xdr:rowOff>
    </xdr:from>
    <xdr:ext cx="65" cy="172227"/>
    <xdr:sp macro="" textlink="">
      <xdr:nvSpPr>
        <xdr:cNvPr id="240" name="TextBox 239">
          <a:extLst>
            <a:ext uri="{FF2B5EF4-FFF2-40B4-BE49-F238E27FC236}">
              <a16:creationId xmlns:a16="http://schemas.microsoft.com/office/drawing/2014/main" id="{00000000-0008-0000-0A00-0000F0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927</xdr:row>
      <xdr:rowOff>0</xdr:rowOff>
    </xdr:from>
    <xdr:ext cx="65" cy="172227"/>
    <xdr:sp macro="" textlink="">
      <xdr:nvSpPr>
        <xdr:cNvPr id="241" name="TextBox 240">
          <a:extLst>
            <a:ext uri="{FF2B5EF4-FFF2-40B4-BE49-F238E27FC236}">
              <a16:creationId xmlns:a16="http://schemas.microsoft.com/office/drawing/2014/main" id="{00000000-0008-0000-0A00-0000F1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927</xdr:row>
      <xdr:rowOff>0</xdr:rowOff>
    </xdr:from>
    <xdr:ext cx="65" cy="172227"/>
    <xdr:sp macro="" textlink="">
      <xdr:nvSpPr>
        <xdr:cNvPr id="242" name="TextBox 241">
          <a:extLst>
            <a:ext uri="{FF2B5EF4-FFF2-40B4-BE49-F238E27FC236}">
              <a16:creationId xmlns:a16="http://schemas.microsoft.com/office/drawing/2014/main" id="{00000000-0008-0000-0A00-0000F2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927</xdr:row>
      <xdr:rowOff>0</xdr:rowOff>
    </xdr:from>
    <xdr:ext cx="65" cy="172227"/>
    <xdr:sp macro="" textlink="">
      <xdr:nvSpPr>
        <xdr:cNvPr id="243" name="TextBox 242">
          <a:extLst>
            <a:ext uri="{FF2B5EF4-FFF2-40B4-BE49-F238E27FC236}">
              <a16:creationId xmlns:a16="http://schemas.microsoft.com/office/drawing/2014/main" id="{00000000-0008-0000-0A00-0000F3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927</xdr:row>
      <xdr:rowOff>0</xdr:rowOff>
    </xdr:from>
    <xdr:ext cx="65" cy="172227"/>
    <xdr:sp macro="" textlink="">
      <xdr:nvSpPr>
        <xdr:cNvPr id="244" name="TextBox 243">
          <a:extLst>
            <a:ext uri="{FF2B5EF4-FFF2-40B4-BE49-F238E27FC236}">
              <a16:creationId xmlns:a16="http://schemas.microsoft.com/office/drawing/2014/main" id="{00000000-0008-0000-0A00-0000F4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927</xdr:row>
      <xdr:rowOff>0</xdr:rowOff>
    </xdr:from>
    <xdr:ext cx="65" cy="172227"/>
    <xdr:sp macro="" textlink="">
      <xdr:nvSpPr>
        <xdr:cNvPr id="245" name="TextBox 244">
          <a:extLst>
            <a:ext uri="{FF2B5EF4-FFF2-40B4-BE49-F238E27FC236}">
              <a16:creationId xmlns:a16="http://schemas.microsoft.com/office/drawing/2014/main" id="{00000000-0008-0000-0A00-0000F5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927</xdr:row>
      <xdr:rowOff>0</xdr:rowOff>
    </xdr:from>
    <xdr:ext cx="65" cy="172227"/>
    <xdr:sp macro="" textlink="">
      <xdr:nvSpPr>
        <xdr:cNvPr id="246" name="TextBox 245">
          <a:extLst>
            <a:ext uri="{FF2B5EF4-FFF2-40B4-BE49-F238E27FC236}">
              <a16:creationId xmlns:a16="http://schemas.microsoft.com/office/drawing/2014/main" id="{00000000-0008-0000-0A00-0000F6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927</xdr:row>
      <xdr:rowOff>0</xdr:rowOff>
    </xdr:from>
    <xdr:ext cx="65" cy="172227"/>
    <xdr:sp macro="" textlink="">
      <xdr:nvSpPr>
        <xdr:cNvPr id="247" name="TextBox 246">
          <a:extLst>
            <a:ext uri="{FF2B5EF4-FFF2-40B4-BE49-F238E27FC236}">
              <a16:creationId xmlns:a16="http://schemas.microsoft.com/office/drawing/2014/main" id="{00000000-0008-0000-0A00-0000F7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927</xdr:row>
      <xdr:rowOff>0</xdr:rowOff>
    </xdr:from>
    <xdr:ext cx="65" cy="172227"/>
    <xdr:sp macro="" textlink="">
      <xdr:nvSpPr>
        <xdr:cNvPr id="248" name="TextBox 247">
          <a:extLst>
            <a:ext uri="{FF2B5EF4-FFF2-40B4-BE49-F238E27FC236}">
              <a16:creationId xmlns:a16="http://schemas.microsoft.com/office/drawing/2014/main" id="{00000000-0008-0000-0A00-0000F8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927</xdr:row>
      <xdr:rowOff>0</xdr:rowOff>
    </xdr:from>
    <xdr:ext cx="65" cy="172227"/>
    <xdr:sp macro="" textlink="">
      <xdr:nvSpPr>
        <xdr:cNvPr id="249" name="TextBox 248">
          <a:extLst>
            <a:ext uri="{FF2B5EF4-FFF2-40B4-BE49-F238E27FC236}">
              <a16:creationId xmlns:a16="http://schemas.microsoft.com/office/drawing/2014/main" id="{00000000-0008-0000-0A00-0000F9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927</xdr:row>
      <xdr:rowOff>0</xdr:rowOff>
    </xdr:from>
    <xdr:ext cx="65" cy="172227"/>
    <xdr:sp macro="" textlink="">
      <xdr:nvSpPr>
        <xdr:cNvPr id="250" name="TextBox 249">
          <a:extLst>
            <a:ext uri="{FF2B5EF4-FFF2-40B4-BE49-F238E27FC236}">
              <a16:creationId xmlns:a16="http://schemas.microsoft.com/office/drawing/2014/main" id="{00000000-0008-0000-0A00-0000FA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927</xdr:row>
      <xdr:rowOff>0</xdr:rowOff>
    </xdr:from>
    <xdr:ext cx="65" cy="172227"/>
    <xdr:sp macro="" textlink="">
      <xdr:nvSpPr>
        <xdr:cNvPr id="251" name="TextBox 250">
          <a:extLst>
            <a:ext uri="{FF2B5EF4-FFF2-40B4-BE49-F238E27FC236}">
              <a16:creationId xmlns:a16="http://schemas.microsoft.com/office/drawing/2014/main" id="{00000000-0008-0000-0A00-0000FB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927</xdr:row>
      <xdr:rowOff>0</xdr:rowOff>
    </xdr:from>
    <xdr:ext cx="65" cy="172227"/>
    <xdr:sp macro="" textlink="">
      <xdr:nvSpPr>
        <xdr:cNvPr id="252" name="TextBox 251">
          <a:extLst>
            <a:ext uri="{FF2B5EF4-FFF2-40B4-BE49-F238E27FC236}">
              <a16:creationId xmlns:a16="http://schemas.microsoft.com/office/drawing/2014/main" id="{00000000-0008-0000-0A00-0000FC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927</xdr:row>
      <xdr:rowOff>0</xdr:rowOff>
    </xdr:from>
    <xdr:ext cx="65" cy="172227"/>
    <xdr:sp macro="" textlink="">
      <xdr:nvSpPr>
        <xdr:cNvPr id="253" name="TextBox 252">
          <a:extLst>
            <a:ext uri="{FF2B5EF4-FFF2-40B4-BE49-F238E27FC236}">
              <a16:creationId xmlns:a16="http://schemas.microsoft.com/office/drawing/2014/main" id="{00000000-0008-0000-0A00-0000FD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927</xdr:row>
      <xdr:rowOff>0</xdr:rowOff>
    </xdr:from>
    <xdr:ext cx="65" cy="172227"/>
    <xdr:sp macro="" textlink="">
      <xdr:nvSpPr>
        <xdr:cNvPr id="254" name="TextBox 253">
          <a:extLst>
            <a:ext uri="{FF2B5EF4-FFF2-40B4-BE49-F238E27FC236}">
              <a16:creationId xmlns:a16="http://schemas.microsoft.com/office/drawing/2014/main" id="{00000000-0008-0000-0A00-0000FE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927</xdr:row>
      <xdr:rowOff>0</xdr:rowOff>
    </xdr:from>
    <xdr:ext cx="65" cy="172227"/>
    <xdr:sp macro="" textlink="">
      <xdr:nvSpPr>
        <xdr:cNvPr id="255" name="TextBox 254">
          <a:extLst>
            <a:ext uri="{FF2B5EF4-FFF2-40B4-BE49-F238E27FC236}">
              <a16:creationId xmlns:a16="http://schemas.microsoft.com/office/drawing/2014/main" id="{00000000-0008-0000-0A00-0000FF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927</xdr:row>
      <xdr:rowOff>0</xdr:rowOff>
    </xdr:from>
    <xdr:ext cx="65" cy="172227"/>
    <xdr:sp macro="" textlink="">
      <xdr:nvSpPr>
        <xdr:cNvPr id="256" name="TextBox 255">
          <a:extLst>
            <a:ext uri="{FF2B5EF4-FFF2-40B4-BE49-F238E27FC236}">
              <a16:creationId xmlns:a16="http://schemas.microsoft.com/office/drawing/2014/main" id="{00000000-0008-0000-0A00-000000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927</xdr:row>
      <xdr:rowOff>0</xdr:rowOff>
    </xdr:from>
    <xdr:ext cx="65" cy="172227"/>
    <xdr:sp macro="" textlink="">
      <xdr:nvSpPr>
        <xdr:cNvPr id="257" name="TextBox 256">
          <a:extLst>
            <a:ext uri="{FF2B5EF4-FFF2-40B4-BE49-F238E27FC236}">
              <a16:creationId xmlns:a16="http://schemas.microsoft.com/office/drawing/2014/main" id="{00000000-0008-0000-0A00-000001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927</xdr:row>
      <xdr:rowOff>0</xdr:rowOff>
    </xdr:from>
    <xdr:ext cx="65" cy="172227"/>
    <xdr:sp macro="" textlink="">
      <xdr:nvSpPr>
        <xdr:cNvPr id="258" name="TextBox 257">
          <a:extLst>
            <a:ext uri="{FF2B5EF4-FFF2-40B4-BE49-F238E27FC236}">
              <a16:creationId xmlns:a16="http://schemas.microsoft.com/office/drawing/2014/main" id="{00000000-0008-0000-0A00-000002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927</xdr:row>
      <xdr:rowOff>0</xdr:rowOff>
    </xdr:from>
    <xdr:ext cx="65" cy="172227"/>
    <xdr:sp macro="" textlink="">
      <xdr:nvSpPr>
        <xdr:cNvPr id="259" name="TextBox 258">
          <a:extLst>
            <a:ext uri="{FF2B5EF4-FFF2-40B4-BE49-F238E27FC236}">
              <a16:creationId xmlns:a16="http://schemas.microsoft.com/office/drawing/2014/main" id="{00000000-0008-0000-0A00-000003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927</xdr:row>
      <xdr:rowOff>0</xdr:rowOff>
    </xdr:from>
    <xdr:ext cx="65" cy="172227"/>
    <xdr:sp macro="" textlink="">
      <xdr:nvSpPr>
        <xdr:cNvPr id="260" name="TextBox 259">
          <a:extLst>
            <a:ext uri="{FF2B5EF4-FFF2-40B4-BE49-F238E27FC236}">
              <a16:creationId xmlns:a16="http://schemas.microsoft.com/office/drawing/2014/main" id="{00000000-0008-0000-0A00-000004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927</xdr:row>
      <xdr:rowOff>0</xdr:rowOff>
    </xdr:from>
    <xdr:ext cx="65" cy="172227"/>
    <xdr:sp macro="" textlink="">
      <xdr:nvSpPr>
        <xdr:cNvPr id="261" name="TextBox 260">
          <a:extLst>
            <a:ext uri="{FF2B5EF4-FFF2-40B4-BE49-F238E27FC236}">
              <a16:creationId xmlns:a16="http://schemas.microsoft.com/office/drawing/2014/main" id="{00000000-0008-0000-0A00-000005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927</xdr:row>
      <xdr:rowOff>0</xdr:rowOff>
    </xdr:from>
    <xdr:ext cx="65" cy="172227"/>
    <xdr:sp macro="" textlink="">
      <xdr:nvSpPr>
        <xdr:cNvPr id="262" name="TextBox 261">
          <a:extLst>
            <a:ext uri="{FF2B5EF4-FFF2-40B4-BE49-F238E27FC236}">
              <a16:creationId xmlns:a16="http://schemas.microsoft.com/office/drawing/2014/main" id="{00000000-0008-0000-0A00-000006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927</xdr:row>
      <xdr:rowOff>0</xdr:rowOff>
    </xdr:from>
    <xdr:ext cx="65" cy="172227"/>
    <xdr:sp macro="" textlink="">
      <xdr:nvSpPr>
        <xdr:cNvPr id="263" name="TextBox 262">
          <a:extLst>
            <a:ext uri="{FF2B5EF4-FFF2-40B4-BE49-F238E27FC236}">
              <a16:creationId xmlns:a16="http://schemas.microsoft.com/office/drawing/2014/main" id="{00000000-0008-0000-0A00-000007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927</xdr:row>
      <xdr:rowOff>0</xdr:rowOff>
    </xdr:from>
    <xdr:ext cx="65" cy="172227"/>
    <xdr:sp macro="" textlink="">
      <xdr:nvSpPr>
        <xdr:cNvPr id="264" name="TextBox 263">
          <a:extLst>
            <a:ext uri="{FF2B5EF4-FFF2-40B4-BE49-F238E27FC236}">
              <a16:creationId xmlns:a16="http://schemas.microsoft.com/office/drawing/2014/main" id="{00000000-0008-0000-0A00-000008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927</xdr:row>
      <xdr:rowOff>0</xdr:rowOff>
    </xdr:from>
    <xdr:ext cx="65" cy="172227"/>
    <xdr:sp macro="" textlink="">
      <xdr:nvSpPr>
        <xdr:cNvPr id="265" name="TextBox 264">
          <a:extLst>
            <a:ext uri="{FF2B5EF4-FFF2-40B4-BE49-F238E27FC236}">
              <a16:creationId xmlns:a16="http://schemas.microsoft.com/office/drawing/2014/main" id="{00000000-0008-0000-0A00-000009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927</xdr:row>
      <xdr:rowOff>0</xdr:rowOff>
    </xdr:from>
    <xdr:ext cx="65" cy="172227"/>
    <xdr:sp macro="" textlink="">
      <xdr:nvSpPr>
        <xdr:cNvPr id="266" name="TextBox 265">
          <a:extLst>
            <a:ext uri="{FF2B5EF4-FFF2-40B4-BE49-F238E27FC236}">
              <a16:creationId xmlns:a16="http://schemas.microsoft.com/office/drawing/2014/main" id="{00000000-0008-0000-0A00-00000A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927</xdr:row>
      <xdr:rowOff>0</xdr:rowOff>
    </xdr:from>
    <xdr:ext cx="65" cy="172227"/>
    <xdr:sp macro="" textlink="">
      <xdr:nvSpPr>
        <xdr:cNvPr id="267" name="TextBox 266">
          <a:extLst>
            <a:ext uri="{FF2B5EF4-FFF2-40B4-BE49-F238E27FC236}">
              <a16:creationId xmlns:a16="http://schemas.microsoft.com/office/drawing/2014/main" id="{00000000-0008-0000-0A00-00000B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927</xdr:row>
      <xdr:rowOff>0</xdr:rowOff>
    </xdr:from>
    <xdr:ext cx="65" cy="172227"/>
    <xdr:sp macro="" textlink="">
      <xdr:nvSpPr>
        <xdr:cNvPr id="268" name="TextBox 267">
          <a:extLst>
            <a:ext uri="{FF2B5EF4-FFF2-40B4-BE49-F238E27FC236}">
              <a16:creationId xmlns:a16="http://schemas.microsoft.com/office/drawing/2014/main" id="{00000000-0008-0000-0A00-00000C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927</xdr:row>
      <xdr:rowOff>0</xdr:rowOff>
    </xdr:from>
    <xdr:ext cx="65" cy="172227"/>
    <xdr:sp macro="" textlink="">
      <xdr:nvSpPr>
        <xdr:cNvPr id="269" name="TextBox 268">
          <a:extLst>
            <a:ext uri="{FF2B5EF4-FFF2-40B4-BE49-F238E27FC236}">
              <a16:creationId xmlns:a16="http://schemas.microsoft.com/office/drawing/2014/main" id="{00000000-0008-0000-0A00-00000D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927</xdr:row>
      <xdr:rowOff>0</xdr:rowOff>
    </xdr:from>
    <xdr:ext cx="65" cy="172227"/>
    <xdr:sp macro="" textlink="">
      <xdr:nvSpPr>
        <xdr:cNvPr id="270" name="TextBox 269">
          <a:extLst>
            <a:ext uri="{FF2B5EF4-FFF2-40B4-BE49-F238E27FC236}">
              <a16:creationId xmlns:a16="http://schemas.microsoft.com/office/drawing/2014/main" id="{00000000-0008-0000-0A00-00000E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927</xdr:row>
      <xdr:rowOff>0</xdr:rowOff>
    </xdr:from>
    <xdr:ext cx="65" cy="172227"/>
    <xdr:sp macro="" textlink="">
      <xdr:nvSpPr>
        <xdr:cNvPr id="271" name="TextBox 270">
          <a:extLst>
            <a:ext uri="{FF2B5EF4-FFF2-40B4-BE49-F238E27FC236}">
              <a16:creationId xmlns:a16="http://schemas.microsoft.com/office/drawing/2014/main" id="{00000000-0008-0000-0A00-00000F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927</xdr:row>
      <xdr:rowOff>0</xdr:rowOff>
    </xdr:from>
    <xdr:ext cx="65" cy="172227"/>
    <xdr:sp macro="" textlink="">
      <xdr:nvSpPr>
        <xdr:cNvPr id="272" name="TextBox 271">
          <a:extLst>
            <a:ext uri="{FF2B5EF4-FFF2-40B4-BE49-F238E27FC236}">
              <a16:creationId xmlns:a16="http://schemas.microsoft.com/office/drawing/2014/main" id="{00000000-0008-0000-0A00-000010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3502</xdr:colOff>
      <xdr:row>988</xdr:row>
      <xdr:rowOff>0</xdr:rowOff>
    </xdr:from>
    <xdr:ext cx="65" cy="172227"/>
    <xdr:sp macro="" textlink="">
      <xdr:nvSpPr>
        <xdr:cNvPr id="273" name="TextBox 272">
          <a:extLst>
            <a:ext uri="{FF2B5EF4-FFF2-40B4-BE49-F238E27FC236}">
              <a16:creationId xmlns:a16="http://schemas.microsoft.com/office/drawing/2014/main" id="{00000000-0008-0000-0A00-000011010000}"/>
            </a:ext>
          </a:extLst>
        </xdr:cNvPr>
        <xdr:cNvSpPr txBox="1"/>
      </xdr:nvSpPr>
      <xdr:spPr>
        <a:xfrm>
          <a:off x="12471727" y="8406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3502</xdr:colOff>
      <xdr:row>988</xdr:row>
      <xdr:rowOff>0</xdr:rowOff>
    </xdr:from>
    <xdr:ext cx="65" cy="172227"/>
    <xdr:sp macro="" textlink="">
      <xdr:nvSpPr>
        <xdr:cNvPr id="274" name="TextBox 273">
          <a:extLst>
            <a:ext uri="{FF2B5EF4-FFF2-40B4-BE49-F238E27FC236}">
              <a16:creationId xmlns:a16="http://schemas.microsoft.com/office/drawing/2014/main" id="{00000000-0008-0000-0A00-000012010000}"/>
            </a:ext>
          </a:extLst>
        </xdr:cNvPr>
        <xdr:cNvSpPr txBox="1"/>
      </xdr:nvSpPr>
      <xdr:spPr>
        <a:xfrm>
          <a:off x="12471727" y="8406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988</xdr:row>
      <xdr:rowOff>0</xdr:rowOff>
    </xdr:from>
    <xdr:ext cx="65" cy="172227"/>
    <xdr:sp macro="" textlink="">
      <xdr:nvSpPr>
        <xdr:cNvPr id="279" name="TextBox 278">
          <a:extLst>
            <a:ext uri="{FF2B5EF4-FFF2-40B4-BE49-F238E27FC236}">
              <a16:creationId xmlns:a16="http://schemas.microsoft.com/office/drawing/2014/main" id="{00000000-0008-0000-0A00-000017010000}"/>
            </a:ext>
          </a:extLst>
        </xdr:cNvPr>
        <xdr:cNvSpPr txBox="1"/>
      </xdr:nvSpPr>
      <xdr:spPr>
        <a:xfrm>
          <a:off x="34179314" y="8406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988</xdr:row>
      <xdr:rowOff>0</xdr:rowOff>
    </xdr:from>
    <xdr:ext cx="65" cy="172227"/>
    <xdr:sp macro="" textlink="">
      <xdr:nvSpPr>
        <xdr:cNvPr id="280" name="TextBox 279">
          <a:extLst>
            <a:ext uri="{FF2B5EF4-FFF2-40B4-BE49-F238E27FC236}">
              <a16:creationId xmlns:a16="http://schemas.microsoft.com/office/drawing/2014/main" id="{00000000-0008-0000-0A00-000018010000}"/>
            </a:ext>
          </a:extLst>
        </xdr:cNvPr>
        <xdr:cNvSpPr txBox="1"/>
      </xdr:nvSpPr>
      <xdr:spPr>
        <a:xfrm>
          <a:off x="34179314" y="8406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542925</xdr:colOff>
      <xdr:row>670</xdr:row>
      <xdr:rowOff>19050</xdr:rowOff>
    </xdr:from>
    <xdr:to>
      <xdr:col>13</xdr:col>
      <xdr:colOff>542925</xdr:colOff>
      <xdr:row>670</xdr:row>
      <xdr:rowOff>19050</xdr:rowOff>
    </xdr:to>
    <mc:AlternateContent xmlns:mc="http://schemas.openxmlformats.org/markup-compatibility/2006" xmlns:a14="http://schemas.microsoft.com/office/drawing/2010/main">
      <mc:Choice Requires="a14">
        <xdr:sp macro="" textlink="">
          <xdr:nvSpPr>
            <xdr:cNvPr id="282" name="TextBox 281">
              <a:extLst>
                <a:ext uri="{FF2B5EF4-FFF2-40B4-BE49-F238E27FC236}">
                  <a16:creationId xmlns:a16="http://schemas.microsoft.com/office/drawing/2014/main" id="{00000000-0008-0000-0A00-00001A010000}"/>
                </a:ext>
              </a:extLst>
            </xdr:cNvPr>
            <xdr:cNvSpPr txBox="1"/>
          </xdr:nvSpPr>
          <xdr:spPr>
            <a:xfrm>
              <a:off x="4010025" y="172907325"/>
              <a:ext cx="1427797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𝑇𝑅𝑀</m:t>
                    </m:r>
                    <m:r>
                      <a:rPr lang="en-US" sz="1600" b="0" i="1">
                        <a:solidFill>
                          <a:srgbClr val="FF0000"/>
                        </a:solidFill>
                        <a:latin typeface="Cambria Math" panose="02040503050406030204" pitchFamily="18" charset="0"/>
                        <a:ea typeface="Cambria Math" panose="02040503050406030204" pitchFamily="18" charset="0"/>
                      </a:rPr>
                      <m:t> </m:t>
                    </m:r>
                    <m:r>
                      <a:rPr lang="en-US" sz="1600" b="0" i="1">
                        <a:solidFill>
                          <a:srgbClr val="FF0000"/>
                        </a:solidFill>
                        <a:latin typeface="Cambria Math" panose="02040503050406030204" pitchFamily="18" charset="0"/>
                        <a:ea typeface="Cambria Math" panose="02040503050406030204" pitchFamily="18" charset="0"/>
                      </a:rPr>
                      <m:t>𝑆𝑒𝑐𝑡𝑖𝑜𝑛</m:t>
                    </m:r>
                    <m:r>
                      <a:rPr lang="en-US" sz="1600" b="0" i="1">
                        <a:solidFill>
                          <a:srgbClr val="FF0000"/>
                        </a:solidFill>
                        <a:latin typeface="Cambria Math" panose="02040503050406030204" pitchFamily="18" charset="0"/>
                        <a:ea typeface="Cambria Math" panose="02040503050406030204" pitchFamily="18" charset="0"/>
                      </a:rPr>
                      <m:t>: 3.3.1 </m:t>
                    </m:r>
                    <m:r>
                      <a:rPr lang="en-US" sz="1600" b="0" i="1">
                        <a:solidFill>
                          <a:srgbClr val="FF0000"/>
                        </a:solidFill>
                        <a:latin typeface="Cambria Math" panose="02040503050406030204" pitchFamily="18" charset="0"/>
                        <a:ea typeface="Cambria Math" panose="02040503050406030204" pitchFamily="18" charset="0"/>
                      </a:rPr>
                      <m:t>𝑘𝑊</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𝑘𝑊h</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𝐶𝐹</m:t>
                    </m:r>
                  </m:oMath>
                </m:oMathPara>
              </a14:m>
              <a:endParaRPr lang="en-US" sz="1600">
                <a:solidFill>
                  <a:srgbClr val="FF0000"/>
                </a:solidFill>
              </a:endParaRPr>
            </a:p>
          </xdr:txBody>
        </xdr:sp>
      </mc:Choice>
      <mc:Fallback xmlns="">
        <xdr:sp macro="" textlink="">
          <xdr:nvSpPr>
            <xdr:cNvPr id="282" name="TextBox 281">
              <a:extLst>
                <a:ext uri="{FF2B5EF4-FFF2-40B4-BE49-F238E27FC236}">
                  <a16:creationId xmlns:a16="http://schemas.microsoft.com/office/drawing/2014/main" id="{D285F6E1-CDF3-46C2-8A6C-484E27F0A4D2}"/>
                </a:ext>
              </a:extLst>
            </xdr:cNvPr>
            <xdr:cNvSpPr txBox="1"/>
          </xdr:nvSpPr>
          <xdr:spPr>
            <a:xfrm>
              <a:off x="4010025" y="172907325"/>
              <a:ext cx="1427797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rgbClr val="FF0000"/>
                  </a:solidFill>
                  <a:latin typeface="Cambria Math" panose="02040503050406030204" pitchFamily="18" charset="0"/>
                  <a:ea typeface="Cambria Math" panose="02040503050406030204" pitchFamily="18" charset="0"/>
                </a:rPr>
                <a:t>∆</a:t>
              </a:r>
              <a:r>
                <a:rPr lang="en-US" sz="1600" b="0" i="0">
                  <a:solidFill>
                    <a:srgbClr val="FF0000"/>
                  </a:solidFill>
                  <a:latin typeface="Cambria Math" panose="02040503050406030204" pitchFamily="18" charset="0"/>
                  <a:ea typeface="Cambria Math" panose="02040503050406030204" pitchFamily="18" charset="0"/>
                </a:rPr>
                <a:t>𝑇𝑅𝑀 𝑆𝑒𝑐𝑡𝑖𝑜𝑛: 3.3.1 𝑘𝑊=∆𝑘𝑊ℎ∗𝐶𝐹</a:t>
              </a:r>
              <a:endParaRPr lang="en-US" sz="1600">
                <a:solidFill>
                  <a:srgbClr val="FF0000"/>
                </a:solidFill>
              </a:endParaRPr>
            </a:p>
          </xdr:txBody>
        </xdr:sp>
      </mc:Fallback>
    </mc:AlternateContent>
    <xdr:clientData/>
  </xdr:twoCellAnchor>
  <xdr:oneCellAnchor>
    <xdr:from>
      <xdr:col>28</xdr:col>
      <xdr:colOff>3614</xdr:colOff>
      <xdr:row>910</xdr:row>
      <xdr:rowOff>0</xdr:rowOff>
    </xdr:from>
    <xdr:ext cx="65" cy="172227"/>
    <xdr:sp macro="" textlink="">
      <xdr:nvSpPr>
        <xdr:cNvPr id="286" name="TextBox 285">
          <a:extLst>
            <a:ext uri="{FF2B5EF4-FFF2-40B4-BE49-F238E27FC236}">
              <a16:creationId xmlns:a16="http://schemas.microsoft.com/office/drawing/2014/main" id="{00000000-0008-0000-0A00-00001E010000}"/>
            </a:ext>
          </a:extLst>
        </xdr:cNvPr>
        <xdr:cNvSpPr txBox="1"/>
      </xdr:nvSpPr>
      <xdr:spPr>
        <a:xfrm>
          <a:off x="354175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910</xdr:row>
      <xdr:rowOff>0</xdr:rowOff>
    </xdr:from>
    <xdr:ext cx="65" cy="172227"/>
    <xdr:sp macro="" textlink="">
      <xdr:nvSpPr>
        <xdr:cNvPr id="287" name="TextBox 286">
          <a:extLst>
            <a:ext uri="{FF2B5EF4-FFF2-40B4-BE49-F238E27FC236}">
              <a16:creationId xmlns:a16="http://schemas.microsoft.com/office/drawing/2014/main" id="{00000000-0008-0000-0A00-00001F010000}"/>
            </a:ext>
          </a:extLst>
        </xdr:cNvPr>
        <xdr:cNvSpPr txBox="1"/>
      </xdr:nvSpPr>
      <xdr:spPr>
        <a:xfrm>
          <a:off x="354175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910</xdr:row>
      <xdr:rowOff>0</xdr:rowOff>
    </xdr:from>
    <xdr:ext cx="65" cy="172227"/>
    <xdr:sp macro="" textlink="">
      <xdr:nvSpPr>
        <xdr:cNvPr id="288" name="TextBox 287">
          <a:extLst>
            <a:ext uri="{FF2B5EF4-FFF2-40B4-BE49-F238E27FC236}">
              <a16:creationId xmlns:a16="http://schemas.microsoft.com/office/drawing/2014/main" id="{00000000-0008-0000-0A00-000020010000}"/>
            </a:ext>
          </a:extLst>
        </xdr:cNvPr>
        <xdr:cNvSpPr txBox="1"/>
      </xdr:nvSpPr>
      <xdr:spPr>
        <a:xfrm>
          <a:off x="354175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910</xdr:row>
      <xdr:rowOff>0</xdr:rowOff>
    </xdr:from>
    <xdr:ext cx="65" cy="172227"/>
    <xdr:sp macro="" textlink="">
      <xdr:nvSpPr>
        <xdr:cNvPr id="289" name="TextBox 288">
          <a:extLst>
            <a:ext uri="{FF2B5EF4-FFF2-40B4-BE49-F238E27FC236}">
              <a16:creationId xmlns:a16="http://schemas.microsoft.com/office/drawing/2014/main" id="{00000000-0008-0000-0A00-000021010000}"/>
            </a:ext>
          </a:extLst>
        </xdr:cNvPr>
        <xdr:cNvSpPr txBox="1"/>
      </xdr:nvSpPr>
      <xdr:spPr>
        <a:xfrm>
          <a:off x="354175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910</xdr:row>
      <xdr:rowOff>0</xdr:rowOff>
    </xdr:from>
    <xdr:ext cx="65" cy="172227"/>
    <xdr:sp macro="" textlink="">
      <xdr:nvSpPr>
        <xdr:cNvPr id="290" name="TextBox 289">
          <a:extLst>
            <a:ext uri="{FF2B5EF4-FFF2-40B4-BE49-F238E27FC236}">
              <a16:creationId xmlns:a16="http://schemas.microsoft.com/office/drawing/2014/main" id="{00000000-0008-0000-0A00-000022010000}"/>
            </a:ext>
          </a:extLst>
        </xdr:cNvPr>
        <xdr:cNvSpPr txBox="1"/>
      </xdr:nvSpPr>
      <xdr:spPr>
        <a:xfrm>
          <a:off x="365891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910</xdr:row>
      <xdr:rowOff>0</xdr:rowOff>
    </xdr:from>
    <xdr:ext cx="65" cy="172227"/>
    <xdr:sp macro="" textlink="">
      <xdr:nvSpPr>
        <xdr:cNvPr id="291" name="TextBox 290">
          <a:extLst>
            <a:ext uri="{FF2B5EF4-FFF2-40B4-BE49-F238E27FC236}">
              <a16:creationId xmlns:a16="http://schemas.microsoft.com/office/drawing/2014/main" id="{00000000-0008-0000-0A00-000023010000}"/>
            </a:ext>
          </a:extLst>
        </xdr:cNvPr>
        <xdr:cNvSpPr txBox="1"/>
      </xdr:nvSpPr>
      <xdr:spPr>
        <a:xfrm>
          <a:off x="365891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910</xdr:row>
      <xdr:rowOff>0</xdr:rowOff>
    </xdr:from>
    <xdr:ext cx="65" cy="172227"/>
    <xdr:sp macro="" textlink="">
      <xdr:nvSpPr>
        <xdr:cNvPr id="292" name="TextBox 291">
          <a:extLst>
            <a:ext uri="{FF2B5EF4-FFF2-40B4-BE49-F238E27FC236}">
              <a16:creationId xmlns:a16="http://schemas.microsoft.com/office/drawing/2014/main" id="{00000000-0008-0000-0A00-000024010000}"/>
            </a:ext>
          </a:extLst>
        </xdr:cNvPr>
        <xdr:cNvSpPr txBox="1"/>
      </xdr:nvSpPr>
      <xdr:spPr>
        <a:xfrm>
          <a:off x="365891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910</xdr:row>
      <xdr:rowOff>0</xdr:rowOff>
    </xdr:from>
    <xdr:ext cx="65" cy="172227"/>
    <xdr:sp macro="" textlink="">
      <xdr:nvSpPr>
        <xdr:cNvPr id="293" name="TextBox 292">
          <a:extLst>
            <a:ext uri="{FF2B5EF4-FFF2-40B4-BE49-F238E27FC236}">
              <a16:creationId xmlns:a16="http://schemas.microsoft.com/office/drawing/2014/main" id="{00000000-0008-0000-0A00-000025010000}"/>
            </a:ext>
          </a:extLst>
        </xdr:cNvPr>
        <xdr:cNvSpPr txBox="1"/>
      </xdr:nvSpPr>
      <xdr:spPr>
        <a:xfrm>
          <a:off x="365891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910</xdr:row>
      <xdr:rowOff>0</xdr:rowOff>
    </xdr:from>
    <xdr:ext cx="65" cy="172227"/>
    <xdr:sp macro="" textlink="">
      <xdr:nvSpPr>
        <xdr:cNvPr id="294" name="TextBox 293">
          <a:extLst>
            <a:ext uri="{FF2B5EF4-FFF2-40B4-BE49-F238E27FC236}">
              <a16:creationId xmlns:a16="http://schemas.microsoft.com/office/drawing/2014/main" id="{00000000-0008-0000-0A00-000026010000}"/>
            </a:ext>
          </a:extLst>
        </xdr:cNvPr>
        <xdr:cNvSpPr txBox="1"/>
      </xdr:nvSpPr>
      <xdr:spPr>
        <a:xfrm>
          <a:off x="375130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910</xdr:row>
      <xdr:rowOff>0</xdr:rowOff>
    </xdr:from>
    <xdr:ext cx="65" cy="172227"/>
    <xdr:sp macro="" textlink="">
      <xdr:nvSpPr>
        <xdr:cNvPr id="295" name="TextBox 294">
          <a:extLst>
            <a:ext uri="{FF2B5EF4-FFF2-40B4-BE49-F238E27FC236}">
              <a16:creationId xmlns:a16="http://schemas.microsoft.com/office/drawing/2014/main" id="{00000000-0008-0000-0A00-000027010000}"/>
            </a:ext>
          </a:extLst>
        </xdr:cNvPr>
        <xdr:cNvSpPr txBox="1"/>
      </xdr:nvSpPr>
      <xdr:spPr>
        <a:xfrm>
          <a:off x="375130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910</xdr:row>
      <xdr:rowOff>0</xdr:rowOff>
    </xdr:from>
    <xdr:ext cx="65" cy="172227"/>
    <xdr:sp macro="" textlink="">
      <xdr:nvSpPr>
        <xdr:cNvPr id="296" name="TextBox 295">
          <a:extLst>
            <a:ext uri="{FF2B5EF4-FFF2-40B4-BE49-F238E27FC236}">
              <a16:creationId xmlns:a16="http://schemas.microsoft.com/office/drawing/2014/main" id="{00000000-0008-0000-0A00-000028010000}"/>
            </a:ext>
          </a:extLst>
        </xdr:cNvPr>
        <xdr:cNvSpPr txBox="1"/>
      </xdr:nvSpPr>
      <xdr:spPr>
        <a:xfrm>
          <a:off x="375130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910</xdr:row>
      <xdr:rowOff>0</xdr:rowOff>
    </xdr:from>
    <xdr:ext cx="65" cy="172227"/>
    <xdr:sp macro="" textlink="">
      <xdr:nvSpPr>
        <xdr:cNvPr id="297" name="TextBox 296">
          <a:extLst>
            <a:ext uri="{FF2B5EF4-FFF2-40B4-BE49-F238E27FC236}">
              <a16:creationId xmlns:a16="http://schemas.microsoft.com/office/drawing/2014/main" id="{00000000-0008-0000-0A00-000029010000}"/>
            </a:ext>
          </a:extLst>
        </xdr:cNvPr>
        <xdr:cNvSpPr txBox="1"/>
      </xdr:nvSpPr>
      <xdr:spPr>
        <a:xfrm>
          <a:off x="375130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910</xdr:row>
      <xdr:rowOff>0</xdr:rowOff>
    </xdr:from>
    <xdr:ext cx="65" cy="172227"/>
    <xdr:sp macro="" textlink="">
      <xdr:nvSpPr>
        <xdr:cNvPr id="298" name="TextBox 297">
          <a:extLst>
            <a:ext uri="{FF2B5EF4-FFF2-40B4-BE49-F238E27FC236}">
              <a16:creationId xmlns:a16="http://schemas.microsoft.com/office/drawing/2014/main" id="{00000000-0008-0000-0A00-00002A010000}"/>
            </a:ext>
          </a:extLst>
        </xdr:cNvPr>
        <xdr:cNvSpPr txBox="1"/>
      </xdr:nvSpPr>
      <xdr:spPr>
        <a:xfrm>
          <a:off x="384369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910</xdr:row>
      <xdr:rowOff>0</xdr:rowOff>
    </xdr:from>
    <xdr:ext cx="65" cy="172227"/>
    <xdr:sp macro="" textlink="">
      <xdr:nvSpPr>
        <xdr:cNvPr id="299" name="TextBox 298">
          <a:extLst>
            <a:ext uri="{FF2B5EF4-FFF2-40B4-BE49-F238E27FC236}">
              <a16:creationId xmlns:a16="http://schemas.microsoft.com/office/drawing/2014/main" id="{00000000-0008-0000-0A00-00002B010000}"/>
            </a:ext>
          </a:extLst>
        </xdr:cNvPr>
        <xdr:cNvSpPr txBox="1"/>
      </xdr:nvSpPr>
      <xdr:spPr>
        <a:xfrm>
          <a:off x="384369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910</xdr:row>
      <xdr:rowOff>0</xdr:rowOff>
    </xdr:from>
    <xdr:ext cx="65" cy="172227"/>
    <xdr:sp macro="" textlink="">
      <xdr:nvSpPr>
        <xdr:cNvPr id="300" name="TextBox 299">
          <a:extLst>
            <a:ext uri="{FF2B5EF4-FFF2-40B4-BE49-F238E27FC236}">
              <a16:creationId xmlns:a16="http://schemas.microsoft.com/office/drawing/2014/main" id="{00000000-0008-0000-0A00-00002C010000}"/>
            </a:ext>
          </a:extLst>
        </xdr:cNvPr>
        <xdr:cNvSpPr txBox="1"/>
      </xdr:nvSpPr>
      <xdr:spPr>
        <a:xfrm>
          <a:off x="384369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910</xdr:row>
      <xdr:rowOff>0</xdr:rowOff>
    </xdr:from>
    <xdr:ext cx="65" cy="172227"/>
    <xdr:sp macro="" textlink="">
      <xdr:nvSpPr>
        <xdr:cNvPr id="301" name="TextBox 300">
          <a:extLst>
            <a:ext uri="{FF2B5EF4-FFF2-40B4-BE49-F238E27FC236}">
              <a16:creationId xmlns:a16="http://schemas.microsoft.com/office/drawing/2014/main" id="{00000000-0008-0000-0A00-00002D010000}"/>
            </a:ext>
          </a:extLst>
        </xdr:cNvPr>
        <xdr:cNvSpPr txBox="1"/>
      </xdr:nvSpPr>
      <xdr:spPr>
        <a:xfrm>
          <a:off x="384369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910</xdr:row>
      <xdr:rowOff>0</xdr:rowOff>
    </xdr:from>
    <xdr:ext cx="65" cy="172227"/>
    <xdr:sp macro="" textlink="">
      <xdr:nvSpPr>
        <xdr:cNvPr id="302" name="TextBox 301">
          <a:extLst>
            <a:ext uri="{FF2B5EF4-FFF2-40B4-BE49-F238E27FC236}">
              <a16:creationId xmlns:a16="http://schemas.microsoft.com/office/drawing/2014/main" id="{00000000-0008-0000-0A00-00002E010000}"/>
            </a:ext>
          </a:extLst>
        </xdr:cNvPr>
        <xdr:cNvSpPr txBox="1"/>
      </xdr:nvSpPr>
      <xdr:spPr>
        <a:xfrm>
          <a:off x="393609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910</xdr:row>
      <xdr:rowOff>0</xdr:rowOff>
    </xdr:from>
    <xdr:ext cx="65" cy="172227"/>
    <xdr:sp macro="" textlink="">
      <xdr:nvSpPr>
        <xdr:cNvPr id="303" name="TextBox 302">
          <a:extLst>
            <a:ext uri="{FF2B5EF4-FFF2-40B4-BE49-F238E27FC236}">
              <a16:creationId xmlns:a16="http://schemas.microsoft.com/office/drawing/2014/main" id="{00000000-0008-0000-0A00-00002F010000}"/>
            </a:ext>
          </a:extLst>
        </xdr:cNvPr>
        <xdr:cNvSpPr txBox="1"/>
      </xdr:nvSpPr>
      <xdr:spPr>
        <a:xfrm>
          <a:off x="393609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910</xdr:row>
      <xdr:rowOff>0</xdr:rowOff>
    </xdr:from>
    <xdr:ext cx="65" cy="172227"/>
    <xdr:sp macro="" textlink="">
      <xdr:nvSpPr>
        <xdr:cNvPr id="304" name="TextBox 303">
          <a:extLst>
            <a:ext uri="{FF2B5EF4-FFF2-40B4-BE49-F238E27FC236}">
              <a16:creationId xmlns:a16="http://schemas.microsoft.com/office/drawing/2014/main" id="{00000000-0008-0000-0A00-000030010000}"/>
            </a:ext>
          </a:extLst>
        </xdr:cNvPr>
        <xdr:cNvSpPr txBox="1"/>
      </xdr:nvSpPr>
      <xdr:spPr>
        <a:xfrm>
          <a:off x="393609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910</xdr:row>
      <xdr:rowOff>0</xdr:rowOff>
    </xdr:from>
    <xdr:ext cx="65" cy="172227"/>
    <xdr:sp macro="" textlink="">
      <xdr:nvSpPr>
        <xdr:cNvPr id="305" name="TextBox 304">
          <a:extLst>
            <a:ext uri="{FF2B5EF4-FFF2-40B4-BE49-F238E27FC236}">
              <a16:creationId xmlns:a16="http://schemas.microsoft.com/office/drawing/2014/main" id="{00000000-0008-0000-0A00-000031010000}"/>
            </a:ext>
          </a:extLst>
        </xdr:cNvPr>
        <xdr:cNvSpPr txBox="1"/>
      </xdr:nvSpPr>
      <xdr:spPr>
        <a:xfrm>
          <a:off x="393609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910</xdr:row>
      <xdr:rowOff>0</xdr:rowOff>
    </xdr:from>
    <xdr:ext cx="65" cy="172227"/>
    <xdr:sp macro="" textlink="">
      <xdr:nvSpPr>
        <xdr:cNvPr id="306" name="TextBox 305">
          <a:extLst>
            <a:ext uri="{FF2B5EF4-FFF2-40B4-BE49-F238E27FC236}">
              <a16:creationId xmlns:a16="http://schemas.microsoft.com/office/drawing/2014/main" id="{00000000-0008-0000-0A00-000032010000}"/>
            </a:ext>
          </a:extLst>
        </xdr:cNvPr>
        <xdr:cNvSpPr txBox="1"/>
      </xdr:nvSpPr>
      <xdr:spPr>
        <a:xfrm>
          <a:off x="402848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910</xdr:row>
      <xdr:rowOff>0</xdr:rowOff>
    </xdr:from>
    <xdr:ext cx="65" cy="172227"/>
    <xdr:sp macro="" textlink="">
      <xdr:nvSpPr>
        <xdr:cNvPr id="307" name="TextBox 306">
          <a:extLst>
            <a:ext uri="{FF2B5EF4-FFF2-40B4-BE49-F238E27FC236}">
              <a16:creationId xmlns:a16="http://schemas.microsoft.com/office/drawing/2014/main" id="{00000000-0008-0000-0A00-000033010000}"/>
            </a:ext>
          </a:extLst>
        </xdr:cNvPr>
        <xdr:cNvSpPr txBox="1"/>
      </xdr:nvSpPr>
      <xdr:spPr>
        <a:xfrm>
          <a:off x="402848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910</xdr:row>
      <xdr:rowOff>0</xdr:rowOff>
    </xdr:from>
    <xdr:ext cx="65" cy="172227"/>
    <xdr:sp macro="" textlink="">
      <xdr:nvSpPr>
        <xdr:cNvPr id="308" name="TextBox 307">
          <a:extLst>
            <a:ext uri="{FF2B5EF4-FFF2-40B4-BE49-F238E27FC236}">
              <a16:creationId xmlns:a16="http://schemas.microsoft.com/office/drawing/2014/main" id="{00000000-0008-0000-0A00-000034010000}"/>
            </a:ext>
          </a:extLst>
        </xdr:cNvPr>
        <xdr:cNvSpPr txBox="1"/>
      </xdr:nvSpPr>
      <xdr:spPr>
        <a:xfrm>
          <a:off x="402848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910</xdr:row>
      <xdr:rowOff>0</xdr:rowOff>
    </xdr:from>
    <xdr:ext cx="65" cy="172227"/>
    <xdr:sp macro="" textlink="">
      <xdr:nvSpPr>
        <xdr:cNvPr id="309" name="TextBox 308">
          <a:extLst>
            <a:ext uri="{FF2B5EF4-FFF2-40B4-BE49-F238E27FC236}">
              <a16:creationId xmlns:a16="http://schemas.microsoft.com/office/drawing/2014/main" id="{00000000-0008-0000-0A00-000035010000}"/>
            </a:ext>
          </a:extLst>
        </xdr:cNvPr>
        <xdr:cNvSpPr txBox="1"/>
      </xdr:nvSpPr>
      <xdr:spPr>
        <a:xfrm>
          <a:off x="402848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910</xdr:row>
      <xdr:rowOff>0</xdr:rowOff>
    </xdr:from>
    <xdr:ext cx="65" cy="172227"/>
    <xdr:sp macro="" textlink="">
      <xdr:nvSpPr>
        <xdr:cNvPr id="310" name="TextBox 309">
          <a:extLst>
            <a:ext uri="{FF2B5EF4-FFF2-40B4-BE49-F238E27FC236}">
              <a16:creationId xmlns:a16="http://schemas.microsoft.com/office/drawing/2014/main" id="{00000000-0008-0000-0A00-000036010000}"/>
            </a:ext>
          </a:extLst>
        </xdr:cNvPr>
        <xdr:cNvSpPr txBox="1"/>
      </xdr:nvSpPr>
      <xdr:spPr>
        <a:xfrm>
          <a:off x="409134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910</xdr:row>
      <xdr:rowOff>0</xdr:rowOff>
    </xdr:from>
    <xdr:ext cx="65" cy="172227"/>
    <xdr:sp macro="" textlink="">
      <xdr:nvSpPr>
        <xdr:cNvPr id="311" name="TextBox 310">
          <a:extLst>
            <a:ext uri="{FF2B5EF4-FFF2-40B4-BE49-F238E27FC236}">
              <a16:creationId xmlns:a16="http://schemas.microsoft.com/office/drawing/2014/main" id="{00000000-0008-0000-0A00-000037010000}"/>
            </a:ext>
          </a:extLst>
        </xdr:cNvPr>
        <xdr:cNvSpPr txBox="1"/>
      </xdr:nvSpPr>
      <xdr:spPr>
        <a:xfrm>
          <a:off x="409134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910</xdr:row>
      <xdr:rowOff>0</xdr:rowOff>
    </xdr:from>
    <xdr:ext cx="65" cy="172227"/>
    <xdr:sp macro="" textlink="">
      <xdr:nvSpPr>
        <xdr:cNvPr id="312" name="TextBox 311">
          <a:extLst>
            <a:ext uri="{FF2B5EF4-FFF2-40B4-BE49-F238E27FC236}">
              <a16:creationId xmlns:a16="http://schemas.microsoft.com/office/drawing/2014/main" id="{00000000-0008-0000-0A00-000038010000}"/>
            </a:ext>
          </a:extLst>
        </xdr:cNvPr>
        <xdr:cNvSpPr txBox="1"/>
      </xdr:nvSpPr>
      <xdr:spPr>
        <a:xfrm>
          <a:off x="409134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910</xdr:row>
      <xdr:rowOff>0</xdr:rowOff>
    </xdr:from>
    <xdr:ext cx="65" cy="172227"/>
    <xdr:sp macro="" textlink="">
      <xdr:nvSpPr>
        <xdr:cNvPr id="313" name="TextBox 312">
          <a:extLst>
            <a:ext uri="{FF2B5EF4-FFF2-40B4-BE49-F238E27FC236}">
              <a16:creationId xmlns:a16="http://schemas.microsoft.com/office/drawing/2014/main" id="{00000000-0008-0000-0A00-000039010000}"/>
            </a:ext>
          </a:extLst>
        </xdr:cNvPr>
        <xdr:cNvSpPr txBox="1"/>
      </xdr:nvSpPr>
      <xdr:spPr>
        <a:xfrm>
          <a:off x="409134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990</xdr:row>
      <xdr:rowOff>0</xdr:rowOff>
    </xdr:from>
    <xdr:ext cx="65" cy="172227"/>
    <xdr:sp macro="" textlink="">
      <xdr:nvSpPr>
        <xdr:cNvPr id="60" name="TextBox 59">
          <a:extLst>
            <a:ext uri="{FF2B5EF4-FFF2-40B4-BE49-F238E27FC236}">
              <a16:creationId xmlns:a16="http://schemas.microsoft.com/office/drawing/2014/main" id="{00000000-0008-0000-0A00-00003C000000}"/>
            </a:ext>
          </a:extLst>
        </xdr:cNvPr>
        <xdr:cNvSpPr txBox="1"/>
      </xdr:nvSpPr>
      <xdr:spPr>
        <a:xfrm>
          <a:off x="12699206"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8</xdr:col>
      <xdr:colOff>7576</xdr:colOff>
      <xdr:row>990</xdr:row>
      <xdr:rowOff>0</xdr:rowOff>
    </xdr:from>
    <xdr:ext cx="65" cy="172227"/>
    <xdr:sp macro="" textlink="">
      <xdr:nvSpPr>
        <xdr:cNvPr id="314" name="TextBox 313">
          <a:extLst>
            <a:ext uri="{FF2B5EF4-FFF2-40B4-BE49-F238E27FC236}">
              <a16:creationId xmlns:a16="http://schemas.microsoft.com/office/drawing/2014/main" id="{00000000-0008-0000-0A00-00003A010000}"/>
            </a:ext>
          </a:extLst>
        </xdr:cNvPr>
        <xdr:cNvSpPr txBox="1"/>
      </xdr:nvSpPr>
      <xdr:spPr>
        <a:xfrm>
          <a:off x="12704401"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7</xdr:col>
      <xdr:colOff>2269331</xdr:colOff>
      <xdr:row>990</xdr:row>
      <xdr:rowOff>0</xdr:rowOff>
    </xdr:from>
    <xdr:to>
      <xdr:col>8</xdr:col>
      <xdr:colOff>3567</xdr:colOff>
      <xdr:row>990</xdr:row>
      <xdr:rowOff>172227</xdr:rowOff>
    </xdr:to>
    <xdr:sp macro="" textlink="">
      <xdr:nvSpPr>
        <xdr:cNvPr id="316" name="TextBox 315">
          <a:extLst>
            <a:ext uri="{FF2B5EF4-FFF2-40B4-BE49-F238E27FC236}">
              <a16:creationId xmlns:a16="http://schemas.microsoft.com/office/drawing/2014/main" id="{00000000-0008-0000-0A00-00003C010000}"/>
            </a:ext>
          </a:extLst>
        </xdr:cNvPr>
        <xdr:cNvSpPr txBox="1"/>
      </xdr:nvSpPr>
      <xdr:spPr>
        <a:xfrm>
          <a:off x="12699206" y="14287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26</xdr:col>
      <xdr:colOff>2269331</xdr:colOff>
      <xdr:row>988</xdr:row>
      <xdr:rowOff>0</xdr:rowOff>
    </xdr:from>
    <xdr:ext cx="65" cy="172227"/>
    <xdr:sp macro="" textlink="">
      <xdr:nvSpPr>
        <xdr:cNvPr id="317" name="TextBox 316">
          <a:extLst>
            <a:ext uri="{FF2B5EF4-FFF2-40B4-BE49-F238E27FC236}">
              <a16:creationId xmlns:a16="http://schemas.microsoft.com/office/drawing/2014/main" id="{00000000-0008-0000-0A00-00003D010000}"/>
            </a:ext>
          </a:extLst>
        </xdr:cNvPr>
        <xdr:cNvSpPr txBox="1"/>
      </xdr:nvSpPr>
      <xdr:spPr>
        <a:xfrm>
          <a:off x="317492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988</xdr:row>
      <xdr:rowOff>0</xdr:rowOff>
    </xdr:from>
    <xdr:ext cx="65" cy="172227"/>
    <xdr:sp macro="" textlink="">
      <xdr:nvSpPr>
        <xdr:cNvPr id="318" name="TextBox 317">
          <a:extLst>
            <a:ext uri="{FF2B5EF4-FFF2-40B4-BE49-F238E27FC236}">
              <a16:creationId xmlns:a16="http://schemas.microsoft.com/office/drawing/2014/main" id="{00000000-0008-0000-0A00-00003E010000}"/>
            </a:ext>
          </a:extLst>
        </xdr:cNvPr>
        <xdr:cNvSpPr txBox="1"/>
      </xdr:nvSpPr>
      <xdr:spPr>
        <a:xfrm>
          <a:off x="317492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740500</xdr:colOff>
      <xdr:row>42</xdr:row>
      <xdr:rowOff>0</xdr:rowOff>
    </xdr:from>
    <xdr:to>
      <xdr:col>5</xdr:col>
      <xdr:colOff>340177</xdr:colOff>
      <xdr:row>42</xdr:row>
      <xdr:rowOff>0</xdr:rowOff>
    </xdr:to>
    <mc:AlternateContent xmlns:mc="http://schemas.openxmlformats.org/markup-compatibility/2006" xmlns:a14="http://schemas.microsoft.com/office/drawing/2010/main">
      <mc:Choice Requires="a14">
        <xdr:sp macro="" textlink="">
          <xdr:nvSpPr>
            <xdr:cNvPr id="319" name="TextBox 318">
              <a:extLst>
                <a:ext uri="{FF2B5EF4-FFF2-40B4-BE49-F238E27FC236}">
                  <a16:creationId xmlns:a16="http://schemas.microsoft.com/office/drawing/2014/main" id="{00000000-0008-0000-0A00-00003F010000}"/>
                </a:ext>
              </a:extLst>
            </xdr:cNvPr>
            <xdr:cNvSpPr txBox="1"/>
          </xdr:nvSpPr>
          <xdr:spPr>
            <a:xfrm>
              <a:off x="4207600" y="35128200"/>
              <a:ext cx="41050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oMath>
                </m:oMathPara>
              </a14:m>
              <a:endParaRPr lang="en-US" sz="1100">
                <a:solidFill>
                  <a:sysClr val="windowText" lastClr="000000"/>
                </a:solidFill>
              </a:endParaRPr>
            </a:p>
          </xdr:txBody>
        </xdr:sp>
      </mc:Choice>
      <mc:Fallback xmlns="">
        <xdr:sp macro="" textlink="">
          <xdr:nvSpPr>
            <xdr:cNvPr id="319" name="TextBox 318">
              <a:extLst>
                <a:ext uri="{FF2B5EF4-FFF2-40B4-BE49-F238E27FC236}">
                  <a16:creationId xmlns:a16="http://schemas.microsoft.com/office/drawing/2014/main" id="{D3A7DD60-BA72-4C61-A683-AF67467630FC}"/>
                </a:ext>
              </a:extLst>
            </xdr:cNvPr>
            <xdr:cNvSpPr txBox="1"/>
          </xdr:nvSpPr>
          <xdr:spPr>
            <a:xfrm>
              <a:off x="4207600" y="35128200"/>
              <a:ext cx="41050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𝑘𝑊ℎ=Δ𝑘𝑊ℎ_𝑐𝑜𝑜𝑙𝑖𝑛𝑔+Δ𝑘𝑊ℎ_ℎ𝑒𝑎𝑡𝑖𝑛𝑔</a:t>
              </a:r>
              <a:endParaRPr lang="en-US" sz="1100">
                <a:solidFill>
                  <a:sysClr val="windowText" lastClr="000000"/>
                </a:solidFill>
              </a:endParaRPr>
            </a:p>
          </xdr:txBody>
        </xdr:sp>
      </mc:Fallback>
    </mc:AlternateContent>
    <xdr:clientData/>
  </xdr:twoCellAnchor>
  <xdr:oneCellAnchor>
    <xdr:from>
      <xdr:col>6</xdr:col>
      <xdr:colOff>2269331</xdr:colOff>
      <xdr:row>750</xdr:row>
      <xdr:rowOff>453627</xdr:rowOff>
    </xdr:from>
    <xdr:ext cx="65" cy="172227"/>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2130881" y="842355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750</xdr:row>
      <xdr:rowOff>453627</xdr:rowOff>
    </xdr:from>
    <xdr:ext cx="65" cy="172227"/>
    <xdr:sp macro="" textlink="">
      <xdr:nvSpPr>
        <xdr:cNvPr id="8" name="TextBox 7">
          <a:extLst>
            <a:ext uri="{FF2B5EF4-FFF2-40B4-BE49-F238E27FC236}">
              <a16:creationId xmlns:a16="http://schemas.microsoft.com/office/drawing/2014/main" id="{00000000-0008-0000-0A00-000008000000}"/>
            </a:ext>
          </a:extLst>
        </xdr:cNvPr>
        <xdr:cNvSpPr txBox="1"/>
      </xdr:nvSpPr>
      <xdr:spPr>
        <a:xfrm>
          <a:off x="12130881" y="842355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00000000-0008-0000-0F00-000003000000}"/>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00000000-0008-0000-0F00-000004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00000000-0008-0000-0F00-000005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 name="TextBox 5">
          <a:extLst>
            <a:ext uri="{FF2B5EF4-FFF2-40B4-BE49-F238E27FC236}">
              <a16:creationId xmlns:a16="http://schemas.microsoft.com/office/drawing/2014/main" id="{00000000-0008-0000-0F00-000006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7" name="TextBox 6">
          <a:extLst>
            <a:ext uri="{FF2B5EF4-FFF2-40B4-BE49-F238E27FC236}">
              <a16:creationId xmlns:a16="http://schemas.microsoft.com/office/drawing/2014/main" id="{00000000-0008-0000-0F00-000007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24</xdr:row>
      <xdr:rowOff>0</xdr:rowOff>
    </xdr:from>
    <xdr:ext cx="65" cy="172227"/>
    <xdr:sp macro="" textlink="">
      <xdr:nvSpPr>
        <xdr:cNvPr id="8" name="TextBox 1">
          <a:extLst>
            <a:ext uri="{FF2B5EF4-FFF2-40B4-BE49-F238E27FC236}">
              <a16:creationId xmlns:a16="http://schemas.microsoft.com/office/drawing/2014/main" id="{00000000-0008-0000-0F00-000008000000}"/>
            </a:ext>
            <a:ext uri="{147F2762-F138-4A5C-976F-8EAC2B608ADB}">
              <a16:predDERef xmlns:a16="http://schemas.microsoft.com/office/drawing/2014/main" pred="{00000000-0008-0000-0B00-000007000000}"/>
            </a:ext>
          </a:extLst>
        </xdr:cNvPr>
        <xdr:cNvSpPr txBox="1"/>
      </xdr:nvSpPr>
      <xdr:spPr>
        <a:xfrm>
          <a:off x="1001315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24</xdr:row>
      <xdr:rowOff>0</xdr:rowOff>
    </xdr:from>
    <xdr:ext cx="65" cy="172227"/>
    <xdr:sp macro="" textlink="">
      <xdr:nvSpPr>
        <xdr:cNvPr id="9" name="TextBox 2">
          <a:extLst>
            <a:ext uri="{FF2B5EF4-FFF2-40B4-BE49-F238E27FC236}">
              <a16:creationId xmlns:a16="http://schemas.microsoft.com/office/drawing/2014/main" id="{00000000-0008-0000-0F00-000009000000}"/>
            </a:ext>
            <a:ext uri="{147F2762-F138-4A5C-976F-8EAC2B608ADB}">
              <a16:predDERef xmlns:a16="http://schemas.microsoft.com/office/drawing/2014/main" pred="{263E590A-4514-48C1-A656-8BDA1BB14E93}"/>
            </a:ext>
          </a:extLst>
        </xdr:cNvPr>
        <xdr:cNvSpPr txBox="1"/>
      </xdr:nvSpPr>
      <xdr:spPr>
        <a:xfrm>
          <a:off x="1001315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xdr:row>
      <xdr:rowOff>0</xdr:rowOff>
    </xdr:from>
    <xdr:ext cx="65" cy="172227"/>
    <xdr:sp macro="" textlink="">
      <xdr:nvSpPr>
        <xdr:cNvPr id="10" name="TextBox 3">
          <a:extLst>
            <a:ext uri="{FF2B5EF4-FFF2-40B4-BE49-F238E27FC236}">
              <a16:creationId xmlns:a16="http://schemas.microsoft.com/office/drawing/2014/main" id="{00000000-0008-0000-0F00-00000A000000}"/>
            </a:ext>
            <a:ext uri="{147F2762-F138-4A5C-976F-8EAC2B608ADB}">
              <a16:predDERef xmlns:a16="http://schemas.microsoft.com/office/drawing/2014/main" pred="{95739A5B-1106-4816-85FB-5D9CB5965F25}"/>
            </a:ext>
          </a:extLst>
        </xdr:cNvPr>
        <xdr:cNvSpPr txBox="1"/>
      </xdr:nvSpPr>
      <xdr:spPr>
        <a:xfrm>
          <a:off x="2987278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xdr:row>
      <xdr:rowOff>0</xdr:rowOff>
    </xdr:from>
    <xdr:ext cx="65" cy="172227"/>
    <xdr:sp macro="" textlink="">
      <xdr:nvSpPr>
        <xdr:cNvPr id="11" name="TextBox 4">
          <a:extLst>
            <a:ext uri="{FF2B5EF4-FFF2-40B4-BE49-F238E27FC236}">
              <a16:creationId xmlns:a16="http://schemas.microsoft.com/office/drawing/2014/main" id="{00000000-0008-0000-0F00-00000B000000}"/>
            </a:ext>
            <a:ext uri="{147F2762-F138-4A5C-976F-8EAC2B608ADB}">
              <a16:predDERef xmlns:a16="http://schemas.microsoft.com/office/drawing/2014/main" pred="{BFE9A93B-3360-4CFD-80EA-9FA6B38BB269}"/>
            </a:ext>
          </a:extLst>
        </xdr:cNvPr>
        <xdr:cNvSpPr txBox="1"/>
      </xdr:nvSpPr>
      <xdr:spPr>
        <a:xfrm>
          <a:off x="2987278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xdr:row>
      <xdr:rowOff>0</xdr:rowOff>
    </xdr:from>
    <xdr:ext cx="65" cy="172227"/>
    <xdr:sp macro="" textlink="">
      <xdr:nvSpPr>
        <xdr:cNvPr id="12" name="TextBox 5">
          <a:extLst>
            <a:ext uri="{FF2B5EF4-FFF2-40B4-BE49-F238E27FC236}">
              <a16:creationId xmlns:a16="http://schemas.microsoft.com/office/drawing/2014/main" id="{00000000-0008-0000-0F00-00000C000000}"/>
            </a:ext>
            <a:ext uri="{147F2762-F138-4A5C-976F-8EAC2B608ADB}">
              <a16:predDERef xmlns:a16="http://schemas.microsoft.com/office/drawing/2014/main" pred="{E061AF9D-F3EE-4F45-9330-791838AC8903}"/>
            </a:ext>
          </a:extLst>
        </xdr:cNvPr>
        <xdr:cNvSpPr txBox="1"/>
      </xdr:nvSpPr>
      <xdr:spPr>
        <a:xfrm>
          <a:off x="2987278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xdr:row>
      <xdr:rowOff>0</xdr:rowOff>
    </xdr:from>
    <xdr:ext cx="65" cy="172227"/>
    <xdr:sp macro="" textlink="">
      <xdr:nvSpPr>
        <xdr:cNvPr id="13" name="TextBox 6">
          <a:extLst>
            <a:ext uri="{FF2B5EF4-FFF2-40B4-BE49-F238E27FC236}">
              <a16:creationId xmlns:a16="http://schemas.microsoft.com/office/drawing/2014/main" id="{00000000-0008-0000-0F00-00000D000000}"/>
            </a:ext>
            <a:ext uri="{147F2762-F138-4A5C-976F-8EAC2B608ADB}">
              <a16:predDERef xmlns:a16="http://schemas.microsoft.com/office/drawing/2014/main" pred="{9701C93A-2432-4D55-B6D9-129D1A996217}"/>
            </a:ext>
          </a:extLst>
        </xdr:cNvPr>
        <xdr:cNvSpPr txBox="1"/>
      </xdr:nvSpPr>
      <xdr:spPr>
        <a:xfrm>
          <a:off x="2987278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14" name="TextBox 1">
          <a:extLst>
            <a:ext uri="{FF2B5EF4-FFF2-40B4-BE49-F238E27FC236}">
              <a16:creationId xmlns:a16="http://schemas.microsoft.com/office/drawing/2014/main" id="{00000000-0008-0000-0F00-00000E000000}"/>
            </a:ext>
            <a:ext uri="{147F2762-F138-4A5C-976F-8EAC2B608ADB}">
              <a16:predDERef xmlns:a16="http://schemas.microsoft.com/office/drawing/2014/main" pred="{4184217F-ED80-4283-B5BB-DEA06A6739DE}"/>
            </a:ext>
          </a:extLst>
        </xdr:cNvPr>
        <xdr:cNvSpPr txBox="1"/>
      </xdr:nvSpPr>
      <xdr:spPr>
        <a:xfrm>
          <a:off x="10013156"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15" name="TextBox 2">
          <a:extLst>
            <a:ext uri="{FF2B5EF4-FFF2-40B4-BE49-F238E27FC236}">
              <a16:creationId xmlns:a16="http://schemas.microsoft.com/office/drawing/2014/main" id="{00000000-0008-0000-0F00-00000F000000}"/>
            </a:ext>
            <a:ext uri="{147F2762-F138-4A5C-976F-8EAC2B608ADB}">
              <a16:predDERef xmlns:a16="http://schemas.microsoft.com/office/drawing/2014/main" pred="{DEE0FB69-0DF9-4025-A326-AC010840AB34}"/>
            </a:ext>
          </a:extLst>
        </xdr:cNvPr>
        <xdr:cNvSpPr txBox="1"/>
      </xdr:nvSpPr>
      <xdr:spPr>
        <a:xfrm>
          <a:off x="10013156"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16" name="TextBox 3">
          <a:extLst>
            <a:ext uri="{FF2B5EF4-FFF2-40B4-BE49-F238E27FC236}">
              <a16:creationId xmlns:a16="http://schemas.microsoft.com/office/drawing/2014/main" id="{00000000-0008-0000-0F00-000010000000}"/>
            </a:ext>
            <a:ext uri="{147F2762-F138-4A5C-976F-8EAC2B608ADB}">
              <a16:predDERef xmlns:a16="http://schemas.microsoft.com/office/drawing/2014/main" pred="{FC3E8F35-8292-49C8-BF71-0894F6785C30}"/>
            </a:ext>
          </a:extLst>
        </xdr:cNvPr>
        <xdr:cNvSpPr txBox="1"/>
      </xdr:nvSpPr>
      <xdr:spPr>
        <a:xfrm>
          <a:off x="29872781"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17" name="TextBox 4">
          <a:extLst>
            <a:ext uri="{FF2B5EF4-FFF2-40B4-BE49-F238E27FC236}">
              <a16:creationId xmlns:a16="http://schemas.microsoft.com/office/drawing/2014/main" id="{00000000-0008-0000-0F00-000011000000}"/>
            </a:ext>
            <a:ext uri="{147F2762-F138-4A5C-976F-8EAC2B608ADB}">
              <a16:predDERef xmlns:a16="http://schemas.microsoft.com/office/drawing/2014/main" pred="{D9E843B1-2A2E-438C-A7C2-F488A8615BD2}"/>
            </a:ext>
          </a:extLst>
        </xdr:cNvPr>
        <xdr:cNvSpPr txBox="1"/>
      </xdr:nvSpPr>
      <xdr:spPr>
        <a:xfrm>
          <a:off x="29872781"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18" name="TextBox 5">
          <a:extLst>
            <a:ext uri="{FF2B5EF4-FFF2-40B4-BE49-F238E27FC236}">
              <a16:creationId xmlns:a16="http://schemas.microsoft.com/office/drawing/2014/main" id="{00000000-0008-0000-0F00-000012000000}"/>
            </a:ext>
            <a:ext uri="{147F2762-F138-4A5C-976F-8EAC2B608ADB}">
              <a16:predDERef xmlns:a16="http://schemas.microsoft.com/office/drawing/2014/main" pred="{0635A0CD-00CB-46B6-9E3E-59394AF3ABAE}"/>
            </a:ext>
          </a:extLst>
        </xdr:cNvPr>
        <xdr:cNvSpPr txBox="1"/>
      </xdr:nvSpPr>
      <xdr:spPr>
        <a:xfrm>
          <a:off x="29872781"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19" name="TextBox 6">
          <a:extLst>
            <a:ext uri="{FF2B5EF4-FFF2-40B4-BE49-F238E27FC236}">
              <a16:creationId xmlns:a16="http://schemas.microsoft.com/office/drawing/2014/main" id="{00000000-0008-0000-0F00-000013000000}"/>
            </a:ext>
            <a:ext uri="{147F2762-F138-4A5C-976F-8EAC2B608ADB}">
              <a16:predDERef xmlns:a16="http://schemas.microsoft.com/office/drawing/2014/main" pred="{47194AFE-9D14-4AF4-BFF3-AEF1D70EE507}"/>
            </a:ext>
          </a:extLst>
        </xdr:cNvPr>
        <xdr:cNvSpPr txBox="1"/>
      </xdr:nvSpPr>
      <xdr:spPr>
        <a:xfrm>
          <a:off x="29872781"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20" name="TextBox 1">
          <a:extLst>
            <a:ext uri="{FF2B5EF4-FFF2-40B4-BE49-F238E27FC236}">
              <a16:creationId xmlns:a16="http://schemas.microsoft.com/office/drawing/2014/main" id="{6101D062-A06A-468D-BAB9-9A453524C5EC}"/>
            </a:ext>
            <a:ext uri="{147F2762-F138-4A5C-976F-8EAC2B608ADB}">
              <a16:predDERef xmlns:a16="http://schemas.microsoft.com/office/drawing/2014/main" pred="{00000000-0008-0000-0B00-000007000000}"/>
            </a:ext>
          </a:extLst>
        </xdr:cNvPr>
        <xdr:cNvSpPr txBox="1"/>
      </xdr:nvSpPr>
      <xdr:spPr>
        <a:xfrm>
          <a:off x="105560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21" name="TextBox 2">
          <a:extLst>
            <a:ext uri="{FF2B5EF4-FFF2-40B4-BE49-F238E27FC236}">
              <a16:creationId xmlns:a16="http://schemas.microsoft.com/office/drawing/2014/main" id="{D11E2FA8-FDD4-46B9-BD9F-FE28B614A317}"/>
            </a:ext>
            <a:ext uri="{147F2762-F138-4A5C-976F-8EAC2B608ADB}">
              <a16:predDERef xmlns:a16="http://schemas.microsoft.com/office/drawing/2014/main" pred="{263E590A-4514-48C1-A656-8BDA1BB14E93}"/>
            </a:ext>
          </a:extLst>
        </xdr:cNvPr>
        <xdr:cNvSpPr txBox="1"/>
      </xdr:nvSpPr>
      <xdr:spPr>
        <a:xfrm>
          <a:off x="105560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22" name="TextBox 3">
          <a:extLst>
            <a:ext uri="{FF2B5EF4-FFF2-40B4-BE49-F238E27FC236}">
              <a16:creationId xmlns:a16="http://schemas.microsoft.com/office/drawing/2014/main" id="{C3B002D2-47A0-4971-A677-367A1D595464}"/>
            </a:ext>
            <a:ext uri="{147F2762-F138-4A5C-976F-8EAC2B608ADB}">
              <a16:predDERef xmlns:a16="http://schemas.microsoft.com/office/drawing/2014/main" pred="{95739A5B-1106-4816-85FB-5D9CB5965F25}"/>
            </a:ext>
          </a:extLst>
        </xdr:cNvPr>
        <xdr:cNvSpPr txBox="1"/>
      </xdr:nvSpPr>
      <xdr:spPr>
        <a:xfrm>
          <a:off x="280058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23" name="TextBox 4">
          <a:extLst>
            <a:ext uri="{FF2B5EF4-FFF2-40B4-BE49-F238E27FC236}">
              <a16:creationId xmlns:a16="http://schemas.microsoft.com/office/drawing/2014/main" id="{15F2499F-29C2-4356-9959-BB8541226FFB}"/>
            </a:ext>
            <a:ext uri="{147F2762-F138-4A5C-976F-8EAC2B608ADB}">
              <a16:predDERef xmlns:a16="http://schemas.microsoft.com/office/drawing/2014/main" pred="{BFE9A93B-3360-4CFD-80EA-9FA6B38BB269}"/>
            </a:ext>
          </a:extLst>
        </xdr:cNvPr>
        <xdr:cNvSpPr txBox="1"/>
      </xdr:nvSpPr>
      <xdr:spPr>
        <a:xfrm>
          <a:off x="280058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24" name="TextBox 5">
          <a:extLst>
            <a:ext uri="{FF2B5EF4-FFF2-40B4-BE49-F238E27FC236}">
              <a16:creationId xmlns:a16="http://schemas.microsoft.com/office/drawing/2014/main" id="{5DAFC26A-2EA3-4D66-A486-6E8B3264F70D}"/>
            </a:ext>
            <a:ext uri="{147F2762-F138-4A5C-976F-8EAC2B608ADB}">
              <a16:predDERef xmlns:a16="http://schemas.microsoft.com/office/drawing/2014/main" pred="{E061AF9D-F3EE-4F45-9330-791838AC8903}"/>
            </a:ext>
          </a:extLst>
        </xdr:cNvPr>
        <xdr:cNvSpPr txBox="1"/>
      </xdr:nvSpPr>
      <xdr:spPr>
        <a:xfrm>
          <a:off x="280058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25" name="TextBox 6">
          <a:extLst>
            <a:ext uri="{FF2B5EF4-FFF2-40B4-BE49-F238E27FC236}">
              <a16:creationId xmlns:a16="http://schemas.microsoft.com/office/drawing/2014/main" id="{4F401B77-1550-4CFB-9C64-8E62A98A3241}"/>
            </a:ext>
            <a:ext uri="{147F2762-F138-4A5C-976F-8EAC2B608ADB}">
              <a16:predDERef xmlns:a16="http://schemas.microsoft.com/office/drawing/2014/main" pred="{9701C93A-2432-4D55-B6D9-129D1A996217}"/>
            </a:ext>
          </a:extLst>
        </xdr:cNvPr>
        <xdr:cNvSpPr txBox="1"/>
      </xdr:nvSpPr>
      <xdr:spPr>
        <a:xfrm>
          <a:off x="280058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ameren.sharepoint.com/sites/XADMAssociates/Shared%20Documents/TRM%20Update/Settlement%20TRM%20Files/Working%20Documents%20for%20January%202025%20Filing/Appendix%20F%20-%20Deemed%20Savings%20Table_Redline.xlsx" TargetMode="External"/><Relationship Id="rId1" Type="http://schemas.openxmlformats.org/officeDocument/2006/relationships/externalLinkPath" Target="Appendix%20F%20-%20Deemed%20Savings%20Table_Redli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ME"/>
      <sheetName val="Deemed Savings Tbl Revision Log"/>
      <sheetName val="BUS Deemed Savings Table"/>
      <sheetName val="Efficient Products Deemed Table"/>
      <sheetName val="Energy Effic. Kits Deemed Table"/>
      <sheetName val="HVAC Deemed Table"/>
      <sheetName val="Income Eligible Deemed Table"/>
      <sheetName val="PAYS Deemed Table"/>
      <sheetName val="Demand Response Deemed Table"/>
      <sheetName val=" Measure INDEX PY25"/>
      <sheetName val="Avoided Cost Benefits"/>
      <sheetName val="CP FACTORS"/>
      <sheetName val="End-Use Shapes Factors  2025+"/>
    </sheetNames>
    <sheetDataSet>
      <sheetData sheetId="0"/>
      <sheetData sheetId="1">
        <row r="17">
          <cell r="C17">
            <v>45672</v>
          </cell>
        </row>
      </sheetData>
      <sheetData sheetId="2"/>
      <sheetData sheetId="3"/>
      <sheetData sheetId="4"/>
      <sheetData sheetId="5"/>
      <sheetData sheetId="6"/>
      <sheetData sheetId="7"/>
      <sheetData sheetId="8"/>
      <sheetData sheetId="9"/>
      <sheetData sheetId="10">
        <row r="4">
          <cell r="A4" t="str">
            <v>Air Comp BUS 1 Year EUL</v>
          </cell>
          <cell r="B4">
            <v>6.9716271613440697E-2</v>
          </cell>
        </row>
        <row r="5">
          <cell r="A5" t="str">
            <v>Air Comp BUS 10 Year EUL</v>
          </cell>
          <cell r="B5">
            <v>0.533208885762264</v>
          </cell>
        </row>
        <row r="6">
          <cell r="A6" t="str">
            <v>Air Comp BUS 11 Year EUL</v>
          </cell>
          <cell r="B6">
            <v>0.57258024632977</v>
          </cell>
        </row>
        <row r="7">
          <cell r="A7" t="str">
            <v>Air Comp BUS 12 Year EUL</v>
          </cell>
          <cell r="B7">
            <v>0.61023755153451198</v>
          </cell>
        </row>
        <row r="8">
          <cell r="A8" t="str">
            <v>Air Comp BUS 13 Year EUL</v>
          </cell>
          <cell r="B8">
            <v>0.64623944382922305</v>
          </cell>
        </row>
        <row r="9">
          <cell r="A9" t="str">
            <v>Air Comp BUS 14 Year EUL</v>
          </cell>
          <cell r="B9">
            <v>0.68042261850786301</v>
          </cell>
        </row>
        <row r="10">
          <cell r="A10" t="str">
            <v>Air Comp BUS 15 Year EUL</v>
          </cell>
          <cell r="B10">
            <v>0.71310302298390205</v>
          </cell>
        </row>
        <row r="11">
          <cell r="A11" t="str">
            <v>Air Comp BUS 16 Year EUL</v>
          </cell>
          <cell r="B11">
            <v>0.74434675528086403</v>
          </cell>
        </row>
        <row r="12">
          <cell r="A12" t="str">
            <v>Air Comp BUS 17 Year EUL</v>
          </cell>
          <cell r="B12">
            <v>0.77421700468761501</v>
          </cell>
        </row>
        <row r="13">
          <cell r="A13" t="str">
            <v>Air Comp BUS 18 Year EUL</v>
          </cell>
          <cell r="B13">
            <v>0.80277417982716304</v>
          </cell>
        </row>
        <row r="14">
          <cell r="A14" t="str">
            <v>Air Comp BUS 19 Year EUL</v>
          </cell>
          <cell r="B14">
            <v>0.83007603108375805</v>
          </cell>
        </row>
        <row r="15">
          <cell r="A15" t="str">
            <v>Air Comp BUS 2 Year EUL</v>
          </cell>
          <cell r="B15">
            <v>0.132825750401454</v>
          </cell>
        </row>
        <row r="16">
          <cell r="A16" t="str">
            <v>Air Comp BUS 20 Year EUL</v>
          </cell>
          <cell r="B16">
            <v>0.85623519848872498</v>
          </cell>
        </row>
        <row r="17">
          <cell r="A17" t="str">
            <v>Air Comp BUS 21 Year EUL</v>
          </cell>
          <cell r="B17">
            <v>0.88124441908486695</v>
          </cell>
        </row>
        <row r="18">
          <cell r="A18" t="str">
            <v>Air Comp BUS 22 Year EUL</v>
          </cell>
          <cell r="B18">
            <v>0.905154269142456</v>
          </cell>
        </row>
        <row r="19">
          <cell r="A19" t="str">
            <v>Air Comp BUS 23 Year EUL</v>
          </cell>
          <cell r="B19">
            <v>0.92801309939335697</v>
          </cell>
        </row>
        <row r="20">
          <cell r="A20" t="str">
            <v>Air Comp BUS 24 Year EUL</v>
          </cell>
          <cell r="B20">
            <v>0.949867133013089</v>
          </cell>
        </row>
        <row r="21">
          <cell r="A21" t="str">
            <v>Air Comp BUS 25 Year EUL</v>
          </cell>
          <cell r="B21">
            <v>0.97076055928683003</v>
          </cell>
        </row>
        <row r="22">
          <cell r="A22" t="str">
            <v>Air Comp BUS 26 Year EUL</v>
          </cell>
          <cell r="B22">
            <v>0.99031270814865102</v>
          </cell>
        </row>
        <row r="23">
          <cell r="A23" t="str">
            <v>Air Comp BUS 27 Year EUL</v>
          </cell>
          <cell r="B23">
            <v>1.00860968443708</v>
          </cell>
        </row>
        <row r="24">
          <cell r="A24" t="str">
            <v>Air Comp BUS 28 Year EUL</v>
          </cell>
          <cell r="B24">
            <v>1.0257320653920099</v>
          </cell>
        </row>
        <row r="25">
          <cell r="A25" t="str">
            <v>Air Comp BUS 29 Year EUL</v>
          </cell>
          <cell r="B25">
            <v>1.0417552555051699</v>
          </cell>
        </row>
        <row r="26">
          <cell r="A26" t="str">
            <v>Air Comp BUS 3 Year EUL</v>
          </cell>
          <cell r="B26">
            <v>0.18880337799481101</v>
          </cell>
        </row>
        <row r="27">
          <cell r="A27" t="str">
            <v>Air Comp BUS 30 Year EUL</v>
          </cell>
          <cell r="B27">
            <v>1.0567498185906701</v>
          </cell>
        </row>
        <row r="28">
          <cell r="A28" t="str">
            <v>Air Comp BUS 4 Year EUL</v>
          </cell>
          <cell r="B28">
            <v>0.243788647374301</v>
          </cell>
        </row>
        <row r="29">
          <cell r="A29" t="str">
            <v>Air Comp BUS 5 Year EUL</v>
          </cell>
          <cell r="B29">
            <v>0.29840817146174398</v>
          </cell>
        </row>
        <row r="30">
          <cell r="A30" t="str">
            <v>Air Comp BUS 6 Year EUL</v>
          </cell>
          <cell r="B30">
            <v>0.35146996670611202</v>
          </cell>
        </row>
        <row r="31">
          <cell r="A31" t="str">
            <v>Air Comp BUS 7 Year EUL</v>
          </cell>
          <cell r="B31">
            <v>0.40120121310152801</v>
          </cell>
        </row>
        <row r="32">
          <cell r="A32" t="str">
            <v>Air Comp BUS 8 Year EUL</v>
          </cell>
          <cell r="B32">
            <v>0.447697963562941</v>
          </cell>
        </row>
        <row r="33">
          <cell r="A33" t="str">
            <v>Air Comp BUS 9 Year EUL</v>
          </cell>
          <cell r="B33">
            <v>0.491482165666148</v>
          </cell>
        </row>
        <row r="34">
          <cell r="A34" t="str">
            <v>Appliances RES 1 Year EUL</v>
          </cell>
          <cell r="B34">
            <v>6.6098903215431201E-2</v>
          </cell>
        </row>
        <row r="35">
          <cell r="A35" t="str">
            <v>Appliances RES 10 Year EUL</v>
          </cell>
          <cell r="B35">
            <v>0.50106019485349695</v>
          </cell>
        </row>
        <row r="36">
          <cell r="A36" t="str">
            <v>Appliances RES 11 Year EUL</v>
          </cell>
          <cell r="B36">
            <v>0.53794880973282921</v>
          </cell>
        </row>
        <row r="37">
          <cell r="A37" t="str">
            <v>Appliances RES 12 Year EUL</v>
          </cell>
          <cell r="B37">
            <v>0.57273820263396447</v>
          </cell>
        </row>
        <row r="38">
          <cell r="A38" t="str">
            <v>Appliances RES 13 Year EUL</v>
          </cell>
          <cell r="B38">
            <v>0.60601588912080717</v>
          </cell>
        </row>
        <row r="39">
          <cell r="A39" t="str">
            <v>Appliances RES 14 Year EUL</v>
          </cell>
          <cell r="B39">
            <v>0.6378328323178607</v>
          </cell>
        </row>
        <row r="40">
          <cell r="A40" t="str">
            <v>Appliances RES 15 Year EUL</v>
          </cell>
          <cell r="B40">
            <v>0.66803569555531417</v>
          </cell>
        </row>
        <row r="41">
          <cell r="A41" t="str">
            <v>Appliances RES 16 Year EUL</v>
          </cell>
          <cell r="B41">
            <v>0.69691272059453602</v>
          </cell>
        </row>
        <row r="42">
          <cell r="A42" t="str">
            <v>Appliances RES 17 Year EUL</v>
          </cell>
          <cell r="B42">
            <v>0.72452213592032566</v>
          </cell>
        </row>
        <row r="43">
          <cell r="A43" t="str">
            <v>Appliances RES 18 Year EUL</v>
          </cell>
          <cell r="B43">
            <v>0.75091961150586695</v>
          </cell>
        </row>
        <row r="44">
          <cell r="A44" t="str">
            <v>Appliances RES 19 Year EUL</v>
          </cell>
          <cell r="B44">
            <v>0.77615837128630794</v>
          </cell>
        </row>
        <row r="45">
          <cell r="A45" t="str">
            <v>Appliances RES 2 Year EUL</v>
          </cell>
          <cell r="B45">
            <v>0.12795451168953864</v>
          </cell>
        </row>
        <row r="46">
          <cell r="A46" t="str">
            <v>Appliances RES 20 Year EUL</v>
          </cell>
          <cell r="B46">
            <v>0.80028930068548987</v>
          </cell>
        </row>
        <row r="47">
          <cell r="A47" t="str">
            <v>Appliances RES 21 Year EUL</v>
          </cell>
          <cell r="B47">
            <v>0.82340661852216901</v>
          </cell>
        </row>
        <row r="48">
          <cell r="A48" t="str">
            <v>Appliances RES 22 Year EUL</v>
          </cell>
          <cell r="B48">
            <v>0.84550919547438164</v>
          </cell>
        </row>
        <row r="49">
          <cell r="A49" t="str">
            <v>Appliances RES 23 Year EUL</v>
          </cell>
          <cell r="B49">
            <v>0.86664159458886958</v>
          </cell>
        </row>
        <row r="50">
          <cell r="A50" t="str">
            <v>Appliances RES 24 Year EUL</v>
          </cell>
          <cell r="B50">
            <v>0.88684642096507638</v>
          </cell>
        </row>
        <row r="51">
          <cell r="A51" t="str">
            <v>Appliances RES 25 Year EUL</v>
          </cell>
          <cell r="B51">
            <v>0.90616440782237795</v>
          </cell>
        </row>
        <row r="52">
          <cell r="A52" t="str">
            <v>Appliances RES 3 Year EUL</v>
          </cell>
          <cell r="B52">
            <v>0.18382715303335095</v>
          </cell>
        </row>
        <row r="53">
          <cell r="A53" t="str">
            <v>Appliances RES 4 Year EUL</v>
          </cell>
          <cell r="B53">
            <v>0.23323024300741971</v>
          </cell>
        </row>
        <row r="54">
          <cell r="A54" t="str">
            <v>Appliances RES 5 Year EUL</v>
          </cell>
          <cell r="B54">
            <v>0.28182462852351109</v>
          </cell>
        </row>
        <row r="55">
          <cell r="A55" t="str">
            <v>Appliances RES 6 Year EUL</v>
          </cell>
          <cell r="B55">
            <v>0.33017825251733685</v>
          </cell>
        </row>
        <row r="56">
          <cell r="A56" t="str">
            <v>Appliances RES 7 Year EUL</v>
          </cell>
          <cell r="B56">
            <v>0.37718866515449362</v>
          </cell>
        </row>
        <row r="57">
          <cell r="A57" t="str">
            <v>Appliances RES 8 Year EUL</v>
          </cell>
          <cell r="B57">
            <v>0.42121861015697543</v>
          </cell>
        </row>
        <row r="58">
          <cell r="A58" t="str">
            <v>Appliances RES 9 Year EUL</v>
          </cell>
          <cell r="B58">
            <v>0.46235008833598312</v>
          </cell>
        </row>
        <row r="59">
          <cell r="A59" t="str">
            <v>Building Shell BUS 1 Year EUL</v>
          </cell>
          <cell r="B59">
            <v>0.11606278234226</v>
          </cell>
        </row>
        <row r="60">
          <cell r="A60" t="str">
            <v>Building Shell BUS 10 Year EUL</v>
          </cell>
          <cell r="B60">
            <v>0.90882053685083897</v>
          </cell>
        </row>
        <row r="61">
          <cell r="A61" t="str">
            <v>Building Shell BUS 11 Year EUL</v>
          </cell>
          <cell r="B61">
            <v>0.97680237536361703</v>
          </cell>
        </row>
        <row r="62">
          <cell r="A62" t="str">
            <v>Building Shell BUS 12 Year EUL</v>
          </cell>
          <cell r="B62">
            <v>1.04177558924063</v>
          </cell>
        </row>
        <row r="63">
          <cell r="A63" t="str">
            <v>Building Shell BUS 13 Year EUL</v>
          </cell>
          <cell r="B63">
            <v>1.10385602367457</v>
          </cell>
        </row>
        <row r="64">
          <cell r="A64" t="str">
            <v>Building Shell BUS 14 Year EUL</v>
          </cell>
          <cell r="B64">
            <v>1.16291596433304</v>
          </cell>
        </row>
        <row r="65">
          <cell r="A65" t="str">
            <v>Building Shell BUS 15 Year EUL</v>
          </cell>
          <cell r="B65">
            <v>1.21934623585226</v>
          </cell>
        </row>
        <row r="66">
          <cell r="A66" t="str">
            <v>Building Shell BUS 16 Year EUL</v>
          </cell>
          <cell r="B66">
            <v>1.27326399279617</v>
          </cell>
        </row>
        <row r="67">
          <cell r="A67" t="str">
            <v>Building Shell BUS 17 Year EUL</v>
          </cell>
          <cell r="B67">
            <v>1.3247811673840799</v>
          </cell>
        </row>
        <row r="68">
          <cell r="A68" t="str">
            <v>Building Shell BUS 18 Year EUL</v>
          </cell>
          <cell r="B68">
            <v>1.37400470241666</v>
          </cell>
        </row>
        <row r="69">
          <cell r="A69" t="str">
            <v>Building Shell BUS 19 Year EUL</v>
          </cell>
          <cell r="B69">
            <v>1.42103677380723</v>
          </cell>
        </row>
        <row r="70">
          <cell r="A70" t="str">
            <v>Building Shell BUS 2 Year EUL</v>
          </cell>
          <cell r="B70">
            <v>0.22319389278954599</v>
          </cell>
        </row>
        <row r="71">
          <cell r="A71" t="str">
            <v>Building Shell BUS 20 Year EUL</v>
          </cell>
          <cell r="B71">
            <v>1.46616255625175</v>
          </cell>
        </row>
        <row r="72">
          <cell r="A72" t="str">
            <v>Building Shell BUS 21 Year EUL</v>
          </cell>
          <cell r="B72">
            <v>1.50927923720798</v>
          </cell>
        </row>
        <row r="73">
          <cell r="A73" t="str">
            <v>Building Shell BUS 22 Year EUL</v>
          </cell>
          <cell r="B73">
            <v>1.5504763179474701</v>
          </cell>
        </row>
        <row r="74">
          <cell r="A74" t="str">
            <v>Building Shell BUS 23 Year EUL</v>
          </cell>
          <cell r="B74">
            <v>1.5898393103656101</v>
          </cell>
        </row>
        <row r="75">
          <cell r="A75" t="str">
            <v>Building Shell BUS 24 Year EUL</v>
          </cell>
          <cell r="B75">
            <v>1.62744991490268</v>
          </cell>
        </row>
        <row r="76">
          <cell r="A76" t="str">
            <v>Building Shell BUS 25 Year EUL</v>
          </cell>
          <cell r="B76">
            <v>1.66338619052526</v>
          </cell>
        </row>
        <row r="77">
          <cell r="A77" t="str">
            <v>Building Shell BUS 26 Year EUL</v>
          </cell>
          <cell r="B77">
            <v>1.6970154958056101</v>
          </cell>
        </row>
        <row r="78">
          <cell r="A78" t="str">
            <v>Building Shell BUS 27 Year EUL</v>
          </cell>
          <cell r="B78">
            <v>1.72848592934515</v>
          </cell>
        </row>
        <row r="79">
          <cell r="A79" t="str">
            <v>Building Shell BUS 28 Year EUL</v>
          </cell>
          <cell r="B79">
            <v>1.7579360823860799</v>
          </cell>
        </row>
        <row r="80">
          <cell r="A80" t="str">
            <v>Building Shell BUS 29 Year EUL</v>
          </cell>
          <cell r="B80">
            <v>1.7854956491472</v>
          </cell>
        </row>
        <row r="81">
          <cell r="A81" t="str">
            <v>Building Shell BUS 3 Year EUL</v>
          </cell>
          <cell r="B81">
            <v>0.32087303269927397</v>
          </cell>
        </row>
        <row r="82">
          <cell r="A82" t="str">
            <v>Building Shell BUS 30 Year EUL</v>
          </cell>
          <cell r="B82">
            <v>1.8112859979784901</v>
          </cell>
        </row>
        <row r="83">
          <cell r="A83" t="str">
            <v>Building Shell BUS 4 Year EUL</v>
          </cell>
          <cell r="B83">
            <v>0.41567512328426498</v>
          </cell>
        </row>
        <row r="84">
          <cell r="A84" t="str">
            <v>Building Shell BUS 5 Year EUL</v>
          </cell>
          <cell r="B84">
            <v>0.50843881150283399</v>
          </cell>
        </row>
        <row r="85">
          <cell r="A85" t="str">
            <v>Building Shell BUS 6 Year EUL</v>
          </cell>
          <cell r="B85">
            <v>0.59794553578470699</v>
          </cell>
        </row>
        <row r="86">
          <cell r="A86" t="str">
            <v>Building Shell BUS 7 Year EUL</v>
          </cell>
          <cell r="B86">
            <v>0.68234195357144001</v>
          </cell>
        </row>
        <row r="87">
          <cell r="A87" t="str">
            <v>Building Shell BUS 8 Year EUL</v>
          </cell>
          <cell r="B87">
            <v>0.76184297021983505</v>
          </cell>
        </row>
        <row r="88">
          <cell r="A88" t="str">
            <v>Building Shell BUS 9 Year EUL</v>
          </cell>
          <cell r="B88">
            <v>0.83707856885775</v>
          </cell>
        </row>
        <row r="89">
          <cell r="A89" t="str">
            <v>Building Shell RES 1 Year EUL</v>
          </cell>
          <cell r="B89">
            <v>0.12218265722831925</v>
          </cell>
        </row>
        <row r="90">
          <cell r="A90" t="str">
            <v>Building Shell RES 10 Year EUL</v>
          </cell>
          <cell r="B90">
            <v>0.94703961869439535</v>
          </cell>
        </row>
        <row r="91">
          <cell r="A91" t="str">
            <v>Building Shell RES 11 Year EUL</v>
          </cell>
          <cell r="B91">
            <v>1.0177414953476644</v>
          </cell>
        </row>
        <row r="92">
          <cell r="A92" t="str">
            <v>Building Shell RES 12 Year EUL</v>
          </cell>
          <cell r="B92">
            <v>1.0847408879987457</v>
          </cell>
        </row>
        <row r="93">
          <cell r="A93" t="str">
            <v>Building Shell RES 13 Year EUL</v>
          </cell>
          <cell r="B93">
            <v>1.1487746075822718</v>
          </cell>
        </row>
        <row r="94">
          <cell r="A94" t="str">
            <v>Building Shell RES 14 Year EUL</v>
          </cell>
          <cell r="B94">
            <v>1.2099569823103624</v>
          </cell>
        </row>
        <row r="95">
          <cell r="A95" t="str">
            <v>Building Shell RES 15 Year EUL</v>
          </cell>
          <cell r="B95">
            <v>1.2681638054574353</v>
          </cell>
        </row>
        <row r="96">
          <cell r="A96" t="str">
            <v>Building Shell RES 16 Year EUL</v>
          </cell>
          <cell r="B96">
            <v>1.3237785867859366</v>
          </cell>
        </row>
        <row r="97">
          <cell r="A97" t="str">
            <v>Building Shell RES 17 Year EUL</v>
          </cell>
          <cell r="B97">
            <v>1.3769168203716526</v>
          </cell>
        </row>
        <row r="98">
          <cell r="A98" t="str">
            <v>Building Shell RES 18 Year EUL</v>
          </cell>
          <cell r="B98">
            <v>1.4276888512634784</v>
          </cell>
        </row>
        <row r="99">
          <cell r="A99" t="str">
            <v>Building Shell RES 19 Year EUL</v>
          </cell>
          <cell r="B99">
            <v>1.476200105170326</v>
          </cell>
        </row>
        <row r="100">
          <cell r="A100" t="str">
            <v>Building Shell RES 2 Year EUL</v>
          </cell>
          <cell r="B100">
            <v>0.23652165893926744</v>
          </cell>
        </row>
        <row r="101">
          <cell r="A101" t="str">
            <v>Building Shell RES 20 Year EUL</v>
          </cell>
          <cell r="B101">
            <v>1.5225513078964612</v>
          </cell>
        </row>
        <row r="102">
          <cell r="A102" t="str">
            <v>Building Shell RES 21 Year EUL</v>
          </cell>
          <cell r="B102">
            <v>1.5670244898622705</v>
          </cell>
        </row>
        <row r="103">
          <cell r="A103" t="str">
            <v>Building Shell RES 22 Year EUL</v>
          </cell>
          <cell r="B103">
            <v>1.6095173517882051</v>
          </cell>
        </row>
        <row r="104">
          <cell r="A104" t="str">
            <v>Building Shell RES 23 Year EUL</v>
          </cell>
          <cell r="B104">
            <v>1.6501181249110999</v>
          </cell>
        </row>
        <row r="105">
          <cell r="A105" t="str">
            <v>Building Shell RES 24 Year EUL</v>
          </cell>
          <cell r="B105">
            <v>1.6889111071653344</v>
          </cell>
        </row>
        <row r="106">
          <cell r="A106" t="str">
            <v>Building Shell RES 25 Year EUL</v>
          </cell>
          <cell r="B106">
            <v>1.7259768386267149</v>
          </cell>
        </row>
        <row r="107">
          <cell r="A107" t="str">
            <v>Building Shell RES 3 Year EUL</v>
          </cell>
          <cell r="B107">
            <v>0.34208474256713955</v>
          </cell>
        </row>
        <row r="108">
          <cell r="A108" t="str">
            <v>Building Shell RES 4 Year EUL</v>
          </cell>
          <cell r="B108">
            <v>0.43836329052893674</v>
          </cell>
        </row>
        <row r="109">
          <cell r="A109" t="str">
            <v>Building Shell RES 5 Year EUL</v>
          </cell>
          <cell r="B109">
            <v>0.53179383147965675</v>
          </cell>
        </row>
        <row r="110">
          <cell r="A110" t="str">
            <v>Building Shell RES 6 Year EUL</v>
          </cell>
          <cell r="B110">
            <v>0.6232002712434408</v>
          </cell>
        </row>
        <row r="111">
          <cell r="A111" t="str">
            <v>Building Shell RES 7 Year EUL</v>
          </cell>
          <cell r="B111">
            <v>0.71139070400347426</v>
          </cell>
        </row>
        <row r="112">
          <cell r="A112" t="str">
            <v>Building Shell RES 8 Year EUL</v>
          </cell>
          <cell r="B112">
            <v>0.79455158269810888</v>
          </cell>
        </row>
        <row r="113">
          <cell r="A113" t="str">
            <v>Building Shell RES 9 Year EUL</v>
          </cell>
          <cell r="B113">
            <v>0.87289523542616954</v>
          </cell>
        </row>
        <row r="114">
          <cell r="A114" t="str">
            <v>Clothes Dryer RES 1 Year EUL</v>
          </cell>
          <cell r="B114">
            <v>7.8011359814874462E-2</v>
          </cell>
        </row>
        <row r="115">
          <cell r="A115" t="str">
            <v>Clothes Dryer RES 10 Year EUL</v>
          </cell>
          <cell r="B115">
            <v>0.5941049962338939</v>
          </cell>
        </row>
        <row r="116">
          <cell r="A116" t="str">
            <v>Clothes Dryer RES 11 Year EUL</v>
          </cell>
          <cell r="B116">
            <v>0.63797263382806679</v>
          </cell>
        </row>
        <row r="117">
          <cell r="A117" t="str">
            <v>Clothes Dryer RES 12 Year EUL</v>
          </cell>
          <cell r="B117">
            <v>0.67938613889094113</v>
          </cell>
        </row>
        <row r="118">
          <cell r="A118" t="str">
            <v>Clothes Dryer RES 13 Year EUL</v>
          </cell>
          <cell r="B118">
            <v>0.71899294658720481</v>
          </cell>
        </row>
        <row r="119">
          <cell r="A119" t="str">
            <v>Clothes Dryer RES 14 Year EUL</v>
          </cell>
          <cell r="B119">
            <v>0.75685585348490381</v>
          </cell>
        </row>
        <row r="120">
          <cell r="A120" t="str">
            <v>Clothes Dryer RES 15 Year EUL</v>
          </cell>
          <cell r="B120">
            <v>0.79281484734337837</v>
          </cell>
        </row>
        <row r="121">
          <cell r="A121" t="str">
            <v>Clothes Dryer RES 16 Year EUL</v>
          </cell>
          <cell r="B121">
            <v>0.82719046579269584</v>
          </cell>
        </row>
        <row r="122">
          <cell r="A122" t="str">
            <v>Clothes Dryer RES 17 Year EUL</v>
          </cell>
          <cell r="B122">
            <v>0.86005246588985251</v>
          </cell>
        </row>
        <row r="123">
          <cell r="A123" t="str">
            <v>Clothes Dryer RES 18 Year EUL</v>
          </cell>
          <cell r="B123">
            <v>0.89146752984293332</v>
          </cell>
        </row>
        <row r="124">
          <cell r="A124" t="str">
            <v>Clothes Dryer RES 19 Year EUL</v>
          </cell>
          <cell r="B124">
            <v>0.92149940062184843</v>
          </cell>
        </row>
        <row r="125">
          <cell r="A125" t="str">
            <v>Clothes Dryer RES 2 Year EUL</v>
          </cell>
          <cell r="B125">
            <v>0.15101469110335886</v>
          </cell>
        </row>
        <row r="126">
          <cell r="A126" t="str">
            <v>Clothes Dryer RES 20 Year EUL</v>
          </cell>
          <cell r="B126">
            <v>0.95020901158492632</v>
          </cell>
        </row>
        <row r="127">
          <cell r="A127" t="str">
            <v>Clothes Dryer RES 21 Year EUL</v>
          </cell>
          <cell r="B127">
            <v>0.97772175998100741</v>
          </cell>
        </row>
        <row r="128">
          <cell r="A128" t="str">
            <v>Clothes Dryer RES 22 Year EUL</v>
          </cell>
          <cell r="B128">
            <v>1.0040231226342788</v>
          </cell>
        </row>
        <row r="129">
          <cell r="A129" t="str">
            <v>Clothes Dryer RES 23 Year EUL</v>
          </cell>
          <cell r="B129">
            <v>1.0291664647747554</v>
          </cell>
        </row>
        <row r="130">
          <cell r="A130" t="str">
            <v>Clothes Dryer RES 24 Year EUL</v>
          </cell>
          <cell r="B130">
            <v>1.053202799481062</v>
          </cell>
        </row>
        <row r="131">
          <cell r="A131" t="str">
            <v>Clothes Dryer RES 25 Year EUL</v>
          </cell>
          <cell r="B131">
            <v>1.0761808914109234</v>
          </cell>
        </row>
        <row r="132">
          <cell r="A132" t="str">
            <v>Clothes Dryer RES 3 Year EUL</v>
          </cell>
          <cell r="B132">
            <v>0.21725735824648523</v>
          </cell>
        </row>
        <row r="133">
          <cell r="A133" t="str">
            <v>Clothes Dryer RES 4 Year EUL</v>
          </cell>
          <cell r="B133">
            <v>0.27621652610315767</v>
          </cell>
        </row>
        <row r="134">
          <cell r="A134" t="str">
            <v>Clothes Dryer RES 5 Year EUL</v>
          </cell>
          <cell r="B134">
            <v>0.33404313815087799</v>
          </cell>
        </row>
        <row r="135">
          <cell r="A135" t="str">
            <v>Clothes Dryer RES 6 Year EUL</v>
          </cell>
          <cell r="B135">
            <v>0.39137775546986492</v>
          </cell>
        </row>
        <row r="136">
          <cell r="A136" t="str">
            <v>Clothes Dryer RES 7 Year EUL</v>
          </cell>
          <cell r="B136">
            <v>0.44703059105624343</v>
          </cell>
        </row>
        <row r="137">
          <cell r="A137" t="str">
            <v>Clothes Dryer RES 8 Year EUL</v>
          </cell>
          <cell r="B137">
            <v>0.4992289659200998</v>
          </cell>
        </row>
        <row r="138">
          <cell r="A138" t="str">
            <v>Clothes Dryer RES 9 Year EUL</v>
          </cell>
          <cell r="B138">
            <v>0.54807765552665177</v>
          </cell>
        </row>
        <row r="139">
          <cell r="A139" t="str">
            <v>Clothes Washer RES 1 Year EUL</v>
          </cell>
          <cell r="B139">
            <v>7.4236944463054733E-2</v>
          </cell>
        </row>
        <row r="140">
          <cell r="A140" t="str">
            <v>Clothes Washer RES 10 Year EUL</v>
          </cell>
          <cell r="B140">
            <v>0.56387086941845532</v>
          </cell>
        </row>
        <row r="141">
          <cell r="A141" t="str">
            <v>Clothes Washer RES 11 Year EUL</v>
          </cell>
          <cell r="B141">
            <v>0.60543636149287139</v>
          </cell>
        </row>
        <row r="142">
          <cell r="A142" t="str">
            <v>Clothes Washer RES 12 Year EUL</v>
          </cell>
          <cell r="B142">
            <v>0.64465374293328237</v>
          </cell>
        </row>
        <row r="143">
          <cell r="A143" t="str">
            <v>Clothes Washer RES 13 Year EUL</v>
          </cell>
          <cell r="B143">
            <v>0.6821640860054432</v>
          </cell>
        </row>
        <row r="144">
          <cell r="A144" t="str">
            <v>Clothes Washer RES 14 Year EUL</v>
          </cell>
          <cell r="B144">
            <v>0.71802571049354624</v>
          </cell>
        </row>
        <row r="145">
          <cell r="A145" t="str">
            <v>Clothes Washer RES 15 Year EUL</v>
          </cell>
          <cell r="B145">
            <v>0.75207496355957382</v>
          </cell>
        </row>
        <row r="146">
          <cell r="A146" t="str">
            <v>Clothes Washer RES 16 Year EUL</v>
          </cell>
          <cell r="B146">
            <v>0.78462754668394019</v>
          </cell>
        </row>
        <row r="147">
          <cell r="A147" t="str">
            <v>Clothes Washer RES 17 Year EUL</v>
          </cell>
          <cell r="B147">
            <v>0.81574928003838854</v>
          </cell>
        </row>
        <row r="148">
          <cell r="A148" t="str">
            <v>Clothes Washer RES 18 Year EUL</v>
          </cell>
          <cell r="B148">
            <v>0.84550308771455507</v>
          </cell>
        </row>
        <row r="149">
          <cell r="A149" t="str">
            <v>Clothes Washer RES 19 Year EUL</v>
          </cell>
          <cell r="B149">
            <v>0.87394912521646162</v>
          </cell>
        </row>
        <row r="150">
          <cell r="A150" t="str">
            <v>Clothes Washer RES 2 Year EUL</v>
          </cell>
          <cell r="B150">
            <v>0.14370816331300298</v>
          </cell>
        </row>
        <row r="151">
          <cell r="A151" t="str">
            <v>Clothes Washer RES 20 Year EUL</v>
          </cell>
          <cell r="B151">
            <v>0.90114490133756009</v>
          </cell>
        </row>
        <row r="152">
          <cell r="A152" t="str">
            <v>Clothes Washer RES 21 Year EUL</v>
          </cell>
          <cell r="B152">
            <v>0.92720203549366809</v>
          </cell>
        </row>
        <row r="153">
          <cell r="A153" t="str">
            <v>Clothes Washer RES 22 Year EUL</v>
          </cell>
          <cell r="B153">
            <v>0.9521138706004505</v>
          </cell>
        </row>
        <row r="154">
          <cell r="A154" t="str">
            <v>Clothes Washer RES 23 Year EUL</v>
          </cell>
          <cell r="B154">
            <v>0.97593077123230199</v>
          </cell>
        </row>
        <row r="155">
          <cell r="A155" t="str">
            <v>Clothes Washer RES 24 Year EUL</v>
          </cell>
          <cell r="B155">
            <v>0.99870088606682716</v>
          </cell>
        </row>
        <row r="156">
          <cell r="A156" t="str">
            <v>Clothes Washer RES 25 Year EUL</v>
          </cell>
          <cell r="B156">
            <v>1.0204702454277965</v>
          </cell>
        </row>
        <row r="157">
          <cell r="A157" t="str">
            <v>Clothes Washer RES 3 Year EUL</v>
          </cell>
          <cell r="B157">
            <v>0.20658258812860286</v>
          </cell>
        </row>
        <row r="158">
          <cell r="A158" t="str">
            <v>Clothes Washer RES 4 Year EUL</v>
          </cell>
          <cell r="B158">
            <v>0.26233474278728797</v>
          </cell>
        </row>
        <row r="159">
          <cell r="A159" t="str">
            <v>Clothes Washer RES 5 Year EUL</v>
          </cell>
          <cell r="B159">
            <v>0.31710586358824999</v>
          </cell>
        </row>
        <row r="160">
          <cell r="A160" t="str">
            <v>Clothes Washer RES 6 Year EUL</v>
          </cell>
          <cell r="B160">
            <v>0.37152166928873304</v>
          </cell>
        </row>
        <row r="161">
          <cell r="A161" t="str">
            <v>Clothes Washer RES 7 Year EUL</v>
          </cell>
          <cell r="B161">
            <v>0.42438946709943737</v>
          </cell>
        </row>
        <row r="162">
          <cell r="A162" t="str">
            <v>Clothes Washer RES 8 Year EUL</v>
          </cell>
          <cell r="B162">
            <v>0.47393564440951436</v>
          </cell>
        </row>
        <row r="163">
          <cell r="A163" t="str">
            <v>Clothes Washer RES 9 Year EUL</v>
          </cell>
          <cell r="B163">
            <v>0.52025556468801493</v>
          </cell>
        </row>
        <row r="164">
          <cell r="A164" t="str">
            <v>Color TV RES 1 Year EUL</v>
          </cell>
          <cell r="B164">
            <v>6.8173847036115662E-2</v>
          </cell>
        </row>
        <row r="165">
          <cell r="A165" t="str">
            <v>Color TV RES 10 Year EUL</v>
          </cell>
          <cell r="B165">
            <v>0.51748052401153344</v>
          </cell>
        </row>
        <row r="166">
          <cell r="A166" t="str">
            <v>Color TV RES 11 Year EUL</v>
          </cell>
          <cell r="B166">
            <v>0.5556105241402739</v>
          </cell>
        </row>
        <row r="167">
          <cell r="A167" t="str">
            <v>Color TV RES 12 Year EUL</v>
          </cell>
          <cell r="B167">
            <v>0.59158130586668189</v>
          </cell>
        </row>
        <row r="168">
          <cell r="A168" t="str">
            <v>Color TV RES 13 Year EUL</v>
          </cell>
          <cell r="B168">
            <v>0.62598724343540191</v>
          </cell>
        </row>
        <row r="169">
          <cell r="A169" t="str">
            <v>Color TV RES 14 Year EUL</v>
          </cell>
          <cell r="B169">
            <v>0.65888156736106251</v>
          </cell>
        </row>
        <row r="170">
          <cell r="A170" t="str">
            <v>Color TV RES 15 Year EUL</v>
          </cell>
          <cell r="B170">
            <v>0.69011140987507613</v>
          </cell>
        </row>
        <row r="171">
          <cell r="A171" t="str">
            <v>Color TV RES 16 Year EUL</v>
          </cell>
          <cell r="B171">
            <v>0.71996910823758498</v>
          </cell>
        </row>
        <row r="172">
          <cell r="A172" t="str">
            <v>Color TV RES 17 Year EUL</v>
          </cell>
          <cell r="B172">
            <v>0.74851497955029789</v>
          </cell>
        </row>
        <row r="173">
          <cell r="A173" t="str">
            <v>Color TV RES 18 Year EUL</v>
          </cell>
          <cell r="B173">
            <v>0.77580668816598142</v>
          </cell>
        </row>
        <row r="174">
          <cell r="A174" t="str">
            <v>Color TV RES 19 Year EUL</v>
          </cell>
          <cell r="B174">
            <v>0.80189936241532767</v>
          </cell>
        </row>
        <row r="175">
          <cell r="A175" t="str">
            <v>Color TV RES 2 Year EUL</v>
          </cell>
          <cell r="B175">
            <v>0.13197119593759019</v>
          </cell>
        </row>
        <row r="176">
          <cell r="A176" t="str">
            <v>Color TV RES 20 Year EUL</v>
          </cell>
          <cell r="B176">
            <v>0.82684570619494469</v>
          </cell>
        </row>
        <row r="177">
          <cell r="A177" t="str">
            <v>Color TV RES 21 Year EUL</v>
          </cell>
          <cell r="B177">
            <v>0.85074647439982498</v>
          </cell>
        </row>
        <row r="178">
          <cell r="A178" t="str">
            <v>Color TV RES 22 Year EUL</v>
          </cell>
          <cell r="B178">
            <v>0.87359717785720126</v>
          </cell>
        </row>
        <row r="179">
          <cell r="A179" t="str">
            <v>Color TV RES 23 Year EUL</v>
          </cell>
          <cell r="B179">
            <v>0.89544397282108257</v>
          </cell>
        </row>
        <row r="180">
          <cell r="A180" t="str">
            <v>Color TV RES 24 Year EUL</v>
          </cell>
          <cell r="B180">
            <v>0.91633098571634597</v>
          </cell>
        </row>
        <row r="181">
          <cell r="A181" t="str">
            <v>Color TV RES 25 Year EUL</v>
          </cell>
          <cell r="B181">
            <v>0.93630040245014412</v>
          </cell>
        </row>
        <row r="182">
          <cell r="A182" t="str">
            <v>Color TV RES 3 Year EUL</v>
          </cell>
          <cell r="B182">
            <v>0.18967351535739391</v>
          </cell>
        </row>
        <row r="183">
          <cell r="A183" t="str">
            <v>Color TV RES 4 Year EUL</v>
          </cell>
          <cell r="B183">
            <v>0.24079191157142166</v>
          </cell>
        </row>
        <row r="184">
          <cell r="A184" t="str">
            <v>Color TV RES 5 Year EUL</v>
          </cell>
          <cell r="B184">
            <v>0.29103132844514024</v>
          </cell>
        </row>
        <row r="185">
          <cell r="A185" t="str">
            <v>Color TV RES 6 Year EUL</v>
          </cell>
          <cell r="B185">
            <v>0.34097004266011177</v>
          </cell>
        </row>
        <row r="186">
          <cell r="A186" t="str">
            <v>Color TV RES 7 Year EUL</v>
          </cell>
          <cell r="B186">
            <v>0.38949906027028652</v>
          </cell>
        </row>
        <row r="187">
          <cell r="A187" t="str">
            <v>Color TV RES 8 Year EUL</v>
          </cell>
          <cell r="B187">
            <v>0.4349699652534218</v>
          </cell>
        </row>
        <row r="188">
          <cell r="A188" t="str">
            <v>Color TV RES 9 Year EUL</v>
          </cell>
          <cell r="B188">
            <v>0.47746934788942352</v>
          </cell>
        </row>
        <row r="189">
          <cell r="A189" t="str">
            <v>Cooking BUS 1 Year EUL</v>
          </cell>
          <cell r="B189">
            <v>8.0089093812004006E-2</v>
          </cell>
        </row>
        <row r="190">
          <cell r="A190" t="str">
            <v>Cooking BUS 10 Year EUL</v>
          </cell>
          <cell r="B190">
            <v>0.615382510487686</v>
          </cell>
        </row>
        <row r="191">
          <cell r="A191" t="str">
            <v>Cooking BUS 11 Year EUL</v>
          </cell>
          <cell r="B191">
            <v>0.66093908941824597</v>
          </cell>
        </row>
        <row r="192">
          <cell r="A192" t="str">
            <v>Cooking BUS 12 Year EUL</v>
          </cell>
          <cell r="B192">
            <v>0.704505755243231</v>
          </cell>
        </row>
        <row r="193">
          <cell r="A193" t="str">
            <v>Cooking BUS 13 Year EUL</v>
          </cell>
          <cell r="B193">
            <v>0.74615232248485297</v>
          </cell>
        </row>
        <row r="194">
          <cell r="A194" t="str">
            <v>Cooking BUS 14 Year EUL</v>
          </cell>
          <cell r="B194">
            <v>0.78571055036558701</v>
          </cell>
        </row>
        <row r="195">
          <cell r="A195" t="str">
            <v>Cooking BUS 15 Year EUL</v>
          </cell>
          <cell r="B195">
            <v>0.82352524131647498</v>
          </cell>
        </row>
        <row r="196">
          <cell r="A196" t="str">
            <v>Cooking BUS 16 Year EUL</v>
          </cell>
          <cell r="B196">
            <v>0.85967328351596395</v>
          </cell>
        </row>
        <row r="197">
          <cell r="A197" t="str">
            <v>Cooking BUS 17 Year EUL</v>
          </cell>
          <cell r="B197">
            <v>0.894228172600674</v>
          </cell>
        </row>
        <row r="198">
          <cell r="A198" t="str">
            <v>Cooking BUS 18 Year EUL</v>
          </cell>
          <cell r="B198">
            <v>0.927260161437504</v>
          </cell>
        </row>
        <row r="199">
          <cell r="A199" t="str">
            <v>Cooking BUS 19 Year EUL</v>
          </cell>
          <cell r="B199">
            <v>0.95883640327999697</v>
          </cell>
        </row>
        <row r="200">
          <cell r="A200" t="str">
            <v>Cooking BUS 2 Year EUL</v>
          </cell>
          <cell r="B200">
            <v>0.15286604793696201</v>
          </cell>
        </row>
        <row r="201">
          <cell r="A201" t="str">
            <v>Cooking BUS 20 Year EUL</v>
          </cell>
          <cell r="B201">
            <v>0.98909941334671803</v>
          </cell>
        </row>
        <row r="202">
          <cell r="A202" t="str">
            <v>Cooking BUS 21 Year EUL</v>
          </cell>
          <cell r="B202">
            <v>1.0180286631595401</v>
          </cell>
        </row>
        <row r="203">
          <cell r="A203" t="str">
            <v>Cooking BUS 22 Year EUL</v>
          </cell>
          <cell r="B203">
            <v>1.0456829662312299</v>
          </cell>
        </row>
        <row r="204">
          <cell r="A204" t="str">
            <v>Cooking BUS 23 Year EUL</v>
          </cell>
          <cell r="B204">
            <v>1.0721185412183001</v>
          </cell>
        </row>
        <row r="205">
          <cell r="A205" t="str">
            <v>Cooking BUS 24 Year EUL</v>
          </cell>
          <cell r="B205">
            <v>1.09738912646938</v>
          </cell>
        </row>
        <row r="206">
          <cell r="A206" t="str">
            <v>Cooking BUS 25 Year EUL</v>
          </cell>
          <cell r="B206">
            <v>1.1215460895142499</v>
          </cell>
        </row>
        <row r="207">
          <cell r="A207" t="str">
            <v>Cooking BUS 26 Year EUL</v>
          </cell>
          <cell r="B207">
            <v>1.1441522686690999</v>
          </cell>
        </row>
        <row r="208">
          <cell r="A208" t="str">
            <v>Cooking BUS 27 Year EUL</v>
          </cell>
          <cell r="B208">
            <v>1.1653072182805999</v>
          </cell>
        </row>
        <row r="209">
          <cell r="A209" t="str">
            <v>Cooking BUS 28 Year EUL</v>
          </cell>
          <cell r="B209">
            <v>1.1851041016902</v>
          </cell>
        </row>
        <row r="210">
          <cell r="A210" t="str">
            <v>Cooking BUS 29 Year EUL</v>
          </cell>
          <cell r="B210">
            <v>1.2036301015120301</v>
          </cell>
        </row>
        <row r="211">
          <cell r="A211" t="str">
            <v>Cooking BUS 3 Year EUL</v>
          </cell>
          <cell r="B211">
            <v>0.21777520350197299</v>
          </cell>
        </row>
        <row r="212">
          <cell r="A212" t="str">
            <v>Cooking BUS 30 Year EUL</v>
          </cell>
          <cell r="B212">
            <v>1.2209668035725001</v>
          </cell>
        </row>
        <row r="213">
          <cell r="A213" t="str">
            <v>Cooking BUS 4 Year EUL</v>
          </cell>
          <cell r="B213">
            <v>0.281379822417194</v>
          </cell>
        </row>
        <row r="214">
          <cell r="A214" t="str">
            <v>Cooking BUS 5 Year EUL</v>
          </cell>
          <cell r="B214">
            <v>0.34437227823252903</v>
          </cell>
        </row>
        <row r="215">
          <cell r="A215" t="str">
            <v>Cooking BUS 6 Year EUL</v>
          </cell>
          <cell r="B215">
            <v>0.40548609733483598</v>
          </cell>
        </row>
        <row r="216">
          <cell r="A216" t="str">
            <v>Cooking BUS 7 Year EUL</v>
          </cell>
          <cell r="B216">
            <v>0.46283216583522202</v>
          </cell>
        </row>
        <row r="217">
          <cell r="A217" t="str">
            <v>Cooking BUS 8 Year EUL</v>
          </cell>
          <cell r="B217">
            <v>0.51652821480939004</v>
          </cell>
        </row>
        <row r="218">
          <cell r="A218" t="str">
            <v>Cooking BUS 9 Year EUL</v>
          </cell>
          <cell r="B218">
            <v>0.56714175693493996</v>
          </cell>
        </row>
        <row r="219">
          <cell r="A219" t="str">
            <v>Cooking RES 1 Year EUL</v>
          </cell>
          <cell r="B219">
            <v>7.6611274509476482E-2</v>
          </cell>
        </row>
        <row r="220">
          <cell r="A220" t="str">
            <v>Cooking RES 10 Year EUL</v>
          </cell>
          <cell r="B220">
            <v>0.58350717140584685</v>
          </cell>
        </row>
        <row r="221">
          <cell r="A221" t="str">
            <v>Cooking RES 11 Year EUL</v>
          </cell>
          <cell r="B221">
            <v>0.62659531246778533</v>
          </cell>
        </row>
        <row r="222">
          <cell r="A222" t="str">
            <v>Cooking RES 12 Year EUL</v>
          </cell>
          <cell r="B222">
            <v>0.66727391807407777</v>
          </cell>
        </row>
        <row r="223">
          <cell r="A223" t="str">
            <v>Cooking RES 13 Year EUL</v>
          </cell>
          <cell r="B223">
            <v>0.70617771962437081</v>
          </cell>
        </row>
        <row r="224">
          <cell r="A224" t="str">
            <v>Cooking RES 14 Year EUL</v>
          </cell>
          <cell r="B224">
            <v>0.74336844913985944</v>
          </cell>
        </row>
        <row r="225">
          <cell r="A225" t="str">
            <v>Cooking RES 15 Year EUL</v>
          </cell>
          <cell r="B225">
            <v>0.77868946050175125</v>
          </cell>
        </row>
        <row r="226">
          <cell r="A226" t="str">
            <v>Cooking RES 16 Year EUL</v>
          </cell>
          <cell r="B226">
            <v>0.81245507507607739</v>
          </cell>
        </row>
        <row r="227">
          <cell r="A227" t="str">
            <v>Cooking RES 17 Year EUL</v>
          </cell>
          <cell r="B227">
            <v>0.84473382237723738</v>
          </cell>
        </row>
        <row r="228">
          <cell r="A228" t="str">
            <v>Cooking RES 18 Year EUL</v>
          </cell>
          <cell r="B228">
            <v>0.87559121095276793</v>
          </cell>
        </row>
        <row r="229">
          <cell r="A229" t="str">
            <v>Cooking RES 19 Year EUL</v>
          </cell>
          <cell r="B229">
            <v>0.90508986162787108</v>
          </cell>
        </row>
        <row r="230">
          <cell r="A230" t="str">
            <v>Cooking RES 2 Year EUL</v>
          </cell>
          <cell r="B230">
            <v>0.14830440057112396</v>
          </cell>
        </row>
        <row r="231">
          <cell r="A231" t="str">
            <v>Cooking RES 20 Year EUL</v>
          </cell>
          <cell r="B231">
            <v>0.93328963486975525</v>
          </cell>
        </row>
        <row r="232">
          <cell r="A232" t="str">
            <v>Cooking RES 21 Year EUL</v>
          </cell>
          <cell r="B232">
            <v>0.96031401228314972</v>
          </cell>
        </row>
        <row r="233">
          <cell r="A233" t="str">
            <v>Cooking RES 22 Year EUL</v>
          </cell>
          <cell r="B233">
            <v>0.98614842022861704</v>
          </cell>
        </row>
        <row r="234">
          <cell r="A234" t="str">
            <v>Cooking RES 23 Year EUL</v>
          </cell>
          <cell r="B234">
            <v>1.010845284363989</v>
          </cell>
        </row>
        <row r="235">
          <cell r="A235" t="str">
            <v>Cooking RES 24 Year EUL</v>
          </cell>
          <cell r="B235">
            <v>1.0344547194351779</v>
          </cell>
        </row>
        <row r="236">
          <cell r="A236" t="str">
            <v>Cooking RES 25 Year EUL</v>
          </cell>
          <cell r="B236">
            <v>1.0570246311957578</v>
          </cell>
        </row>
        <row r="237">
          <cell r="A237" t="str">
            <v>Cooking RES 3 Year EUL</v>
          </cell>
          <cell r="B237">
            <v>0.21336528671198721</v>
          </cell>
        </row>
        <row r="238">
          <cell r="A238" t="str">
            <v>Cooking RES 4 Year EUL</v>
          </cell>
          <cell r="B238">
            <v>0.27128169455786549</v>
          </cell>
        </row>
        <row r="239">
          <cell r="A239" t="str">
            <v>Cooking RES 5 Year EUL</v>
          </cell>
          <cell r="B239">
            <v>0.32808167191387311</v>
          </cell>
        </row>
        <row r="240">
          <cell r="A240" t="str">
            <v>Cooking RES 6 Year EUL</v>
          </cell>
          <cell r="B240">
            <v>0.38439358217964698</v>
          </cell>
        </row>
        <row r="241">
          <cell r="A241" t="str">
            <v>Cooking RES 7 Year EUL</v>
          </cell>
          <cell r="B241">
            <v>0.43905161801132236</v>
          </cell>
        </row>
        <row r="242">
          <cell r="A242" t="str">
            <v>Cooking RES 8 Year EUL</v>
          </cell>
          <cell r="B242">
            <v>0.49031868054303634</v>
          </cell>
        </row>
        <row r="243">
          <cell r="A243" t="str">
            <v>Cooking RES 9 Year EUL</v>
          </cell>
          <cell r="B243">
            <v>0.53829785341960523</v>
          </cell>
        </row>
        <row r="244">
          <cell r="A244" t="str">
            <v>Cooling BUS 1 Year EUL</v>
          </cell>
          <cell r="B244">
            <v>0.18100507251543599</v>
          </cell>
        </row>
        <row r="245">
          <cell r="A245" t="str">
            <v>Cooling BUS 10 Year EUL</v>
          </cell>
          <cell r="B245">
            <v>1.4385474790086299</v>
          </cell>
        </row>
        <row r="246">
          <cell r="A246" t="str">
            <v>Cooling BUS 11 Year EUL</v>
          </cell>
          <cell r="B246">
            <v>1.54701203052133</v>
          </cell>
        </row>
        <row r="247">
          <cell r="A247" t="str">
            <v>Cooling BUS 12 Year EUL</v>
          </cell>
          <cell r="B247">
            <v>1.6506289683509601</v>
          </cell>
        </row>
        <row r="248">
          <cell r="A248" t="str">
            <v>Cooling BUS 13 Year EUL</v>
          </cell>
          <cell r="B248">
            <v>1.7495972282510699</v>
          </cell>
        </row>
        <row r="249">
          <cell r="A249" t="str">
            <v>Cooling BUS 14 Year EUL</v>
          </cell>
          <cell r="B249">
            <v>1.84386219924971</v>
          </cell>
        </row>
        <row r="250">
          <cell r="A250" t="str">
            <v>Cooling BUS 15 Year EUL</v>
          </cell>
          <cell r="B250">
            <v>1.93389784286023</v>
          </cell>
        </row>
        <row r="251">
          <cell r="A251" t="str">
            <v>Cooling BUS 16 Year EUL</v>
          </cell>
          <cell r="B251">
            <v>2.0198940025644898</v>
          </cell>
        </row>
        <row r="252">
          <cell r="A252" t="str">
            <v>Cooling BUS 17 Year EUL</v>
          </cell>
          <cell r="B252">
            <v>2.1020319963606</v>
          </cell>
        </row>
        <row r="253">
          <cell r="A253" t="str">
            <v>Cooling BUS 18 Year EUL</v>
          </cell>
          <cell r="B253">
            <v>2.1804849997964801</v>
          </cell>
        </row>
        <row r="254">
          <cell r="A254" t="str">
            <v>Cooling BUS 19 Year EUL</v>
          </cell>
          <cell r="B254">
            <v>2.2554184117868701</v>
          </cell>
        </row>
        <row r="255">
          <cell r="A255" t="str">
            <v>Cooling BUS 2 Year EUL</v>
          </cell>
          <cell r="B255">
            <v>0.350153946876408</v>
          </cell>
        </row>
        <row r="256">
          <cell r="A256" t="str">
            <v>Cooling BUS 20 Year EUL</v>
          </cell>
          <cell r="B256">
            <v>2.3273749069595802</v>
          </cell>
        </row>
        <row r="257">
          <cell r="A257" t="str">
            <v>Cooling BUS 21 Year EUL</v>
          </cell>
          <cell r="B257">
            <v>2.3961031640956398</v>
          </cell>
        </row>
        <row r="258">
          <cell r="A258" t="str">
            <v>Cooling BUS 22 Year EUL</v>
          </cell>
          <cell r="B258">
            <v>2.4617480820865798</v>
          </cell>
        </row>
        <row r="259">
          <cell r="A259" t="str">
            <v>Cooling BUS 23 Year EUL</v>
          </cell>
          <cell r="B259">
            <v>2.52444805307442</v>
          </cell>
        </row>
        <row r="260">
          <cell r="A260" t="str">
            <v>Cooling BUS 24 Year EUL</v>
          </cell>
          <cell r="B260">
            <v>2.58433525477143</v>
          </cell>
        </row>
        <row r="261">
          <cell r="A261" t="str">
            <v>Cooling BUS 25 Year EUL</v>
          </cell>
          <cell r="B261">
            <v>2.64153592964142</v>
          </cell>
        </row>
        <row r="262">
          <cell r="A262" t="str">
            <v>Cooling BUS 26 Year EUL</v>
          </cell>
          <cell r="B262">
            <v>2.69506454172264</v>
          </cell>
        </row>
        <row r="263">
          <cell r="A263" t="str">
            <v>Cooling BUS 27 Year EUL</v>
          </cell>
          <cell r="B263">
            <v>2.7451568232884398</v>
          </cell>
        </row>
        <row r="264">
          <cell r="A264" t="str">
            <v>Cooling BUS 28 Year EUL</v>
          </cell>
          <cell r="B264">
            <v>2.7920333735091099</v>
          </cell>
        </row>
        <row r="265">
          <cell r="A265" t="str">
            <v>Cooling BUS 29 Year EUL</v>
          </cell>
          <cell r="B265">
            <v>2.8359006299387</v>
          </cell>
        </row>
        <row r="266">
          <cell r="A266" t="str">
            <v>Cooling BUS 3 Year EUL</v>
          </cell>
          <cell r="B266">
            <v>0.50699001717710701</v>
          </cell>
        </row>
        <row r="267">
          <cell r="A267" t="str">
            <v>Cooling BUS 30 Year EUL</v>
          </cell>
          <cell r="B267">
            <v>2.8769517776362501</v>
          </cell>
        </row>
        <row r="268">
          <cell r="A268" t="str">
            <v>Cooling BUS 4 Year EUL</v>
          </cell>
          <cell r="B268">
            <v>0.65811071712511804</v>
          </cell>
        </row>
        <row r="269">
          <cell r="A269" t="str">
            <v>Cooling BUS 5 Year EUL</v>
          </cell>
          <cell r="B269">
            <v>0.80461883909879095</v>
          </cell>
        </row>
        <row r="270">
          <cell r="A270" t="str">
            <v>Cooling BUS 6 Year EUL</v>
          </cell>
          <cell r="B270">
            <v>0.94538200822573804</v>
          </cell>
        </row>
        <row r="271">
          <cell r="A271" t="str">
            <v>Cooling BUS 7 Year EUL</v>
          </cell>
          <cell r="B271">
            <v>1.0786110179478501</v>
          </cell>
        </row>
        <row r="272">
          <cell r="A272" t="str">
            <v>Cooling BUS 8 Year EUL</v>
          </cell>
          <cell r="B272">
            <v>1.20469617753643</v>
          </cell>
        </row>
        <row r="273">
          <cell r="A273" t="str">
            <v>Cooling BUS 9 Year EUL</v>
          </cell>
          <cell r="B273">
            <v>1.32438034223396</v>
          </cell>
        </row>
        <row r="274">
          <cell r="A274" t="str">
            <v>Cooling RES 1 Year EUL</v>
          </cell>
          <cell r="B274">
            <v>0.19315680364299076</v>
          </cell>
        </row>
        <row r="275">
          <cell r="A275" t="str">
            <v>Cooling RES 10 Year EUL</v>
          </cell>
          <cell r="B275">
            <v>1.5143867191281133</v>
          </cell>
        </row>
        <row r="276">
          <cell r="A276" t="str">
            <v>Cooling RES 11 Year EUL</v>
          </cell>
          <cell r="B276">
            <v>1.6282363263080439</v>
          </cell>
        </row>
        <row r="277">
          <cell r="A277" t="str">
            <v>Cooling RES 12 Year EUL</v>
          </cell>
          <cell r="B277">
            <v>1.7363797758032993</v>
          </cell>
        </row>
        <row r="278">
          <cell r="A278" t="str">
            <v>Cooling RES 13 Year EUL</v>
          </cell>
          <cell r="B278">
            <v>1.8396932288907328</v>
          </cell>
        </row>
        <row r="279">
          <cell r="A279" t="str">
            <v>Cooling RES 14 Year EUL</v>
          </cell>
          <cell r="B279">
            <v>1.9383740598678132</v>
          </cell>
        </row>
        <row r="280">
          <cell r="A280" t="str">
            <v>Cooling RES 15 Year EUL</v>
          </cell>
          <cell r="B280">
            <v>2.032357535713917</v>
          </cell>
        </row>
        <row r="281">
          <cell r="A281" t="str">
            <v>Cooling RES 16 Year EUL</v>
          </cell>
          <cell r="B281">
            <v>2.1221265288765858</v>
          </cell>
        </row>
        <row r="282">
          <cell r="A282" t="str">
            <v>Cooling RES 17 Year EUL</v>
          </cell>
          <cell r="B282">
            <v>2.2078701192079859</v>
          </cell>
        </row>
        <row r="283">
          <cell r="A283" t="str">
            <v>Cooling RES 18 Year EUL</v>
          </cell>
          <cell r="B283">
            <v>2.2897688996407912</v>
          </cell>
        </row>
        <row r="284">
          <cell r="A284" t="str">
            <v>Cooling RES 19 Year EUL</v>
          </cell>
          <cell r="B284">
            <v>2.3679953573016546</v>
          </cell>
        </row>
        <row r="285">
          <cell r="A285" t="str">
            <v>Cooling RES 2 Year EUL</v>
          </cell>
          <cell r="B285">
            <v>0.37391368521045359</v>
          </cell>
        </row>
        <row r="286">
          <cell r="A286" t="str">
            <v>Cooling RES 20 Year EUL</v>
          </cell>
          <cell r="B286">
            <v>2.4427142375027251</v>
          </cell>
        </row>
        <row r="287">
          <cell r="A287" t="str">
            <v>Cooling RES 21 Year EUL</v>
          </cell>
          <cell r="B287">
            <v>2.5144605631165309</v>
          </cell>
        </row>
        <row r="288">
          <cell r="A288" t="str">
            <v>Cooling RES 22 Year EUL</v>
          </cell>
          <cell r="B288">
            <v>2.58298977485439</v>
          </cell>
        </row>
        <row r="289">
          <cell r="A289" t="str">
            <v>Cooling RES 23 Year EUL</v>
          </cell>
          <cell r="B289">
            <v>2.648446197841841</v>
          </cell>
        </row>
        <row r="290">
          <cell r="A290" t="str">
            <v>Cooling RES 24 Year EUL</v>
          </cell>
          <cell r="B290">
            <v>2.7109676794892801</v>
          </cell>
        </row>
        <row r="291">
          <cell r="A291" t="str">
            <v>Cooling RES 25 Year EUL</v>
          </cell>
          <cell r="B291">
            <v>2.7706858803638101</v>
          </cell>
        </row>
        <row r="292">
          <cell r="A292" t="str">
            <v>Cooling RES 3 Year EUL</v>
          </cell>
          <cell r="B292">
            <v>0.54268439626374521</v>
          </cell>
        </row>
        <row r="293">
          <cell r="A293" t="str">
            <v>Cooling RES 4 Year EUL</v>
          </cell>
          <cell r="B293">
            <v>0.69898792949177391</v>
          </cell>
        </row>
        <row r="294">
          <cell r="A294" t="str">
            <v>Cooling RES 5 Year EUL</v>
          </cell>
          <cell r="B294">
            <v>0.84967058049234345</v>
          </cell>
        </row>
        <row r="295">
          <cell r="A295" t="str">
            <v>Cooling RES 6 Year EUL</v>
          </cell>
          <cell r="B295">
            <v>0.99584809732409096</v>
          </cell>
        </row>
        <row r="296">
          <cell r="A296" t="str">
            <v>Cooling RES ER1 6 Year EUL</v>
          </cell>
          <cell r="B296">
            <v>0.99584809732409096</v>
          </cell>
        </row>
        <row r="297">
          <cell r="A297" t="str">
            <v>Cooling RES 7 Year EUL</v>
          </cell>
          <cell r="B297">
            <v>1.1363354849627088</v>
          </cell>
        </row>
        <row r="298">
          <cell r="A298" t="str">
            <v>Cooling RES 8 Year EUL</v>
          </cell>
          <cell r="B298">
            <v>1.2692683194269354</v>
          </cell>
        </row>
        <row r="299">
          <cell r="A299" t="str">
            <v>Cooling RES 9 Year EUL</v>
          </cell>
          <cell r="B299">
            <v>1.3950324844498243</v>
          </cell>
        </row>
        <row r="300">
          <cell r="A300" t="str">
            <v>Cooling RES ER2 12 Year EUL</v>
          </cell>
          <cell r="B300">
            <v>1.2939208023167001</v>
          </cell>
        </row>
        <row r="301">
          <cell r="A301" t="str">
            <v>Dishwasher RES 1 Year EUL</v>
          </cell>
          <cell r="B301">
            <v>6.5806458771008033E-2</v>
          </cell>
        </row>
        <row r="302">
          <cell r="A302" t="str">
            <v>Dishwasher RES 10 Year EUL</v>
          </cell>
          <cell r="B302">
            <v>0.49715258709923615</v>
          </cell>
        </row>
        <row r="303">
          <cell r="A303" t="str">
            <v>Dishwasher RES 11 Year EUL</v>
          </cell>
          <cell r="B303">
            <v>0.53367402718886625</v>
          </cell>
        </row>
        <row r="304">
          <cell r="A304" t="str">
            <v>Dishwasher RES 12 Year EUL</v>
          </cell>
          <cell r="B304">
            <v>0.56809109983668338</v>
          </cell>
        </row>
        <row r="305">
          <cell r="A305" t="str">
            <v>Dishwasher RES 13 Year EUL</v>
          </cell>
          <cell r="B305">
            <v>0.60101705363186098</v>
          </cell>
        </row>
        <row r="306">
          <cell r="A306" t="str">
            <v>Dishwasher RES 14 Year EUL</v>
          </cell>
          <cell r="B306">
            <v>0.63250099348043309</v>
          </cell>
        </row>
        <row r="307">
          <cell r="A307" t="str">
            <v>Dishwasher RES 15 Year EUL</v>
          </cell>
          <cell r="B307">
            <v>0.66237734174482943</v>
          </cell>
        </row>
        <row r="308">
          <cell r="A308" t="str">
            <v>Dishwasher RES 16 Year EUL</v>
          </cell>
          <cell r="B308">
            <v>0.69094517834592806</v>
          </cell>
        </row>
        <row r="309">
          <cell r="A309" t="str">
            <v>Dishwasher RES 17 Year EUL</v>
          </cell>
          <cell r="B309">
            <v>0.71826183644585617</v>
          </cell>
        </row>
        <row r="310">
          <cell r="A310" t="str">
            <v>Dishwasher RES 18 Year EUL</v>
          </cell>
          <cell r="B310">
            <v>0.7443821360641949</v>
          </cell>
        </row>
        <row r="311">
          <cell r="A311" t="str">
            <v>Dishwasher RES 19 Year EUL</v>
          </cell>
          <cell r="B311">
            <v>0.76935849428669822</v>
          </cell>
        </row>
        <row r="312">
          <cell r="A312" t="str">
            <v>Dishwasher RES 2 Year EUL</v>
          </cell>
          <cell r="B312">
            <v>0.1273883966065012</v>
          </cell>
        </row>
        <row r="313">
          <cell r="A313" t="str">
            <v>Dishwasher RES 20 Year EUL</v>
          </cell>
          <cell r="B313">
            <v>0.79324103063889861</v>
          </cell>
        </row>
        <row r="314">
          <cell r="A314" t="str">
            <v>Dishwasher RES 21 Year EUL</v>
          </cell>
          <cell r="B314">
            <v>0.81611479517796581</v>
          </cell>
        </row>
        <row r="315">
          <cell r="A315" t="str">
            <v>Dishwasher RES 22 Year EUL</v>
          </cell>
          <cell r="B315">
            <v>0.83798679424600531</v>
          </cell>
        </row>
        <row r="316">
          <cell r="A316" t="str">
            <v>Dishwasher RES 23 Year EUL</v>
          </cell>
          <cell r="B316">
            <v>0.85890091850173378</v>
          </cell>
        </row>
        <row r="317">
          <cell r="A317" t="str">
            <v>Dishwasher RES 24 Year EUL</v>
          </cell>
          <cell r="B317">
            <v>0.87889913480135129</v>
          </cell>
        </row>
        <row r="318">
          <cell r="A318" t="str">
            <v>Dishwasher RES 25 Year EUL</v>
          </cell>
          <cell r="B318">
            <v>0.89802157055841325</v>
          </cell>
        </row>
        <row r="319">
          <cell r="A319" t="str">
            <v>Dishwasher RES 3 Year EUL</v>
          </cell>
          <cell r="B319">
            <v>0.18282856726153876</v>
          </cell>
        </row>
        <row r="320">
          <cell r="A320" t="str">
            <v>Dishwasher RES 4 Year EUL</v>
          </cell>
          <cell r="B320">
            <v>0.23161082979250566</v>
          </cell>
        </row>
        <row r="321">
          <cell r="A321" t="str">
            <v>Dishwasher RES 5 Year EUL</v>
          </cell>
          <cell r="B321">
            <v>0.27969775197404922</v>
          </cell>
        </row>
        <row r="322">
          <cell r="A322" t="str">
            <v>Dishwasher RES 6 Year EUL</v>
          </cell>
          <cell r="B322">
            <v>0.3276730944983165</v>
          </cell>
        </row>
        <row r="323">
          <cell r="A323" t="str">
            <v>Dishwasher RES 7 Year EUL</v>
          </cell>
          <cell r="B323">
            <v>0.37437064883906507</v>
          </cell>
        </row>
        <row r="324">
          <cell r="A324" t="str">
            <v>Dishwasher RES 8 Year EUL</v>
          </cell>
          <cell r="B324">
            <v>0.41806199464277233</v>
          </cell>
        </row>
        <row r="325">
          <cell r="A325" t="str">
            <v>Dishwasher RES 9 Year EUL</v>
          </cell>
          <cell r="B325">
            <v>0.45882384089224548</v>
          </cell>
        </row>
        <row r="326">
          <cell r="A326" t="str">
            <v>Ext Lighting BUS 1 Year EUL</v>
          </cell>
          <cell r="B326">
            <v>4.4564911431382498E-2</v>
          </cell>
        </row>
        <row r="327">
          <cell r="A327" t="str">
            <v>Ext Lighting BUS 10 Year EUL</v>
          </cell>
          <cell r="B327">
            <v>0.33264532852883699</v>
          </cell>
        </row>
        <row r="328">
          <cell r="A328" t="str">
            <v>Ext Lighting BUS 11 Year EUL</v>
          </cell>
          <cell r="B328">
            <v>0.35686768219967202</v>
          </cell>
        </row>
        <row r="329">
          <cell r="A329" t="str">
            <v>Ext Lighting BUS 12 Year EUL</v>
          </cell>
          <cell r="B329">
            <v>0.38005450336799401</v>
          </cell>
        </row>
        <row r="330">
          <cell r="A330" t="str">
            <v>Ext Lighting BUS 13 Year EUL</v>
          </cell>
          <cell r="B330">
            <v>0.402236212692206</v>
          </cell>
        </row>
        <row r="331">
          <cell r="A331" t="str">
            <v>Ext Lighting BUS 14 Year EUL</v>
          </cell>
          <cell r="B331">
            <v>0.42325251324183299</v>
          </cell>
        </row>
        <row r="332">
          <cell r="A332" t="str">
            <v>Ext Lighting BUS 15 Year EUL</v>
          </cell>
          <cell r="B332">
            <v>0.44335778851233099</v>
          </cell>
        </row>
        <row r="333">
          <cell r="A333" t="str">
            <v>Ext Lighting BUS 16 Year EUL</v>
          </cell>
          <cell r="B333">
            <v>0.46259153093599797</v>
          </cell>
        </row>
        <row r="334">
          <cell r="A334" t="str">
            <v>Ext Lighting BUS 17 Year EUL</v>
          </cell>
          <cell r="B334">
            <v>0.48099152093202402</v>
          </cell>
        </row>
        <row r="335">
          <cell r="A335" t="str">
            <v>Ext Lighting BUS 18 Year EUL</v>
          </cell>
          <cell r="B335">
            <v>0.49859390112470298</v>
          </cell>
        </row>
        <row r="336">
          <cell r="A336" t="str">
            <v>Ext Lighting BUS 19 Year EUL</v>
          </cell>
          <cell r="B336">
            <v>0.515433247344107</v>
          </cell>
        </row>
        <row r="337">
          <cell r="A337" t="str">
            <v>Ext Lighting BUS 2 Year EUL</v>
          </cell>
          <cell r="B337">
            <v>8.4104806292561701E-2</v>
          </cell>
        </row>
        <row r="338">
          <cell r="A338" t="str">
            <v>Ext Lighting BUS 20 Year EUL</v>
          </cell>
          <cell r="B338">
            <v>0.53154368983550304</v>
          </cell>
        </row>
        <row r="339">
          <cell r="A339" t="str">
            <v>Ext Lighting BUS 21 Year EUL</v>
          </cell>
          <cell r="B339">
            <v>0.54695577047340904</v>
          </cell>
        </row>
        <row r="340">
          <cell r="A340" t="str">
            <v>Ext Lighting BUS 22 Year EUL</v>
          </cell>
          <cell r="B340">
            <v>0.56169976276881695</v>
          </cell>
        </row>
        <row r="341">
          <cell r="A341" t="str">
            <v>Ext Lighting BUS 23 Year EUL</v>
          </cell>
          <cell r="B341">
            <v>0.57580462786733999</v>
          </cell>
        </row>
        <row r="342">
          <cell r="A342" t="str">
            <v>Ext Lighting BUS 24 Year EUL</v>
          </cell>
          <cell r="B342">
            <v>0.58929807144195001</v>
          </cell>
        </row>
        <row r="343">
          <cell r="A343" t="str">
            <v>Ext Lighting BUS 25 Year EUL</v>
          </cell>
          <cell r="B343">
            <v>0.602206598119295</v>
          </cell>
        </row>
        <row r="344">
          <cell r="A344" t="str">
            <v>Ext Lighting BUS 26 Year EUL</v>
          </cell>
          <cell r="B344">
            <v>0.61428644715293301</v>
          </cell>
        </row>
        <row r="345">
          <cell r="A345" t="str">
            <v>Ext Lighting BUS 27 Year EUL</v>
          </cell>
          <cell r="B345">
            <v>0.62559081645261405</v>
          </cell>
        </row>
        <row r="346">
          <cell r="A346" t="str">
            <v>Ext Lighting BUS 28 Year EUL</v>
          </cell>
          <cell r="B346">
            <v>0.636169488827384</v>
          </cell>
        </row>
        <row r="347">
          <cell r="A347" t="str">
            <v>Ext Lighting BUS 29 Year EUL</v>
          </cell>
          <cell r="B347">
            <v>0.64606905122189195</v>
          </cell>
        </row>
        <row r="348">
          <cell r="A348" t="str">
            <v>Ext Lighting BUS 3 Year EUL</v>
          </cell>
          <cell r="B348">
            <v>0.11814683061438799</v>
          </cell>
        </row>
        <row r="349">
          <cell r="A349" t="str">
            <v>Ext Lighting BUS 30 Year EUL</v>
          </cell>
          <cell r="B349">
            <v>0.65533309987855304</v>
          </cell>
        </row>
        <row r="350">
          <cell r="A350" t="str">
            <v>Ext Lighting BUS 4 Year EUL</v>
          </cell>
          <cell r="B350">
            <v>0.15202959492451601</v>
          </cell>
        </row>
        <row r="351">
          <cell r="A351" t="str">
            <v>Ext Lighting BUS 5 Year EUL</v>
          </cell>
          <cell r="B351">
            <v>0.18623297402865999</v>
          </cell>
        </row>
        <row r="352">
          <cell r="A352" t="str">
            <v>Ext Lighting BUS 6 Year EUL</v>
          </cell>
          <cell r="B352">
            <v>0.219697996928407</v>
          </cell>
        </row>
        <row r="353">
          <cell r="A353" t="str">
            <v>Ext Lighting BUS 7 Year EUL</v>
          </cell>
          <cell r="B353">
            <v>0.25086556983949698</v>
          </cell>
        </row>
        <row r="354">
          <cell r="A354" t="str">
            <v>Ext Lighting BUS 8 Year EUL</v>
          </cell>
          <cell r="B354">
            <v>0.27977576307089402</v>
          </cell>
        </row>
        <row r="355">
          <cell r="A355" t="str">
            <v>Ext Lighting BUS 9 Year EUL</v>
          </cell>
          <cell r="B355">
            <v>0.30685489442855302</v>
          </cell>
        </row>
        <row r="356">
          <cell r="A356" t="str">
            <v>Freezer RES 1 Year EUL</v>
          </cell>
          <cell r="B356">
            <v>7.2138214284916596E-2</v>
          </cell>
        </row>
        <row r="357">
          <cell r="A357" t="str">
            <v>Freezer RES 10 Year EUL</v>
          </cell>
          <cell r="B357">
            <v>0.54888914682689161</v>
          </cell>
        </row>
        <row r="358">
          <cell r="A358" t="str">
            <v>Freezer RES 11 Year EUL</v>
          </cell>
          <cell r="B358">
            <v>0.58939528082609782</v>
          </cell>
        </row>
        <row r="359">
          <cell r="A359" t="str">
            <v>Freezer RES 12 Year EUL</v>
          </cell>
          <cell r="B359">
            <v>0.62762787604511894</v>
          </cell>
        </row>
        <row r="360">
          <cell r="A360" t="str">
            <v>Freezer RES 13 Year EUL</v>
          </cell>
          <cell r="B360">
            <v>0.66419380585761811</v>
          </cell>
        </row>
        <row r="361">
          <cell r="A361" t="str">
            <v>Freezer RES 14 Year EUL</v>
          </cell>
          <cell r="B361">
            <v>0.69915066769637857</v>
          </cell>
        </row>
        <row r="362">
          <cell r="A362" t="str">
            <v>Freezer RES 15 Year EUL</v>
          </cell>
          <cell r="B362">
            <v>0.73234676554630562</v>
          </cell>
        </row>
        <row r="363">
          <cell r="A363" t="str">
            <v>Freezer RES 16 Year EUL</v>
          </cell>
          <cell r="B363">
            <v>0.7640820028215306</v>
          </cell>
        </row>
        <row r="364">
          <cell r="A364" t="str">
            <v>Freezer RES 17 Year EUL</v>
          </cell>
          <cell r="B364">
            <v>0.79442070073187065</v>
          </cell>
        </row>
        <row r="365">
          <cell r="A365" t="str">
            <v>Freezer RES 18 Year EUL</v>
          </cell>
          <cell r="B365">
            <v>0.82342434696221356</v>
          </cell>
        </row>
        <row r="366">
          <cell r="A366" t="str">
            <v>Freezer RES 19 Year EUL</v>
          </cell>
          <cell r="B366">
            <v>0.8511517205634147</v>
          </cell>
        </row>
        <row r="367">
          <cell r="A367" t="str">
            <v>Freezer RES 2 Year EUL</v>
          </cell>
          <cell r="B367">
            <v>0.13964543334248405</v>
          </cell>
        </row>
        <row r="368">
          <cell r="A368" t="str">
            <v>Freezer RES 20 Year EUL</v>
          </cell>
          <cell r="B368">
            <v>0.87765901133551172</v>
          </cell>
        </row>
        <row r="369">
          <cell r="A369" t="str">
            <v>Freezer RES 21 Year EUL</v>
          </cell>
          <cell r="B369">
            <v>0.9030596488211966</v>
          </cell>
        </row>
        <row r="370">
          <cell r="A370" t="str">
            <v>Freezer RES 22 Year EUL</v>
          </cell>
          <cell r="B370">
            <v>0.92734255093072415</v>
          </cell>
        </row>
        <row r="371">
          <cell r="A371" t="str">
            <v>Freezer RES 23 Year EUL</v>
          </cell>
          <cell r="B371">
            <v>0.95055692803201364</v>
          </cell>
        </row>
        <row r="372">
          <cell r="A372" t="str">
            <v>Freezer RES 24 Year EUL</v>
          </cell>
          <cell r="B372">
            <v>0.97274982278299627</v>
          </cell>
        </row>
        <row r="373">
          <cell r="A373" t="str">
            <v>Freezer RES 25 Year EUL</v>
          </cell>
          <cell r="B373">
            <v>0.99396620566963578</v>
          </cell>
        </row>
        <row r="374">
          <cell r="A374" t="str">
            <v>Freezer RES 3 Year EUL</v>
          </cell>
          <cell r="B374">
            <v>0.20084747389184082</v>
          </cell>
        </row>
        <row r="375">
          <cell r="A375" t="str">
            <v>Freezer RES 4 Year EUL</v>
          </cell>
          <cell r="B375">
            <v>0.25525170684291792</v>
          </cell>
        </row>
        <row r="376">
          <cell r="A376" t="str">
            <v>Freezer RES 5 Year EUL</v>
          </cell>
          <cell r="B376">
            <v>0.30864034962512327</v>
          </cell>
        </row>
        <row r="377">
          <cell r="A377" t="str">
            <v>Freezer RES 6 Year EUL</v>
          </cell>
          <cell r="B377">
            <v>0.36161103105015302</v>
          </cell>
        </row>
        <row r="378">
          <cell r="A378" t="str">
            <v>Freezer RES 7 Year EUL</v>
          </cell>
          <cell r="B378">
            <v>0.41304371968954873</v>
          </cell>
        </row>
        <row r="379">
          <cell r="A379" t="str">
            <v>Freezer RES 8 Year EUL</v>
          </cell>
          <cell r="B379">
            <v>0.46127077918652071</v>
          </cell>
        </row>
        <row r="380">
          <cell r="A380" t="str">
            <v>Freezer RES 9 Year EUL</v>
          </cell>
          <cell r="B380">
            <v>0.50638767366726878</v>
          </cell>
        </row>
        <row r="381">
          <cell r="A381" t="str">
            <v>Heating BUS 1 Year EUL</v>
          </cell>
          <cell r="B381">
            <v>5.2467220237808899E-2</v>
          </cell>
        </row>
        <row r="382">
          <cell r="A382" t="str">
            <v>Heating BUS 10 Year EUL</v>
          </cell>
          <cell r="B382">
            <v>0.39134530228154202</v>
          </cell>
        </row>
        <row r="383">
          <cell r="A383" t="str">
            <v>Heating BUS 11 Year EUL</v>
          </cell>
          <cell r="B383">
            <v>0.41982992871144598</v>
          </cell>
        </row>
        <row r="384">
          <cell r="A384" t="str">
            <v>Heating BUS 12 Year EUL</v>
          </cell>
          <cell r="B384">
            <v>0.44709749234283802</v>
          </cell>
        </row>
        <row r="385">
          <cell r="A385" t="str">
            <v>Heating BUS 13 Year EUL</v>
          </cell>
          <cell r="B385">
            <v>0.47318356235505799</v>
          </cell>
        </row>
        <row r="386">
          <cell r="A386" t="str">
            <v>Heating BUS 14 Year EUL</v>
          </cell>
          <cell r="B386">
            <v>0.49789747352281</v>
          </cell>
        </row>
        <row r="387">
          <cell r="A387" t="str">
            <v>Heating BUS 15 Year EUL</v>
          </cell>
          <cell r="B387">
            <v>0.52154053990427496</v>
          </cell>
        </row>
        <row r="388">
          <cell r="A388" t="str">
            <v>Heating BUS 16 Year EUL</v>
          </cell>
          <cell r="B388">
            <v>0.54415916081474103</v>
          </cell>
        </row>
        <row r="389">
          <cell r="A389" t="str">
            <v>Heating BUS 17 Year EUL</v>
          </cell>
          <cell r="B389">
            <v>0.56579772510403703</v>
          </cell>
        </row>
        <row r="390">
          <cell r="A390" t="str">
            <v>Heating BUS 18 Year EUL</v>
          </cell>
          <cell r="B390">
            <v>0.58649869826926204</v>
          </cell>
        </row>
        <row r="391">
          <cell r="A391" t="str">
            <v>Heating BUS 19 Year EUL</v>
          </cell>
          <cell r="B391">
            <v>0.60630270579296697</v>
          </cell>
        </row>
        <row r="392">
          <cell r="A392" t="str">
            <v>Heating BUS 2 Year EUL</v>
          </cell>
          <cell r="B392">
            <v>9.8990500033765402E-2</v>
          </cell>
        </row>
        <row r="393">
          <cell r="A393" t="str">
            <v>Heating BUS 20 Year EUL</v>
          </cell>
          <cell r="B393">
            <v>0.62524861287031197</v>
          </cell>
        </row>
        <row r="394">
          <cell r="A394" t="str">
            <v>Heating BUS 21 Year EUL</v>
          </cell>
          <cell r="B394">
            <v>0.64337360068167904</v>
          </cell>
        </row>
        <row r="395">
          <cell r="A395" t="str">
            <v>Heating BUS 22 Year EUL</v>
          </cell>
          <cell r="B395">
            <v>0.66071323936042303</v>
          </cell>
        </row>
        <row r="396">
          <cell r="A396" t="str">
            <v>Heating BUS 23 Year EUL</v>
          </cell>
          <cell r="B396">
            <v>0.67730155779894996</v>
          </cell>
        </row>
        <row r="397">
          <cell r="A397" t="str">
            <v>Heating BUS 24 Year EUL</v>
          </cell>
          <cell r="B397">
            <v>0.69317111043013102</v>
          </cell>
        </row>
        <row r="398">
          <cell r="A398" t="str">
            <v>Heating BUS 25 Year EUL</v>
          </cell>
          <cell r="B398">
            <v>0.70835304111509401</v>
          </cell>
        </row>
        <row r="399">
          <cell r="A399" t="str">
            <v>Heating BUS 26 Year EUL</v>
          </cell>
          <cell r="B399">
            <v>0.72256035038419797</v>
          </cell>
        </row>
        <row r="400">
          <cell r="A400" t="str">
            <v>Heating BUS 27 Year EUL</v>
          </cell>
          <cell r="B400">
            <v>0.73585560517467397</v>
          </cell>
        </row>
        <row r="401">
          <cell r="A401" t="str">
            <v>Heating BUS 28 Year EUL</v>
          </cell>
          <cell r="B401">
            <v>0.74829735586761403</v>
          </cell>
        </row>
        <row r="402">
          <cell r="A402" t="str">
            <v>Heating BUS 29 Year EUL</v>
          </cell>
          <cell r="B402">
            <v>0.75994039413538605</v>
          </cell>
        </row>
        <row r="403">
          <cell r="A403" t="str">
            <v>Heating BUS 3 Year EUL</v>
          </cell>
          <cell r="B403">
            <v>0.13900836637859201</v>
          </cell>
        </row>
        <row r="404">
          <cell r="A404" t="str">
            <v>Heating BUS 30 Year EUL</v>
          </cell>
          <cell r="B404">
            <v>0.77083599423623805</v>
          </cell>
        </row>
        <row r="405">
          <cell r="A405" t="str">
            <v>Heating BUS 4 Year EUL</v>
          </cell>
          <cell r="B405">
            <v>0.17885525417957601</v>
          </cell>
        </row>
        <row r="406">
          <cell r="A406" t="str">
            <v>Heating BUS 5 Year EUL</v>
          </cell>
          <cell r="B406">
            <v>0.21909888882866599</v>
          </cell>
        </row>
        <row r="407">
          <cell r="A407" t="str">
            <v>Heating BUS 6 Year EUL</v>
          </cell>
          <cell r="B407">
            <v>0.25848219214773099</v>
          </cell>
        </row>
        <row r="408">
          <cell r="A408" t="str">
            <v>Heating BUS 7 Year EUL</v>
          </cell>
          <cell r="B408">
            <v>0.29515480043419201</v>
          </cell>
        </row>
        <row r="409">
          <cell r="A409" t="str">
            <v>Heating BUS 8 Year EUL</v>
          </cell>
          <cell r="B409">
            <v>0.32916314754976</v>
          </cell>
        </row>
        <row r="410">
          <cell r="A410" t="str">
            <v>Heating BUS 9 Year EUL</v>
          </cell>
          <cell r="B410">
            <v>0.361012369296633</v>
          </cell>
        </row>
        <row r="411">
          <cell r="A411" t="str">
            <v>Heating RES 1 Year EUL</v>
          </cell>
          <cell r="B411">
            <v>5.46429232060133E-2</v>
          </cell>
        </row>
        <row r="412">
          <cell r="A412" t="str">
            <v>Heating RES 10 Year EUL</v>
          </cell>
          <cell r="B412">
            <v>0.406489055625258</v>
          </cell>
        </row>
        <row r="413">
          <cell r="A413" t="str">
            <v>Heating RES 11 Year EUL</v>
          </cell>
          <cell r="B413">
            <v>0.4360518242818161</v>
          </cell>
        </row>
        <row r="414">
          <cell r="A414" t="str">
            <v>Heating RES 12 Year EUL</v>
          </cell>
          <cell r="B414">
            <v>0.46381321556681609</v>
          </cell>
        </row>
        <row r="415">
          <cell r="A415" t="str">
            <v>Heating RES 13 Year EUL</v>
          </cell>
          <cell r="B415">
            <v>0.49038844572553025</v>
          </cell>
        </row>
        <row r="416">
          <cell r="A416" t="str">
            <v>Heating RES 14 Year EUL</v>
          </cell>
          <cell r="B416">
            <v>0.5158121808227506</v>
          </cell>
        </row>
        <row r="417">
          <cell r="A417" t="str">
            <v>Heating RES 15 Year EUL</v>
          </cell>
          <cell r="B417">
            <v>0.53989859669339768</v>
          </cell>
        </row>
        <row r="418">
          <cell r="A418" t="str">
            <v>Heating RES 16 Year EUL</v>
          </cell>
          <cell r="B418">
            <v>0.56294135692085778</v>
          </cell>
        </row>
        <row r="419">
          <cell r="A419" t="str">
            <v>Heating RES 17 Year EUL</v>
          </cell>
          <cell r="B419">
            <v>0.58498568272473517</v>
          </cell>
        </row>
        <row r="420">
          <cell r="A420" t="str">
            <v>Heating RES 18 Year EUL</v>
          </cell>
          <cell r="B420">
            <v>0.60607483590562827</v>
          </cell>
        </row>
        <row r="421">
          <cell r="A421" t="str">
            <v>Heating RES 19 Year EUL</v>
          </cell>
          <cell r="B421">
            <v>0.62625020374604257</v>
          </cell>
        </row>
        <row r="422">
          <cell r="A422" t="str">
            <v>Heating RES 2 Year EUL</v>
          </cell>
          <cell r="B422">
            <v>0.10577798141864038</v>
          </cell>
        </row>
        <row r="423">
          <cell r="A423" t="str">
            <v>Heating RES 20 Year EUL</v>
          </cell>
          <cell r="B423">
            <v>0.64555138023258007</v>
          </cell>
        </row>
        <row r="424">
          <cell r="A424" t="str">
            <v>Heating RES 21 Year EUL</v>
          </cell>
          <cell r="B424">
            <v>0.66401624375879575</v>
          </cell>
        </row>
        <row r="425">
          <cell r="A425" t="str">
            <v>Heating RES 22 Year EUL</v>
          </cell>
          <cell r="B425">
            <v>0.68168103146122327</v>
          </cell>
        </row>
        <row r="426">
          <cell r="A426" t="str">
            <v>Heating RES 23 Year EUL</v>
          </cell>
          <cell r="B426">
            <v>0.69858041033444496</v>
          </cell>
        </row>
        <row r="427">
          <cell r="A427" t="str">
            <v>Heating RES 24 Year EUL</v>
          </cell>
          <cell r="B427">
            <v>0.71474754526476891</v>
          </cell>
        </row>
        <row r="428">
          <cell r="A428" t="str">
            <v>Heating RES 25 Year EUL</v>
          </cell>
          <cell r="B428">
            <v>0.73021416411603834</v>
          </cell>
        </row>
        <row r="429">
          <cell r="A429" t="str">
            <v>Heating RES 3 Year EUL</v>
          </cell>
          <cell r="B429">
            <v>0.15112001802408354</v>
          </cell>
        </row>
        <row r="430">
          <cell r="A430" t="str">
            <v>Heating RES 4 Year EUL</v>
          </cell>
          <cell r="B430">
            <v>0.19012181601934358</v>
          </cell>
        </row>
        <row r="431">
          <cell r="A431" t="str">
            <v>Heating RES 5 Year EUL</v>
          </cell>
          <cell r="B431">
            <v>0.22895697667889403</v>
          </cell>
        </row>
        <row r="432">
          <cell r="A432" t="str">
            <v>Heating RES 6 Year EUL</v>
          </cell>
          <cell r="B432">
            <v>0.26817881063810944</v>
          </cell>
        </row>
        <row r="433">
          <cell r="A433" t="str">
            <v>Heating RES ER1 6 Year EUL</v>
          </cell>
          <cell r="B433">
            <v>0.26817881063810944</v>
          </cell>
        </row>
        <row r="434">
          <cell r="A434" t="str">
            <v>Heating RES 7 Year EUL</v>
          </cell>
          <cell r="B434">
            <v>0.30656215739629572</v>
          </cell>
        </row>
        <row r="435">
          <cell r="A435" t="str">
            <v>Heating RES 8 Year EUL</v>
          </cell>
          <cell r="B435">
            <v>0.3423036346660534</v>
          </cell>
        </row>
        <row r="436">
          <cell r="A436" t="str">
            <v>Heating RES 9 Year EUL</v>
          </cell>
          <cell r="B436">
            <v>0.37544849733626323</v>
          </cell>
        </row>
        <row r="437">
          <cell r="A437" t="str">
            <v>Heating RES ER2 12 Year EUL</v>
          </cell>
          <cell r="B437">
            <v>0.33789602526751877</v>
          </cell>
        </row>
        <row r="438">
          <cell r="A438" t="str">
            <v>HVAC BUS 1 Year EUL</v>
          </cell>
          <cell r="B438">
            <v>0.11606278234226</v>
          </cell>
        </row>
        <row r="439">
          <cell r="A439" t="str">
            <v>HVAC BUS 10 Year EUL</v>
          </cell>
          <cell r="B439">
            <v>0.90882053685083897</v>
          </cell>
        </row>
        <row r="440">
          <cell r="A440" t="str">
            <v>HVAC BUS 11 Year EUL</v>
          </cell>
          <cell r="B440">
            <v>0.97680237536361703</v>
          </cell>
        </row>
        <row r="441">
          <cell r="A441" t="str">
            <v>HVAC BUS 12 Year EUL</v>
          </cell>
          <cell r="B441">
            <v>1.04177558924063</v>
          </cell>
        </row>
        <row r="442">
          <cell r="A442" t="str">
            <v>HVAC BUS 13 Year EUL</v>
          </cell>
          <cell r="B442">
            <v>1.10385602367457</v>
          </cell>
        </row>
        <row r="443">
          <cell r="A443" t="str">
            <v>HVAC BUS 14 Year EUL</v>
          </cell>
          <cell r="B443">
            <v>1.16291596433304</v>
          </cell>
        </row>
        <row r="444">
          <cell r="A444" t="str">
            <v>HVAC BUS 15 Year EUL</v>
          </cell>
          <cell r="B444">
            <v>1.21934623585226</v>
          </cell>
        </row>
        <row r="445">
          <cell r="A445" t="str">
            <v>HVAC BUS 16 Year EUL</v>
          </cell>
          <cell r="B445">
            <v>1.27326399279617</v>
          </cell>
        </row>
        <row r="446">
          <cell r="A446" t="str">
            <v>HVAC BUS 17 Year EUL</v>
          </cell>
          <cell r="B446">
            <v>1.3247811673840799</v>
          </cell>
        </row>
        <row r="447">
          <cell r="A447" t="str">
            <v>HVAC BUS 18 Year EUL</v>
          </cell>
          <cell r="B447">
            <v>1.37400470241666</v>
          </cell>
        </row>
        <row r="448">
          <cell r="A448" t="str">
            <v>HVAC BUS 19 Year EUL</v>
          </cell>
          <cell r="B448">
            <v>1.42103677380723</v>
          </cell>
        </row>
        <row r="449">
          <cell r="A449" t="str">
            <v>HVAC BUS 2 Year EUL</v>
          </cell>
          <cell r="B449">
            <v>0.22319389278954599</v>
          </cell>
        </row>
        <row r="450">
          <cell r="A450" t="str">
            <v>HVAC BUS 20 Year EUL</v>
          </cell>
          <cell r="B450">
            <v>1.46616255625175</v>
          </cell>
        </row>
        <row r="451">
          <cell r="A451" t="str">
            <v>HVAC BUS 21 Year EUL</v>
          </cell>
          <cell r="B451">
            <v>1.50927923720798</v>
          </cell>
        </row>
        <row r="452">
          <cell r="A452" t="str">
            <v>HVAC BUS 22 Year EUL</v>
          </cell>
          <cell r="B452">
            <v>1.5504763179474701</v>
          </cell>
        </row>
        <row r="453">
          <cell r="A453" t="str">
            <v>HVAC BUS 23 Year EUL</v>
          </cell>
          <cell r="B453">
            <v>1.5898393103656101</v>
          </cell>
        </row>
        <row r="454">
          <cell r="A454" t="str">
            <v>HVAC BUS 24 Year EUL</v>
          </cell>
          <cell r="B454">
            <v>1.62744991490268</v>
          </cell>
        </row>
        <row r="455">
          <cell r="A455" t="str">
            <v>HVAC BUS 25 Year EUL</v>
          </cell>
          <cell r="B455">
            <v>1.66338619052526</v>
          </cell>
        </row>
        <row r="456">
          <cell r="A456" t="str">
            <v>HVAC BUS 26 Year EUL</v>
          </cell>
          <cell r="B456">
            <v>1.6970154958056101</v>
          </cell>
        </row>
        <row r="457">
          <cell r="A457" t="str">
            <v>HVAC BUS 27 Year EUL</v>
          </cell>
          <cell r="B457">
            <v>1.72848592934515</v>
          </cell>
        </row>
        <row r="458">
          <cell r="A458" t="str">
            <v>HVAC BUS 28 Year EUL</v>
          </cell>
          <cell r="B458">
            <v>1.7579360823860799</v>
          </cell>
        </row>
        <row r="459">
          <cell r="A459" t="str">
            <v>HVAC BUS 29 Year EUL</v>
          </cell>
          <cell r="B459">
            <v>1.7854956491472</v>
          </cell>
        </row>
        <row r="460">
          <cell r="A460" t="str">
            <v>HVAC BUS 3 Year EUL</v>
          </cell>
          <cell r="B460">
            <v>0.32087303269927397</v>
          </cell>
        </row>
        <row r="461">
          <cell r="A461" t="str">
            <v>HVAC BUS 30 Year EUL</v>
          </cell>
          <cell r="B461">
            <v>1.8112859979784901</v>
          </cell>
        </row>
        <row r="462">
          <cell r="A462" t="str">
            <v>HVAC BUS 4 Year EUL</v>
          </cell>
          <cell r="B462">
            <v>0.41567512328426498</v>
          </cell>
        </row>
        <row r="463">
          <cell r="A463" t="str">
            <v>HVAC BUS 5 Year EUL</v>
          </cell>
          <cell r="B463">
            <v>0.50843881150283399</v>
          </cell>
        </row>
        <row r="464">
          <cell r="A464" t="str">
            <v>HVAC BUS 6 Year EUL</v>
          </cell>
          <cell r="B464">
            <v>0.59794553578470699</v>
          </cell>
        </row>
        <row r="465">
          <cell r="A465" t="str">
            <v>HVAC BUS 7 Year EUL</v>
          </cell>
          <cell r="B465">
            <v>0.68234195357144001</v>
          </cell>
        </row>
        <row r="466">
          <cell r="A466" t="str">
            <v>HVAC BUS 8 Year EUL</v>
          </cell>
          <cell r="B466">
            <v>0.76184297021983505</v>
          </cell>
        </row>
        <row r="467">
          <cell r="A467" t="str">
            <v>HVAC BUS 9 Year EUL</v>
          </cell>
          <cell r="B467">
            <v>0.83707856885775</v>
          </cell>
        </row>
        <row r="468">
          <cell r="A468" t="str">
            <v>HVAC RES 1 Year EUL</v>
          </cell>
          <cell r="B468">
            <v>0.12218265722831925</v>
          </cell>
        </row>
        <row r="469">
          <cell r="A469" t="str">
            <v>HVAC RES 10 Year EUL</v>
          </cell>
          <cell r="B469">
            <v>0.94703961869439535</v>
          </cell>
        </row>
        <row r="470">
          <cell r="A470" t="str">
            <v>HVAC RES 11 Year EUL</v>
          </cell>
          <cell r="B470">
            <v>1.0177414953476644</v>
          </cell>
        </row>
        <row r="471">
          <cell r="A471" t="str">
            <v>HVAC RES 12 Year EUL</v>
          </cell>
          <cell r="B471">
            <v>1.0847408879987457</v>
          </cell>
        </row>
        <row r="472">
          <cell r="A472" t="str">
            <v>HVAC RES 13 Year EUL</v>
          </cell>
          <cell r="B472">
            <v>1.1487746075822718</v>
          </cell>
        </row>
        <row r="473">
          <cell r="A473" t="str">
            <v>HVAC RES 14 Year EUL</v>
          </cell>
          <cell r="B473">
            <v>1.2099569823103624</v>
          </cell>
        </row>
        <row r="474">
          <cell r="A474" t="str">
            <v>HVAC RES 15 Year EUL</v>
          </cell>
          <cell r="B474">
            <v>1.2681638054574353</v>
          </cell>
        </row>
        <row r="475">
          <cell r="A475" t="str">
            <v>HVAC RES 16 Year EUL</v>
          </cell>
          <cell r="B475">
            <v>1.3237785867859366</v>
          </cell>
        </row>
        <row r="476">
          <cell r="A476" t="str">
            <v>HVAC RES 17 Year EUL</v>
          </cell>
          <cell r="B476">
            <v>1.3769168203716526</v>
          </cell>
        </row>
        <row r="477">
          <cell r="A477" t="str">
            <v>HVAC RES 18 Year EUL</v>
          </cell>
          <cell r="B477">
            <v>1.4276888512634784</v>
          </cell>
        </row>
        <row r="478">
          <cell r="A478" t="str">
            <v>HVAC RES 19 Year EUL</v>
          </cell>
          <cell r="B478">
            <v>1.476200105170326</v>
          </cell>
        </row>
        <row r="479">
          <cell r="A479" t="str">
            <v>HVAC RES 2 Year EUL</v>
          </cell>
          <cell r="B479">
            <v>0.23652165893926744</v>
          </cell>
        </row>
        <row r="480">
          <cell r="A480" t="str">
            <v>HVAC RES 20 Year EUL</v>
          </cell>
          <cell r="B480">
            <v>1.5225513078964612</v>
          </cell>
        </row>
        <row r="481">
          <cell r="A481" t="str">
            <v>HVAC RES 21 Year EUL</v>
          </cell>
          <cell r="B481">
            <v>1.5670244898622705</v>
          </cell>
        </row>
        <row r="482">
          <cell r="A482" t="str">
            <v>HVAC RES 22 Year EUL</v>
          </cell>
          <cell r="B482">
            <v>1.6095173517882051</v>
          </cell>
        </row>
        <row r="483">
          <cell r="A483" t="str">
            <v>HVAC RES 23 Year EUL</v>
          </cell>
          <cell r="B483">
            <v>1.6501181249110999</v>
          </cell>
        </row>
        <row r="484">
          <cell r="A484" t="str">
            <v>HVAC RES 24 Year EUL</v>
          </cell>
          <cell r="B484">
            <v>1.6889111071653344</v>
          </cell>
        </row>
        <row r="485">
          <cell r="A485" t="str">
            <v>HVAC RES 25 Year EUL</v>
          </cell>
          <cell r="B485">
            <v>1.7259768386267149</v>
          </cell>
        </row>
        <row r="486">
          <cell r="A486" t="str">
            <v>HVAC RES 3 Year EUL</v>
          </cell>
          <cell r="B486">
            <v>0.34208474256713955</v>
          </cell>
        </row>
        <row r="487">
          <cell r="A487" t="str">
            <v>HVAC RES 4 Year EUL</v>
          </cell>
          <cell r="B487">
            <v>0.43836329052893674</v>
          </cell>
        </row>
        <row r="488">
          <cell r="A488" t="str">
            <v>HVAC RES 5 Year EUL</v>
          </cell>
          <cell r="B488">
            <v>0.53179383147965675</v>
          </cell>
        </row>
        <row r="489">
          <cell r="A489" t="str">
            <v>HVAC RES 6 Year EUL</v>
          </cell>
          <cell r="B489">
            <v>0.6232002712434408</v>
          </cell>
        </row>
        <row r="490">
          <cell r="A490" t="str">
            <v>HVAC RES ER1 6 Year EUL</v>
          </cell>
          <cell r="B490">
            <v>0.6232002712434408</v>
          </cell>
        </row>
        <row r="491">
          <cell r="A491" t="str">
            <v>HVAC RES 7 Year EUL</v>
          </cell>
          <cell r="B491">
            <v>0.71139070400347426</v>
          </cell>
        </row>
        <row r="492">
          <cell r="A492" t="str">
            <v>HVAC RES 8 Year EUL</v>
          </cell>
          <cell r="B492">
            <v>0.79455158269810888</v>
          </cell>
        </row>
        <row r="493">
          <cell r="A493" t="str">
            <v>HVAC RES 9 Year EUL</v>
          </cell>
          <cell r="B493">
            <v>0.87289523542616954</v>
          </cell>
        </row>
        <row r="494">
          <cell r="A494" t="str">
            <v>HVAC RES ER2 12 Year EUL</v>
          </cell>
          <cell r="B494">
            <v>0.80448858002003742</v>
          </cell>
        </row>
        <row r="495">
          <cell r="A495" t="str">
            <v>Lighting BUS 1 Year EUL</v>
          </cell>
          <cell r="B495">
            <v>7.4942947869214099E-2</v>
          </cell>
        </row>
        <row r="496">
          <cell r="A496" t="str">
            <v>Lighting BUS 10 Year EUL</v>
          </cell>
          <cell r="B496">
            <v>0.57461542347781702</v>
          </cell>
        </row>
        <row r="497">
          <cell r="A497" t="str">
            <v>Lighting BUS 11 Year EUL</v>
          </cell>
          <cell r="B497">
            <v>0.61710348876177901</v>
          </cell>
        </row>
        <row r="498">
          <cell r="A498" t="str">
            <v>Lighting BUS 12 Year EUL</v>
          </cell>
          <cell r="B498">
            <v>0.65773849352874003</v>
          </cell>
        </row>
        <row r="499">
          <cell r="A499" t="str">
            <v>Lighting BUS 13 Year EUL</v>
          </cell>
          <cell r="B499">
            <v>0.69658471027522095</v>
          </cell>
        </row>
        <row r="500">
          <cell r="A500" t="str">
            <v>Lighting BUS 14 Year EUL</v>
          </cell>
          <cell r="B500">
            <v>0.73347635217368001</v>
          </cell>
        </row>
        <row r="501">
          <cell r="A501" t="str">
            <v>Lighting BUS 15 Year EUL</v>
          </cell>
          <cell r="B501">
            <v>0.76874390139714199</v>
          </cell>
        </row>
        <row r="502">
          <cell r="A502" t="str">
            <v>Lighting BUS 16 Year EUL</v>
          </cell>
          <cell r="B502">
            <v>0.80245889318225405</v>
          </cell>
        </row>
        <row r="503">
          <cell r="A503" t="str">
            <v>Lighting BUS 17 Year EUL</v>
          </cell>
          <cell r="B503">
            <v>0.83468971023600302</v>
          </cell>
        </row>
        <row r="504">
          <cell r="A504" t="str">
            <v>Lighting BUS 18 Year EUL</v>
          </cell>
          <cell r="B504">
            <v>0.86550172174111395</v>
          </cell>
        </row>
        <row r="505">
          <cell r="A505" t="str">
            <v>Lighting BUS 19 Year EUL</v>
          </cell>
          <cell r="B505">
            <v>0.89495741622891001</v>
          </cell>
        </row>
        <row r="506">
          <cell r="A506" t="str">
            <v>Lighting BUS 2 Year EUL</v>
          </cell>
          <cell r="B506">
            <v>0.142923764250073</v>
          </cell>
        </row>
        <row r="507">
          <cell r="A507" t="str">
            <v>Lighting BUS 20 Year EUL</v>
          </cell>
          <cell r="B507">
            <v>0.92318449073161302</v>
          </cell>
        </row>
        <row r="508">
          <cell r="A508" t="str">
            <v>Lighting BUS 21 Year EUL</v>
          </cell>
          <cell r="B508">
            <v>0.95016899484361805</v>
          </cell>
        </row>
        <row r="509">
          <cell r="A509" t="str">
            <v>Lighting BUS 22 Year EUL</v>
          </cell>
          <cell r="B509">
            <v>0.97596565561840898</v>
          </cell>
        </row>
        <row r="510">
          <cell r="A510" t="str">
            <v>Lighting BUS 23 Year EUL</v>
          </cell>
          <cell r="B510">
            <v>1.0006267884684901</v>
          </cell>
        </row>
        <row r="511">
          <cell r="A511" t="str">
            <v>Lighting BUS 24 Year EUL</v>
          </cell>
          <cell r="B511">
            <v>1.02420240349548</v>
          </cell>
        </row>
        <row r="512">
          <cell r="A512" t="str">
            <v>Lighting BUS 25 Year EUL</v>
          </cell>
          <cell r="B512">
            <v>1.04674030712952</v>
          </cell>
        </row>
        <row r="513">
          <cell r="A513" t="str">
            <v>Lighting BUS 26 Year EUL</v>
          </cell>
          <cell r="B513">
            <v>1.0678313642454</v>
          </cell>
        </row>
        <row r="514">
          <cell r="A514" t="str">
            <v>Lighting BUS 27 Year EUL</v>
          </cell>
          <cell r="B514">
            <v>1.08756845681127</v>
          </cell>
        </row>
        <row r="515">
          <cell r="A515" t="str">
            <v>Lighting BUS 28 Year EUL</v>
          </cell>
          <cell r="B515">
            <v>1.1060385041309999</v>
          </cell>
        </row>
        <row r="516">
          <cell r="A516" t="str">
            <v>Lighting BUS 29 Year EUL</v>
          </cell>
          <cell r="B516">
            <v>1.1233228456242901</v>
          </cell>
        </row>
        <row r="517">
          <cell r="A517" t="str">
            <v>Lighting BUS 3 Year EUL</v>
          </cell>
          <cell r="B517">
            <v>0.20340198419295</v>
          </cell>
        </row>
        <row r="518">
          <cell r="A518" t="str">
            <v>Lighting BUS 30 Year EUL</v>
          </cell>
          <cell r="B518">
            <v>1.1394975990337</v>
          </cell>
        </row>
        <row r="519">
          <cell r="A519" t="str">
            <v>Lighting BUS 4 Year EUL</v>
          </cell>
          <cell r="B519">
            <v>0.26273050176499801</v>
          </cell>
        </row>
        <row r="520">
          <cell r="A520" t="str">
            <v>Lighting BUS 5 Year EUL</v>
          </cell>
          <cell r="B520">
            <v>0.32156905827058802</v>
          </cell>
        </row>
        <row r="521">
          <cell r="A521" t="str">
            <v>Lighting BUS 6 Year EUL</v>
          </cell>
          <cell r="B521">
            <v>0.37868816293461499</v>
          </cell>
        </row>
        <row r="522">
          <cell r="A522" t="str">
            <v>Lighting BUS 7 Year EUL</v>
          </cell>
          <cell r="B522">
            <v>0.43225643603786001</v>
          </cell>
        </row>
        <row r="523">
          <cell r="A523" t="str">
            <v>Lighting BUS 8 Year EUL</v>
          </cell>
          <cell r="B523">
            <v>0.48238085566204197</v>
          </cell>
        </row>
        <row r="524">
          <cell r="A524" t="str">
            <v>Lighting BUS 9 Year EUL</v>
          </cell>
          <cell r="B524">
            <v>0.52960632039577504</v>
          </cell>
        </row>
        <row r="525">
          <cell r="A525" t="str">
            <v>Lighting RES 1 Year EUL</v>
          </cell>
          <cell r="B525">
            <v>6.2939947776107591E-2</v>
          </cell>
        </row>
        <row r="526">
          <cell r="A526" t="str">
            <v>Lighting RES 10 Year EUL</v>
          </cell>
          <cell r="B526">
            <v>0.47457445064834375</v>
          </cell>
        </row>
        <row r="527">
          <cell r="A527" t="str">
            <v>Lighting RES 11 Year EUL</v>
          </cell>
          <cell r="B527">
            <v>0.5093937621972694</v>
          </cell>
        </row>
        <row r="528">
          <cell r="A528" t="str">
            <v>Lighting RES 12 Year EUL</v>
          </cell>
          <cell r="B528">
            <v>0.54219249861589514</v>
          </cell>
        </row>
        <row r="529">
          <cell r="A529" t="str">
            <v>Lighting RES 13 Year EUL</v>
          </cell>
          <cell r="B529">
            <v>0.57357265100596266</v>
          </cell>
        </row>
        <row r="530">
          <cell r="A530" t="str">
            <v>Lighting RES 14 Year EUL</v>
          </cell>
          <cell r="B530">
            <v>0.60358029461051643</v>
          </cell>
        </row>
        <row r="531">
          <cell r="A531" t="str">
            <v>Lighting RES 15 Year EUL</v>
          </cell>
          <cell r="B531">
            <v>0.63205001672665895</v>
          </cell>
        </row>
        <row r="532">
          <cell r="A532" t="str">
            <v>Lighting RES 16 Year EUL</v>
          </cell>
          <cell r="B532">
            <v>0.65927447737371103</v>
          </cell>
        </row>
        <row r="533">
          <cell r="A533" t="str">
            <v>Lighting RES 17 Year EUL</v>
          </cell>
          <cell r="B533">
            <v>0.68530816442920295</v>
          </cell>
        </row>
        <row r="534">
          <cell r="A534" t="str">
            <v>Lighting RES 18 Year EUL</v>
          </cell>
          <cell r="B534">
            <v>0.71020318067396793</v>
          </cell>
        </row>
        <row r="535">
          <cell r="A535" t="str">
            <v>Lighting RES 19 Year EUL</v>
          </cell>
          <cell r="B535">
            <v>0.7340093482361647</v>
          </cell>
        </row>
        <row r="536">
          <cell r="A536" t="str">
            <v>Lighting RES 2 Year EUL</v>
          </cell>
          <cell r="B536">
            <v>0.12183939357070575</v>
          </cell>
        </row>
        <row r="537">
          <cell r="A537" t="str">
            <v>Lighting RES 20 Year EUL</v>
          </cell>
          <cell r="B537">
            <v>0.75677430845981597</v>
          </cell>
        </row>
        <row r="538">
          <cell r="A538" t="str">
            <v>Lighting RES 21 Year EUL</v>
          </cell>
          <cell r="B538">
            <v>0.77857463244190084</v>
          </cell>
        </row>
        <row r="539">
          <cell r="A539" t="str">
            <v>Lighting RES 22 Year EUL</v>
          </cell>
          <cell r="B539">
            <v>0.79942145664587316</v>
          </cell>
        </row>
        <row r="540">
          <cell r="A540" t="str">
            <v>Lighting RES 23 Year EUL</v>
          </cell>
          <cell r="B540">
            <v>0.81935650062785936</v>
          </cell>
        </row>
        <row r="541">
          <cell r="A541" t="str">
            <v>Lighting RES 24 Year EUL</v>
          </cell>
          <cell r="B541">
            <v>0.83841965784239214</v>
          </cell>
        </row>
        <row r="542">
          <cell r="A542" t="str">
            <v>Lighting RES 25 Year EUL</v>
          </cell>
          <cell r="B542">
            <v>0.85664907560394499</v>
          </cell>
        </row>
        <row r="543">
          <cell r="A543" t="str">
            <v>Lighting RES 3 Year EUL</v>
          </cell>
          <cell r="B543">
            <v>0.17476353981424586</v>
          </cell>
        </row>
        <row r="544">
          <cell r="A544" t="str">
            <v>Lighting RES 4 Year EUL</v>
          </cell>
          <cell r="B544">
            <v>0.22120143083240948</v>
          </cell>
        </row>
        <row r="545">
          <cell r="A545" t="str">
            <v>Lighting RES 5 Year EUL</v>
          </cell>
          <cell r="B545">
            <v>0.26703415915420303</v>
          </cell>
        </row>
        <row r="546">
          <cell r="A546" t="str">
            <v>Lighting RES 6 Year EUL</v>
          </cell>
          <cell r="B546">
            <v>0.31283005640669348</v>
          </cell>
        </row>
        <row r="547">
          <cell r="A547" t="str">
            <v>Lighting RES 7 Year EUL</v>
          </cell>
          <cell r="B547">
            <v>0.35743627236561748</v>
          </cell>
        </row>
        <row r="548">
          <cell r="A548" t="str">
            <v>Lighting RES 8 Year EUL</v>
          </cell>
          <cell r="B548">
            <v>0.3991459942542302</v>
          </cell>
        </row>
        <row r="549">
          <cell r="A549" t="str">
            <v>Lighting RES 9 Year EUL</v>
          </cell>
          <cell r="B549">
            <v>0.43802990082631449</v>
          </cell>
        </row>
        <row r="550">
          <cell r="A550" t="str">
            <v>Miscellaneous BUS 1 Year EUL</v>
          </cell>
          <cell r="B550">
            <v>6.9716271613440697E-2</v>
          </cell>
        </row>
        <row r="551">
          <cell r="A551" t="str">
            <v>Miscellaneous BUS 10 Year EUL</v>
          </cell>
          <cell r="B551">
            <v>0.533208885762264</v>
          </cell>
        </row>
        <row r="552">
          <cell r="A552" t="str">
            <v>Miscellaneous BUS 11 Year EUL</v>
          </cell>
          <cell r="B552">
            <v>0.57258024632977</v>
          </cell>
        </row>
        <row r="553">
          <cell r="A553" t="str">
            <v>Miscellaneous BUS 12 Year EUL</v>
          </cell>
          <cell r="B553">
            <v>0.61023755153451198</v>
          </cell>
        </row>
        <row r="554">
          <cell r="A554" t="str">
            <v>Miscellaneous BUS 13 Year EUL</v>
          </cell>
          <cell r="B554">
            <v>0.64623944382922305</v>
          </cell>
        </row>
        <row r="555">
          <cell r="A555" t="str">
            <v>Miscellaneous BUS 14 Year EUL</v>
          </cell>
          <cell r="B555">
            <v>0.68042261850786301</v>
          </cell>
        </row>
        <row r="556">
          <cell r="A556" t="str">
            <v>Miscellaneous BUS 15 Year EUL</v>
          </cell>
          <cell r="B556">
            <v>0.71310302298390205</v>
          </cell>
        </row>
        <row r="557">
          <cell r="A557" t="str">
            <v>Miscellaneous BUS 16 Year EUL</v>
          </cell>
          <cell r="B557">
            <v>0.74434675528086403</v>
          </cell>
        </row>
        <row r="558">
          <cell r="A558" t="str">
            <v>Miscellaneous BUS 17 Year EUL</v>
          </cell>
          <cell r="B558">
            <v>0.77421700468761501</v>
          </cell>
        </row>
        <row r="559">
          <cell r="A559" t="str">
            <v>Miscellaneous BUS 18 Year EUL</v>
          </cell>
          <cell r="B559">
            <v>0.80277417982716304</v>
          </cell>
        </row>
        <row r="560">
          <cell r="A560" t="str">
            <v>Miscellaneous BUS 19 Year EUL</v>
          </cell>
          <cell r="B560">
            <v>0.83007603108375805</v>
          </cell>
        </row>
        <row r="561">
          <cell r="A561" t="str">
            <v>Miscellaneous BUS 2 Year EUL</v>
          </cell>
          <cell r="B561">
            <v>0.132825750401454</v>
          </cell>
        </row>
        <row r="562">
          <cell r="A562" t="str">
            <v>Miscellaneous BUS 20 Year EUL</v>
          </cell>
          <cell r="B562">
            <v>0.85623519848872498</v>
          </cell>
        </row>
        <row r="563">
          <cell r="A563" t="str">
            <v>Miscellaneous BUS 21 Year EUL</v>
          </cell>
          <cell r="B563">
            <v>0.88124441908486695</v>
          </cell>
        </row>
        <row r="564">
          <cell r="A564" t="str">
            <v>Miscellaneous BUS 22 Year EUL</v>
          </cell>
          <cell r="B564">
            <v>0.905154269142456</v>
          </cell>
        </row>
        <row r="565">
          <cell r="A565" t="str">
            <v>Miscellaneous BUS 23 Year EUL</v>
          </cell>
          <cell r="B565">
            <v>0.92801309939335697</v>
          </cell>
        </row>
        <row r="566">
          <cell r="A566" t="str">
            <v>Miscellaneous BUS 24 Year EUL</v>
          </cell>
          <cell r="B566">
            <v>0.949867133013089</v>
          </cell>
        </row>
        <row r="567">
          <cell r="A567" t="str">
            <v>Miscellaneous BUS 25 Year EUL</v>
          </cell>
          <cell r="B567">
            <v>0.97076055928683003</v>
          </cell>
        </row>
        <row r="568">
          <cell r="A568" t="str">
            <v>Miscellaneous BUS 26 Year EUL</v>
          </cell>
          <cell r="B568">
            <v>0.99031270814865102</v>
          </cell>
        </row>
        <row r="569">
          <cell r="A569" t="str">
            <v>Miscellaneous BUS 27 Year EUL</v>
          </cell>
          <cell r="B569">
            <v>1.00860968443708</v>
          </cell>
        </row>
        <row r="570">
          <cell r="A570" t="str">
            <v>Miscellaneous BUS 28 Year EUL</v>
          </cell>
          <cell r="B570">
            <v>1.0257320653920099</v>
          </cell>
        </row>
        <row r="571">
          <cell r="A571" t="str">
            <v>Miscellaneous BUS 29 Year EUL</v>
          </cell>
          <cell r="B571">
            <v>1.0417552555051699</v>
          </cell>
        </row>
        <row r="572">
          <cell r="A572" t="str">
            <v>Miscellaneous BUS 3 Year EUL</v>
          </cell>
          <cell r="B572">
            <v>0.18880337799481101</v>
          </cell>
        </row>
        <row r="573">
          <cell r="A573" t="str">
            <v>Miscellaneous BUS 30 Year EUL</v>
          </cell>
          <cell r="B573">
            <v>1.0567498185906701</v>
          </cell>
        </row>
        <row r="574">
          <cell r="A574" t="str">
            <v>Miscellaneous BUS 4 Year EUL</v>
          </cell>
          <cell r="B574">
            <v>0.243788647374301</v>
          </cell>
        </row>
        <row r="575">
          <cell r="A575" t="str">
            <v>Miscellaneous BUS 5 Year EUL</v>
          </cell>
          <cell r="B575">
            <v>0.29840817146174398</v>
          </cell>
        </row>
        <row r="576">
          <cell r="A576" t="str">
            <v>Miscellaneous BUS 6 Year EUL</v>
          </cell>
          <cell r="B576">
            <v>0.35146996670611202</v>
          </cell>
        </row>
        <row r="577">
          <cell r="A577" t="str">
            <v>Miscellaneous BUS 7 Year EUL</v>
          </cell>
          <cell r="B577">
            <v>0.40120121310152801</v>
          </cell>
        </row>
        <row r="578">
          <cell r="A578" t="str">
            <v>Miscellaneous BUS 8 Year EUL</v>
          </cell>
          <cell r="B578">
            <v>0.447697963562941</v>
          </cell>
        </row>
        <row r="579">
          <cell r="A579" t="str">
            <v>Miscellaneous BUS 9 Year EUL</v>
          </cell>
          <cell r="B579">
            <v>0.491482165666148</v>
          </cell>
        </row>
        <row r="580">
          <cell r="A580" t="str">
            <v>Miscellaneous RES 1 Year EUL</v>
          </cell>
          <cell r="B580">
            <v>6.6098903215431201E-2</v>
          </cell>
        </row>
        <row r="581">
          <cell r="A581" t="str">
            <v>Miscellaneous RES 10 Year EUL</v>
          </cell>
          <cell r="B581">
            <v>0.50106019485349695</v>
          </cell>
        </row>
        <row r="582">
          <cell r="A582" t="str">
            <v>Miscellaneous RES 11 Year EUL</v>
          </cell>
          <cell r="B582">
            <v>0.53794880973282921</v>
          </cell>
        </row>
        <row r="583">
          <cell r="A583" t="str">
            <v>Miscellaneous RES 12 Year EUL</v>
          </cell>
          <cell r="B583">
            <v>0.57273820263396447</v>
          </cell>
        </row>
        <row r="584">
          <cell r="A584" t="str">
            <v>Miscellaneous RES 13 Year EUL</v>
          </cell>
          <cell r="B584">
            <v>0.60601588912080717</v>
          </cell>
        </row>
        <row r="585">
          <cell r="A585" t="str">
            <v>Miscellaneous RES 14 Year EUL</v>
          </cell>
          <cell r="B585">
            <v>0.6378328323178607</v>
          </cell>
        </row>
        <row r="586">
          <cell r="A586" t="str">
            <v>Miscellaneous RES 15 Year EUL</v>
          </cell>
          <cell r="B586">
            <v>0.66803569555531417</v>
          </cell>
        </row>
        <row r="587">
          <cell r="A587" t="str">
            <v>Miscellaneous RES 16 Year EUL</v>
          </cell>
          <cell r="B587">
            <v>0.69691272059453602</v>
          </cell>
        </row>
        <row r="588">
          <cell r="A588" t="str">
            <v>Miscellaneous RES 17 Year EUL</v>
          </cell>
          <cell r="B588">
            <v>0.72452213592032566</v>
          </cell>
        </row>
        <row r="589">
          <cell r="A589" t="str">
            <v>Miscellaneous RES 18 Year EUL</v>
          </cell>
          <cell r="B589">
            <v>0.75091961150586695</v>
          </cell>
        </row>
        <row r="590">
          <cell r="A590" t="str">
            <v>Miscellaneous RES 19 Year EUL</v>
          </cell>
          <cell r="B590">
            <v>0.77615837128630794</v>
          </cell>
        </row>
        <row r="591">
          <cell r="A591" t="str">
            <v>Miscellaneous RES 2 Year EUL</v>
          </cell>
          <cell r="B591">
            <v>0.12795451168953864</v>
          </cell>
        </row>
        <row r="592">
          <cell r="A592" t="str">
            <v>Miscellaneous RES 20 Year EUL</v>
          </cell>
          <cell r="B592">
            <v>0.80028930068548987</v>
          </cell>
        </row>
        <row r="593">
          <cell r="A593" t="str">
            <v>Miscellaneous RES 21 Year EUL</v>
          </cell>
          <cell r="B593">
            <v>0.82340661852216901</v>
          </cell>
        </row>
        <row r="594">
          <cell r="A594" t="str">
            <v>Miscellaneous RES 22 Year EUL</v>
          </cell>
          <cell r="B594">
            <v>0.84550919547438164</v>
          </cell>
        </row>
        <row r="595">
          <cell r="A595" t="str">
            <v>Miscellaneous RES 23 Year EUL</v>
          </cell>
          <cell r="B595">
            <v>0.86664159458886958</v>
          </cell>
        </row>
        <row r="596">
          <cell r="A596" t="str">
            <v>Miscellaneous RES 24 Year EUL</v>
          </cell>
          <cell r="B596">
            <v>0.88684642096507638</v>
          </cell>
        </row>
        <row r="597">
          <cell r="A597" t="str">
            <v>Miscellaneous RES 25 Year EUL</v>
          </cell>
          <cell r="B597">
            <v>0.90616440782237795</v>
          </cell>
        </row>
        <row r="598">
          <cell r="A598" t="str">
            <v>Miscellaneous RES 3 Year EUL</v>
          </cell>
          <cell r="B598">
            <v>0.18382715303335095</v>
          </cell>
        </row>
        <row r="599">
          <cell r="A599" t="str">
            <v>Miscellaneous RES 4 Year EUL</v>
          </cell>
          <cell r="B599">
            <v>0.23323024300741971</v>
          </cell>
        </row>
        <row r="600">
          <cell r="A600" t="str">
            <v>Miscellaneous RES 5 Year EUL</v>
          </cell>
          <cell r="B600">
            <v>0.28182462852351109</v>
          </cell>
        </row>
        <row r="601">
          <cell r="A601" t="str">
            <v>Miscellaneous RES 6 Year EUL</v>
          </cell>
          <cell r="B601">
            <v>0.33017825251733685</v>
          </cell>
        </row>
        <row r="602">
          <cell r="A602" t="str">
            <v>Miscellaneous RES 7 Year EUL</v>
          </cell>
          <cell r="B602">
            <v>0.37718866515449362</v>
          </cell>
        </row>
        <row r="603">
          <cell r="A603" t="str">
            <v>Miscellaneous RES 8 Year EUL</v>
          </cell>
          <cell r="B603">
            <v>0.42121861015697543</v>
          </cell>
        </row>
        <row r="604">
          <cell r="A604" t="str">
            <v>Miscellaneous RES 9 Year EUL</v>
          </cell>
          <cell r="B604">
            <v>0.46235008833598312</v>
          </cell>
        </row>
        <row r="605">
          <cell r="A605" t="str">
            <v>Motors BUS 1 Year EUL</v>
          </cell>
          <cell r="B605">
            <v>6.9716271613440697E-2</v>
          </cell>
        </row>
        <row r="606">
          <cell r="A606" t="str">
            <v>Motors BUS 10 Year EUL</v>
          </cell>
          <cell r="B606">
            <v>0.533208885762264</v>
          </cell>
        </row>
        <row r="607">
          <cell r="A607" t="str">
            <v>Motors BUS 11 Year EUL</v>
          </cell>
          <cell r="B607">
            <v>0.57258024632977</v>
          </cell>
        </row>
        <row r="608">
          <cell r="A608" t="str">
            <v>Motors BUS 12 Year EUL</v>
          </cell>
          <cell r="B608">
            <v>0.61023755153451198</v>
          </cell>
        </row>
        <row r="609">
          <cell r="A609" t="str">
            <v>Motors BUS 13 Year EUL</v>
          </cell>
          <cell r="B609">
            <v>0.64623944382922305</v>
          </cell>
        </row>
        <row r="610">
          <cell r="A610" t="str">
            <v>Motors BUS 14 Year EUL</v>
          </cell>
          <cell r="B610">
            <v>0.68042261850786301</v>
          </cell>
        </row>
        <row r="611">
          <cell r="A611" t="str">
            <v>Motors BUS 15 Year EUL</v>
          </cell>
          <cell r="B611">
            <v>0.71310302298390205</v>
          </cell>
        </row>
        <row r="612">
          <cell r="A612" t="str">
            <v>Motors BUS 16 Year EUL</v>
          </cell>
          <cell r="B612">
            <v>0.74434675528086403</v>
          </cell>
        </row>
        <row r="613">
          <cell r="A613" t="str">
            <v>Motors BUS 17 Year EUL</v>
          </cell>
          <cell r="B613">
            <v>0.77421700468761501</v>
          </cell>
        </row>
        <row r="614">
          <cell r="A614" t="str">
            <v>Motors BUS 18 Year EUL</v>
          </cell>
          <cell r="B614">
            <v>0.80277417982716304</v>
          </cell>
        </row>
        <row r="615">
          <cell r="A615" t="str">
            <v>Motors BUS 19 Year EUL</v>
          </cell>
          <cell r="B615">
            <v>0.83007603108375805</v>
          </cell>
        </row>
        <row r="616">
          <cell r="A616" t="str">
            <v>Motors BUS 2 Year EUL</v>
          </cell>
          <cell r="B616">
            <v>0.132825750401454</v>
          </cell>
        </row>
        <row r="617">
          <cell r="A617" t="str">
            <v>Motors BUS 20 Year EUL</v>
          </cell>
          <cell r="B617">
            <v>0.85623519848872498</v>
          </cell>
        </row>
        <row r="618">
          <cell r="A618" t="str">
            <v>Motors BUS 21 Year EUL</v>
          </cell>
          <cell r="B618">
            <v>0.88124441908486695</v>
          </cell>
        </row>
        <row r="619">
          <cell r="A619" t="str">
            <v>Motors BUS 22 Year EUL</v>
          </cell>
          <cell r="B619">
            <v>0.905154269142456</v>
          </cell>
        </row>
        <row r="620">
          <cell r="A620" t="str">
            <v>Motors BUS 23 Year EUL</v>
          </cell>
          <cell r="B620">
            <v>0.92801309939335697</v>
          </cell>
        </row>
        <row r="621">
          <cell r="A621" t="str">
            <v>Motors BUS 24 Year EUL</v>
          </cell>
          <cell r="B621">
            <v>0.949867133013089</v>
          </cell>
        </row>
        <row r="622">
          <cell r="A622" t="str">
            <v>Motors BUS 25 Year EUL</v>
          </cell>
          <cell r="B622">
            <v>0.97076055928683003</v>
          </cell>
        </row>
        <row r="623">
          <cell r="A623" t="str">
            <v>Motors BUS 26 Year EUL</v>
          </cell>
          <cell r="B623">
            <v>0.99031270814865102</v>
          </cell>
        </row>
        <row r="624">
          <cell r="A624" t="str">
            <v>Motors BUS 27 Year EUL</v>
          </cell>
          <cell r="B624">
            <v>1.00860968443708</v>
          </cell>
        </row>
        <row r="625">
          <cell r="A625" t="str">
            <v>Motors BUS 28 Year EUL</v>
          </cell>
          <cell r="B625">
            <v>1.0257320653920099</v>
          </cell>
        </row>
        <row r="626">
          <cell r="A626" t="str">
            <v>Motors BUS 29 Year EUL</v>
          </cell>
          <cell r="B626">
            <v>1.0417552555051699</v>
          </cell>
        </row>
        <row r="627">
          <cell r="A627" t="str">
            <v>Motors BUS 3 Year EUL</v>
          </cell>
          <cell r="B627">
            <v>0.18880337799481101</v>
          </cell>
        </row>
        <row r="628">
          <cell r="A628" t="str">
            <v>Motors BUS 30 Year EUL</v>
          </cell>
          <cell r="B628">
            <v>1.0567498185906701</v>
          </cell>
        </row>
        <row r="629">
          <cell r="A629" t="str">
            <v>Motors BUS 4 Year EUL</v>
          </cell>
          <cell r="B629">
            <v>0.243788647374301</v>
          </cell>
        </row>
        <row r="630">
          <cell r="A630" t="str">
            <v>Motors BUS 5 Year EUL</v>
          </cell>
          <cell r="B630">
            <v>0.29840817146174398</v>
          </cell>
        </row>
        <row r="631">
          <cell r="A631" t="str">
            <v>Motors BUS 6 Year EUL</v>
          </cell>
          <cell r="B631">
            <v>0.35146996670611202</v>
          </cell>
        </row>
        <row r="632">
          <cell r="A632" t="str">
            <v>Motors BUS 7 Year EUL</v>
          </cell>
          <cell r="B632">
            <v>0.40120121310152801</v>
          </cell>
        </row>
        <row r="633">
          <cell r="A633" t="str">
            <v>Motors BUS 8 Year EUL</v>
          </cell>
          <cell r="B633">
            <v>0.447697963562941</v>
          </cell>
        </row>
        <row r="634">
          <cell r="A634" t="str">
            <v>Motors BUS 9 Year EUL</v>
          </cell>
          <cell r="B634">
            <v>0.491482165666148</v>
          </cell>
        </row>
        <row r="635">
          <cell r="A635" t="str">
            <v>Office BUS 1 Year EUL</v>
          </cell>
          <cell r="B635">
            <v>6.7832021901144096E-2</v>
          </cell>
        </row>
        <row r="636">
          <cell r="A636" t="str">
            <v>Office BUS 10 Year EUL</v>
          </cell>
          <cell r="B636">
            <v>0.51819003104185102</v>
          </cell>
        </row>
        <row r="637">
          <cell r="A637" t="str">
            <v>Office BUS 11 Year EUL</v>
          </cell>
          <cell r="B637">
            <v>0.55642724861330295</v>
          </cell>
        </row>
        <row r="638">
          <cell r="A638" t="str">
            <v>Office BUS 12 Year EUL</v>
          </cell>
          <cell r="B638">
            <v>0.59300119455469802</v>
          </cell>
        </row>
        <row r="639">
          <cell r="A639" t="str">
            <v>Office BUS 13 Year EUL</v>
          </cell>
          <cell r="B639">
            <v>0.62796840277176003</v>
          </cell>
        </row>
        <row r="640">
          <cell r="A640" t="str">
            <v>Office BUS 14 Year EUL</v>
          </cell>
          <cell r="B640">
            <v>0.66116583921906302</v>
          </cell>
        </row>
        <row r="641">
          <cell r="A641" t="str">
            <v>Office BUS 15 Year EUL</v>
          </cell>
          <cell r="B641">
            <v>0.69290479666097404</v>
          </cell>
        </row>
        <row r="642">
          <cell r="A642" t="str">
            <v>Office BUS 16 Year EUL</v>
          </cell>
          <cell r="B642">
            <v>0.72324938216295798</v>
          </cell>
        </row>
        <row r="643">
          <cell r="A643" t="str">
            <v>Office BUS 17 Year EUL</v>
          </cell>
          <cell r="B643">
            <v>0.75226088359044296</v>
          </cell>
        </row>
        <row r="644">
          <cell r="A644" t="str">
            <v>Office BUS 18 Year EUL</v>
          </cell>
          <cell r="B644">
            <v>0.77999789364953198</v>
          </cell>
        </row>
        <row r="645">
          <cell r="A645" t="str">
            <v>Office BUS 19 Year EUL</v>
          </cell>
          <cell r="B645">
            <v>0.80651642846729799</v>
          </cell>
        </row>
        <row r="646">
          <cell r="A646" t="str">
            <v>Office BUS 2 Year EUL</v>
          </cell>
          <cell r="B646">
            <v>0.129176402021381</v>
          </cell>
        </row>
        <row r="647">
          <cell r="A647" t="str">
            <v>Office BUS 20 Year EUL</v>
          </cell>
          <cell r="B647">
            <v>0.83192327711030001</v>
          </cell>
        </row>
        <row r="648">
          <cell r="A648" t="str">
            <v>Office BUS 21 Year EUL</v>
          </cell>
          <cell r="B648">
            <v>0.85621398029656604</v>
          </cell>
        </row>
        <row r="649">
          <cell r="A649" t="str">
            <v>Office BUS 22 Year EUL</v>
          </cell>
          <cell r="B649">
            <v>0.87943759495381801</v>
          </cell>
        </row>
        <row r="650">
          <cell r="A650" t="str">
            <v>Office BUS 23 Year EUL</v>
          </cell>
          <cell r="B650">
            <v>0.90164102079361996</v>
          </cell>
        </row>
        <row r="651">
          <cell r="A651" t="str">
            <v>Office BUS 24 Year EUL</v>
          </cell>
          <cell r="B651">
            <v>0.92286909521981497</v>
          </cell>
        </row>
        <row r="652">
          <cell r="A652" t="str">
            <v>Office BUS 25 Year EUL</v>
          </cell>
          <cell r="B652">
            <v>0.94316468405926401</v>
          </cell>
        </row>
        <row r="653">
          <cell r="A653" t="str">
            <v>Office BUS 26 Year EUL</v>
          </cell>
          <cell r="B653">
            <v>0.96215737434510495</v>
          </cell>
        </row>
        <row r="654">
          <cell r="A654" t="str">
            <v>Office BUS 27 Year EUL</v>
          </cell>
          <cell r="B654">
            <v>0.97993080714113801</v>
          </cell>
        </row>
        <row r="655">
          <cell r="A655" t="str">
            <v>Office BUS 28 Year EUL</v>
          </cell>
          <cell r="B655">
            <v>0.99656325407734703</v>
          </cell>
        </row>
        <row r="656">
          <cell r="A656" t="str">
            <v>Office BUS 29 Year EUL</v>
          </cell>
          <cell r="B656">
            <v>1.01212796204685</v>
          </cell>
        </row>
        <row r="657">
          <cell r="A657" t="str">
            <v>Office BUS 3 Year EUL</v>
          </cell>
          <cell r="B657">
            <v>0.18351210421373401</v>
          </cell>
        </row>
        <row r="658">
          <cell r="A658" t="str">
            <v>Office BUS 30 Year EUL</v>
          </cell>
          <cell r="B658">
            <v>1.02669347577462</v>
          </cell>
        </row>
        <row r="659">
          <cell r="A659" t="str">
            <v>Office BUS 4 Year EUL</v>
          </cell>
          <cell r="B659">
            <v>0.23691747572723901</v>
          </cell>
        </row>
        <row r="660">
          <cell r="A660" t="str">
            <v>Office BUS 5 Year EUL</v>
          </cell>
          <cell r="B660">
            <v>0.29000807207587997</v>
          </cell>
        </row>
        <row r="661">
          <cell r="A661" t="str">
            <v>Office BUS 6 Year EUL</v>
          </cell>
          <cell r="B661">
            <v>0.341602115348969</v>
          </cell>
        </row>
        <row r="662">
          <cell r="A662" t="str">
            <v>Office BUS 7 Year EUL</v>
          </cell>
          <cell r="B662">
            <v>0.38994314241587202</v>
          </cell>
        </row>
        <row r="663">
          <cell r="A663" t="str">
            <v>Office BUS 8 Year EUL</v>
          </cell>
          <cell r="B663">
            <v>0.43512302946940301</v>
          </cell>
        </row>
        <row r="664">
          <cell r="A664" t="str">
            <v>Office BUS 9 Year EUL</v>
          </cell>
          <cell r="B664">
            <v>0.47765648470876698</v>
          </cell>
        </row>
        <row r="665">
          <cell r="A665" t="str">
            <v>Pool Spa RES 1 Year EUL</v>
          </cell>
          <cell r="B665">
            <v>7.8889619878687978E-2</v>
          </cell>
        </row>
        <row r="666">
          <cell r="A666" t="str">
            <v>Pool Spa RES 10 Year EUL</v>
          </cell>
          <cell r="B666">
            <v>0.60217804707664857</v>
          </cell>
        </row>
        <row r="667">
          <cell r="A667" t="str">
            <v>Pool Spa RES 11 Year EUL</v>
          </cell>
          <cell r="B667">
            <v>0.64670658005455417</v>
          </cell>
        </row>
        <row r="668">
          <cell r="A668" t="str">
            <v>Pool Spa RES 12 Year EUL</v>
          </cell>
          <cell r="B668">
            <v>0.68876517096281509</v>
          </cell>
        </row>
        <row r="669">
          <cell r="A669" t="str">
            <v>Pool Spa RES 13 Year EUL</v>
          </cell>
          <cell r="B669">
            <v>0.7289853423854018</v>
          </cell>
        </row>
        <row r="670">
          <cell r="A670" t="str">
            <v>Pool Spa RES 14 Year EUL</v>
          </cell>
          <cell r="B670">
            <v>0.76743193491567085</v>
          </cell>
        </row>
        <row r="671">
          <cell r="A671" t="str">
            <v>Pool Spa RES 15 Year EUL</v>
          </cell>
          <cell r="B671">
            <v>0.80395371459394527</v>
          </cell>
        </row>
        <row r="672">
          <cell r="A672" t="str">
            <v>Pool Spa RES 16 Year EUL</v>
          </cell>
          <cell r="B672">
            <v>0.83886490796845559</v>
          </cell>
        </row>
        <row r="673">
          <cell r="A673" t="str">
            <v>Pool Spa RES 17 Year EUL</v>
          </cell>
          <cell r="B673">
            <v>0.87223657964237644</v>
          </cell>
        </row>
        <row r="674">
          <cell r="A674" t="str">
            <v>Pool Spa RES 18 Year EUL</v>
          </cell>
          <cell r="B674">
            <v>0.90413665686991662</v>
          </cell>
        </row>
        <row r="675">
          <cell r="A675" t="str">
            <v>Pool Spa RES 19 Year EUL</v>
          </cell>
          <cell r="B675">
            <v>0.93463006814097316</v>
          </cell>
        </row>
        <row r="676">
          <cell r="A676" t="str">
            <v>Pool Spa RES 2 Year EUL</v>
          </cell>
          <cell r="B676">
            <v>0.15271483032103125</v>
          </cell>
        </row>
        <row r="677">
          <cell r="A677" t="str">
            <v>Pool Spa RES 20 Year EUL</v>
          </cell>
          <cell r="B677">
            <v>0.96377887564068987</v>
          </cell>
        </row>
        <row r="678">
          <cell r="A678" t="str">
            <v>Pool Spa RES 21 Year EUL</v>
          </cell>
          <cell r="B678">
            <v>0.99171705531081245</v>
          </cell>
        </row>
        <row r="679">
          <cell r="A679" t="str">
            <v>Pool Spa RES 22 Year EUL</v>
          </cell>
          <cell r="B679">
            <v>1.0184232622474181</v>
          </cell>
        </row>
        <row r="680">
          <cell r="A680" t="str">
            <v>Pool Spa RES 23 Year EUL</v>
          </cell>
          <cell r="B680">
            <v>1.0439518516354009</v>
          </cell>
        </row>
        <row r="681">
          <cell r="A681" t="str">
            <v>Pool Spa RES 24 Year EUL</v>
          </cell>
          <cell r="B681">
            <v>1.0683547791601062</v>
          </cell>
        </row>
        <row r="682">
          <cell r="A682" t="str">
            <v>Pool Spa RES 25 Year EUL</v>
          </cell>
          <cell r="B682">
            <v>1.0916817069919575</v>
          </cell>
        </row>
        <row r="683">
          <cell r="A683" t="str">
            <v>Pool Spa RES 3 Year EUL</v>
          </cell>
          <cell r="B683">
            <v>0.2198549830643394</v>
          </cell>
        </row>
        <row r="684">
          <cell r="A684" t="str">
            <v>Pool Spa RES 4 Year EUL</v>
          </cell>
          <cell r="B684">
            <v>0.27980732384372842</v>
          </cell>
        </row>
        <row r="685">
          <cell r="A685" t="str">
            <v>Pool Spa RES 5 Year EUL</v>
          </cell>
          <cell r="B685">
            <v>0.33852445424487143</v>
          </cell>
        </row>
        <row r="686">
          <cell r="A686" t="str">
            <v>Pool Spa RES 6 Year EUL</v>
          </cell>
          <cell r="B686">
            <v>0.39663913593113925</v>
          </cell>
        </row>
        <row r="687">
          <cell r="A687" t="str">
            <v>Pool Spa RES 7 Year EUL</v>
          </cell>
          <cell r="B687">
            <v>0.4530043936049965</v>
          </cell>
        </row>
        <row r="688">
          <cell r="A688" t="str">
            <v>Pool Spa RES 8 Year EUL</v>
          </cell>
          <cell r="B688">
            <v>0.50590817772520569</v>
          </cell>
        </row>
        <row r="689">
          <cell r="A689" t="str">
            <v>Pool Spa RES 9 Year EUL</v>
          </cell>
          <cell r="B689">
            <v>0.55546047972424695</v>
          </cell>
        </row>
        <row r="690">
          <cell r="A690" t="str">
            <v>Process BUS 1 Year EUL</v>
          </cell>
          <cell r="B690">
            <v>6.9716271613440697E-2</v>
          </cell>
        </row>
        <row r="691">
          <cell r="A691" t="str">
            <v>Process BUS 10 Year EUL</v>
          </cell>
          <cell r="B691">
            <v>0.533208885762264</v>
          </cell>
        </row>
        <row r="692">
          <cell r="A692" t="str">
            <v>Process BUS 11 Year EUL</v>
          </cell>
          <cell r="B692">
            <v>0.57258024632977</v>
          </cell>
        </row>
        <row r="693">
          <cell r="A693" t="str">
            <v>Process BUS 12 Year EUL</v>
          </cell>
          <cell r="B693">
            <v>0.61023755153451198</v>
          </cell>
        </row>
        <row r="694">
          <cell r="A694" t="str">
            <v>Process BUS 13 Year EUL</v>
          </cell>
          <cell r="B694">
            <v>0.64623944382922305</v>
          </cell>
        </row>
        <row r="695">
          <cell r="A695" t="str">
            <v>Process BUS 14 Year EUL</v>
          </cell>
          <cell r="B695">
            <v>0.68042261850786301</v>
          </cell>
        </row>
        <row r="696">
          <cell r="A696" t="str">
            <v>Process BUS 15 Year EUL</v>
          </cell>
          <cell r="B696">
            <v>0.71310302298390205</v>
          </cell>
        </row>
        <row r="697">
          <cell r="A697" t="str">
            <v>Process BUS 16 Year EUL</v>
          </cell>
          <cell r="B697">
            <v>0.74434675528086403</v>
          </cell>
        </row>
        <row r="698">
          <cell r="A698" t="str">
            <v>Process BUS 17 Year EUL</v>
          </cell>
          <cell r="B698">
            <v>0.77421700468761501</v>
          </cell>
        </row>
        <row r="699">
          <cell r="A699" t="str">
            <v>Process BUS 18 Year EUL</v>
          </cell>
          <cell r="B699">
            <v>0.80277417982716304</v>
          </cell>
        </row>
        <row r="700">
          <cell r="A700" t="str">
            <v>Process BUS 19 Year EUL</v>
          </cell>
          <cell r="B700">
            <v>0.83007603108375805</v>
          </cell>
        </row>
        <row r="701">
          <cell r="A701" t="str">
            <v>Process BUS 2 Year EUL</v>
          </cell>
          <cell r="B701">
            <v>0.132825750401454</v>
          </cell>
        </row>
        <row r="702">
          <cell r="A702" t="str">
            <v>Process BUS 20 Year EUL</v>
          </cell>
          <cell r="B702">
            <v>0.85623519848872498</v>
          </cell>
        </row>
        <row r="703">
          <cell r="A703" t="str">
            <v>Process BUS 21 Year EUL</v>
          </cell>
          <cell r="B703">
            <v>0.88124441908486695</v>
          </cell>
        </row>
        <row r="704">
          <cell r="A704" t="str">
            <v>Process BUS 22 Year EUL</v>
          </cell>
          <cell r="B704">
            <v>0.905154269142456</v>
          </cell>
        </row>
        <row r="705">
          <cell r="A705" t="str">
            <v>Process BUS 23 Year EUL</v>
          </cell>
          <cell r="B705">
            <v>0.92801309939335697</v>
          </cell>
        </row>
        <row r="706">
          <cell r="A706" t="str">
            <v>Process BUS 24 Year EUL</v>
          </cell>
          <cell r="B706">
            <v>0.949867133013089</v>
          </cell>
        </row>
        <row r="707">
          <cell r="A707" t="str">
            <v>Process BUS 25 Year EUL</v>
          </cell>
          <cell r="B707">
            <v>0.97076055928683003</v>
          </cell>
        </row>
        <row r="708">
          <cell r="A708" t="str">
            <v>Process BUS 26 Year EUL</v>
          </cell>
          <cell r="B708">
            <v>0.99031270814865102</v>
          </cell>
        </row>
        <row r="709">
          <cell r="A709" t="str">
            <v>Process BUS 27 Year EUL</v>
          </cell>
          <cell r="B709">
            <v>1.00860968443708</v>
          </cell>
        </row>
        <row r="710">
          <cell r="A710" t="str">
            <v>Process BUS 28 Year EUL</v>
          </cell>
          <cell r="B710">
            <v>1.0257320653920099</v>
          </cell>
        </row>
        <row r="711">
          <cell r="A711" t="str">
            <v>Process BUS 29 Year EUL</v>
          </cell>
          <cell r="B711">
            <v>1.0417552555051699</v>
          </cell>
        </row>
        <row r="712">
          <cell r="A712" t="str">
            <v>Process BUS 3 Year EUL</v>
          </cell>
          <cell r="B712">
            <v>0.18880337799481101</v>
          </cell>
        </row>
        <row r="713">
          <cell r="A713" t="str">
            <v>Process BUS 30 Year EUL</v>
          </cell>
          <cell r="B713">
            <v>1.0567498185906701</v>
          </cell>
        </row>
        <row r="714">
          <cell r="A714" t="str">
            <v>Process BUS 4 Year EUL</v>
          </cell>
          <cell r="B714">
            <v>0.243788647374301</v>
          </cell>
        </row>
        <row r="715">
          <cell r="A715" t="str">
            <v>Process BUS 5 Year EUL</v>
          </cell>
          <cell r="B715">
            <v>0.29840817146174398</v>
          </cell>
        </row>
        <row r="716">
          <cell r="A716" t="str">
            <v>Process BUS 6 Year EUL</v>
          </cell>
          <cell r="B716">
            <v>0.35146996670611202</v>
          </cell>
        </row>
        <row r="717">
          <cell r="A717" t="str">
            <v>Process BUS 7 Year EUL</v>
          </cell>
          <cell r="B717">
            <v>0.40120121310152801</v>
          </cell>
        </row>
        <row r="718">
          <cell r="A718" t="str">
            <v>Process BUS 8 Year EUL</v>
          </cell>
          <cell r="B718">
            <v>0.447697963562941</v>
          </cell>
        </row>
        <row r="719">
          <cell r="A719" t="str">
            <v>Process BUS 9 Year EUL</v>
          </cell>
          <cell r="B719">
            <v>0.491482165666148</v>
          </cell>
        </row>
        <row r="720">
          <cell r="A720" t="str">
            <v>Refrigeration BUS 1 Year EUL</v>
          </cell>
          <cell r="B720">
            <v>6.9239766266191605E-2</v>
          </cell>
        </row>
        <row r="721">
          <cell r="A721" t="str">
            <v>Refrigeration BUS 10 Year EUL</v>
          </cell>
          <cell r="B721">
            <v>0.52948351702172602</v>
          </cell>
        </row>
        <row r="722">
          <cell r="A722" t="str">
            <v>Refrigeration BUS 11 Year EUL</v>
          </cell>
          <cell r="B722">
            <v>0.56857644905235405</v>
          </cell>
        </row>
        <row r="723">
          <cell r="A723" t="str">
            <v>Refrigeration BUS 12 Year EUL</v>
          </cell>
          <cell r="B723">
            <v>0.60596763482272098</v>
          </cell>
        </row>
        <row r="724">
          <cell r="A724" t="str">
            <v>Refrigeration BUS 13 Year EUL</v>
          </cell>
          <cell r="B724">
            <v>0.64171524623115905</v>
          </cell>
        </row>
        <row r="725">
          <cell r="A725" t="str">
            <v>Refrigeration BUS 14 Year EUL</v>
          </cell>
          <cell r="B725">
            <v>0.675656542932768</v>
          </cell>
        </row>
        <row r="726">
          <cell r="A726" t="str">
            <v>Refrigeration BUS 15 Year EUL</v>
          </cell>
          <cell r="B726">
            <v>0.70810583025528095</v>
          </cell>
        </row>
        <row r="727">
          <cell r="A727" t="str">
            <v>Refrigeration BUS 16 Year EUL</v>
          </cell>
          <cell r="B727">
            <v>0.73912872720982703</v>
          </cell>
        </row>
        <row r="728">
          <cell r="A728" t="str">
            <v>Refrigeration BUS 17 Year EUL</v>
          </cell>
          <cell r="B728">
            <v>0.76878796540817496</v>
          </cell>
        </row>
        <row r="729">
          <cell r="A729" t="str">
            <v>Refrigeration BUS 18 Year EUL</v>
          </cell>
          <cell r="B729">
            <v>0.79714351618071</v>
          </cell>
        </row>
        <row r="730">
          <cell r="A730" t="str">
            <v>Refrigeration BUS 19 Year EUL</v>
          </cell>
          <cell r="B730">
            <v>0.82425271209510598</v>
          </cell>
        </row>
        <row r="731">
          <cell r="A731" t="str">
            <v>Refrigeration BUS 2 Year EUL</v>
          </cell>
          <cell r="B731">
            <v>0.131909983323443</v>
          </cell>
        </row>
        <row r="732">
          <cell r="A732" t="str">
            <v>Refrigeration BUS 20 Year EUL</v>
          </cell>
          <cell r="B732">
            <v>0.850227049484507</v>
          </cell>
        </row>
        <row r="733">
          <cell r="A733" t="str">
            <v>Refrigeration BUS 21 Year EUL</v>
          </cell>
          <cell r="B733">
            <v>0.87505966231136101</v>
          </cell>
        </row>
        <row r="734">
          <cell r="A734" t="str">
            <v>Refrigeration BUS 22 Year EUL</v>
          </cell>
          <cell r="B734">
            <v>0.89880076086313598</v>
          </cell>
        </row>
        <row r="735">
          <cell r="A735" t="str">
            <v>Refrigeration BUS 23 Year EUL</v>
          </cell>
          <cell r="B735">
            <v>0.92149834618868298</v>
          </cell>
        </row>
        <row r="736">
          <cell r="A736" t="str">
            <v>Refrigeration BUS 24 Year EUL</v>
          </cell>
          <cell r="B736">
            <v>0.94319830735391796</v>
          </cell>
        </row>
        <row r="737">
          <cell r="A737" t="str">
            <v>Refrigeration BUS 25 Year EUL</v>
          </cell>
          <cell r="B737">
            <v>0.96394451441386697</v>
          </cell>
        </row>
        <row r="738">
          <cell r="A738" t="str">
            <v>Refrigeration BUS 26 Year EUL</v>
          </cell>
          <cell r="B738">
            <v>0.98335889496781503</v>
          </cell>
        </row>
        <row r="739">
          <cell r="A739" t="str">
            <v>Refrigeration BUS 27 Year EUL</v>
          </cell>
          <cell r="B739">
            <v>1.0015269471425701</v>
          </cell>
        </row>
        <row r="740">
          <cell r="A740" t="str">
            <v>Refrigeration BUS 28 Year EUL</v>
          </cell>
          <cell r="B740">
            <v>1.0185286804148601</v>
          </cell>
        </row>
        <row r="741">
          <cell r="A741" t="str">
            <v>Refrigeration BUS 29 Year EUL</v>
          </cell>
          <cell r="B741">
            <v>1.0344389679614401</v>
          </cell>
        </row>
        <row r="742">
          <cell r="A742" t="str">
            <v>Refrigeration BUS 3 Year EUL</v>
          </cell>
          <cell r="B742">
            <v>0.18748782715578499</v>
          </cell>
        </row>
        <row r="743">
          <cell r="A743" t="str">
            <v>Refrigeration BUS 30 Year EUL</v>
          </cell>
          <cell r="B743">
            <v>1.0493278763898399</v>
          </cell>
        </row>
        <row r="744">
          <cell r="A744" t="str">
            <v>Refrigeration BUS 4 Year EUL</v>
          </cell>
          <cell r="B744">
            <v>0.242084784661975</v>
          </cell>
        </row>
        <row r="745">
          <cell r="A745" t="str">
            <v>Refrigeration BUS 5 Year EUL</v>
          </cell>
          <cell r="B745">
            <v>0.29632396884831702</v>
          </cell>
        </row>
        <row r="746">
          <cell r="A746" t="str">
            <v>Refrigeration BUS 6 Year EUL</v>
          </cell>
          <cell r="B746">
            <v>0.34901861167853199</v>
          </cell>
        </row>
        <row r="747">
          <cell r="A747" t="str">
            <v>Refrigeration BUS 7 Year EUL</v>
          </cell>
          <cell r="B747">
            <v>0.39840380702838701</v>
          </cell>
        </row>
        <row r="748">
          <cell r="A748" t="str">
            <v>Refrigeration BUS 8 Year EUL</v>
          </cell>
          <cell r="B748">
            <v>0.44457474076940001</v>
          </cell>
        </row>
        <row r="749">
          <cell r="A749" t="str">
            <v>Refrigeration BUS 9 Year EUL</v>
          </cell>
          <cell r="B749">
            <v>0.48805070769337</v>
          </cell>
        </row>
        <row r="750">
          <cell r="A750" t="str">
            <v>Refrigeration RES 1 Year EUL</v>
          </cell>
          <cell r="B750">
            <v>6.6631665194838832E-2</v>
          </cell>
        </row>
        <row r="751">
          <cell r="A751" t="str">
            <v>Refrigeration RES 10 Year EUL</v>
          </cell>
          <cell r="B751">
            <v>0.5053049878580318</v>
          </cell>
        </row>
        <row r="752">
          <cell r="A752" t="str">
            <v>Refrigeration RES 11 Year EUL</v>
          </cell>
          <cell r="B752">
            <v>0.54251580443766967</v>
          </cell>
        </row>
        <row r="753">
          <cell r="A753" t="str">
            <v>Refrigeration RES 12 Year EUL</v>
          </cell>
          <cell r="B753">
            <v>0.57761223949352802</v>
          </cell>
        </row>
        <row r="754">
          <cell r="A754" t="str">
            <v>Refrigeration RES 13 Year EUL</v>
          </cell>
          <cell r="B754">
            <v>0.61118308845157332</v>
          </cell>
        </row>
        <row r="755">
          <cell r="A755" t="str">
            <v>Refrigeration RES 14 Year EUL</v>
          </cell>
          <cell r="B755">
            <v>0.64327992433966796</v>
          </cell>
        </row>
        <row r="756">
          <cell r="A756" t="str">
            <v>Refrigeration RES 15 Year EUL</v>
          </cell>
          <cell r="B756">
            <v>0.67374975029360162</v>
          </cell>
        </row>
        <row r="757">
          <cell r="A757" t="str">
            <v>Refrigeration RES 16 Year EUL</v>
          </cell>
          <cell r="B757">
            <v>0.70288165391052593</v>
          </cell>
        </row>
        <row r="758">
          <cell r="A758" t="str">
            <v>Refrigeration RES 17 Year EUL</v>
          </cell>
          <cell r="B758">
            <v>0.7307344107780116</v>
          </cell>
        </row>
        <row r="759">
          <cell r="A759" t="str">
            <v>Refrigeration RES 18 Year EUL</v>
          </cell>
          <cell r="B759">
            <v>0.75736421319740144</v>
          </cell>
        </row>
        <row r="760">
          <cell r="A760" t="str">
            <v>Refrigeration RES 19 Year EUL</v>
          </cell>
          <cell r="B760">
            <v>0.78282478377947917</v>
          </cell>
        </row>
        <row r="761">
          <cell r="A761" t="str">
            <v>Refrigeration RES 2 Year EUL</v>
          </cell>
          <cell r="B761">
            <v>0.12898583438334604</v>
          </cell>
        </row>
        <row r="762">
          <cell r="A762" t="str">
            <v>Refrigeration RES 20 Year EUL</v>
          </cell>
          <cell r="B762">
            <v>0.80716748404245053</v>
          </cell>
        </row>
        <row r="763">
          <cell r="A763" t="str">
            <v>Refrigeration RES 21 Year EUL</v>
          </cell>
          <cell r="B763">
            <v>0.8304883596402638</v>
          </cell>
        </row>
        <row r="764">
          <cell r="A764" t="str">
            <v>Refrigeration RES 22 Year EUL</v>
          </cell>
          <cell r="B764">
            <v>0.85278528049300562</v>
          </cell>
        </row>
        <row r="765">
          <cell r="A765" t="str">
            <v>Refrigeration RES 23 Year EUL</v>
          </cell>
          <cell r="B765">
            <v>0.87410322678964425</v>
          </cell>
        </row>
        <row r="766">
          <cell r="A766" t="str">
            <v>Refrigeration RES 24 Year EUL</v>
          </cell>
          <cell r="B766">
            <v>0.89448520188272651</v>
          </cell>
        </row>
        <row r="767">
          <cell r="A767" t="str">
            <v>Refrigeration RES 25 Year EUL</v>
          </cell>
          <cell r="B767">
            <v>0.91397231921111055</v>
          </cell>
        </row>
        <row r="768">
          <cell r="A768" t="str">
            <v>Refrigeration RES 3 Year EUL</v>
          </cell>
          <cell r="B768">
            <v>0.18533140980916346</v>
          </cell>
        </row>
        <row r="769">
          <cell r="A769" t="str">
            <v>Refrigeration RES 4 Year EUL</v>
          </cell>
          <cell r="B769">
            <v>0.23518175277495865</v>
          </cell>
        </row>
        <row r="770">
          <cell r="A770" t="str">
            <v>Refrigeration RES 5 Year EUL</v>
          </cell>
          <cell r="B770">
            <v>0.28420348301981402</v>
          </cell>
        </row>
        <row r="771">
          <cell r="A771" t="str">
            <v>Refrigeration RES 6 Year EUL</v>
          </cell>
          <cell r="B771">
            <v>0.3329668854605044</v>
          </cell>
        </row>
        <row r="772">
          <cell r="A772" t="str">
            <v>Refrigeration RES ER1 6 Year EUL</v>
          </cell>
          <cell r="B772">
            <v>0.3329668854605044</v>
          </cell>
        </row>
        <row r="773">
          <cell r="A773" t="str">
            <v>Refrigeration RES 7 Year EUL</v>
          </cell>
          <cell r="B773">
            <v>0.38036899565306298</v>
          </cell>
        </row>
        <row r="774">
          <cell r="A774" t="str">
            <v>Refrigeration RES 8 Year EUL</v>
          </cell>
          <cell r="B774">
            <v>0.42477136321351316</v>
          </cell>
        </row>
        <row r="775">
          <cell r="A775" t="str">
            <v>Refrigeration RES 9 Year EUL</v>
          </cell>
          <cell r="B775">
            <v>0.46625725105371235</v>
          </cell>
        </row>
        <row r="776">
          <cell r="A776" t="str">
            <v>Refrigeration RES ER2 11 Year EUL</v>
          </cell>
          <cell r="B776">
            <v>0.39776752531750725</v>
          </cell>
        </row>
        <row r="777">
          <cell r="A777" t="str">
            <v>Ventilation BUS 1 Year EUL</v>
          </cell>
          <cell r="B777">
            <v>6.6686149604661099E-2</v>
          </cell>
        </row>
        <row r="778">
          <cell r="A778" t="str">
            <v>Ventilation BUS 10 Year EUL</v>
          </cell>
          <cell r="B778">
            <v>0.509140460660639</v>
          </cell>
        </row>
        <row r="779">
          <cell r="A779" t="str">
            <v>Ventilation BUS 11 Year EUL</v>
          </cell>
          <cell r="B779">
            <v>0.54669763771623103</v>
          </cell>
        </row>
        <row r="780">
          <cell r="A780" t="str">
            <v>Ventilation BUS 12 Year EUL</v>
          </cell>
          <cell r="B780">
            <v>0.58262181106529898</v>
          </cell>
        </row>
        <row r="781">
          <cell r="A781" t="str">
            <v>Ventilation BUS 13 Year EUL</v>
          </cell>
          <cell r="B781">
            <v>0.61696830461597996</v>
          </cell>
        </row>
        <row r="782">
          <cell r="A782" t="str">
            <v>Ventilation BUS 14 Year EUL</v>
          </cell>
          <cell r="B782">
            <v>0.64957482082679596</v>
          </cell>
        </row>
        <row r="783">
          <cell r="A783" t="str">
            <v>Ventilation BUS 15 Year EUL</v>
          </cell>
          <cell r="B783">
            <v>0.68074928559193304</v>
          </cell>
        </row>
        <row r="784">
          <cell r="A784" t="str">
            <v>Ventilation BUS 16 Year EUL</v>
          </cell>
          <cell r="B784">
            <v>0.71055462344108</v>
          </cell>
        </row>
        <row r="785">
          <cell r="A785" t="str">
            <v>Ventilation BUS 17 Year EUL</v>
          </cell>
          <cell r="B785">
            <v>0.73905099264547203</v>
          </cell>
        </row>
        <row r="786">
          <cell r="A786" t="str">
            <v>Ventilation BUS 18 Year EUL</v>
          </cell>
          <cell r="B786">
            <v>0.76629590688721905</v>
          </cell>
        </row>
        <row r="787">
          <cell r="A787" t="str">
            <v>Ventilation BUS 19 Year EUL</v>
          </cell>
          <cell r="B787">
            <v>0.792344351574501</v>
          </cell>
        </row>
        <row r="788">
          <cell r="A788" t="str">
            <v>Ventilation BUS 2 Year EUL</v>
          </cell>
          <cell r="B788">
            <v>0.12696531841853101</v>
          </cell>
        </row>
        <row r="789">
          <cell r="A789" t="str">
            <v>Ventilation BUS 20 Year EUL</v>
          </cell>
          <cell r="B789">
            <v>0.81729994503923797</v>
          </cell>
        </row>
        <row r="790">
          <cell r="A790" t="str">
            <v>Ventilation BUS 21 Year EUL</v>
          </cell>
          <cell r="B790">
            <v>0.84115957308073697</v>
          </cell>
        </row>
        <row r="791">
          <cell r="A791" t="str">
            <v>Ventilation BUS 22 Year EUL</v>
          </cell>
          <cell r="B791">
            <v>0.86397138970307097</v>
          </cell>
        </row>
        <row r="792">
          <cell r="A792" t="str">
            <v>Ventilation BUS 23 Year EUL</v>
          </cell>
          <cell r="B792">
            <v>0.88578143211506599</v>
          </cell>
        </row>
        <row r="793">
          <cell r="A793" t="str">
            <v>Ventilation BUS 24 Year EUL</v>
          </cell>
          <cell r="B793">
            <v>0.90663371382829205</v>
          </cell>
        </row>
        <row r="794">
          <cell r="A794" t="str">
            <v>Ventilation BUS 25 Year EUL</v>
          </cell>
          <cell r="B794">
            <v>0.92657031365850195</v>
          </cell>
        </row>
        <row r="795">
          <cell r="A795" t="str">
            <v>Ventilation BUS 26 Year EUL</v>
          </cell>
          <cell r="B795">
            <v>0.94522706064540896</v>
          </cell>
        </row>
        <row r="796">
          <cell r="A796" t="str">
            <v>Ventilation BUS 27 Year EUL</v>
          </cell>
          <cell r="B796">
            <v>0.96268611640706703</v>
          </cell>
        </row>
        <row r="797">
          <cell r="A797" t="str">
            <v>Ventilation BUS 28 Year EUL</v>
          </cell>
          <cell r="B797">
            <v>0.97902436810242399</v>
          </cell>
        </row>
        <row r="798">
          <cell r="A798" t="str">
            <v>Ventilation BUS 29 Year EUL</v>
          </cell>
          <cell r="B798">
            <v>0.99431376703126195</v>
          </cell>
        </row>
        <row r="799">
          <cell r="A799" t="str">
            <v>Ventilation BUS 3 Year EUL</v>
          </cell>
          <cell r="B799">
            <v>0.18032032003211501</v>
          </cell>
        </row>
        <row r="800">
          <cell r="A800" t="str">
            <v>Ventilation BUS 30 Year EUL</v>
          </cell>
          <cell r="B800">
            <v>1.00862164549733</v>
          </cell>
        </row>
        <row r="801">
          <cell r="A801" t="str">
            <v>Ventilation BUS 4 Year EUL</v>
          </cell>
          <cell r="B801">
            <v>0.23277785194880199</v>
          </cell>
        </row>
        <row r="802">
          <cell r="A802" t="str">
            <v>Ventilation BUS 5 Year EUL</v>
          </cell>
          <cell r="B802">
            <v>0.28494593387669698</v>
          </cell>
        </row>
        <row r="803">
          <cell r="A803" t="str">
            <v>Ventilation BUS 6 Year EUL</v>
          </cell>
          <cell r="B803">
            <v>0.335652032626723</v>
          </cell>
        </row>
        <row r="804">
          <cell r="A804" t="str">
            <v>Ventilation BUS 7 Year EUL</v>
          </cell>
          <cell r="B804">
            <v>0.38315398845906501</v>
          </cell>
        </row>
        <row r="805">
          <cell r="A805" t="str">
            <v>Ventilation BUS 8 Year EUL</v>
          </cell>
          <cell r="B805">
            <v>0.42754135576365099</v>
          </cell>
        </row>
        <row r="806">
          <cell r="A806" t="str">
            <v>Ventilation BUS 9 Year EUL</v>
          </cell>
          <cell r="B806">
            <v>0.46932349225098902</v>
          </cell>
        </row>
        <row r="807">
          <cell r="A807" t="str">
            <v>Water Heating BUS 1 Year EUL</v>
          </cell>
          <cell r="B807">
            <v>8.1110673742368702E-2</v>
          </cell>
        </row>
        <row r="808">
          <cell r="A808" t="str">
            <v>Water Heating BUS 10 Year EUL</v>
          </cell>
          <cell r="B808">
            <v>0.62381521323199896</v>
          </cell>
        </row>
        <row r="809">
          <cell r="A809" t="str">
            <v>Water Heating BUS 11 Year EUL</v>
          </cell>
          <cell r="B809">
            <v>0.67002011140231199</v>
          </cell>
        </row>
        <row r="810">
          <cell r="A810" t="str">
            <v>Water Heating BUS 12 Year EUL</v>
          </cell>
          <cell r="B810">
            <v>0.71420543605773201</v>
          </cell>
        </row>
        <row r="811">
          <cell r="A811" t="str">
            <v>Water Heating BUS 13 Year EUL</v>
          </cell>
          <cell r="B811">
            <v>0.75644239477617703</v>
          </cell>
        </row>
        <row r="812">
          <cell r="A812" t="str">
            <v>Water Heating BUS 14 Year EUL</v>
          </cell>
          <cell r="B812">
            <v>0.79656457717481499</v>
          </cell>
        </row>
        <row r="813">
          <cell r="A813" t="str">
            <v>Water Heating BUS 15 Year EUL</v>
          </cell>
          <cell r="B813">
            <v>0.83491745548686402</v>
          </cell>
        </row>
        <row r="814">
          <cell r="A814" t="str">
            <v>Water Heating BUS 16 Year EUL</v>
          </cell>
          <cell r="B814">
            <v>0.87157909491594099</v>
          </cell>
        </row>
        <row r="815">
          <cell r="A815" t="str">
            <v>Water Heating BUS 17 Year EUL</v>
          </cell>
          <cell r="B815">
            <v>0.90662411437023205</v>
          </cell>
        </row>
        <row r="816">
          <cell r="A816" t="str">
            <v>Water Heating BUS 18 Year EUL</v>
          </cell>
          <cell r="B816">
            <v>0.94012383868895799</v>
          </cell>
        </row>
        <row r="817">
          <cell r="A817" t="str">
            <v>Water Heating BUS 19 Year EUL</v>
          </cell>
          <cell r="B817">
            <v>0.972146444141049</v>
          </cell>
        </row>
        <row r="818">
          <cell r="A818" t="str">
            <v>Water Heating BUS 2 Year EUL</v>
          </cell>
          <cell r="B818">
            <v>0.154872961119013</v>
          </cell>
        </row>
        <row r="819">
          <cell r="A819" t="str">
            <v>Water Heating BUS 20 Year EUL</v>
          </cell>
          <cell r="B819">
            <v>1.0028389575127199</v>
          </cell>
        </row>
        <row r="820">
          <cell r="A820" t="str">
            <v>Water Heating BUS 21 Year EUL</v>
          </cell>
          <cell r="B820">
            <v>1.03217808597316</v>
          </cell>
        </row>
        <row r="821">
          <cell r="A821" t="str">
            <v>Water Heating BUS 22 Year EUL</v>
          </cell>
          <cell r="B821">
            <v>1.06022353950102</v>
          </cell>
        </row>
        <row r="822">
          <cell r="A822" t="str">
            <v>Water Heating BUS 23 Year EUL</v>
          </cell>
          <cell r="B822">
            <v>1.0870323922767799</v>
          </cell>
        </row>
        <row r="823">
          <cell r="A823" t="str">
            <v>Water Heating BUS 24 Year EUL</v>
          </cell>
          <cell r="B823">
            <v>1.1126591991007</v>
          </cell>
        </row>
        <row r="824">
          <cell r="A824" t="str">
            <v>Water Heating BUS 25 Year EUL</v>
          </cell>
          <cell r="B824">
            <v>1.13715610666586</v>
          </cell>
        </row>
        <row r="825">
          <cell r="A825" t="str">
            <v>Water Heating BUS 26 Year EUL</v>
          </cell>
          <cell r="B825">
            <v>1.1600804072134501</v>
          </cell>
        </row>
        <row r="826">
          <cell r="A826" t="str">
            <v>Water Heating BUS 27 Year EUL</v>
          </cell>
          <cell r="B826">
            <v>1.1815330560507999</v>
          </cell>
        </row>
        <row r="827">
          <cell r="A827" t="str">
            <v>Water Heating BUS 28 Year EUL</v>
          </cell>
          <cell r="B827">
            <v>1.20160852754373</v>
          </cell>
        </row>
        <row r="828">
          <cell r="A828" t="str">
            <v>Water Heating BUS 29 Year EUL</v>
          </cell>
          <cell r="B828">
            <v>1.2203952311680399</v>
          </cell>
        </row>
        <row r="829">
          <cell r="A829" t="str">
            <v>Water Heating BUS 3 Year EUL</v>
          </cell>
          <cell r="B829">
            <v>0.22073387525381599</v>
          </cell>
        </row>
        <row r="830">
          <cell r="A830" t="str">
            <v>Water Heating BUS 30 Year EUL</v>
          </cell>
          <cell r="B830">
            <v>1.2379759008520199</v>
          </cell>
        </row>
        <row r="831">
          <cell r="A831" t="str">
            <v>Water Heating BUS 4 Year EUL</v>
          </cell>
          <cell r="B831">
            <v>0.28523982209966697</v>
          </cell>
        </row>
        <row r="832">
          <cell r="A832" t="str">
            <v>Water Heating BUS 5 Year EUL</v>
          </cell>
          <cell r="B832">
            <v>0.34908636493711798</v>
          </cell>
        </row>
        <row r="833">
          <cell r="A833" t="str">
            <v>Water Heating BUS 6 Year EUL</v>
          </cell>
          <cell r="B833">
            <v>0.41101200084839601</v>
          </cell>
        </row>
        <row r="834">
          <cell r="A834" t="str">
            <v>Water Heating BUS 7 Year EUL</v>
          </cell>
          <cell r="B834">
            <v>0.469133807774054</v>
          </cell>
        </row>
        <row r="835">
          <cell r="A835" t="str">
            <v>Water Heating BUS 8 Year EUL</v>
          </cell>
          <cell r="B835">
            <v>0.52357253559665695</v>
          </cell>
        </row>
        <row r="836">
          <cell r="A836" t="str">
            <v>Water Heating BUS 9 Year EUL</v>
          </cell>
          <cell r="B836">
            <v>0.57489634464550199</v>
          </cell>
        </row>
        <row r="837">
          <cell r="A837" t="str">
            <v>Water Heating RES 1 Year EUL</v>
          </cell>
          <cell r="B837">
            <v>6.4962245082860637E-2</v>
          </cell>
        </row>
        <row r="838">
          <cell r="A838" t="str">
            <v>Water Heating RES 10 Year EUL</v>
          </cell>
          <cell r="B838">
            <v>0.49129488714507408</v>
          </cell>
        </row>
        <row r="839">
          <cell r="A839" t="str">
            <v>Water Heating RES 11 Year EUL</v>
          </cell>
          <cell r="B839">
            <v>0.5274105515278793</v>
          </cell>
        </row>
        <row r="840">
          <cell r="A840" t="str">
            <v>Water Heating RES 12 Year EUL</v>
          </cell>
          <cell r="B840">
            <v>0.56145328504778591</v>
          </cell>
        </row>
        <row r="841">
          <cell r="A841" t="str">
            <v>Water Heating RES 13 Year EUL</v>
          </cell>
          <cell r="B841">
            <v>0.59401975292932918</v>
          </cell>
        </row>
        <row r="842">
          <cell r="A842" t="str">
            <v>Water Heating RES 14 Year EUL</v>
          </cell>
          <cell r="B842">
            <v>0.62515893241972287</v>
          </cell>
        </row>
        <row r="843">
          <cell r="A843" t="str">
            <v>Water Heating RES 15 Year EUL</v>
          </cell>
          <cell r="B843">
            <v>0.65471134454356417</v>
          </cell>
        </row>
        <row r="844">
          <cell r="A844" t="str">
            <v>Water Heating RES 16 Year EUL</v>
          </cell>
          <cell r="B844">
            <v>0.68296850583329827</v>
          </cell>
        </row>
        <row r="845">
          <cell r="A845" t="str">
            <v>Water Heating RES 17 Year EUL</v>
          </cell>
          <cell r="B845">
            <v>0.70998721012056676</v>
          </cell>
        </row>
        <row r="846">
          <cell r="A846" t="str">
            <v>Water Heating RES 18 Year EUL</v>
          </cell>
          <cell r="B846">
            <v>0.73582175985999332</v>
          </cell>
        </row>
        <row r="847">
          <cell r="A847" t="str">
            <v>Water Heating RES 19 Year EUL</v>
          </cell>
          <cell r="B847">
            <v>0.7605240754677387</v>
          </cell>
        </row>
        <row r="848">
          <cell r="A848" t="str">
            <v>Water Heating RES 2 Year EUL</v>
          </cell>
          <cell r="B848">
            <v>0.12575416449410959</v>
          </cell>
        </row>
        <row r="849">
          <cell r="A849" t="str">
            <v>Water Heating RES 20 Year EUL</v>
          </cell>
          <cell r="B849">
            <v>0.78414379985932381</v>
          </cell>
        </row>
        <row r="850">
          <cell r="A850" t="str">
            <v>Water Heating RES 21 Year EUL</v>
          </cell>
          <cell r="B850">
            <v>0.80676758443751329</v>
          </cell>
        </row>
        <row r="851">
          <cell r="A851" t="str">
            <v>Water Heating RES 22 Year EUL</v>
          </cell>
          <cell r="B851">
            <v>0.82839984434862246</v>
          </cell>
        </row>
        <row r="852">
          <cell r="A852" t="str">
            <v>Water Heating RES 23 Year EUL</v>
          </cell>
          <cell r="B852">
            <v>0.84908405338780979</v>
          </cell>
        </row>
        <row r="853">
          <cell r="A853" t="str">
            <v>Water Heating RES 24 Year EUL</v>
          </cell>
          <cell r="B853">
            <v>0.86886177838836065</v>
          </cell>
        </row>
        <row r="854">
          <cell r="A854" t="str">
            <v>Water Heating RES 25 Year EUL</v>
          </cell>
          <cell r="B854">
            <v>0.88777276290743379</v>
          </cell>
        </row>
        <row r="855">
          <cell r="A855" t="str">
            <v>Water Heating RES 3 Year EUL</v>
          </cell>
          <cell r="B855">
            <v>0.18054010441365184</v>
          </cell>
        </row>
        <row r="856">
          <cell r="A856" t="str">
            <v>Water Heating RES 4 Year EUL</v>
          </cell>
          <cell r="B856">
            <v>0.22882030043031415</v>
          </cell>
        </row>
        <row r="857">
          <cell r="A857" t="str">
            <v>Water Heating RES 5 Year EUL</v>
          </cell>
          <cell r="B857">
            <v>0.27638030190486257</v>
          </cell>
        </row>
        <row r="858">
          <cell r="A858" t="str">
            <v>Water Heating RES 6 Year EUL</v>
          </cell>
          <cell r="B858">
            <v>0.32379074142446768</v>
          </cell>
        </row>
        <row r="859">
          <cell r="A859" t="str">
            <v>Water Heating RES 7 Year EUL</v>
          </cell>
          <cell r="B859">
            <v>0.36992148667451119</v>
          </cell>
        </row>
        <row r="860">
          <cell r="A860" t="str">
            <v>Water Heating RES 8 Year EUL</v>
          </cell>
          <cell r="B860">
            <v>0.41309656488129504</v>
          </cell>
        </row>
        <row r="861">
          <cell r="A861" t="str">
            <v>Water Heating RES 9 Year EUL</v>
          </cell>
          <cell r="B861">
            <v>0.45339321731142468</v>
          </cell>
        </row>
        <row r="862">
          <cell r="A862" t="str">
            <v>Building Shell RES 30 Year EUL</v>
          </cell>
          <cell r="B862">
            <v>1.8785250490000001</v>
          </cell>
        </row>
        <row r="863">
          <cell r="A863" t="str">
            <v>Refrigeration RES ER1 5 Year EUL</v>
          </cell>
          <cell r="B863">
            <v>0.28420348301981402</v>
          </cell>
        </row>
        <row r="864">
          <cell r="A864" t="str">
            <v>Refrigeration RES ER2 10 Year EUL</v>
          </cell>
          <cell r="B864">
            <v>0.36991476845002147</v>
          </cell>
        </row>
        <row r="865">
          <cell r="A865" t="str">
            <v>Cooling RES ER2 10 Year EUL</v>
          </cell>
          <cell r="B865">
            <v>1.1826869552215735</v>
          </cell>
        </row>
      </sheetData>
      <sheetData sheetId="11">
        <row r="3">
          <cell r="A3" t="str">
            <v>Appliances RES</v>
          </cell>
          <cell r="B3">
            <v>1.148238E-4</v>
          </cell>
        </row>
        <row r="4">
          <cell r="A4" t="str">
            <v>Building Shell RES</v>
          </cell>
          <cell r="B4">
            <v>4.6608050000000002E-4</v>
          </cell>
        </row>
        <row r="5">
          <cell r="A5" t="str">
            <v>Clothes Dryer RES</v>
          </cell>
          <cell r="B5">
            <v>1.3539039999999999E-4</v>
          </cell>
        </row>
        <row r="6">
          <cell r="A6" t="str">
            <v>Clothes Washer RES</v>
          </cell>
          <cell r="B6">
            <v>1.1954749999999999E-4</v>
          </cell>
        </row>
        <row r="7">
          <cell r="A7" t="str">
            <v>Color TV RES</v>
          </cell>
          <cell r="B7">
            <v>1.4008870000000001E-4</v>
          </cell>
        </row>
        <row r="8">
          <cell r="A8" t="str">
            <v>Cooking RES</v>
          </cell>
          <cell r="B8">
            <v>2.053256E-4</v>
          </cell>
        </row>
        <row r="9">
          <cell r="A9" t="str">
            <v>Cooling RES</v>
          </cell>
          <cell r="B9">
            <v>9.4741810000000004E-4</v>
          </cell>
        </row>
        <row r="10">
          <cell r="A10" t="str">
            <v>Cooling RES ER2</v>
          </cell>
          <cell r="B10">
            <v>9.4741810000000004E-4</v>
          </cell>
        </row>
        <row r="11">
          <cell r="A11" t="str">
            <v>Dishwasher RES</v>
          </cell>
          <cell r="B11">
            <v>8.4921199999999996E-5</v>
          </cell>
        </row>
        <row r="12">
          <cell r="A12" t="str">
            <v>Freezer RES</v>
          </cell>
          <cell r="B12">
            <v>1.6857220000000001E-4</v>
          </cell>
        </row>
        <row r="13">
          <cell r="A13" t="str">
            <v>Freezer RES ER2</v>
          </cell>
          <cell r="B13">
            <v>1.6857220000000001E-4</v>
          </cell>
        </row>
        <row r="14">
          <cell r="A14" t="str">
            <v>Heating RES</v>
          </cell>
          <cell r="B14">
            <v>0</v>
          </cell>
        </row>
        <row r="15">
          <cell r="A15" t="str">
            <v>Heating RES ER2</v>
          </cell>
          <cell r="B15">
            <v>0</v>
          </cell>
        </row>
        <row r="16">
          <cell r="A16" t="str">
            <v>HVAC RES</v>
          </cell>
          <cell r="B16">
            <v>4.6608050000000002E-4</v>
          </cell>
        </row>
        <row r="17">
          <cell r="A17" t="str">
            <v>HVAC RES ER2</v>
          </cell>
          <cell r="B17">
            <v>4.6608050000000002E-4</v>
          </cell>
        </row>
        <row r="18">
          <cell r="A18" t="str">
            <v>Lighting RES</v>
          </cell>
          <cell r="B18">
            <v>1.4925290000000001E-4</v>
          </cell>
        </row>
        <row r="19">
          <cell r="A19" t="str">
            <v>Miscellaneous RES</v>
          </cell>
          <cell r="B19">
            <v>1.148238E-4</v>
          </cell>
        </row>
        <row r="20">
          <cell r="A20" t="str">
            <v>Pool Spa RES</v>
          </cell>
          <cell r="B20">
            <v>2.3544589999999999E-4</v>
          </cell>
        </row>
        <row r="21">
          <cell r="A21" t="str">
            <v>Refrigeration RES</v>
          </cell>
          <cell r="B21">
            <v>1.2852529999999999E-4</v>
          </cell>
        </row>
        <row r="22">
          <cell r="A22" t="str">
            <v>Refrigeration RES ER2</v>
          </cell>
          <cell r="B22">
            <v>1.2852529999999999E-4</v>
          </cell>
        </row>
        <row r="23">
          <cell r="A23" t="str">
            <v>Water Heating RES</v>
          </cell>
          <cell r="B23">
            <v>8.8731800000000003E-5</v>
          </cell>
        </row>
        <row r="24">
          <cell r="B24"/>
        </row>
        <row r="25">
          <cell r="A25" t="str">
            <v>BUSINESS</v>
          </cell>
          <cell r="B25"/>
        </row>
        <row r="26">
          <cell r="A26" t="str">
            <v>Air Comp BUS</v>
          </cell>
          <cell r="B26">
            <v>1.379439E-4</v>
          </cell>
        </row>
        <row r="27">
          <cell r="A27" t="str">
            <v>Building Shell BUS</v>
          </cell>
          <cell r="B27">
            <v>4.4398300000000001E-4</v>
          </cell>
        </row>
        <row r="28">
          <cell r="A28" t="str">
            <v>Cooking BUS</v>
          </cell>
          <cell r="B28">
            <v>1.998949E-4</v>
          </cell>
        </row>
        <row r="29">
          <cell r="A29" t="str">
            <v>Cooling BUS</v>
          </cell>
          <cell r="B29">
            <v>9.1068400000000004E-4</v>
          </cell>
        </row>
        <row r="30">
          <cell r="A30" t="str">
            <v>Ext Lighting BUS</v>
          </cell>
          <cell r="B30">
            <v>5.6160000000000001E-6</v>
          </cell>
        </row>
        <row r="31">
          <cell r="A31" t="str">
            <v>Heating BUS</v>
          </cell>
          <cell r="B31">
            <v>0</v>
          </cell>
        </row>
        <row r="32">
          <cell r="A32" t="str">
            <v>HVAC BUS</v>
          </cell>
          <cell r="B32">
            <v>4.4398300000000001E-4</v>
          </cell>
        </row>
        <row r="33">
          <cell r="A33" t="str">
            <v>Lighting BUS</v>
          </cell>
          <cell r="B33">
            <v>1.899635E-4</v>
          </cell>
        </row>
        <row r="34">
          <cell r="A34" t="str">
            <v>Miscellaneous BUS</v>
          </cell>
          <cell r="B34">
            <v>1.379439E-4</v>
          </cell>
        </row>
        <row r="35">
          <cell r="A35" t="str">
            <v>Motors BUS</v>
          </cell>
          <cell r="B35">
            <v>1.379439E-4</v>
          </cell>
        </row>
        <row r="36">
          <cell r="A36" t="str">
            <v>Process BUS</v>
          </cell>
          <cell r="B36">
            <v>1.379439E-4</v>
          </cell>
        </row>
        <row r="37">
          <cell r="A37" t="str">
            <v>Refrigeration BUS</v>
          </cell>
          <cell r="B37">
            <v>1.3573829999999999E-4</v>
          </cell>
        </row>
        <row r="38">
          <cell r="A38" t="str">
            <v>Water Heating BUS</v>
          </cell>
          <cell r="B38">
            <v>1.811545E-4</v>
          </cell>
        </row>
      </sheetData>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8" dT="2022-11-04T20:01:26.79" personId="{00000000-0000-0000-0000-000000000000}" id="{229520D7-7016-42E4-8C7A-C79132BFAEF2}">
    <text>[Mention was removed] I would start over with Revision 1 for this filing</text>
  </threadedComment>
</ThreadedComments>
</file>

<file path=xl/threadedComments/threadedComment2.xml><?xml version="1.0" encoding="utf-8"?>
<ThreadedComments xmlns="http://schemas.microsoft.com/office/spreadsheetml/2018/threadedcomments" xmlns:x="http://schemas.openxmlformats.org/spreadsheetml/2006/main">
  <threadedComment ref="CA37" dT="2022-08-12T18:02:36.79" personId="{00000000-0000-0000-0000-000000000000}" id="{1F79EB30-40E6-4FEE-8081-264A0DD3316F}">
    <text>New Parameter in 2022</text>
  </threadedComment>
  <threadedComment ref="J38" dT="2022-08-23T16:30:24.86" personId="{00000000-0000-0000-0000-000000000000}" id="{4FD58C77-BC14-487C-A631-ECCF90B20D10}">
    <text>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ext>
  </threadedComment>
  <threadedComment ref="CA72" dT="2022-08-12T18:02:36.79" personId="{00000000-0000-0000-0000-000000000000}" id="{032AEE45-646D-4A2E-93EE-ADA5B4D4ED52}">
    <text>New Parameter in 2022</text>
  </threadedComment>
  <threadedComment ref="J73" dT="2022-08-23T16:30:24.86" personId="{00000000-0000-0000-0000-000000000000}" id="{9A5B632C-620F-4DEF-870E-DEB9BAABB0E4}">
    <text>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ext>
  </threadedComment>
  <threadedComment ref="G154" dT="2024-08-30T02:36:14.30" personId="{00000000-0000-0000-0000-000000000000}" id="{6FA16D5E-F5F5-4EA9-95C4-3ACB1336652A}">
    <text>AO Smith heat pump water heater eff</text>
  </threadedComment>
</ThreadedComments>
</file>

<file path=xl/threadedComments/threadedComment3.xml><?xml version="1.0" encoding="utf-8"?>
<ThreadedComments xmlns="http://schemas.microsoft.com/office/spreadsheetml/2018/threadedcomments" xmlns:x="http://schemas.openxmlformats.org/spreadsheetml/2006/main">
  <threadedComment ref="J353" dT="2023-08-23T21:25:46.03" personId="{00000000-0000-0000-0000-000000000000}" id="{964B95CF-B44E-481D-8797-EC09060FC94D}">
    <text>In an effort to clean up and maintain consistency: When replacing a CAC with non-electric heating only cooling savings can be claimed. Therefore, HSPFbase for these measures is 0.</text>
  </threadedComment>
  <threadedComment ref="J354" dT="2023-08-23T21:25:54.14" personId="{00000000-0000-0000-0000-000000000000}" id="{F77C096A-F478-48D9-B3E2-408CC9EB5843}">
    <text xml:space="preserve">In an effort to clean up and maintain consistency: When replacing a CAC with non-electric heating only cooling savings can be claimed. Therefore, HSPFbase for these measures is 0.
</text>
  </threadedComment>
  <threadedComment ref="AD2102" dT="2022-08-12T15:07:42.42" personId="{00000000-0000-0000-0000-000000000000}" id="{D33F3C28-9C7D-4C8B-A43A-D5A62E829534}">
    <text>New Measure in 2022</text>
  </threadedComment>
</ThreadedComments>
</file>

<file path=xl/threadedComments/threadedComment4.xml><?xml version="1.0" encoding="utf-8"?>
<ThreadedComments xmlns="http://schemas.microsoft.com/office/spreadsheetml/2018/threadedcomments" xmlns:x="http://schemas.openxmlformats.org/spreadsheetml/2006/main">
  <threadedComment ref="AF730" dT="2022-08-11T20:19:44.76" personId="{00000000-0000-0000-0000-000000000000}" id="{369C16B0-CF35-41B8-97CA-780A26286298}">
    <text>Small Typo found that used 3,413 instead of 3,412</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federalregister.gov/documents/2024/05/06/2024-09209/energy-conservation-program-energy-conservation-standards-for-consumer-water-heaters"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microsoft.com/office/2017/10/relationships/threadedComment" Target="../threadedComments/threadedComment3.xml"/><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5" Type="http://schemas.microsoft.com/office/2017/10/relationships/threadedComment" Target="../threadedComments/threadedComment4.xml"/><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U64"/>
  <sheetViews>
    <sheetView tabSelected="1" zoomScale="70" zoomScaleNormal="70" workbookViewId="0"/>
  </sheetViews>
  <sheetFormatPr defaultColWidth="9.28515625" defaultRowHeight="15" x14ac:dyDescent="0.25"/>
  <cols>
    <col min="1" max="1" width="13.5703125" style="123" customWidth="1"/>
    <col min="2" max="5" width="9.28515625" style="123"/>
    <col min="6" max="6" width="7.7109375" style="123" customWidth="1"/>
    <col min="7" max="7" width="12.5703125" style="123" customWidth="1"/>
    <col min="8" max="16384" width="9.28515625" style="123"/>
  </cols>
  <sheetData>
    <row r="2" spans="2:21" ht="36" x14ac:dyDescent="0.55000000000000004">
      <c r="J2" s="1793" t="s">
        <v>0</v>
      </c>
    </row>
    <row r="4" spans="2:21" ht="18.75" x14ac:dyDescent="0.3">
      <c r="J4" s="1794" t="s">
        <v>1</v>
      </c>
      <c r="O4" s="1795" t="s">
        <v>2</v>
      </c>
      <c r="U4" s="1795" t="s">
        <v>3</v>
      </c>
    </row>
    <row r="7" spans="2:21" ht="18.75" x14ac:dyDescent="0.3">
      <c r="B7" s="1794" t="s">
        <v>4</v>
      </c>
      <c r="C7" s="1794"/>
    </row>
    <row r="8" spans="2:21" ht="18.75" x14ac:dyDescent="0.3">
      <c r="B8" s="1794" t="s">
        <v>5</v>
      </c>
    </row>
    <row r="9" spans="2:21" ht="18.75" x14ac:dyDescent="0.3">
      <c r="B9" s="1794" t="s">
        <v>6</v>
      </c>
    </row>
    <row r="16" spans="2:21" ht="18.75" x14ac:dyDescent="0.3">
      <c r="E16" s="1794" t="s">
        <v>7</v>
      </c>
    </row>
    <row r="17" spans="6:8" ht="18.75" x14ac:dyDescent="0.3">
      <c r="F17" s="1795" t="s">
        <v>8</v>
      </c>
      <c r="G17" s="1796"/>
      <c r="H17" s="1796"/>
    </row>
    <row r="18" spans="6:8" ht="18.75" x14ac:dyDescent="0.3">
      <c r="F18" s="1795" t="s">
        <v>9</v>
      </c>
      <c r="H18" s="1796"/>
    </row>
    <row r="46" spans="10:10" ht="18.75" x14ac:dyDescent="0.3">
      <c r="J46" s="1797" t="s">
        <v>10</v>
      </c>
    </row>
    <row r="53" spans="4:15" x14ac:dyDescent="0.25">
      <c r="D53" s="1760" t="s">
        <v>11</v>
      </c>
      <c r="F53" s="1637"/>
    </row>
    <row r="54" spans="4:15" x14ac:dyDescent="0.25">
      <c r="F54" s="1637"/>
    </row>
    <row r="55" spans="4:15" ht="26.25" customHeight="1" x14ac:dyDescent="0.25">
      <c r="D55" s="1504"/>
      <c r="F55" s="2052" t="s">
        <v>12</v>
      </c>
      <c r="G55" s="2052"/>
      <c r="H55" s="2052"/>
      <c r="I55" s="2052"/>
      <c r="J55" s="2052"/>
      <c r="K55" s="2052"/>
      <c r="L55" s="2052"/>
      <c r="M55" s="2052"/>
      <c r="N55" s="2052"/>
      <c r="O55" s="2052"/>
    </row>
    <row r="56" spans="4:15" ht="24.75" customHeight="1" x14ac:dyDescent="0.25">
      <c r="F56" s="1799"/>
      <c r="G56" s="1675"/>
      <c r="H56" s="1675"/>
      <c r="I56" s="1675"/>
      <c r="J56" s="1675"/>
      <c r="K56" s="1675"/>
      <c r="L56" s="1675"/>
      <c r="M56" s="1675"/>
      <c r="N56" s="1675"/>
      <c r="O56" s="1675"/>
    </row>
    <row r="57" spans="4:15" ht="26.25" customHeight="1" x14ac:dyDescent="0.25">
      <c r="D57" s="1623"/>
      <c r="F57" s="2052" t="s">
        <v>13</v>
      </c>
      <c r="G57" s="2052"/>
      <c r="H57" s="2052"/>
      <c r="I57" s="2052"/>
      <c r="J57" s="2052"/>
      <c r="K57" s="2052"/>
      <c r="L57" s="2052"/>
      <c r="M57" s="2052"/>
      <c r="N57" s="2052"/>
      <c r="O57" s="2052"/>
    </row>
    <row r="58" spans="4:15" ht="24.75" customHeight="1" x14ac:dyDescent="0.25">
      <c r="F58" s="1799"/>
      <c r="G58" s="1675"/>
      <c r="H58" s="1675"/>
      <c r="I58" s="1675"/>
      <c r="J58" s="1675"/>
      <c r="K58" s="1675"/>
      <c r="L58" s="1675"/>
      <c r="M58" s="1675"/>
      <c r="N58" s="1675"/>
      <c r="O58" s="1675"/>
    </row>
    <row r="59" spans="4:15" ht="26.25" customHeight="1" x14ac:dyDescent="0.25">
      <c r="D59" s="1516"/>
      <c r="F59" s="2052" t="s">
        <v>14</v>
      </c>
      <c r="G59" s="2052"/>
      <c r="H59" s="2052"/>
      <c r="I59" s="2052"/>
      <c r="J59" s="2052"/>
      <c r="K59" s="2052"/>
      <c r="L59" s="2052"/>
      <c r="M59" s="2052"/>
      <c r="N59" s="2052"/>
      <c r="O59" s="2052"/>
    </row>
    <row r="60" spans="4:15" ht="24.75" customHeight="1" x14ac:dyDescent="0.25">
      <c r="F60" s="2052"/>
      <c r="G60" s="2052"/>
      <c r="H60" s="2052"/>
      <c r="I60" s="2052"/>
      <c r="J60" s="2052"/>
      <c r="K60" s="2052"/>
      <c r="L60" s="2052"/>
      <c r="M60" s="2052"/>
      <c r="N60" s="2052"/>
      <c r="O60" s="2052"/>
    </row>
    <row r="61" spans="4:15" ht="26.25" customHeight="1" x14ac:dyDescent="0.25">
      <c r="D61" s="1573"/>
      <c r="F61" s="2052" t="s">
        <v>15</v>
      </c>
      <c r="G61" s="2052"/>
      <c r="H61" s="2052"/>
      <c r="I61" s="2052"/>
      <c r="J61" s="2052"/>
      <c r="K61" s="2052"/>
      <c r="L61" s="2052"/>
      <c r="M61" s="2052"/>
      <c r="N61" s="2052"/>
      <c r="O61" s="2052"/>
    </row>
    <row r="62" spans="4:15" ht="24.75" customHeight="1" x14ac:dyDescent="0.25">
      <c r="F62" s="1799"/>
      <c r="G62" s="1675"/>
      <c r="H62" s="1675"/>
      <c r="I62" s="1675"/>
      <c r="J62" s="1675"/>
      <c r="K62" s="1675"/>
      <c r="L62" s="1675"/>
      <c r="M62" s="1675"/>
      <c r="N62" s="1675"/>
      <c r="O62" s="1675"/>
    </row>
    <row r="63" spans="4:15" ht="26.25" customHeight="1" x14ac:dyDescent="0.25">
      <c r="D63" s="1537"/>
      <c r="F63" s="2052" t="s">
        <v>16</v>
      </c>
      <c r="G63" s="2052"/>
      <c r="H63" s="2052"/>
      <c r="I63" s="2052"/>
      <c r="J63" s="2052"/>
      <c r="K63" s="2052"/>
      <c r="L63" s="2052"/>
      <c r="M63" s="2052"/>
      <c r="N63" s="2052"/>
      <c r="O63" s="2052"/>
    </row>
    <row r="64" spans="4:15" x14ac:dyDescent="0.25">
      <c r="F64" s="1637"/>
    </row>
  </sheetData>
  <mergeCells count="5">
    <mergeCell ref="F55:O55"/>
    <mergeCell ref="F57:O57"/>
    <mergeCell ref="F61:O61"/>
    <mergeCell ref="F63:O63"/>
    <mergeCell ref="F59:O60"/>
  </mergeCells>
  <pageMargins left="0.7" right="0.7" top="0.75" bottom="0.75" header="0.3" footer="0.3"/>
  <pageSetup orientation="portrait" r:id="rId1"/>
  <headerFooter>
    <oddHeader>&amp;RAppendix F - TRM - Deemed Savings Table Clean</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
    <tabColor rgb="FF0070C0"/>
    <pageSetUpPr fitToPage="1"/>
  </sheetPr>
  <dimension ref="A1:BN578"/>
  <sheetViews>
    <sheetView zoomScale="70" zoomScaleNormal="70" workbookViewId="0">
      <pane xSplit="1" ySplit="7" topLeftCell="B8" activePane="bottomRight" state="frozen"/>
      <selection pane="topRight" activeCell="B1" sqref="B1"/>
      <selection pane="bottomLeft" activeCell="A8" sqref="A8"/>
      <selection pane="bottomRight" activeCell="B8" sqref="B8"/>
    </sheetView>
  </sheetViews>
  <sheetFormatPr defaultRowHeight="15" outlineLevelCol="1" x14ac:dyDescent="0.25"/>
  <cols>
    <col min="1" max="1" width="16.28515625" style="41" bestFit="1" customWidth="1"/>
    <col min="2" max="2" width="23" style="50" bestFit="1" customWidth="1"/>
    <col min="3" max="3" width="19.7109375" style="50" customWidth="1"/>
    <col min="4" max="4" width="22.5703125" style="50" bestFit="1" customWidth="1"/>
    <col min="5" max="5" width="17.42578125" style="50" bestFit="1" customWidth="1"/>
    <col min="6" max="6" width="17.7109375" style="50" bestFit="1" customWidth="1"/>
    <col min="7" max="7" width="76.7109375" style="50" customWidth="1"/>
    <col min="8" max="8" width="20.7109375" style="49" customWidth="1"/>
    <col min="9" max="10" width="18.7109375" style="850" customWidth="1"/>
    <col min="11" max="14" width="11.7109375" style="535" customWidth="1" outlineLevel="1"/>
    <col min="15" max="16" width="18.7109375" style="534" customWidth="1"/>
    <col min="17" max="20" width="12.7109375" style="50" customWidth="1" outlineLevel="1"/>
    <col min="21" max="23" width="12.7109375" customWidth="1"/>
    <col min="24" max="26" width="10.7109375" style="851" customWidth="1"/>
    <col min="27" max="27" width="10.7109375" style="248" customWidth="1"/>
    <col min="28" max="28" width="30.7109375" style="852" customWidth="1"/>
    <col min="29" max="29" width="16.7109375" style="852" customWidth="1"/>
    <col min="30" max="30" width="16.7109375" style="853" customWidth="1"/>
    <col min="31" max="31" width="16.7109375" style="49" customWidth="1" outlineLevel="1"/>
    <col min="32" max="34" width="16.7109375" style="50" customWidth="1" outlineLevel="1"/>
    <col min="35" max="35" width="14.7109375" style="50" customWidth="1"/>
    <col min="36" max="36" width="14.7109375" customWidth="1"/>
    <col min="37" max="49" width="2.28515625" customWidth="1"/>
    <col min="50" max="50" width="45.5703125" style="50" customWidth="1"/>
    <col min="51" max="52" width="8.7109375" style="50" customWidth="1"/>
    <col min="53" max="56" width="13.28515625" style="41" customWidth="1"/>
    <col min="57" max="57" width="3.7109375" customWidth="1"/>
    <col min="58" max="58" width="13.28515625" customWidth="1"/>
    <col min="59" max="59" width="13.28515625" style="1132" customWidth="1"/>
    <col min="60" max="61" width="13.28515625" customWidth="1"/>
    <col min="62" max="62" width="2.28515625" customWidth="1"/>
    <col min="63" max="66" width="13.28515625" customWidth="1"/>
    <col min="67" max="67" width="1.7109375" customWidth="1"/>
  </cols>
  <sheetData>
    <row r="1" spans="1:66" ht="27" thickBot="1" x14ac:dyDescent="0.45">
      <c r="B1" s="2440" t="s">
        <v>2261</v>
      </c>
      <c r="C1" s="2440"/>
      <c r="D1" s="2440"/>
      <c r="E1" s="2440"/>
      <c r="F1" s="2440"/>
      <c r="G1" s="2440"/>
      <c r="H1" s="2440"/>
      <c r="I1" s="2440"/>
      <c r="J1" s="2440"/>
      <c r="K1" s="2440"/>
      <c r="L1" s="2440"/>
      <c r="M1" s="2440"/>
      <c r="N1" s="2440"/>
      <c r="O1" s="2440"/>
      <c r="P1" s="2440"/>
      <c r="Q1" s="2440"/>
      <c r="R1" s="2440"/>
      <c r="S1" s="2440"/>
      <c r="T1" s="2440"/>
      <c r="U1" s="2440"/>
      <c r="V1" s="2440"/>
      <c r="W1" s="2440"/>
      <c r="X1" s="2440"/>
      <c r="Y1" s="2440"/>
      <c r="Z1" s="2440"/>
      <c r="AA1" s="2440"/>
      <c r="AB1" s="2440"/>
      <c r="AC1" s="2440"/>
      <c r="AD1" s="2440"/>
      <c r="AE1" s="2440"/>
      <c r="AF1" s="2440"/>
      <c r="AG1" s="2440"/>
      <c r="AH1" s="2440"/>
      <c r="BA1" s="1381"/>
      <c r="BB1" s="1381"/>
      <c r="BC1" s="1381"/>
      <c r="BD1" s="1381"/>
    </row>
    <row r="2" spans="1:66" ht="55.15" customHeight="1" thickBot="1" x14ac:dyDescent="0.45">
      <c r="B2" s="2440"/>
      <c r="C2" s="2440"/>
      <c r="D2" s="2440"/>
      <c r="E2" s="2440"/>
      <c r="F2" s="2440"/>
      <c r="G2" s="2440"/>
      <c r="H2" s="2440"/>
      <c r="I2" s="2440"/>
      <c r="J2" s="2440"/>
      <c r="K2" s="2440"/>
      <c r="L2" s="2440"/>
      <c r="M2" s="2440"/>
      <c r="N2" s="2440"/>
      <c r="O2" s="2440"/>
      <c r="P2" s="2440"/>
      <c r="Q2" s="2440"/>
      <c r="R2" s="2440"/>
      <c r="S2" s="2440"/>
      <c r="T2" s="2440"/>
      <c r="U2" s="2440"/>
      <c r="V2" s="2440"/>
      <c r="W2" s="2440"/>
      <c r="X2" s="2440"/>
      <c r="Y2" s="2440"/>
      <c r="Z2" s="2440"/>
      <c r="AA2" s="2440"/>
      <c r="AB2" s="2440"/>
      <c r="AC2" s="2440"/>
      <c r="AD2" s="2440"/>
      <c r="AE2" s="2440"/>
      <c r="AF2" s="2440"/>
      <c r="AG2" s="2440"/>
      <c r="AH2" s="2440"/>
      <c r="AX2" s="1248"/>
      <c r="AY2" s="1249"/>
      <c r="AZ2" s="1249"/>
      <c r="BA2" s="2435" t="s">
        <v>2262</v>
      </c>
      <c r="BB2" s="2435"/>
      <c r="BC2" s="2435"/>
      <c r="BD2" s="2435"/>
      <c r="BE2" s="2435"/>
      <c r="BF2" s="2435"/>
      <c r="BG2" s="2435"/>
      <c r="BH2" s="2435"/>
      <c r="BI2" s="2435"/>
      <c r="BJ2" s="2435"/>
      <c r="BK2" s="2435"/>
      <c r="BL2" s="2435"/>
      <c r="BM2" s="2435"/>
      <c r="BN2" s="2435"/>
    </row>
    <row r="3" spans="1:66" ht="36" x14ac:dyDescent="0.55000000000000004">
      <c r="B3" s="2440"/>
      <c r="C3" s="2440"/>
      <c r="D3" s="2440"/>
      <c r="E3" s="2440"/>
      <c r="F3" s="2440"/>
      <c r="G3" s="2440"/>
      <c r="H3" s="2440"/>
      <c r="I3" s="2440"/>
      <c r="J3" s="2440"/>
      <c r="K3" s="2440"/>
      <c r="L3" s="2440"/>
      <c r="M3" s="2440"/>
      <c r="N3" s="2440"/>
      <c r="O3" s="2440"/>
      <c r="P3" s="2440"/>
      <c r="Q3" s="2440"/>
      <c r="R3" s="2440"/>
      <c r="S3" s="2440"/>
      <c r="T3" s="2440"/>
      <c r="U3" s="2440"/>
      <c r="V3" s="2440"/>
      <c r="W3" s="2440"/>
      <c r="X3" s="2440"/>
      <c r="Y3" s="2440"/>
      <c r="Z3" s="2440"/>
      <c r="AA3" s="2440"/>
      <c r="AB3" s="2440"/>
      <c r="AC3" s="2440"/>
      <c r="AD3" s="2440"/>
      <c r="AE3" s="2440"/>
      <c r="AF3" s="2440"/>
      <c r="AG3" s="2440"/>
      <c r="AH3" s="2440"/>
      <c r="AX3" s="1242"/>
      <c r="AY3" s="1243"/>
      <c r="AZ3" s="1243"/>
      <c r="BA3" s="1223" t="s">
        <v>1425</v>
      </c>
      <c r="BB3" s="1220"/>
      <c r="BC3" s="1224">
        <v>0.6</v>
      </c>
      <c r="BD3" s="1221"/>
      <c r="BE3" s="1233"/>
      <c r="BF3" s="1233"/>
      <c r="BG3" s="1238"/>
      <c r="BH3" s="1233"/>
      <c r="BI3" s="1233"/>
      <c r="BJ3" s="1233"/>
      <c r="BK3" s="1233"/>
      <c r="BL3" s="1233"/>
      <c r="BM3" s="1233"/>
      <c r="BN3" s="1239"/>
    </row>
    <row r="4" spans="1:66" ht="36.75" thickBot="1" x14ac:dyDescent="0.6">
      <c r="C4" s="50" t="s">
        <v>2263</v>
      </c>
      <c r="I4" s="834"/>
      <c r="J4" s="834"/>
      <c r="K4" s="835"/>
      <c r="L4" s="835"/>
      <c r="M4" s="835"/>
      <c r="N4" s="835"/>
      <c r="O4" s="59"/>
      <c r="P4" s="59"/>
      <c r="Q4" s="49"/>
      <c r="R4" s="49"/>
      <c r="S4" s="49"/>
      <c r="T4" s="49"/>
      <c r="U4" s="41"/>
      <c r="V4" s="41"/>
      <c r="W4" s="41"/>
      <c r="AX4" s="1244"/>
      <c r="AY4" s="1236"/>
      <c r="AZ4" s="1236"/>
      <c r="BA4" s="1225" t="s">
        <v>1426</v>
      </c>
      <c r="BB4" s="1226"/>
      <c r="BC4" s="1227">
        <f>1-BC3</f>
        <v>0.4</v>
      </c>
      <c r="BD4" s="1222"/>
      <c r="BE4" s="1234"/>
      <c r="BF4" s="1234"/>
      <c r="BG4" s="1240"/>
      <c r="BH4" s="1234"/>
      <c r="BI4" s="1234"/>
      <c r="BJ4" s="1234"/>
      <c r="BK4" s="1234"/>
      <c r="BL4" s="1234"/>
      <c r="BM4" s="1234"/>
      <c r="BN4" s="1241"/>
    </row>
    <row r="5" spans="1:66" ht="15.75" thickBot="1" x14ac:dyDescent="0.3">
      <c r="C5" s="1179" t="s">
        <v>2264</v>
      </c>
      <c r="D5" s="151"/>
      <c r="E5" s="151"/>
      <c r="F5" s="151"/>
      <c r="G5" s="151"/>
      <c r="I5" s="834"/>
      <c r="J5" s="834"/>
      <c r="K5" s="835"/>
      <c r="L5" s="835"/>
      <c r="M5" s="835"/>
      <c r="N5" s="835"/>
      <c r="O5" s="59"/>
      <c r="P5" s="59"/>
      <c r="Q5" s="49"/>
      <c r="R5" s="49"/>
      <c r="S5" s="49"/>
      <c r="T5" s="49"/>
      <c r="U5" s="41"/>
      <c r="V5" s="41"/>
      <c r="W5" s="41"/>
      <c r="AC5" s="854"/>
      <c r="AD5" s="855"/>
      <c r="AE5" s="1215" t="s">
        <v>2265</v>
      </c>
      <c r="AF5" s="1215" t="s">
        <v>2266</v>
      </c>
      <c r="AG5" s="1215" t="s">
        <v>2267</v>
      </c>
      <c r="AH5" s="1215" t="s">
        <v>2268</v>
      </c>
      <c r="AX5" s="1244"/>
      <c r="AY5" s="1236"/>
      <c r="AZ5" s="1236"/>
      <c r="BA5" s="1236"/>
      <c r="BB5" s="1236"/>
      <c r="BC5" s="1236"/>
      <c r="BD5" s="1236"/>
      <c r="BE5" s="1234"/>
      <c r="BF5" s="1234"/>
      <c r="BG5" s="1240"/>
      <c r="BH5" s="1234"/>
      <c r="BI5" s="1234"/>
      <c r="BJ5" s="1234"/>
      <c r="BK5" s="1234"/>
      <c r="BL5" s="1234"/>
      <c r="BM5" s="1234"/>
      <c r="BN5" s="1241"/>
    </row>
    <row r="6" spans="1:66" ht="63" customHeight="1" x14ac:dyDescent="0.35">
      <c r="B6" s="2445" t="s">
        <v>42</v>
      </c>
      <c r="C6" s="2447" t="s">
        <v>46</v>
      </c>
      <c r="D6" s="2447"/>
      <c r="E6" s="2447"/>
      <c r="F6" s="2447"/>
      <c r="G6" s="619" t="s">
        <v>2269</v>
      </c>
      <c r="H6" s="2450" t="s">
        <v>43</v>
      </c>
      <c r="I6" s="631" t="s">
        <v>2270</v>
      </c>
      <c r="J6" s="631" t="s">
        <v>2271</v>
      </c>
      <c r="K6" s="2436" t="s">
        <v>2272</v>
      </c>
      <c r="L6" s="2436"/>
      <c r="M6" s="2436"/>
      <c r="N6" s="2436"/>
      <c r="O6" s="629" t="s">
        <v>2273</v>
      </c>
      <c r="P6" s="629" t="s">
        <v>2274</v>
      </c>
      <c r="Q6" s="2437" t="s">
        <v>2275</v>
      </c>
      <c r="R6" s="2437"/>
      <c r="S6" s="2437"/>
      <c r="T6" s="2437"/>
      <c r="U6" s="2446" t="s">
        <v>2276</v>
      </c>
      <c r="V6" s="2446" t="s">
        <v>2277</v>
      </c>
      <c r="W6" s="2446" t="s">
        <v>2278</v>
      </c>
      <c r="X6" s="2449" t="s">
        <v>49</v>
      </c>
      <c r="Y6" s="2449"/>
      <c r="Z6" s="2449"/>
      <c r="AA6" s="2448" t="s">
        <v>2279</v>
      </c>
      <c r="AB6" s="2443" t="s">
        <v>2280</v>
      </c>
      <c r="AC6" s="2443" t="s">
        <v>2281</v>
      </c>
      <c r="AD6" s="2444" t="s">
        <v>2282</v>
      </c>
      <c r="AE6" s="2441" t="s">
        <v>2283</v>
      </c>
      <c r="AF6" s="2441" t="s">
        <v>2283</v>
      </c>
      <c r="AG6" s="2442" t="s">
        <v>2284</v>
      </c>
      <c r="AH6" s="2442" t="s">
        <v>2284</v>
      </c>
      <c r="AI6" s="856"/>
      <c r="AJ6" s="644"/>
      <c r="AK6" s="644"/>
      <c r="AX6" s="1244"/>
      <c r="AY6" s="1236"/>
      <c r="AZ6" s="1236"/>
      <c r="BA6" s="2438" t="s">
        <v>2285</v>
      </c>
      <c r="BB6" s="2438"/>
      <c r="BC6" s="2438"/>
      <c r="BD6" s="2438"/>
      <c r="BE6" s="1272"/>
      <c r="BF6" s="2439" t="s">
        <v>2285</v>
      </c>
      <c r="BG6" s="2439"/>
      <c r="BH6" s="2439"/>
      <c r="BI6" s="2439"/>
      <c r="BJ6" s="1234"/>
      <c r="BK6" s="2434" t="s">
        <v>2286</v>
      </c>
      <c r="BL6" s="2434"/>
      <c r="BM6" s="2434"/>
      <c r="BN6" s="2434"/>
    </row>
    <row r="7" spans="1:66" ht="60" thickBot="1" x14ac:dyDescent="0.4">
      <c r="B7" s="2445"/>
      <c r="C7" s="623">
        <v>1</v>
      </c>
      <c r="D7" s="623">
        <v>2</v>
      </c>
      <c r="E7" s="623">
        <v>3</v>
      </c>
      <c r="F7" s="623">
        <v>4</v>
      </c>
      <c r="G7" s="623"/>
      <c r="H7" s="2450"/>
      <c r="I7" s="836" t="s">
        <v>2287</v>
      </c>
      <c r="J7" s="836" t="s">
        <v>1442</v>
      </c>
      <c r="K7" s="837" t="s">
        <v>2288</v>
      </c>
      <c r="L7" s="837" t="s">
        <v>2289</v>
      </c>
      <c r="M7" s="837" t="s">
        <v>2290</v>
      </c>
      <c r="N7" s="837" t="s">
        <v>2291</v>
      </c>
      <c r="O7" s="838" t="s">
        <v>2292</v>
      </c>
      <c r="P7" s="838" t="s">
        <v>2293</v>
      </c>
      <c r="Q7" s="839" t="s">
        <v>2288</v>
      </c>
      <c r="R7" s="839" t="s">
        <v>2289</v>
      </c>
      <c r="S7" s="839" t="s">
        <v>2290</v>
      </c>
      <c r="T7" s="839" t="s">
        <v>2291</v>
      </c>
      <c r="U7" s="2446" t="s">
        <v>2276</v>
      </c>
      <c r="V7" s="2446" t="s">
        <v>2277</v>
      </c>
      <c r="W7" s="2446" t="s">
        <v>2278</v>
      </c>
      <c r="X7" s="857" t="s">
        <v>1441</v>
      </c>
      <c r="Y7" s="857" t="s">
        <v>1442</v>
      </c>
      <c r="Z7" s="857" t="s">
        <v>2294</v>
      </c>
      <c r="AA7" s="2448"/>
      <c r="AB7" s="2443"/>
      <c r="AC7" s="2443" t="s">
        <v>2295</v>
      </c>
      <c r="AD7" s="2444" t="s">
        <v>2295</v>
      </c>
      <c r="AE7" s="2441"/>
      <c r="AF7" s="2441"/>
      <c r="AG7" s="2442"/>
      <c r="AH7" s="2442"/>
      <c r="AI7" s="1307" t="s">
        <v>51</v>
      </c>
      <c r="AJ7" s="68" t="s">
        <v>2296</v>
      </c>
      <c r="AX7" s="1247" t="s">
        <v>2297</v>
      </c>
      <c r="AY7" s="1245" t="s">
        <v>306</v>
      </c>
      <c r="AZ7" s="1246" t="s">
        <v>2298</v>
      </c>
      <c r="BA7" s="1274" t="s">
        <v>2299</v>
      </c>
      <c r="BB7" s="1275" t="s">
        <v>2300</v>
      </c>
      <c r="BC7" s="1276" t="s">
        <v>2301</v>
      </c>
      <c r="BD7" s="1277" t="s">
        <v>2302</v>
      </c>
      <c r="BE7" s="1273"/>
      <c r="BF7" s="1278" t="s">
        <v>2303</v>
      </c>
      <c r="BG7" s="1279" t="s">
        <v>2304</v>
      </c>
      <c r="BH7" s="1280" t="s">
        <v>2305</v>
      </c>
      <c r="BI7" s="1281" t="s">
        <v>2306</v>
      </c>
      <c r="BJ7" s="1273"/>
      <c r="BK7" s="1274" t="s">
        <v>2307</v>
      </c>
      <c r="BL7" s="1282" t="s">
        <v>2308</v>
      </c>
      <c r="BM7" s="1278" t="s">
        <v>2309</v>
      </c>
      <c r="BN7" s="1283" t="s">
        <v>2310</v>
      </c>
    </row>
    <row r="8" spans="1:66" ht="14.65" customHeight="1" thickBot="1" x14ac:dyDescent="0.35">
      <c r="B8" s="624"/>
      <c r="C8" s="620"/>
      <c r="D8" s="620"/>
      <c r="E8" s="620"/>
      <c r="F8" s="620"/>
      <c r="G8" s="620"/>
      <c r="H8" s="840"/>
      <c r="I8" s="841"/>
      <c r="J8" s="841"/>
      <c r="K8" s="842"/>
      <c r="L8" s="842"/>
      <c r="M8" s="842"/>
      <c r="N8" s="842"/>
      <c r="O8" s="843"/>
      <c r="P8" s="843"/>
      <c r="Q8" s="844"/>
      <c r="R8" s="844"/>
      <c r="S8" s="844"/>
      <c r="T8" s="844"/>
      <c r="U8" s="625"/>
      <c r="V8" s="625"/>
      <c r="W8" s="625"/>
      <c r="X8" s="858"/>
      <c r="Y8" s="858"/>
      <c r="Z8" s="858"/>
      <c r="AA8" s="1218"/>
      <c r="AB8" s="860"/>
      <c r="AC8" s="626"/>
      <c r="AD8" s="627"/>
      <c r="AE8" s="859"/>
      <c r="AF8" s="1307"/>
      <c r="AG8" s="1307"/>
      <c r="AH8" s="1307"/>
      <c r="AI8" s="1307"/>
      <c r="AJ8" s="68"/>
      <c r="AX8" s="1228"/>
      <c r="BA8" s="1274"/>
      <c r="BB8" s="1275"/>
      <c r="BC8" s="1276"/>
      <c r="BD8" s="1277"/>
      <c r="BE8" s="1273"/>
      <c r="BF8" s="1278"/>
      <c r="BG8" s="1279"/>
      <c r="BH8" s="1280"/>
      <c r="BI8" s="1281"/>
      <c r="BJ8" s="1273"/>
      <c r="BK8" s="1274"/>
      <c r="BL8" s="1282"/>
      <c r="BM8" s="1278"/>
      <c r="BN8" s="1283"/>
    </row>
    <row r="9" spans="1:66" x14ac:dyDescent="0.25">
      <c r="A9" s="49" t="str">
        <f t="shared" ref="A9:A18" si="0">LEFT(B9,6)</f>
        <v>250050</v>
      </c>
      <c r="B9" s="1371" t="str">
        <f>'Efficient Products Deemed Table'!C7</f>
        <v>250050_2024_12_</v>
      </c>
      <c r="C9" s="1307" t="str">
        <f>'Efficient Products Deemed Table'!G7</f>
        <v>Water Heating RES</v>
      </c>
      <c r="D9" s="1307"/>
      <c r="E9" s="1307"/>
      <c r="F9" s="1307"/>
      <c r="G9" s="1307" t="str">
        <f>'Efficient Products Deemed Table'!E7</f>
        <v>Heat Pump Hot Water Heater</v>
      </c>
      <c r="H9" s="1307" t="str">
        <f>'Efficient Products Deemed Table'!D7</f>
        <v>MFIE</v>
      </c>
      <c r="I9" s="750">
        <f>'Efficient Products Deemed Table'!F7</f>
        <v>2396.2600000000002</v>
      </c>
      <c r="J9" s="750">
        <v>0</v>
      </c>
      <c r="K9" s="189">
        <v>0</v>
      </c>
      <c r="L9" s="189">
        <v>0</v>
      </c>
      <c r="M9" s="189">
        <v>0</v>
      </c>
      <c r="N9" s="189">
        <v>0</v>
      </c>
      <c r="O9" s="751">
        <f>'Efficient Products Deemed Table'!M7</f>
        <v>0.21262400000000001</v>
      </c>
      <c r="P9" s="751">
        <v>0</v>
      </c>
      <c r="Q9" s="752">
        <v>0</v>
      </c>
      <c r="R9" s="752">
        <v>0</v>
      </c>
      <c r="S9" s="752"/>
      <c r="T9" s="752"/>
      <c r="U9" s="753">
        <f t="shared" ref="U9:U16" si="1">IFERROR(IF(V9+W9&gt;0,0,IF(Z9&gt;0,O9,0)),0)</f>
        <v>0</v>
      </c>
      <c r="V9" s="753">
        <f t="shared" ref="V9:V16" si="2">IF(W9&gt;0,0,IF(Z9&gt;9,O9,0))</f>
        <v>0.21262400000000001</v>
      </c>
      <c r="W9" s="753">
        <f t="shared" ref="W9:W16" si="3">IF(Z9&gt;14,O9,0)</f>
        <v>0</v>
      </c>
      <c r="X9" s="22">
        <f>'Efficient Products Deemed Table'!N7</f>
        <v>13</v>
      </c>
      <c r="Y9" s="22"/>
      <c r="Z9" s="22">
        <f t="shared" ref="Z9:Z18" si="4">Y9+X9</f>
        <v>13</v>
      </c>
      <c r="AA9" s="17">
        <f>'Efficient Products Deemed Table'!DG7</f>
        <v>1.1871774588443991</v>
      </c>
      <c r="AB9" s="771">
        <f>'Efficient Products Deemed Table'!O7</f>
        <v>1199</v>
      </c>
      <c r="AC9" s="862">
        <f t="shared" ref="AC9:AC18" si="5">AE9+AF9</f>
        <v>1423.4257731544344</v>
      </c>
      <c r="AD9" s="862"/>
      <c r="AE9" s="592">
        <f>'Efficient Products Deemed Table'!DI7</f>
        <v>1423.4257731544344</v>
      </c>
      <c r="AF9" s="195"/>
      <c r="AG9" s="195"/>
      <c r="AH9" s="195"/>
      <c r="AI9" s="863" t="str">
        <f>'Efficient Products Deemed Table'!P7</f>
        <v>per measure</v>
      </c>
      <c r="AJ9" s="754"/>
      <c r="AX9" s="1284" t="str">
        <f t="shared" ref="AX9:AX18" si="6">G9</f>
        <v>Heat Pump Hot Water Heater</v>
      </c>
      <c r="AY9" s="1307"/>
      <c r="AZ9" s="1376" t="str">
        <f t="shared" ref="AZ9:AZ18" si="7">A9</f>
        <v>250050</v>
      </c>
      <c r="BA9" s="1229" t="s">
        <v>2158</v>
      </c>
      <c r="BB9" s="1229" t="s">
        <v>2158</v>
      </c>
      <c r="BC9" s="1229" t="s">
        <v>2158</v>
      </c>
      <c r="BD9" s="1229" t="s">
        <v>2158</v>
      </c>
      <c r="BE9" s="1234"/>
      <c r="BF9" s="1229" t="s">
        <v>2158</v>
      </c>
      <c r="BG9" s="1229" t="s">
        <v>2158</v>
      </c>
      <c r="BH9" s="1229" t="s">
        <v>2158</v>
      </c>
      <c r="BI9" s="1230" t="s">
        <v>2158</v>
      </c>
      <c r="BJ9" s="1234"/>
      <c r="BK9" s="1229" t="s">
        <v>2158</v>
      </c>
      <c r="BL9" s="1230" t="s">
        <v>2158</v>
      </c>
      <c r="BM9" s="1229" t="s">
        <v>2158</v>
      </c>
      <c r="BN9" s="1230" t="s">
        <v>2158</v>
      </c>
    </row>
    <row r="10" spans="1:66" x14ac:dyDescent="0.25">
      <c r="A10" s="49" t="str">
        <f t="shared" si="0"/>
        <v>250100</v>
      </c>
      <c r="B10" s="1371" t="str">
        <f>'Efficient Products Deemed Table'!C48</f>
        <v>250100_2024_12_</v>
      </c>
      <c r="C10" s="1307" t="str">
        <f>'Efficient Products Deemed Table'!G48</f>
        <v>Cooling RES</v>
      </c>
      <c r="D10" s="1307" t="str">
        <f>'Efficient Products Deemed Table'!G49</f>
        <v>Heating RES</v>
      </c>
      <c r="E10" s="1307"/>
      <c r="F10" s="1307"/>
      <c r="G10" s="1307" t="str">
        <f>'Efficient Products Deemed Table'!E48</f>
        <v>Learning Thermostat - ASHP heating/cooling SF</v>
      </c>
      <c r="H10" s="1307" t="str">
        <f>'Efficient Products Deemed Table'!D48</f>
        <v>PAYS/SFIE</v>
      </c>
      <c r="I10" s="750">
        <f t="shared" ref="I10:I16" si="8">K10+L10</f>
        <v>0</v>
      </c>
      <c r="J10" s="189">
        <f t="shared" ref="J10:J16" si="9">M10+N10</f>
        <v>0</v>
      </c>
      <c r="K10" s="189">
        <f>'Efficient Products Deemed Table'!F48</f>
        <v>0</v>
      </c>
      <c r="L10" s="189">
        <f>'Efficient Products Deemed Table'!F49</f>
        <v>0</v>
      </c>
      <c r="M10" s="189">
        <v>0</v>
      </c>
      <c r="N10" s="189">
        <v>0</v>
      </c>
      <c r="O10" s="751">
        <f t="shared" ref="O10:O16" si="10">Q10+R10</f>
        <v>0</v>
      </c>
      <c r="P10" s="751">
        <f t="shared" ref="P10:P16" si="11">S10+T10</f>
        <v>0</v>
      </c>
      <c r="Q10" s="752">
        <f>'Efficient Products Deemed Table'!I48</f>
        <v>0</v>
      </c>
      <c r="R10" s="752">
        <v>0</v>
      </c>
      <c r="S10" s="752"/>
      <c r="T10" s="752"/>
      <c r="U10" s="753">
        <f t="shared" si="1"/>
        <v>0</v>
      </c>
      <c r="V10" s="753">
        <f t="shared" si="2"/>
        <v>0</v>
      </c>
      <c r="W10" s="753">
        <f t="shared" si="3"/>
        <v>0</v>
      </c>
      <c r="X10" s="22">
        <f>'Efficient Products Deemed Table'!J48</f>
        <v>11</v>
      </c>
      <c r="Y10" s="22"/>
      <c r="Z10" s="22">
        <f t="shared" si="4"/>
        <v>11</v>
      </c>
      <c r="AA10" s="17">
        <f>'Efficient Products Deemed Table'!DG48</f>
        <v>0</v>
      </c>
      <c r="AB10" s="771">
        <f>'Efficient Products Deemed Table'!K48</f>
        <v>79</v>
      </c>
      <c r="AC10" s="862">
        <f t="shared" si="5"/>
        <v>0</v>
      </c>
      <c r="AD10" s="862"/>
      <c r="AE10" s="592">
        <f>'Efficient Products Deemed Table'!DI48</f>
        <v>0</v>
      </c>
      <c r="AF10" s="195">
        <f>'Efficient Products Deemed Table'!DI49</f>
        <v>0</v>
      </c>
      <c r="AG10" s="195"/>
      <c r="AH10" s="195"/>
      <c r="AI10" s="1371" t="str">
        <f>'Efficient Products Deemed Table'!L48</f>
        <v>per measure</v>
      </c>
      <c r="AJ10" s="754"/>
      <c r="AK10" s="622"/>
      <c r="AL10" s="622"/>
      <c r="AX10" s="1284" t="str">
        <f t="shared" si="6"/>
        <v>Learning Thermostat - ASHP heating/cooling SF</v>
      </c>
      <c r="AY10" s="1307"/>
      <c r="AZ10" s="1376" t="str">
        <f t="shared" si="7"/>
        <v>250100</v>
      </c>
      <c r="BA10" s="1229" t="s">
        <v>2158</v>
      </c>
      <c r="BB10" s="1229" t="s">
        <v>2158</v>
      </c>
      <c r="BC10" s="1229" t="s">
        <v>2158</v>
      </c>
      <c r="BD10" s="1229" t="s">
        <v>2158</v>
      </c>
      <c r="BE10" s="1234"/>
      <c r="BF10" s="1229" t="s">
        <v>2158</v>
      </c>
      <c r="BG10" s="1229" t="s">
        <v>2158</v>
      </c>
      <c r="BH10" s="1229" t="s">
        <v>2158</v>
      </c>
      <c r="BI10" s="1230" t="s">
        <v>2158</v>
      </c>
      <c r="BJ10" s="1234"/>
      <c r="BK10" s="1229" t="s">
        <v>2158</v>
      </c>
      <c r="BL10" s="1230" t="s">
        <v>2158</v>
      </c>
      <c r="BM10" s="1229" t="s">
        <v>2158</v>
      </c>
      <c r="BN10" s="1230" t="s">
        <v>2158</v>
      </c>
    </row>
    <row r="11" spans="1:66" x14ac:dyDescent="0.25">
      <c r="A11" s="49" t="str">
        <f t="shared" si="0"/>
        <v>250101</v>
      </c>
      <c r="B11" s="1371" t="str">
        <f>'Efficient Products Deemed Table'!C50</f>
        <v>250101_2024_12_</v>
      </c>
      <c r="C11" s="1307" t="str">
        <f>'Efficient Products Deemed Table'!G50</f>
        <v>Cooling RES</v>
      </c>
      <c r="D11" s="1307" t="str">
        <f>'Efficient Products Deemed Table'!G51</f>
        <v>Heating RES</v>
      </c>
      <c r="E11" s="1307"/>
      <c r="F11" s="1307"/>
      <c r="G11" s="1307" t="str">
        <f>'Efficient Products Deemed Table'!E50</f>
        <v>Learning Thermostat - ASHP heating/cooling MF</v>
      </c>
      <c r="H11" s="1307" t="str">
        <f>'Efficient Products Deemed Table'!D50</f>
        <v>MFIE</v>
      </c>
      <c r="I11" s="750">
        <f t="shared" si="8"/>
        <v>0</v>
      </c>
      <c r="J11" s="189">
        <f t="shared" si="9"/>
        <v>0</v>
      </c>
      <c r="K11" s="189">
        <f>'Efficient Products Deemed Table'!F50</f>
        <v>0</v>
      </c>
      <c r="L11" s="189">
        <f>'Efficient Products Deemed Table'!F51</f>
        <v>0</v>
      </c>
      <c r="M11" s="189">
        <v>0</v>
      </c>
      <c r="N11" s="189">
        <v>0</v>
      </c>
      <c r="O11" s="751">
        <f t="shared" si="10"/>
        <v>0</v>
      </c>
      <c r="P11" s="751">
        <f t="shared" si="11"/>
        <v>0</v>
      </c>
      <c r="Q11" s="752">
        <f>'Efficient Products Deemed Table'!I50</f>
        <v>0</v>
      </c>
      <c r="R11" s="752">
        <v>0</v>
      </c>
      <c r="S11" s="752"/>
      <c r="T11" s="752"/>
      <c r="U11" s="753">
        <f t="shared" si="1"/>
        <v>0</v>
      </c>
      <c r="V11" s="753">
        <f t="shared" si="2"/>
        <v>0</v>
      </c>
      <c r="W11" s="753">
        <f t="shared" si="3"/>
        <v>0</v>
      </c>
      <c r="X11" s="22">
        <f>'Efficient Products Deemed Table'!J50</f>
        <v>11</v>
      </c>
      <c r="Y11" s="22"/>
      <c r="Z11" s="22">
        <f t="shared" si="4"/>
        <v>11</v>
      </c>
      <c r="AA11" s="17">
        <f>'Efficient Products Deemed Table'!DG50</f>
        <v>0</v>
      </c>
      <c r="AB11" s="771">
        <f>'Efficient Products Deemed Table'!K50</f>
        <v>79</v>
      </c>
      <c r="AC11" s="862">
        <f t="shared" si="5"/>
        <v>0</v>
      </c>
      <c r="AD11" s="862"/>
      <c r="AE11" s="592">
        <f>'Efficient Products Deemed Table'!DI50</f>
        <v>0</v>
      </c>
      <c r="AF11" s="195">
        <f>'Efficient Products Deemed Table'!DI51</f>
        <v>0</v>
      </c>
      <c r="AG11" s="195"/>
      <c r="AH11" s="195"/>
      <c r="AI11" s="1371" t="str">
        <f>'Efficient Products Deemed Table'!L50</f>
        <v>per measure</v>
      </c>
      <c r="AJ11" s="754"/>
      <c r="AK11" s="622"/>
      <c r="AL11" s="622"/>
      <c r="AX11" s="1284" t="str">
        <f t="shared" si="6"/>
        <v>Learning Thermostat - ASHP heating/cooling MF</v>
      </c>
      <c r="AY11" s="1307"/>
      <c r="AZ11" s="1376" t="str">
        <f t="shared" si="7"/>
        <v>250101</v>
      </c>
      <c r="BA11" s="1229" t="s">
        <v>2158</v>
      </c>
      <c r="BB11" s="1229" t="s">
        <v>2158</v>
      </c>
      <c r="BC11" s="1229" t="s">
        <v>2158</v>
      </c>
      <c r="BD11" s="1229" t="s">
        <v>2158</v>
      </c>
      <c r="BE11" s="1234"/>
      <c r="BF11" s="1229" t="s">
        <v>2158</v>
      </c>
      <c r="BG11" s="1229" t="s">
        <v>2158</v>
      </c>
      <c r="BH11" s="1229" t="s">
        <v>2158</v>
      </c>
      <c r="BI11" s="1230" t="s">
        <v>2158</v>
      </c>
      <c r="BJ11" s="1234"/>
      <c r="BK11" s="1229" t="s">
        <v>2158</v>
      </c>
      <c r="BL11" s="1230" t="s">
        <v>2158</v>
      </c>
      <c r="BM11" s="1229" t="s">
        <v>2158</v>
      </c>
      <c r="BN11" s="1230" t="s">
        <v>2158</v>
      </c>
    </row>
    <row r="12" spans="1:66" x14ac:dyDescent="0.25">
      <c r="A12" s="49" t="str">
        <f t="shared" si="0"/>
        <v>250150</v>
      </c>
      <c r="B12" s="1371" t="str">
        <f>'Efficient Products Deemed Table'!C52</f>
        <v>250150_2024_12_</v>
      </c>
      <c r="C12" s="1307" t="str">
        <f>'Efficient Products Deemed Table'!G52</f>
        <v>Cooling RES</v>
      </c>
      <c r="D12" s="1307" t="str">
        <f>'Efficient Products Deemed Table'!G53</f>
        <v>Heating RES</v>
      </c>
      <c r="E12" s="1307"/>
      <c r="F12" s="1307"/>
      <c r="G12" s="1307" t="str">
        <f>'Efficient Products Deemed Table'!E52</f>
        <v>Learning Thermostat - electric furnace heating / central AC MF</v>
      </c>
      <c r="H12" s="1307" t="str">
        <f>'Efficient Products Deemed Table'!D52</f>
        <v>MFIE</v>
      </c>
      <c r="I12" s="750">
        <f t="shared" si="8"/>
        <v>0</v>
      </c>
      <c r="J12" s="189">
        <f t="shared" si="9"/>
        <v>0</v>
      </c>
      <c r="K12" s="189">
        <f>'Efficient Products Deemed Table'!F52</f>
        <v>0</v>
      </c>
      <c r="L12" s="189">
        <f>'Efficient Products Deemed Table'!F53</f>
        <v>0</v>
      </c>
      <c r="M12" s="189">
        <v>0</v>
      </c>
      <c r="N12" s="189">
        <v>0</v>
      </c>
      <c r="O12" s="751">
        <f t="shared" si="10"/>
        <v>0</v>
      </c>
      <c r="P12" s="751">
        <f t="shared" si="11"/>
        <v>0</v>
      </c>
      <c r="Q12" s="752">
        <f>'Efficient Products Deemed Table'!I52</f>
        <v>0</v>
      </c>
      <c r="R12" s="752">
        <v>0</v>
      </c>
      <c r="S12" s="752"/>
      <c r="T12" s="752"/>
      <c r="U12" s="753">
        <f t="shared" si="1"/>
        <v>0</v>
      </c>
      <c r="V12" s="753">
        <f t="shared" si="2"/>
        <v>0</v>
      </c>
      <c r="W12" s="753">
        <f t="shared" si="3"/>
        <v>0</v>
      </c>
      <c r="X12" s="22">
        <f>'Efficient Products Deemed Table'!J52</f>
        <v>11</v>
      </c>
      <c r="Y12" s="22"/>
      <c r="Z12" s="22">
        <f t="shared" si="4"/>
        <v>11</v>
      </c>
      <c r="AA12" s="17">
        <f>'Efficient Products Deemed Table'!DG52</f>
        <v>0</v>
      </c>
      <c r="AB12" s="771">
        <f>'Efficient Products Deemed Table'!K52</f>
        <v>79</v>
      </c>
      <c r="AC12" s="862">
        <f t="shared" si="5"/>
        <v>0</v>
      </c>
      <c r="AD12" s="862"/>
      <c r="AE12" s="592">
        <f>'Efficient Products Deemed Table'!DI52</f>
        <v>0</v>
      </c>
      <c r="AF12" s="195">
        <f>'Efficient Products Deemed Table'!DI53</f>
        <v>0</v>
      </c>
      <c r="AG12" s="195"/>
      <c r="AH12" s="195"/>
      <c r="AI12" s="1371" t="str">
        <f>'Efficient Products Deemed Table'!L52</f>
        <v>per measure</v>
      </c>
      <c r="AJ12" s="754"/>
      <c r="AK12" s="622"/>
      <c r="AL12" s="622"/>
      <c r="AX12" s="1284" t="str">
        <f t="shared" si="6"/>
        <v>Learning Thermostat - electric furnace heating / central AC MF</v>
      </c>
      <c r="AY12" s="1307"/>
      <c r="AZ12" s="1376" t="str">
        <f t="shared" si="7"/>
        <v>250150</v>
      </c>
      <c r="BA12" s="1229" t="s">
        <v>2158</v>
      </c>
      <c r="BB12" s="1229" t="s">
        <v>2158</v>
      </c>
      <c r="BC12" s="1229" t="s">
        <v>2158</v>
      </c>
      <c r="BD12" s="1229" t="s">
        <v>2158</v>
      </c>
      <c r="BE12" s="1234"/>
      <c r="BF12" s="1229" t="s">
        <v>2158</v>
      </c>
      <c r="BG12" s="1229" t="s">
        <v>2158</v>
      </c>
      <c r="BH12" s="1229" t="s">
        <v>2158</v>
      </c>
      <c r="BI12" s="1230" t="s">
        <v>2158</v>
      </c>
      <c r="BJ12" s="1234"/>
      <c r="BK12" s="1229" t="s">
        <v>2158</v>
      </c>
      <c r="BL12" s="1230" t="s">
        <v>2158</v>
      </c>
      <c r="BM12" s="1229" t="s">
        <v>2158</v>
      </c>
      <c r="BN12" s="1230" t="s">
        <v>2158</v>
      </c>
    </row>
    <row r="13" spans="1:66" x14ac:dyDescent="0.25">
      <c r="A13" s="49" t="str">
        <f t="shared" si="0"/>
        <v>250250</v>
      </c>
      <c r="B13" s="1371" t="str">
        <f>'Efficient Products Deemed Table'!C54</f>
        <v>250250_2024_12_</v>
      </c>
      <c r="C13" s="1307" t="str">
        <f>'Efficient Products Deemed Table'!G54</f>
        <v>Cooling RES</v>
      </c>
      <c r="D13" s="1307" t="str">
        <f>'Efficient Products Deemed Table'!G55</f>
        <v>Heating RES</v>
      </c>
      <c r="E13" s="1307"/>
      <c r="F13" s="1307"/>
      <c r="G13" s="1307" t="str">
        <f>'Efficient Products Deemed Table'!E54</f>
        <v>Learning Thermostat - electric furnace heating / central AC SF</v>
      </c>
      <c r="H13" s="1307" t="str">
        <f>'Efficient Products Deemed Table'!D54</f>
        <v>PAYS/SFIE</v>
      </c>
      <c r="I13" s="750">
        <f t="shared" si="8"/>
        <v>0</v>
      </c>
      <c r="J13" s="189">
        <f t="shared" si="9"/>
        <v>0</v>
      </c>
      <c r="K13" s="189">
        <f>'Efficient Products Deemed Table'!F54</f>
        <v>0</v>
      </c>
      <c r="L13" s="189">
        <f>'Efficient Products Deemed Table'!F55</f>
        <v>0</v>
      </c>
      <c r="M13" s="189">
        <v>0</v>
      </c>
      <c r="N13" s="189">
        <v>0</v>
      </c>
      <c r="O13" s="751">
        <f t="shared" si="10"/>
        <v>0</v>
      </c>
      <c r="P13" s="751">
        <f t="shared" si="11"/>
        <v>0</v>
      </c>
      <c r="Q13" s="752">
        <f>'Efficient Products Deemed Table'!I54</f>
        <v>0</v>
      </c>
      <c r="R13" s="752">
        <v>0</v>
      </c>
      <c r="S13" s="752"/>
      <c r="T13" s="752"/>
      <c r="U13" s="753">
        <f t="shared" si="1"/>
        <v>0</v>
      </c>
      <c r="V13" s="753">
        <f t="shared" si="2"/>
        <v>0</v>
      </c>
      <c r="W13" s="753">
        <f t="shared" si="3"/>
        <v>0</v>
      </c>
      <c r="X13" s="22">
        <f>'Efficient Products Deemed Table'!J54</f>
        <v>11</v>
      </c>
      <c r="Y13" s="22"/>
      <c r="Z13" s="22">
        <f t="shared" si="4"/>
        <v>11</v>
      </c>
      <c r="AA13" s="17">
        <f>'Efficient Products Deemed Table'!DG54</f>
        <v>0</v>
      </c>
      <c r="AB13" s="771">
        <f>'Efficient Products Deemed Table'!K54</f>
        <v>79</v>
      </c>
      <c r="AC13" s="862">
        <f t="shared" si="5"/>
        <v>0</v>
      </c>
      <c r="AD13" s="862"/>
      <c r="AE13" s="592">
        <f>'Efficient Products Deemed Table'!DI54</f>
        <v>0</v>
      </c>
      <c r="AF13" s="195">
        <f>'Efficient Products Deemed Table'!DI55</f>
        <v>0</v>
      </c>
      <c r="AG13" s="195"/>
      <c r="AH13" s="195"/>
      <c r="AI13" s="1371" t="str">
        <f>'Efficient Products Deemed Table'!L54</f>
        <v>per measure</v>
      </c>
      <c r="AJ13" s="754"/>
      <c r="AK13" s="622"/>
      <c r="AL13" s="622"/>
      <c r="AX13" s="1284" t="str">
        <f t="shared" si="6"/>
        <v>Learning Thermostat - electric furnace heating / central AC SF</v>
      </c>
      <c r="AY13" s="1307"/>
      <c r="AZ13" s="1376" t="str">
        <f t="shared" si="7"/>
        <v>250250</v>
      </c>
      <c r="BA13" s="1229" t="s">
        <v>2158</v>
      </c>
      <c r="BB13" s="1229" t="s">
        <v>2158</v>
      </c>
      <c r="BC13" s="1229" t="s">
        <v>2158</v>
      </c>
      <c r="BD13" s="1229" t="s">
        <v>2158</v>
      </c>
      <c r="BE13" s="1234"/>
      <c r="BF13" s="1229" t="s">
        <v>2158</v>
      </c>
      <c r="BG13" s="1229" t="s">
        <v>2158</v>
      </c>
      <c r="BH13" s="1229" t="s">
        <v>2158</v>
      </c>
      <c r="BI13" s="1230" t="s">
        <v>2158</v>
      </c>
      <c r="BJ13" s="1234"/>
      <c r="BK13" s="1229" t="s">
        <v>2158</v>
      </c>
      <c r="BL13" s="1230" t="s">
        <v>2158</v>
      </c>
      <c r="BM13" s="1229" t="s">
        <v>2158</v>
      </c>
      <c r="BN13" s="1230" t="s">
        <v>2158</v>
      </c>
    </row>
    <row r="14" spans="1:66" x14ac:dyDescent="0.25">
      <c r="A14" s="49" t="str">
        <f t="shared" si="0"/>
        <v>250350</v>
      </c>
      <c r="B14" s="1371" t="str">
        <f>'Efficient Products Deemed Table'!C56</f>
        <v>250350_2024_12_</v>
      </c>
      <c r="C14" s="1307" t="str">
        <f>'Efficient Products Deemed Table'!G56</f>
        <v>Cooling RES</v>
      </c>
      <c r="D14" s="1307" t="str">
        <f>'Efficient Products Deemed Table'!G57</f>
        <v>Heating RES</v>
      </c>
      <c r="E14" s="1307"/>
      <c r="F14" s="1307"/>
      <c r="G14" s="1307" t="str">
        <f>'Efficient Products Deemed Table'!E56</f>
        <v>Learning Thermostat - Gas Heated / central AC SF**</v>
      </c>
      <c r="H14" s="1307" t="str">
        <f>'Efficient Products Deemed Table'!D56</f>
        <v>PAYS/SFIE</v>
      </c>
      <c r="I14" s="750">
        <f t="shared" si="8"/>
        <v>0</v>
      </c>
      <c r="J14" s="189">
        <f t="shared" si="9"/>
        <v>0</v>
      </c>
      <c r="K14" s="189">
        <f>'Efficient Products Deemed Table'!F56</f>
        <v>0</v>
      </c>
      <c r="L14" s="189">
        <f>'Efficient Products Deemed Table'!F57</f>
        <v>0</v>
      </c>
      <c r="M14" s="189">
        <v>0</v>
      </c>
      <c r="N14" s="189">
        <v>0</v>
      </c>
      <c r="O14" s="751">
        <f t="shared" si="10"/>
        <v>0</v>
      </c>
      <c r="P14" s="751">
        <f t="shared" si="11"/>
        <v>0</v>
      </c>
      <c r="Q14" s="752">
        <f>'Efficient Products Deemed Table'!I56</f>
        <v>0</v>
      </c>
      <c r="R14" s="752">
        <v>0</v>
      </c>
      <c r="S14" s="752"/>
      <c r="T14" s="752"/>
      <c r="U14" s="753">
        <f t="shared" si="1"/>
        <v>0</v>
      </c>
      <c r="V14" s="753">
        <f t="shared" si="2"/>
        <v>0</v>
      </c>
      <c r="W14" s="753">
        <f t="shared" si="3"/>
        <v>0</v>
      </c>
      <c r="X14" s="22">
        <f>'Efficient Products Deemed Table'!J56</f>
        <v>11</v>
      </c>
      <c r="Y14" s="22"/>
      <c r="Z14" s="22">
        <f t="shared" si="4"/>
        <v>11</v>
      </c>
      <c r="AA14" s="17">
        <f>'Efficient Products Deemed Table'!DG56</f>
        <v>0</v>
      </c>
      <c r="AB14" s="771">
        <f>'Efficient Products Deemed Table'!K56</f>
        <v>79</v>
      </c>
      <c r="AC14" s="862">
        <f t="shared" si="5"/>
        <v>0</v>
      </c>
      <c r="AD14" s="862"/>
      <c r="AE14" s="592">
        <f>'Efficient Products Deemed Table'!DI56</f>
        <v>0</v>
      </c>
      <c r="AF14" s="195">
        <f>'Efficient Products Deemed Table'!DI57</f>
        <v>0</v>
      </c>
      <c r="AG14" s="195"/>
      <c r="AH14" s="195"/>
      <c r="AI14" s="1371" t="str">
        <f>'Efficient Products Deemed Table'!L56</f>
        <v>per measure</v>
      </c>
      <c r="AJ14" s="754"/>
      <c r="AK14" s="622"/>
      <c r="AL14" s="622"/>
      <c r="AX14" s="1284" t="str">
        <f t="shared" si="6"/>
        <v>Learning Thermostat - Gas Heated / central AC SF**</v>
      </c>
      <c r="AY14" s="1307"/>
      <c r="AZ14" s="1376" t="str">
        <f t="shared" si="7"/>
        <v>250350</v>
      </c>
      <c r="BA14" s="1229" t="s">
        <v>2158</v>
      </c>
      <c r="BB14" s="1229" t="s">
        <v>2158</v>
      </c>
      <c r="BC14" s="1229" t="s">
        <v>2158</v>
      </c>
      <c r="BD14" s="1229" t="s">
        <v>2158</v>
      </c>
      <c r="BE14" s="1234"/>
      <c r="BF14" s="1229" t="s">
        <v>2158</v>
      </c>
      <c r="BG14" s="1229" t="s">
        <v>2158</v>
      </c>
      <c r="BH14" s="1229" t="s">
        <v>2158</v>
      </c>
      <c r="BI14" s="1230" t="s">
        <v>2158</v>
      </c>
      <c r="BJ14" s="1234"/>
      <c r="BK14" s="1229" t="s">
        <v>2158</v>
      </c>
      <c r="BL14" s="1230" t="s">
        <v>2158</v>
      </c>
      <c r="BM14" s="1229" t="s">
        <v>2158</v>
      </c>
      <c r="BN14" s="1230" t="s">
        <v>2158</v>
      </c>
    </row>
    <row r="15" spans="1:66" x14ac:dyDescent="0.25">
      <c r="A15" s="49" t="str">
        <f t="shared" si="0"/>
        <v>250351</v>
      </c>
      <c r="B15" s="1371" t="str">
        <f>'Efficient Products Deemed Table'!C58</f>
        <v>250351_2024_12_</v>
      </c>
      <c r="C15" s="1307" t="str">
        <f>'Efficient Products Deemed Table'!G58</f>
        <v>Cooling RES</v>
      </c>
      <c r="D15" s="1307" t="str">
        <f>'Efficient Products Deemed Table'!G59</f>
        <v>Heating RES</v>
      </c>
      <c r="E15" s="1307"/>
      <c r="F15" s="1307"/>
      <c r="G15" s="1307" t="str">
        <f>'Efficient Products Deemed Table'!E58</f>
        <v>Learning Thermostat - Gas Heated / central AC MF**</v>
      </c>
      <c r="H15" s="1307" t="str">
        <f>'Efficient Products Deemed Table'!D58</f>
        <v>MFIE</v>
      </c>
      <c r="I15" s="750">
        <f t="shared" si="8"/>
        <v>0</v>
      </c>
      <c r="J15" s="189">
        <f t="shared" si="9"/>
        <v>0</v>
      </c>
      <c r="K15" s="189">
        <f>'Efficient Products Deemed Table'!F58</f>
        <v>0</v>
      </c>
      <c r="L15" s="189">
        <f>'Efficient Products Deemed Table'!F59</f>
        <v>0</v>
      </c>
      <c r="M15" s="189">
        <v>0</v>
      </c>
      <c r="N15" s="189">
        <v>0</v>
      </c>
      <c r="O15" s="751">
        <f t="shared" si="10"/>
        <v>0</v>
      </c>
      <c r="P15" s="751">
        <f t="shared" si="11"/>
        <v>0</v>
      </c>
      <c r="Q15" s="752">
        <f>'Efficient Products Deemed Table'!I58</f>
        <v>0</v>
      </c>
      <c r="R15" s="752">
        <v>0</v>
      </c>
      <c r="S15" s="752"/>
      <c r="T15" s="752"/>
      <c r="U15" s="753">
        <f t="shared" si="1"/>
        <v>0</v>
      </c>
      <c r="V15" s="753">
        <f t="shared" si="2"/>
        <v>0</v>
      </c>
      <c r="W15" s="753">
        <f t="shared" si="3"/>
        <v>0</v>
      </c>
      <c r="X15" s="22">
        <f>'Efficient Products Deemed Table'!J58</f>
        <v>11</v>
      </c>
      <c r="Y15" s="22"/>
      <c r="Z15" s="22">
        <f t="shared" si="4"/>
        <v>11</v>
      </c>
      <c r="AA15" s="17">
        <f>'Efficient Products Deemed Table'!DG58</f>
        <v>0</v>
      </c>
      <c r="AB15" s="771">
        <f>'Efficient Products Deemed Table'!K58</f>
        <v>79</v>
      </c>
      <c r="AC15" s="862">
        <f t="shared" si="5"/>
        <v>0</v>
      </c>
      <c r="AD15" s="862"/>
      <c r="AE15" s="592">
        <f>'Efficient Products Deemed Table'!DI58</f>
        <v>0</v>
      </c>
      <c r="AF15" s="195">
        <f>'Efficient Products Deemed Table'!DI59</f>
        <v>0</v>
      </c>
      <c r="AG15" s="195"/>
      <c r="AH15" s="195"/>
      <c r="AI15" s="1371" t="str">
        <f>'Efficient Products Deemed Table'!L58</f>
        <v>per measure</v>
      </c>
      <c r="AJ15" s="754"/>
      <c r="AK15" s="622"/>
      <c r="AL15" s="622"/>
      <c r="AX15" s="1284" t="str">
        <f t="shared" si="6"/>
        <v>Learning Thermostat - Gas Heated / central AC MF**</v>
      </c>
      <c r="AY15" s="1307"/>
      <c r="AZ15" s="1376" t="str">
        <f t="shared" si="7"/>
        <v>250351</v>
      </c>
      <c r="BA15" s="1229" t="s">
        <v>2158</v>
      </c>
      <c r="BB15" s="1229" t="s">
        <v>2158</v>
      </c>
      <c r="BC15" s="1229" t="s">
        <v>2158</v>
      </c>
      <c r="BD15" s="1229" t="s">
        <v>2158</v>
      </c>
      <c r="BE15" s="1234"/>
      <c r="BF15" s="1229" t="s">
        <v>2158</v>
      </c>
      <c r="BG15" s="1229" t="s">
        <v>2158</v>
      </c>
      <c r="BH15" s="1229" t="s">
        <v>2158</v>
      </c>
      <c r="BI15" s="1230" t="s">
        <v>2158</v>
      </c>
      <c r="BJ15" s="1234"/>
      <c r="BK15" s="1229" t="s">
        <v>2158</v>
      </c>
      <c r="BL15" s="1230" t="s">
        <v>2158</v>
      </c>
      <c r="BM15" s="1229" t="s">
        <v>2158</v>
      </c>
      <c r="BN15" s="1230" t="s">
        <v>2158</v>
      </c>
    </row>
    <row r="16" spans="1:66" x14ac:dyDescent="0.25">
      <c r="A16" s="49" t="str">
        <f t="shared" si="0"/>
        <v>250450</v>
      </c>
      <c r="B16" s="1371" t="str">
        <f>'Efficient Products Deemed Table'!C60</f>
        <v>250450_2024_12_</v>
      </c>
      <c r="C16" s="1307" t="str">
        <f>'Efficient Products Deemed Table'!G60</f>
        <v>Cooling RES</v>
      </c>
      <c r="D16" s="1307" t="str">
        <f>'Efficient Products Deemed Table'!G61</f>
        <v>Heating RES</v>
      </c>
      <c r="E16" s="1307"/>
      <c r="F16" s="1307"/>
      <c r="G16" s="1307" t="str">
        <f>'Efficient Products Deemed Table'!E60</f>
        <v>Learning Thermostat - Unknown SF**</v>
      </c>
      <c r="H16" s="1307" t="str">
        <f>'Efficient Products Deemed Table'!D60</f>
        <v>Smart Thermostats</v>
      </c>
      <c r="I16" s="750">
        <f t="shared" si="8"/>
        <v>0</v>
      </c>
      <c r="J16" s="189">
        <f t="shared" si="9"/>
        <v>0</v>
      </c>
      <c r="K16" s="189">
        <f>'Efficient Products Deemed Table'!F60</f>
        <v>0</v>
      </c>
      <c r="L16" s="189">
        <f>'Efficient Products Deemed Table'!F61</f>
        <v>0</v>
      </c>
      <c r="M16" s="189">
        <v>0</v>
      </c>
      <c r="N16" s="189">
        <v>0</v>
      </c>
      <c r="O16" s="751">
        <f t="shared" si="10"/>
        <v>0</v>
      </c>
      <c r="P16" s="751">
        <f t="shared" si="11"/>
        <v>0</v>
      </c>
      <c r="Q16" s="752">
        <f>'Efficient Products Deemed Table'!I60</f>
        <v>0</v>
      </c>
      <c r="R16" s="752">
        <v>0</v>
      </c>
      <c r="S16" s="752"/>
      <c r="T16" s="752"/>
      <c r="U16" s="753">
        <f t="shared" si="1"/>
        <v>0</v>
      </c>
      <c r="V16" s="753">
        <f t="shared" si="2"/>
        <v>0</v>
      </c>
      <c r="W16" s="753">
        <f t="shared" si="3"/>
        <v>0</v>
      </c>
      <c r="X16" s="22">
        <f>'Efficient Products Deemed Table'!J60</f>
        <v>11</v>
      </c>
      <c r="Y16" s="22"/>
      <c r="Z16" s="22">
        <f t="shared" si="4"/>
        <v>11</v>
      </c>
      <c r="AA16" s="17">
        <f>'Efficient Products Deemed Table'!DG60</f>
        <v>0</v>
      </c>
      <c r="AB16" s="771">
        <f>'Efficient Products Deemed Table'!K60</f>
        <v>79</v>
      </c>
      <c r="AC16" s="862">
        <f t="shared" si="5"/>
        <v>0</v>
      </c>
      <c r="AD16" s="862"/>
      <c r="AE16" s="592">
        <f>'Efficient Products Deemed Table'!DI60</f>
        <v>0</v>
      </c>
      <c r="AF16" s="195">
        <f>'Efficient Products Deemed Table'!DI61</f>
        <v>0</v>
      </c>
      <c r="AG16" s="195"/>
      <c r="AH16" s="195"/>
      <c r="AI16" s="1371" t="str">
        <f>'Efficient Products Deemed Table'!L60</f>
        <v>per measure</v>
      </c>
      <c r="AJ16" s="754"/>
      <c r="AK16" s="622"/>
      <c r="AL16" s="622"/>
      <c r="AX16" s="1284" t="str">
        <f t="shared" si="6"/>
        <v>Learning Thermostat - Unknown SF**</v>
      </c>
      <c r="AY16" s="1307"/>
      <c r="AZ16" s="1376" t="str">
        <f t="shared" si="7"/>
        <v>250450</v>
      </c>
      <c r="BA16" s="1229" t="s">
        <v>2158</v>
      </c>
      <c r="BB16" s="1229" t="s">
        <v>2158</v>
      </c>
      <c r="BC16" s="1229" t="s">
        <v>2158</v>
      </c>
      <c r="BD16" s="1229" t="s">
        <v>2158</v>
      </c>
      <c r="BE16" s="1234"/>
      <c r="BF16" s="1229" t="s">
        <v>2158</v>
      </c>
      <c r="BG16" s="1229" t="s">
        <v>2158</v>
      </c>
      <c r="BH16" s="1229" t="s">
        <v>2158</v>
      </c>
      <c r="BI16" s="1230" t="s">
        <v>2158</v>
      </c>
      <c r="BJ16" s="1234"/>
      <c r="BK16" s="1229" t="s">
        <v>2158</v>
      </c>
      <c r="BL16" s="1230" t="s">
        <v>2158</v>
      </c>
      <c r="BM16" s="1229" t="s">
        <v>2158</v>
      </c>
      <c r="BN16" s="1230" t="s">
        <v>2158</v>
      </c>
    </row>
    <row r="17" spans="1:66" s="39" customFormat="1" x14ac:dyDescent="0.25">
      <c r="A17" s="49" t="str">
        <f t="shared" ref="A17" si="12">LEFT(B17,6)</f>
        <v>251530</v>
      </c>
      <c r="B17" s="1371" t="str">
        <f>'Efficient Products Deemed Table'!C132</f>
        <v>251530_2024_12_</v>
      </c>
      <c r="C17" s="1307" t="str">
        <f>'Efficient Products Deemed Table'!G132</f>
        <v>Lighting RES</v>
      </c>
      <c r="D17" s="1307"/>
      <c r="E17" s="1307"/>
      <c r="F17" s="1307"/>
      <c r="G17" s="1307" t="str">
        <f>'Efficient Products Deemed Table'!E132</f>
        <v>LED Nightlights</v>
      </c>
      <c r="H17" s="18" t="str">
        <f>'Efficient Products Deemed Table'!D132</f>
        <v>MFIE</v>
      </c>
      <c r="I17" s="750">
        <f>'Efficient Products Deemed Table'!F132</f>
        <v>23.24</v>
      </c>
      <c r="J17" s="750">
        <v>0</v>
      </c>
      <c r="K17" s="189">
        <v>0</v>
      </c>
      <c r="L17" s="189">
        <v>0</v>
      </c>
      <c r="M17" s="189">
        <v>0</v>
      </c>
      <c r="N17" s="189">
        <v>0</v>
      </c>
      <c r="O17" s="751">
        <f>'Efficient Products Deemed Table'!J132</f>
        <v>8</v>
      </c>
      <c r="P17" s="751">
        <v>0</v>
      </c>
      <c r="Q17" s="752">
        <v>0</v>
      </c>
      <c r="R17" s="752">
        <v>0</v>
      </c>
      <c r="S17" s="752"/>
      <c r="T17" s="752"/>
      <c r="U17" s="753">
        <f t="shared" ref="U17:U19" si="13">IFERROR(IF(V17+W17&gt;0,0,IF(Z17&gt;0,O17,0)),0)</f>
        <v>8</v>
      </c>
      <c r="V17" s="753">
        <f t="shared" ref="V17:V19" si="14">IF(W17&gt;0,0,IF(Z17&gt;9,O17,0))</f>
        <v>0</v>
      </c>
      <c r="W17" s="753">
        <f t="shared" ref="W17:W19" si="15">IF(Z17&gt;14,O17,0)</f>
        <v>0</v>
      </c>
      <c r="X17" s="22">
        <f>'Efficient Products Deemed Table'!K132</f>
        <v>3.35</v>
      </c>
      <c r="Y17" s="22"/>
      <c r="Z17" s="22">
        <f t="shared" ref="Z17" si="16">Y17+X17</f>
        <v>3.35</v>
      </c>
      <c r="AA17" s="17">
        <f>'Efficient Products Deemed Table'!DG132</f>
        <v>2.7690008676024807</v>
      </c>
      <c r="AB17" s="771">
        <f>'Efficient Products Deemed Table'!K132</f>
        <v>3.35</v>
      </c>
      <c r="AC17" s="862">
        <f t="shared" ref="AC17" si="17">AE17+AF17</f>
        <v>9.2761529064683099</v>
      </c>
      <c r="AD17" s="862"/>
      <c r="AE17" s="592">
        <f>'Efficient Products Deemed Table'!DI132</f>
        <v>9.2761529064683099</v>
      </c>
      <c r="AF17" s="195"/>
      <c r="AG17" s="195"/>
      <c r="AH17" s="195"/>
      <c r="AI17" s="863" t="str">
        <f>'Efficient Products Deemed Table'!L132</f>
        <v>per measure</v>
      </c>
      <c r="AJ17" s="754"/>
      <c r="AK17"/>
      <c r="AL17"/>
      <c r="AM17"/>
      <c r="AN17"/>
      <c r="AO17"/>
      <c r="AP17"/>
      <c r="AQ17"/>
      <c r="AR17"/>
      <c r="AS17"/>
      <c r="AT17"/>
      <c r="AU17"/>
      <c r="AV17"/>
      <c r="AW17"/>
      <c r="AX17" s="1284" t="str">
        <f t="shared" ref="AX17" si="18">G17</f>
        <v>LED Nightlights</v>
      </c>
      <c r="AY17" s="1307"/>
      <c r="AZ17" s="1376" t="str">
        <f t="shared" ref="AZ17" si="19">A17</f>
        <v>251530</v>
      </c>
      <c r="BA17" s="1229" t="s">
        <v>2158</v>
      </c>
      <c r="BB17" s="1229" t="s">
        <v>2158</v>
      </c>
      <c r="BC17" s="1229" t="s">
        <v>2158</v>
      </c>
      <c r="BD17" s="1229" t="s">
        <v>2158</v>
      </c>
      <c r="BE17" s="1235"/>
      <c r="BF17" s="1229" t="s">
        <v>2158</v>
      </c>
      <c r="BG17" s="1229" t="s">
        <v>2158</v>
      </c>
      <c r="BH17" s="1229" t="s">
        <v>2158</v>
      </c>
      <c r="BI17" s="1230" t="s">
        <v>2158</v>
      </c>
      <c r="BJ17" s="1234"/>
      <c r="BK17" s="1229" t="s">
        <v>2158</v>
      </c>
      <c r="BL17" s="1230" t="s">
        <v>2158</v>
      </c>
      <c r="BM17" s="1229" t="s">
        <v>2158</v>
      </c>
      <c r="BN17" s="1230" t="s">
        <v>2158</v>
      </c>
    </row>
    <row r="18" spans="1:66" x14ac:dyDescent="0.25">
      <c r="A18" s="49" t="str">
        <f t="shared" si="0"/>
        <v>300100</v>
      </c>
      <c r="B18" s="1371" t="str">
        <f>'Energy Effic. Kits Deemed Table'!C7</f>
        <v>300100_2024_12_</v>
      </c>
      <c r="C18" s="1307" t="str">
        <f>'Energy Effic. Kits Deemed Table'!G7</f>
        <v>HVAC RES</v>
      </c>
      <c r="D18" s="1307"/>
      <c r="E18" s="1307"/>
      <c r="F18" s="1307"/>
      <c r="G18" s="1307" t="str">
        <f>'Energy Effic. Kits Deemed Table'!E7</f>
        <v>Dirty Filter Alarm_MF</v>
      </c>
      <c r="H18" s="18" t="str">
        <f>'Energy Effic. Kits Deemed Table'!D7</f>
        <v>MFIE</v>
      </c>
      <c r="I18" s="750">
        <f>'Energy Effic. Kits Deemed Table'!F7</f>
        <v>118.25</v>
      </c>
      <c r="J18" s="750">
        <v>0</v>
      </c>
      <c r="K18" s="845">
        <v>0</v>
      </c>
      <c r="L18" s="845">
        <v>0</v>
      </c>
      <c r="M18" s="189">
        <v>0</v>
      </c>
      <c r="N18" s="189">
        <v>0</v>
      </c>
      <c r="O18" s="751">
        <f>'Energy Effic. Kits Deemed Table'!K7</f>
        <v>5.5114000000000003E-2</v>
      </c>
      <c r="P18" s="751">
        <v>0</v>
      </c>
      <c r="Q18" s="752">
        <v>0</v>
      </c>
      <c r="R18" s="752">
        <v>0</v>
      </c>
      <c r="S18" s="752"/>
      <c r="T18" s="752"/>
      <c r="U18" s="753">
        <f t="shared" si="13"/>
        <v>5.5114000000000003E-2</v>
      </c>
      <c r="V18" s="753">
        <f t="shared" si="14"/>
        <v>0</v>
      </c>
      <c r="W18" s="753">
        <f t="shared" si="15"/>
        <v>0</v>
      </c>
      <c r="X18" s="22">
        <f>'Energy Effic. Kits Deemed Table'!L7</f>
        <v>5</v>
      </c>
      <c r="Y18" s="22"/>
      <c r="Z18" s="22">
        <f t="shared" si="4"/>
        <v>5</v>
      </c>
      <c r="AA18" s="17">
        <f>'Energy Effic. Kits Deemed Table'!DG7</f>
        <v>12.576924114493881</v>
      </c>
      <c r="AB18" s="771">
        <f>'Energy Effic. Kits Deemed Table'!M7</f>
        <v>5</v>
      </c>
      <c r="AC18" s="861">
        <f t="shared" si="5"/>
        <v>62.884620572469409</v>
      </c>
      <c r="AD18" s="861"/>
      <c r="AE18" s="592">
        <f>'Energy Effic. Kits Deemed Table'!DI7</f>
        <v>62.884620572469409</v>
      </c>
      <c r="AF18" s="195"/>
      <c r="AG18" s="195"/>
      <c r="AH18" s="195"/>
      <c r="AI18" s="1371" t="str">
        <f>'Energy Effic. Kits Deemed Table'!N7</f>
        <v>per measure</v>
      </c>
      <c r="AJ18" s="754"/>
      <c r="AX18" s="1284" t="str">
        <f t="shared" si="6"/>
        <v>Dirty Filter Alarm_MF</v>
      </c>
      <c r="AY18" s="1307"/>
      <c r="AZ18" s="1376" t="str">
        <f t="shared" si="7"/>
        <v>300100</v>
      </c>
      <c r="BA18" s="1229" t="s">
        <v>2158</v>
      </c>
      <c r="BB18" s="1229" t="s">
        <v>2158</v>
      </c>
      <c r="BC18" s="1229" t="s">
        <v>2158</v>
      </c>
      <c r="BD18" s="1229" t="s">
        <v>2158</v>
      </c>
      <c r="BE18" s="1234"/>
      <c r="BF18" s="1229" t="s">
        <v>2158</v>
      </c>
      <c r="BG18" s="1229" t="s">
        <v>2158</v>
      </c>
      <c r="BH18" s="1229" t="s">
        <v>2158</v>
      </c>
      <c r="BI18" s="1230" t="s">
        <v>2158</v>
      </c>
      <c r="BJ18" s="1234"/>
      <c r="BK18" s="1229" t="s">
        <v>2158</v>
      </c>
      <c r="BL18" s="1230" t="s">
        <v>2158</v>
      </c>
      <c r="BM18" s="1229" t="s">
        <v>2158</v>
      </c>
      <c r="BN18" s="1230" t="s">
        <v>2158</v>
      </c>
    </row>
    <row r="19" spans="1:66" x14ac:dyDescent="0.25">
      <c r="A19" s="49" t="str">
        <f t="shared" ref="A19" si="20">LEFT(B19,6)</f>
        <v>300431</v>
      </c>
      <c r="B19" s="1371" t="str">
        <f>'Energy Effic. Kits Deemed Table'!C31</f>
        <v>300431_2024_12_</v>
      </c>
      <c r="C19" s="1307" t="str">
        <f>'Energy Effic. Kits Deemed Table'!G31</f>
        <v>Lighting RES</v>
      </c>
      <c r="D19" s="1307"/>
      <c r="E19" s="1307"/>
      <c r="F19" s="1307"/>
      <c r="G19" s="1307" t="str">
        <f>'Energy Effic. Kits Deemed Table'!E31</f>
        <v>LED - 10W (750-899 lumens) IE</v>
      </c>
      <c r="H19" s="18" t="str">
        <f>'Energy Effic. Kits Deemed Table'!D31</f>
        <v>SFIE</v>
      </c>
      <c r="I19" s="750">
        <f>'Energy Effic. Kits Deemed Table'!F31</f>
        <v>30.06</v>
      </c>
      <c r="J19" s="750">
        <v>0</v>
      </c>
      <c r="K19" s="189">
        <v>0</v>
      </c>
      <c r="L19" s="189">
        <v>0</v>
      </c>
      <c r="M19" s="189">
        <v>0</v>
      </c>
      <c r="N19" s="189">
        <v>0</v>
      </c>
      <c r="O19" s="751">
        <f>'Energy Effic. Kits Deemed Table'!I31</f>
        <v>4.4869999999999997E-3</v>
      </c>
      <c r="P19" s="751">
        <v>0</v>
      </c>
      <c r="Q19" s="752">
        <v>0</v>
      </c>
      <c r="R19" s="752">
        <v>0</v>
      </c>
      <c r="S19" s="752"/>
      <c r="T19" s="752"/>
      <c r="U19" s="753">
        <f t="shared" si="13"/>
        <v>4.4869999999999997E-3</v>
      </c>
      <c r="V19" s="753">
        <f t="shared" si="14"/>
        <v>0</v>
      </c>
      <c r="W19" s="753">
        <f t="shared" si="15"/>
        <v>0</v>
      </c>
      <c r="X19" s="22">
        <f>'Energy Effic. Kits Deemed Table'!J31</f>
        <v>8</v>
      </c>
      <c r="Y19" s="22"/>
      <c r="Z19" s="22">
        <f t="shared" ref="Z19" si="21">Y19+X19</f>
        <v>8</v>
      </c>
      <c r="AA19" s="17">
        <f>'Energy Effic. Kits Deemed Table'!DG31</f>
        <v>8.274709370539421</v>
      </c>
      <c r="AB19" s="771">
        <f>'Energy Effic. Kits Deemed Table'!K31</f>
        <v>1.45</v>
      </c>
      <c r="AC19" s="861">
        <f t="shared" ref="AC19" si="22">AE19+AF19</f>
        <v>11.99832858728216</v>
      </c>
      <c r="AD19" s="861"/>
      <c r="AE19" s="592">
        <f>'Energy Effic. Kits Deemed Table'!DI31</f>
        <v>11.99832858728216</v>
      </c>
      <c r="AF19" s="195"/>
      <c r="AG19" s="195"/>
      <c r="AH19" s="195"/>
      <c r="AI19" s="1371" t="str">
        <f>'Energy Effic. Kits Deemed Table'!L31</f>
        <v>per measure</v>
      </c>
      <c r="AJ19" s="754"/>
      <c r="AK19" s="39"/>
      <c r="AL19" s="39"/>
      <c r="AX19" s="1284" t="str">
        <f t="shared" ref="AX19" si="23">G19</f>
        <v>LED - 10W (750-899 lumens) IE</v>
      </c>
      <c r="AY19" s="1307"/>
      <c r="AZ19" s="1376" t="str">
        <f t="shared" ref="AZ19" si="24">A19</f>
        <v>300431</v>
      </c>
      <c r="BA19" s="1229" t="s">
        <v>2158</v>
      </c>
      <c r="BB19" s="1229" t="s">
        <v>2158</v>
      </c>
      <c r="BC19" s="1229" t="s">
        <v>2158</v>
      </c>
      <c r="BD19" s="1229" t="s">
        <v>2158</v>
      </c>
      <c r="BE19" s="1234"/>
      <c r="BF19" s="1229" t="s">
        <v>2158</v>
      </c>
      <c r="BG19" s="1229" t="s">
        <v>2158</v>
      </c>
      <c r="BH19" s="1229" t="s">
        <v>2158</v>
      </c>
      <c r="BI19" s="1230" t="s">
        <v>2158</v>
      </c>
      <c r="BJ19" s="1234"/>
      <c r="BK19" s="1229" t="s">
        <v>2158</v>
      </c>
      <c r="BL19" s="1230" t="s">
        <v>2158</v>
      </c>
      <c r="BM19" s="1229" t="s">
        <v>2158</v>
      </c>
      <c r="BN19" s="1230" t="s">
        <v>2158</v>
      </c>
    </row>
    <row r="20" spans="1:66" x14ac:dyDescent="0.25">
      <c r="A20" s="49" t="str">
        <f t="shared" ref="A20:A24" si="25">LEFT(B20,6)</f>
        <v>350600</v>
      </c>
      <c r="B20" s="1371" t="str">
        <f>'HVAC Deemed Table'!C70</f>
        <v>350600_2024_12_</v>
      </c>
      <c r="C20" s="1307" t="str">
        <f>'HVAC Deemed Table'!G70</f>
        <v>Cooling RES</v>
      </c>
      <c r="D20" s="1307" t="str">
        <f>'HVAC Deemed Table'!G71</f>
        <v>Cooling RES ER2</v>
      </c>
      <c r="E20" s="1307"/>
      <c r="F20" s="1307"/>
      <c r="G20" s="1307" t="str">
        <f>'HVAC Deemed Table'!E70</f>
        <v>CAC-SEER15_ER1_SF</v>
      </c>
      <c r="H20" s="18" t="str">
        <f>'HVAC Deemed Table'!D70</f>
        <v>PAYS</v>
      </c>
      <c r="I20" s="750">
        <f t="shared" ref="I20:I44" si="26">K20+L20</f>
        <v>2107.9899999999998</v>
      </c>
      <c r="J20" s="750">
        <f t="shared" ref="J20:J44" si="27">M20+N20</f>
        <v>273.32</v>
      </c>
      <c r="K20" s="189">
        <f>'HVAC Deemed Table'!F70</f>
        <v>2107.9899999999998</v>
      </c>
      <c r="L20" s="189">
        <v>0</v>
      </c>
      <c r="M20" s="189">
        <f>'HVAC Deemed Table'!F71</f>
        <v>273.32</v>
      </c>
      <c r="N20" s="189">
        <v>0</v>
      </c>
      <c r="O20" s="751">
        <f t="shared" ref="O20:O44" si="28">Q20+R20</f>
        <v>1.9971479999999999</v>
      </c>
      <c r="P20" s="751">
        <f t="shared" ref="P20:P44" si="29">S20+T20</f>
        <v>0.25894800000000001</v>
      </c>
      <c r="Q20" s="752">
        <f>'HVAC Deemed Table'!I70</f>
        <v>1.9971479999999999</v>
      </c>
      <c r="R20" s="752"/>
      <c r="S20" s="752">
        <f>'HVAC Deemed Table'!I71</f>
        <v>0.25894800000000001</v>
      </c>
      <c r="T20" s="752"/>
      <c r="U20" s="753">
        <f t="shared" ref="U20:U44" si="30">IFERROR(IF(V20+W20&gt;0,0,IF(Z20&gt;0,O20,0)),0)</f>
        <v>0</v>
      </c>
      <c r="V20" s="753">
        <f t="shared" ref="V20:V44" si="31">IF(W20&gt;0,0,IF(Z20&gt;9,O20,0))</f>
        <v>0</v>
      </c>
      <c r="W20" s="753">
        <f t="shared" ref="W20:W44" si="32">IF(Z20&gt;14,O20,0)</f>
        <v>1.9971479999999999</v>
      </c>
      <c r="X20" s="22">
        <f>'HVAC Deemed Table'!J70</f>
        <v>6</v>
      </c>
      <c r="Y20" s="22">
        <v>12</v>
      </c>
      <c r="Z20" s="22">
        <f t="shared" ref="Z20:Z24" si="33">Y20+X20</f>
        <v>18</v>
      </c>
      <c r="AA20" s="17">
        <f>'HVAC Deemed Table'!DG70</f>
        <v>4.6546743470487746</v>
      </c>
      <c r="AB20" s="771">
        <f>'HVAC Deemed Table'!K70</f>
        <v>526.97397959163982</v>
      </c>
      <c r="AC20" s="862">
        <f t="shared" ref="AC20:AC24" si="34">AE20+AF20</f>
        <v>2099.2378306782102</v>
      </c>
      <c r="AD20" s="862">
        <f t="shared" ref="AD20:AD44" si="35">AG20+AH20</f>
        <v>353.65443368920046</v>
      </c>
      <c r="AE20" s="195">
        <f>'HVAC Deemed Table'!DI70</f>
        <v>2099.2378306782102</v>
      </c>
      <c r="AF20" s="195">
        <v>0</v>
      </c>
      <c r="AG20" s="195">
        <f>'HVAC Deemed Table'!DI71</f>
        <v>353.65443368920046</v>
      </c>
      <c r="AH20" s="195">
        <v>0</v>
      </c>
      <c r="AI20" s="866" t="e">
        <f>#REF!</f>
        <v>#REF!</v>
      </c>
      <c r="AJ20" s="51">
        <f>'HVAC Deemed Table'!L70</f>
        <v>3.1148319327731095</v>
      </c>
      <c r="AK20" s="621"/>
      <c r="AL20" s="621"/>
      <c r="AX20" s="1284" t="str">
        <f t="shared" ref="AX20:AX25" si="36">G20</f>
        <v>CAC-SEER15_ER1_SF</v>
      </c>
      <c r="AY20" s="1307"/>
      <c r="AZ20" s="1376" t="str">
        <f t="shared" ref="AZ20:AZ25" si="37">A20</f>
        <v>350600</v>
      </c>
      <c r="BA20" s="865">
        <f>ROUND((K20*$BC$3)+(K21*$BC$4),2)</f>
        <v>1369.95</v>
      </c>
      <c r="BB20" s="1253"/>
      <c r="BC20" s="865">
        <f>ROUND((M20*$BC$3)+(K21*$BC$4),2)</f>
        <v>269.14999999999998</v>
      </c>
      <c r="BD20" s="1253"/>
      <c r="BE20" s="1234"/>
      <c r="BF20" s="1250">
        <f>ROUND(BA20*'CP FACTORS'!$B$9,6)</f>
        <v>1.2979149999999999</v>
      </c>
      <c r="BG20" s="1251">
        <f>ROUND(BB20*'CP FACTORS'!$B$14,6)</f>
        <v>0</v>
      </c>
      <c r="BH20" s="1250">
        <f>ROUND(BC20*'CP FACTORS'!$B$9,6)</f>
        <v>0.254998</v>
      </c>
      <c r="BI20" s="1252">
        <f>ROUND(BD20*'CP FACTORS'!$B$14,6)</f>
        <v>0</v>
      </c>
      <c r="BJ20" s="1234"/>
      <c r="BK20" s="698">
        <f t="shared" ref="BK20:BK44" si="38">BA20+BB20</f>
        <v>1369.95</v>
      </c>
      <c r="BL20" s="1271">
        <f t="shared" ref="BL20:BL44" si="39">BC20+BD20</f>
        <v>269.14999999999998</v>
      </c>
      <c r="BM20" s="1270">
        <f t="shared" ref="BM20:BM44" si="40">BF20+BG20</f>
        <v>1.2979149999999999</v>
      </c>
      <c r="BN20" s="1269">
        <f t="shared" ref="BN20:BN44" si="41">BH20+BI20</f>
        <v>0.254998</v>
      </c>
    </row>
    <row r="21" spans="1:66" x14ac:dyDescent="0.25">
      <c r="A21" s="49" t="str">
        <f t="shared" si="25"/>
        <v>350650</v>
      </c>
      <c r="B21" s="1371" t="str">
        <f>'HVAC Deemed Table'!C72</f>
        <v>350650_2024_12_</v>
      </c>
      <c r="C21" s="1307" t="str">
        <f>'HVAC Deemed Table'!G72</f>
        <v>Cooling RES</v>
      </c>
      <c r="D21" s="1307"/>
      <c r="E21" s="1307"/>
      <c r="F21" s="1307"/>
      <c r="G21" s="1307" t="str">
        <f>'HVAC Deemed Table'!E72</f>
        <v>CAC-SEER15_ROF_SF</v>
      </c>
      <c r="H21" s="18" t="str">
        <f>'HVAC Deemed Table'!D72</f>
        <v>PAYS</v>
      </c>
      <c r="I21" s="750">
        <f t="shared" si="26"/>
        <v>262.89999999999998</v>
      </c>
      <c r="J21" s="750">
        <f t="shared" si="27"/>
        <v>0</v>
      </c>
      <c r="K21" s="189">
        <f>'HVAC Deemed Table'!F72</f>
        <v>262.89999999999998</v>
      </c>
      <c r="L21" s="189">
        <v>0</v>
      </c>
      <c r="M21" s="189">
        <v>0</v>
      </c>
      <c r="N21" s="189">
        <v>0</v>
      </c>
      <c r="O21" s="751">
        <f t="shared" si="28"/>
        <v>0.24907599999999999</v>
      </c>
      <c r="P21" s="751">
        <f t="shared" si="29"/>
        <v>0</v>
      </c>
      <c r="Q21" s="752">
        <f>'HVAC Deemed Table'!I72</f>
        <v>0.24907599999999999</v>
      </c>
      <c r="R21" s="752"/>
      <c r="S21" s="752"/>
      <c r="T21" s="752"/>
      <c r="U21" s="753">
        <f t="shared" si="30"/>
        <v>0</v>
      </c>
      <c r="V21" s="753">
        <f t="shared" si="31"/>
        <v>0</v>
      </c>
      <c r="W21" s="753">
        <f t="shared" si="32"/>
        <v>0.24907599999999999</v>
      </c>
      <c r="X21" s="22">
        <f>'HVAC Deemed Table'!J72</f>
        <v>18</v>
      </c>
      <c r="Y21" s="22"/>
      <c r="Z21" s="22">
        <f t="shared" si="33"/>
        <v>18</v>
      </c>
      <c r="AA21" s="17">
        <f>'HVAC Deemed Table'!DG72</f>
        <v>1.3287939327387319</v>
      </c>
      <c r="AB21" s="771">
        <f>'HVAC Deemed Table'!K72</f>
        <v>453.02753789283406</v>
      </c>
      <c r="AC21" s="862">
        <f t="shared" si="34"/>
        <v>601.98024371556392</v>
      </c>
      <c r="AD21" s="862">
        <f t="shared" si="35"/>
        <v>0</v>
      </c>
      <c r="AE21" s="195">
        <f>'HVAC Deemed Table'!DI72</f>
        <v>601.98024371556392</v>
      </c>
      <c r="AF21" s="195">
        <v>0</v>
      </c>
      <c r="AG21" s="195">
        <v>0</v>
      </c>
      <c r="AH21" s="195">
        <v>0</v>
      </c>
      <c r="AI21" s="866" t="e">
        <f t="shared" ref="AI21:AI44" si="42">AI20</f>
        <v>#REF!</v>
      </c>
      <c r="AJ21" s="51">
        <f>'HVAC Deemed Table'!L72</f>
        <v>2.9891966173361513</v>
      </c>
      <c r="AK21" s="621"/>
      <c r="AL21" s="621"/>
      <c r="AX21" s="1284" t="str">
        <f t="shared" si="36"/>
        <v>CAC-SEER15_ROF_SF</v>
      </c>
      <c r="AY21" s="1307"/>
      <c r="AZ21" s="1376" t="str">
        <f t="shared" si="37"/>
        <v>350650</v>
      </c>
      <c r="BA21" s="865">
        <f>ROUND((K20*$BC$3)+(K21*$BC$4),2)</f>
        <v>1369.95</v>
      </c>
      <c r="BB21" s="1253"/>
      <c r="BC21" s="865">
        <f>ROUND((M20*$BC$3)+(K21*$BC$4),2)</f>
        <v>269.14999999999998</v>
      </c>
      <c r="BD21" s="1253"/>
      <c r="BE21" s="1234"/>
      <c r="BF21" s="1250">
        <f>ROUND(BA21*'CP FACTORS'!$B$9,6)</f>
        <v>1.2979149999999999</v>
      </c>
      <c r="BG21" s="1251">
        <f>ROUND(BB21*'CP FACTORS'!$B$14,6)</f>
        <v>0</v>
      </c>
      <c r="BH21" s="1250">
        <f>ROUND(BC21*'CP FACTORS'!$B$9,6)</f>
        <v>0.254998</v>
      </c>
      <c r="BI21" s="1252">
        <f>ROUND(BD21*'CP FACTORS'!$B$14,6)</f>
        <v>0</v>
      </c>
      <c r="BJ21" s="1234"/>
      <c r="BK21" s="698">
        <f t="shared" si="38"/>
        <v>1369.95</v>
      </c>
      <c r="BL21" s="1271">
        <f t="shared" si="39"/>
        <v>269.14999999999998</v>
      </c>
      <c r="BM21" s="1270">
        <f t="shared" si="40"/>
        <v>1.2979149999999999</v>
      </c>
      <c r="BN21" s="1269">
        <f t="shared" si="41"/>
        <v>0.254998</v>
      </c>
    </row>
    <row r="22" spans="1:66" x14ac:dyDescent="0.25">
      <c r="A22" s="49" t="str">
        <f t="shared" si="25"/>
        <v>350800</v>
      </c>
      <c r="B22" s="1371" t="str">
        <f>'HVAC Deemed Table'!C73</f>
        <v>350800_2024_12_</v>
      </c>
      <c r="C22" s="1307" t="str">
        <f>'HVAC Deemed Table'!G73</f>
        <v>Cooling RES</v>
      </c>
      <c r="D22" s="1307" t="str">
        <f>'HVAC Deemed Table'!G74</f>
        <v>Cooling RES ER2</v>
      </c>
      <c r="E22" s="1307"/>
      <c r="F22" s="1307"/>
      <c r="G22" s="1307" t="str">
        <f>'HVAC Deemed Table'!E73</f>
        <v>CAC-SEER16_ER1_SF</v>
      </c>
      <c r="H22" s="18" t="str">
        <f>'HVAC Deemed Table'!D73</f>
        <v>PAYS/SFIE</v>
      </c>
      <c r="I22" s="750">
        <f t="shared" si="26"/>
        <v>2184.27</v>
      </c>
      <c r="J22" s="750">
        <f t="shared" si="27"/>
        <v>366.69</v>
      </c>
      <c r="K22" s="189">
        <f>'HVAC Deemed Table'!F73</f>
        <v>2184.27</v>
      </c>
      <c r="L22" s="189">
        <v>0</v>
      </c>
      <c r="M22" s="189">
        <f>'HVAC Deemed Table'!F74</f>
        <v>366.69</v>
      </c>
      <c r="N22" s="189">
        <v>0</v>
      </c>
      <c r="O22" s="751">
        <f t="shared" si="28"/>
        <v>2.0694170000000001</v>
      </c>
      <c r="P22" s="751">
        <f t="shared" si="29"/>
        <v>0.34740900000000002</v>
      </c>
      <c r="Q22" s="752">
        <f>'HVAC Deemed Table'!I73</f>
        <v>2.0694170000000001</v>
      </c>
      <c r="R22" s="752"/>
      <c r="S22" s="752">
        <f>'HVAC Deemed Table'!I74</f>
        <v>0.34740900000000002</v>
      </c>
      <c r="T22" s="752"/>
      <c r="U22" s="753">
        <f t="shared" si="30"/>
        <v>0</v>
      </c>
      <c r="V22" s="753">
        <f t="shared" si="31"/>
        <v>0</v>
      </c>
      <c r="W22" s="753">
        <f t="shared" si="32"/>
        <v>2.0694170000000001</v>
      </c>
      <c r="X22" s="22">
        <f>'HVAC Deemed Table'!J73</f>
        <v>6</v>
      </c>
      <c r="Y22" s="22">
        <f>'HVAC Deemed Table'!J74</f>
        <v>12</v>
      </c>
      <c r="Z22" s="22">
        <f t="shared" si="33"/>
        <v>18</v>
      </c>
      <c r="AA22" s="17">
        <f>'HVAC Deemed Table'!DG73</f>
        <v>3.737573071863415</v>
      </c>
      <c r="AB22" s="771">
        <f>'HVAC Deemed Table'!K73</f>
        <v>708.92766284367963</v>
      </c>
      <c r="AC22" s="862">
        <f t="shared" si="34"/>
        <v>2175.2011235420923</v>
      </c>
      <c r="AD22" s="862">
        <f t="shared" si="35"/>
        <v>474.46781900151075</v>
      </c>
      <c r="AE22" s="195">
        <f>'HVAC Deemed Table'!DI73</f>
        <v>2175.2011235420923</v>
      </c>
      <c r="AF22" s="195">
        <v>0</v>
      </c>
      <c r="AG22" s="195">
        <f>'HVAC Deemed Table'!DI74</f>
        <v>474.46781900151075</v>
      </c>
      <c r="AH22" s="195">
        <v>0</v>
      </c>
      <c r="AI22" s="866" t="e">
        <f>#REF!</f>
        <v>#REF!</v>
      </c>
      <c r="AJ22" s="51">
        <f>'HVAC Deemed Table'!L73</f>
        <v>2.8756478324403312</v>
      </c>
      <c r="AK22" s="621"/>
      <c r="AL22" s="621"/>
      <c r="AX22" s="1284" t="str">
        <f t="shared" si="36"/>
        <v>CAC-SEER16_ER1_SF</v>
      </c>
      <c r="AY22" s="1307"/>
      <c r="AZ22" s="1376" t="str">
        <f t="shared" si="37"/>
        <v>350800</v>
      </c>
      <c r="BA22" s="865">
        <f>ROUND((K22*$BC$3)+(K23*$BC$4),2)</f>
        <v>1455.93</v>
      </c>
      <c r="BB22" s="1253"/>
      <c r="BC22" s="865">
        <f>ROUND((M22*$BC$3)+(K23*$BC$4),2)</f>
        <v>365.39</v>
      </c>
      <c r="BD22" s="1253"/>
      <c r="BE22" s="1234"/>
      <c r="BF22" s="1250">
        <f>ROUND(BA22*'CP FACTORS'!$B$9,6)</f>
        <v>1.3793740000000001</v>
      </c>
      <c r="BG22" s="1251">
        <f>ROUND(BB22*'CP FACTORS'!$B$14,6)</f>
        <v>0</v>
      </c>
      <c r="BH22" s="1250">
        <f>ROUND(BC22*'CP FACTORS'!$B$9,6)</f>
        <v>0.34617700000000001</v>
      </c>
      <c r="BI22" s="1252">
        <f>ROUND(BD22*'CP FACTORS'!$B$14,6)</f>
        <v>0</v>
      </c>
      <c r="BJ22" s="1234"/>
      <c r="BK22" s="698">
        <f t="shared" si="38"/>
        <v>1455.93</v>
      </c>
      <c r="BL22" s="1271">
        <f t="shared" si="39"/>
        <v>365.39</v>
      </c>
      <c r="BM22" s="1270">
        <f t="shared" si="40"/>
        <v>1.3793740000000001</v>
      </c>
      <c r="BN22" s="1269">
        <f t="shared" si="41"/>
        <v>0.34617700000000001</v>
      </c>
    </row>
    <row r="23" spans="1:66" x14ac:dyDescent="0.25">
      <c r="A23" s="49" t="str">
        <f t="shared" si="25"/>
        <v>350850</v>
      </c>
      <c r="B23" s="1371" t="str">
        <f>'HVAC Deemed Table'!C75</f>
        <v>350850_2024_12_</v>
      </c>
      <c r="C23" s="1307" t="str">
        <f>'HVAC Deemed Table'!G75</f>
        <v>Cooling RES</v>
      </c>
      <c r="D23" s="1307"/>
      <c r="E23" s="1307"/>
      <c r="F23" s="1307"/>
      <c r="G23" s="1307" t="str">
        <f>'HVAC Deemed Table'!E75</f>
        <v>CAC-SEER16_ROF_SF</v>
      </c>
      <c r="H23" s="18" t="str">
        <f>'HVAC Deemed Table'!D75</f>
        <v>PAYS/SFIE</v>
      </c>
      <c r="I23" s="750">
        <f t="shared" si="26"/>
        <v>363.43</v>
      </c>
      <c r="J23" s="750">
        <f t="shared" si="27"/>
        <v>0</v>
      </c>
      <c r="K23" s="189">
        <f>'HVAC Deemed Table'!F75</f>
        <v>363.43</v>
      </c>
      <c r="L23" s="189">
        <v>0</v>
      </c>
      <c r="M23" s="189"/>
      <c r="N23" s="189">
        <v>0</v>
      </c>
      <c r="O23" s="751">
        <f t="shared" si="28"/>
        <v>0.34432000000000001</v>
      </c>
      <c r="P23" s="751">
        <f t="shared" si="29"/>
        <v>0</v>
      </c>
      <c r="Q23" s="752">
        <f>'HVAC Deemed Table'!I75</f>
        <v>0.34432000000000001</v>
      </c>
      <c r="R23" s="752"/>
      <c r="S23" s="752"/>
      <c r="T23" s="752"/>
      <c r="U23" s="753">
        <f t="shared" si="30"/>
        <v>0</v>
      </c>
      <c r="V23" s="753">
        <f t="shared" si="31"/>
        <v>0</v>
      </c>
      <c r="W23" s="753">
        <f t="shared" si="32"/>
        <v>0.34432000000000001</v>
      </c>
      <c r="X23" s="22">
        <f>'HVAC Deemed Table'!J75</f>
        <v>18</v>
      </c>
      <c r="Y23" s="22"/>
      <c r="Z23" s="22">
        <f t="shared" si="33"/>
        <v>18</v>
      </c>
      <c r="AA23" s="17">
        <f>'HVAC Deemed Table'!DG75</f>
        <v>1.3105438137147511</v>
      </c>
      <c r="AB23" s="771">
        <f>'HVAC Deemed Table'!K75</f>
        <v>634.98122114487387</v>
      </c>
      <c r="AC23" s="862">
        <f t="shared" si="34"/>
        <v>832.17071119645277</v>
      </c>
      <c r="AD23" s="862">
        <f t="shared" si="35"/>
        <v>0</v>
      </c>
      <c r="AE23" s="195">
        <f>'HVAC Deemed Table'!DI75</f>
        <v>832.17071119645277</v>
      </c>
      <c r="AF23" s="195">
        <v>0</v>
      </c>
      <c r="AG23" s="195"/>
      <c r="AH23" s="195">
        <v>0</v>
      </c>
      <c r="AI23" s="866" t="e">
        <f t="shared" si="42"/>
        <v>#REF!</v>
      </c>
      <c r="AJ23" s="51">
        <f>'HVAC Deemed Table'!L75</f>
        <v>2.8453773584905662</v>
      </c>
      <c r="AK23" s="621"/>
      <c r="AL23" s="621"/>
      <c r="AX23" s="1284" t="str">
        <f t="shared" si="36"/>
        <v>CAC-SEER16_ROF_SF</v>
      </c>
      <c r="AY23" s="1307"/>
      <c r="AZ23" s="1376" t="str">
        <f t="shared" si="37"/>
        <v>350850</v>
      </c>
      <c r="BA23" s="865">
        <f>ROUND((K22*$BC$3)+(K23*$BC$4),2)</f>
        <v>1455.93</v>
      </c>
      <c r="BB23" s="1253"/>
      <c r="BC23" s="865">
        <f>ROUND((M22*$BC$3)+(K23*$BC$4),2)</f>
        <v>365.39</v>
      </c>
      <c r="BD23" s="1253"/>
      <c r="BE23" s="1234"/>
      <c r="BF23" s="1250">
        <f>ROUND(BA23*'CP FACTORS'!$B$9,6)</f>
        <v>1.3793740000000001</v>
      </c>
      <c r="BG23" s="1251">
        <f>ROUND(BB23*'CP FACTORS'!$B$14,6)</f>
        <v>0</v>
      </c>
      <c r="BH23" s="1250">
        <f>ROUND(BC23*'CP FACTORS'!$B$9,6)</f>
        <v>0.34617700000000001</v>
      </c>
      <c r="BI23" s="1252">
        <f>ROUND(BD23*'CP FACTORS'!$B$14,6)</f>
        <v>0</v>
      </c>
      <c r="BJ23" s="1234"/>
      <c r="BK23" s="698">
        <f t="shared" si="38"/>
        <v>1455.93</v>
      </c>
      <c r="BL23" s="1271">
        <f t="shared" si="39"/>
        <v>365.39</v>
      </c>
      <c r="BM23" s="1270">
        <f t="shared" si="40"/>
        <v>1.3793740000000001</v>
      </c>
      <c r="BN23" s="1269">
        <f t="shared" si="41"/>
        <v>0.34617700000000001</v>
      </c>
    </row>
    <row r="24" spans="1:66" x14ac:dyDescent="0.25">
      <c r="A24" s="49" t="str">
        <f t="shared" si="25"/>
        <v>350900</v>
      </c>
      <c r="B24" s="1371" t="str">
        <f>'HVAC Deemed Table'!C76</f>
        <v>350900_2024_12_</v>
      </c>
      <c r="C24" s="1307" t="str">
        <f>'HVAC Deemed Table'!G76</f>
        <v>Cooling RES</v>
      </c>
      <c r="D24" s="1307" t="str">
        <f>'HVAC Deemed Table'!G77</f>
        <v>Cooling RES ER2</v>
      </c>
      <c r="E24" s="1307"/>
      <c r="F24" s="1307"/>
      <c r="G24" s="1307" t="str">
        <f>'HVAC Deemed Table'!E76</f>
        <v>CAC-SEER16_ER1_MF</v>
      </c>
      <c r="H24" s="18" t="str">
        <f>'HVAC Deemed Table'!D76</f>
        <v>MFIE</v>
      </c>
      <c r="I24" s="750">
        <f t="shared" si="26"/>
        <v>1902.85</v>
      </c>
      <c r="J24" s="750">
        <f t="shared" si="27"/>
        <v>324.05</v>
      </c>
      <c r="K24" s="189">
        <f>'HVAC Deemed Table'!F76</f>
        <v>1902.85</v>
      </c>
      <c r="L24" s="189">
        <v>0</v>
      </c>
      <c r="M24" s="189">
        <f>'HVAC Deemed Table'!F77</f>
        <v>324.05</v>
      </c>
      <c r="N24" s="189">
        <v>0</v>
      </c>
      <c r="O24" s="751">
        <f t="shared" si="28"/>
        <v>1.8027949999999999</v>
      </c>
      <c r="P24" s="751">
        <f t="shared" si="29"/>
        <v>0.30701099999999998</v>
      </c>
      <c r="Q24" s="752">
        <f>'HVAC Deemed Table'!I76</f>
        <v>1.8027949999999999</v>
      </c>
      <c r="R24" s="752"/>
      <c r="S24" s="752">
        <f>'HVAC Deemed Table'!I77</f>
        <v>0.30701099999999998</v>
      </c>
      <c r="T24" s="752"/>
      <c r="U24" s="753">
        <f t="shared" si="30"/>
        <v>0</v>
      </c>
      <c r="V24" s="753">
        <f t="shared" si="31"/>
        <v>0</v>
      </c>
      <c r="W24" s="753">
        <f t="shared" si="32"/>
        <v>1.8027949999999999</v>
      </c>
      <c r="X24" s="22">
        <f>'HVAC Deemed Table'!J76</f>
        <v>6</v>
      </c>
      <c r="Y24" s="22">
        <f>'HVAC Deemed Table'!J77</f>
        <v>12</v>
      </c>
      <c r="Z24" s="22">
        <f t="shared" si="33"/>
        <v>18</v>
      </c>
      <c r="AA24" s="17">
        <f>'HVAC Deemed Table'!DG76</f>
        <v>3.2644297990868072</v>
      </c>
      <c r="AB24" s="771">
        <f>'HVAC Deemed Table'!K76</f>
        <v>708.92766284367963</v>
      </c>
      <c r="AC24" s="862">
        <f t="shared" si="34"/>
        <v>1894.9495519931463</v>
      </c>
      <c r="AD24" s="862">
        <f t="shared" si="35"/>
        <v>419.29503599072672</v>
      </c>
      <c r="AE24" s="195">
        <f>'HVAC Deemed Table'!DI76</f>
        <v>1894.9495519931463</v>
      </c>
      <c r="AF24" s="195">
        <v>0</v>
      </c>
      <c r="AG24" s="195">
        <f>'HVAC Deemed Table'!DI77</f>
        <v>419.29503599072672</v>
      </c>
      <c r="AH24" s="195">
        <v>0</v>
      </c>
      <c r="AI24" s="866" t="e">
        <f t="shared" si="42"/>
        <v>#REF!</v>
      </c>
      <c r="AJ24" s="51">
        <f>'HVAC Deemed Table'!L76</f>
        <v>2.5384615384615383</v>
      </c>
      <c r="AK24" s="621"/>
      <c r="AL24" s="621"/>
      <c r="AX24" s="1284" t="str">
        <f t="shared" si="36"/>
        <v>CAC-SEER16_ER1_MF</v>
      </c>
      <c r="AY24" s="1307"/>
      <c r="AZ24" s="1376" t="str">
        <f t="shared" si="37"/>
        <v>350900</v>
      </c>
      <c r="BA24" s="1254" t="e">
        <f>ROUND((K24*$BC$3)+(#REF!*$BC$4),2)</f>
        <v>#REF!</v>
      </c>
      <c r="BB24" s="1253"/>
      <c r="BC24" s="1254" t="e">
        <f>ROUND((M24*$BC$3)+(#REF!*$BC$4),2)</f>
        <v>#REF!</v>
      </c>
      <c r="BD24" s="1253"/>
      <c r="BE24" s="1234"/>
      <c r="BF24" s="1250" t="e">
        <f>ROUND(BA24*'CP FACTORS'!$B$9,6)</f>
        <v>#REF!</v>
      </c>
      <c r="BG24" s="1251">
        <f>ROUND(BB24*'CP FACTORS'!$B$14,6)</f>
        <v>0</v>
      </c>
      <c r="BH24" s="1250" t="e">
        <f>ROUND(BC24*'CP FACTORS'!$B$9,6)</f>
        <v>#REF!</v>
      </c>
      <c r="BI24" s="1252">
        <f>ROUND(BD24*'CP FACTORS'!$B$14,6)</f>
        <v>0</v>
      </c>
      <c r="BJ24" s="1234"/>
      <c r="BK24" s="698" t="e">
        <f t="shared" si="38"/>
        <v>#REF!</v>
      </c>
      <c r="BL24" s="1271" t="e">
        <f t="shared" si="39"/>
        <v>#REF!</v>
      </c>
      <c r="BM24" s="1270" t="e">
        <f t="shared" si="40"/>
        <v>#REF!</v>
      </c>
      <c r="BN24" s="1269" t="e">
        <f t="shared" si="41"/>
        <v>#REF!</v>
      </c>
    </row>
    <row r="25" spans="1:66" x14ac:dyDescent="0.25">
      <c r="A25" s="49" t="str">
        <f t="shared" ref="A25:A48" si="43">LEFT(B25,6)</f>
        <v>351000</v>
      </c>
      <c r="B25" s="1371" t="str">
        <f>'HVAC Deemed Table'!C78</f>
        <v>351000_2024_12_</v>
      </c>
      <c r="C25" s="1307" t="str">
        <f>'HVAC Deemed Table'!G78</f>
        <v>Cooling RES</v>
      </c>
      <c r="D25" s="1307" t="str">
        <f>'HVAC Deemed Table'!G79</f>
        <v>Cooling RES ER2</v>
      </c>
      <c r="E25" s="1307"/>
      <c r="F25" s="1307"/>
      <c r="G25" s="1307" t="str">
        <f>'HVAC Deemed Table'!E78</f>
        <v>CAC-SEER17_ER1_SF</v>
      </c>
      <c r="H25" s="18" t="str">
        <f>'HVAC Deemed Table'!D78</f>
        <v>PAYS/SFIE</v>
      </c>
      <c r="I25" s="750">
        <f t="shared" si="26"/>
        <v>2381.9499999999998</v>
      </c>
      <c r="J25" s="750">
        <f t="shared" si="27"/>
        <v>530.38</v>
      </c>
      <c r="K25" s="189">
        <f>'HVAC Deemed Table'!F78</f>
        <v>2381.9499999999998</v>
      </c>
      <c r="L25" s="189">
        <v>0</v>
      </c>
      <c r="M25" s="189">
        <f>'HVAC Deemed Table'!F79</f>
        <v>530.38</v>
      </c>
      <c r="N25" s="189">
        <v>0</v>
      </c>
      <c r="O25" s="751">
        <f t="shared" si="28"/>
        <v>2.2567029999999999</v>
      </c>
      <c r="P25" s="751">
        <f t="shared" si="29"/>
        <v>0.50249200000000005</v>
      </c>
      <c r="Q25" s="752">
        <f>'HVAC Deemed Table'!I78</f>
        <v>2.2567029999999999</v>
      </c>
      <c r="R25" s="752"/>
      <c r="S25" s="752">
        <f>'HVAC Deemed Table'!I79</f>
        <v>0.50249200000000005</v>
      </c>
      <c r="T25" s="752"/>
      <c r="U25" s="753">
        <f t="shared" si="30"/>
        <v>0</v>
      </c>
      <c r="V25" s="753">
        <f t="shared" si="31"/>
        <v>0</v>
      </c>
      <c r="W25" s="753">
        <f t="shared" si="32"/>
        <v>2.2567029999999999</v>
      </c>
      <c r="X25" s="22">
        <f>'HVAC Deemed Table'!J78</f>
        <v>6</v>
      </c>
      <c r="Y25" s="22">
        <f>'HVAC Deemed Table'!J79</f>
        <v>12</v>
      </c>
      <c r="Z25" s="22">
        <f t="shared" ref="Z25:Z48" si="44">Y25+X25</f>
        <v>18</v>
      </c>
      <c r="AA25" s="17">
        <f>'HVAC Deemed Table'!DG78</f>
        <v>3.1687674818130427</v>
      </c>
      <c r="AB25" s="771">
        <f>'HVAC Deemed Table'!K78</f>
        <v>965.14815558634655</v>
      </c>
      <c r="AC25" s="862">
        <f t="shared" ref="AC25:AC48" si="45">AE25+AF25</f>
        <v>2372.0603754211184</v>
      </c>
      <c r="AD25" s="862">
        <f t="shared" si="35"/>
        <v>686.26971513273145</v>
      </c>
      <c r="AE25" s="195">
        <f>'HVAC Deemed Table'!DI78</f>
        <v>2372.0603754211184</v>
      </c>
      <c r="AF25" s="195">
        <v>0</v>
      </c>
      <c r="AG25" s="195">
        <f>'HVAC Deemed Table'!DI79</f>
        <v>686.26971513273145</v>
      </c>
      <c r="AH25" s="195">
        <v>0</v>
      </c>
      <c r="AI25" s="866" t="e">
        <f>#REF!</f>
        <v>#REF!</v>
      </c>
      <c r="AJ25" s="51">
        <f>'HVAC Deemed Table'!L78</f>
        <v>3.1718995290423861</v>
      </c>
      <c r="AK25" s="621"/>
      <c r="AL25" s="621"/>
      <c r="AX25" s="1284" t="str">
        <f t="shared" si="36"/>
        <v>CAC-SEER17_ER1_SF</v>
      </c>
      <c r="AY25" s="1307"/>
      <c r="AZ25" s="1376" t="str">
        <f t="shared" si="37"/>
        <v>351000</v>
      </c>
      <c r="BA25" s="865">
        <f>ROUND((K25*$BC$3)+(K26*$BC$4),2)</f>
        <v>1648.96</v>
      </c>
      <c r="BB25" s="1253"/>
      <c r="BC25" s="865">
        <f>ROUND((M25*$BC$3)+(K26*$BC$4),2)</f>
        <v>538.02</v>
      </c>
      <c r="BD25" s="1253"/>
      <c r="BE25" s="1234"/>
      <c r="BF25" s="1250">
        <f>ROUND(BA25*'CP FACTORS'!$B$9,6)</f>
        <v>1.5622549999999999</v>
      </c>
      <c r="BG25" s="1251">
        <f>ROUND(BB25*'CP FACTORS'!$B$14,6)</f>
        <v>0</v>
      </c>
      <c r="BH25" s="1250">
        <f>ROUND(BC25*'CP FACTORS'!$B$9,6)</f>
        <v>0.50973000000000002</v>
      </c>
      <c r="BI25" s="1252">
        <f>ROUND(BD25*'CP FACTORS'!$B$14,6)</f>
        <v>0</v>
      </c>
      <c r="BJ25" s="1234"/>
      <c r="BK25" s="698">
        <f t="shared" si="38"/>
        <v>1648.96</v>
      </c>
      <c r="BL25" s="1271">
        <f t="shared" si="39"/>
        <v>538.02</v>
      </c>
      <c r="BM25" s="1270">
        <f t="shared" si="40"/>
        <v>1.5622549999999999</v>
      </c>
      <c r="BN25" s="1269">
        <f t="shared" si="41"/>
        <v>0.50973000000000002</v>
      </c>
    </row>
    <row r="26" spans="1:66" x14ac:dyDescent="0.25">
      <c r="A26" s="49" t="str">
        <f t="shared" si="43"/>
        <v>351050</v>
      </c>
      <c r="B26" s="1371" t="str">
        <f>'HVAC Deemed Table'!C80</f>
        <v>351050_2024_12_</v>
      </c>
      <c r="C26" s="1307" t="str">
        <f>'HVAC Deemed Table'!G80</f>
        <v>Cooling RES</v>
      </c>
      <c r="D26" s="1307"/>
      <c r="E26" s="1307"/>
      <c r="F26" s="1307"/>
      <c r="G26" s="1307" t="str">
        <f>'HVAC Deemed Table'!E80</f>
        <v>CAC-SEER17_ROF_SF</v>
      </c>
      <c r="H26" s="18" t="str">
        <f>'HVAC Deemed Table'!D80</f>
        <v>PAYS/SFIE</v>
      </c>
      <c r="I26" s="750">
        <f t="shared" si="26"/>
        <v>549.48</v>
      </c>
      <c r="J26" s="750">
        <f t="shared" si="27"/>
        <v>0</v>
      </c>
      <c r="K26" s="189">
        <f>'HVAC Deemed Table'!F80</f>
        <v>549.48</v>
      </c>
      <c r="L26" s="189">
        <v>0</v>
      </c>
      <c r="M26" s="189"/>
      <c r="N26" s="189">
        <v>0</v>
      </c>
      <c r="O26" s="751">
        <f t="shared" si="28"/>
        <v>0.52058700000000002</v>
      </c>
      <c r="P26" s="751">
        <f t="shared" si="29"/>
        <v>0</v>
      </c>
      <c r="Q26" s="752">
        <f>'HVAC Deemed Table'!I80</f>
        <v>0.52058700000000002</v>
      </c>
      <c r="R26" s="752"/>
      <c r="S26" s="752"/>
      <c r="T26" s="752"/>
      <c r="U26" s="753">
        <f t="shared" si="30"/>
        <v>0</v>
      </c>
      <c r="V26" s="753">
        <f t="shared" si="31"/>
        <v>0</v>
      </c>
      <c r="W26" s="753">
        <f t="shared" si="32"/>
        <v>0.52058700000000002</v>
      </c>
      <c r="X26" s="22">
        <f>'HVAC Deemed Table'!J80</f>
        <v>18</v>
      </c>
      <c r="Y26" s="22"/>
      <c r="Z26" s="22">
        <f t="shared" si="44"/>
        <v>18</v>
      </c>
      <c r="AA26" s="17">
        <f>'HVAC Deemed Table'!DG80</f>
        <v>1.4117816374996219</v>
      </c>
      <c r="AB26" s="771">
        <f>'HVAC Deemed Table'!K80</f>
        <v>891.20171388754079</v>
      </c>
      <c r="AC26" s="862">
        <f t="shared" si="45"/>
        <v>1258.182214974622</v>
      </c>
      <c r="AD26" s="862">
        <f t="shared" si="35"/>
        <v>0</v>
      </c>
      <c r="AE26" s="195">
        <f>'HVAC Deemed Table'!DI80</f>
        <v>1258.182214974622</v>
      </c>
      <c r="AF26" s="195">
        <v>0</v>
      </c>
      <c r="AG26" s="195"/>
      <c r="AH26" s="195">
        <v>0</v>
      </c>
      <c r="AI26" s="866" t="e">
        <f t="shared" si="42"/>
        <v>#REF!</v>
      </c>
      <c r="AJ26" s="51">
        <f>'HVAC Deemed Table'!L80</f>
        <v>3.3001127819548874</v>
      </c>
      <c r="AK26" s="621"/>
      <c r="AL26" s="621"/>
      <c r="AX26" s="1284" t="str">
        <f t="shared" ref="AX26:AX49" si="46">G26</f>
        <v>CAC-SEER17_ROF_SF</v>
      </c>
      <c r="AY26" s="1307"/>
      <c r="AZ26" s="1376" t="str">
        <f t="shared" ref="AZ26:AZ49" si="47">A26</f>
        <v>351050</v>
      </c>
      <c r="BA26" s="865">
        <f>ROUND((K25*$BC$3)+(K26*$BC$4),2)</f>
        <v>1648.96</v>
      </c>
      <c r="BB26" s="1253"/>
      <c r="BC26" s="865">
        <f>ROUND((M25*$BC$3)+(K26*$BC$4),2)</f>
        <v>538.02</v>
      </c>
      <c r="BD26" s="1253"/>
      <c r="BE26" s="1234"/>
      <c r="BF26" s="1250">
        <f>ROUND(BA26*'CP FACTORS'!$B$9,6)</f>
        <v>1.5622549999999999</v>
      </c>
      <c r="BG26" s="1251">
        <f>ROUND(BB26*'CP FACTORS'!$B$14,6)</f>
        <v>0</v>
      </c>
      <c r="BH26" s="1250">
        <f>ROUND(BC26*'CP FACTORS'!$B$9,6)</f>
        <v>0.50973000000000002</v>
      </c>
      <c r="BI26" s="1252">
        <f>ROUND(BD26*'CP FACTORS'!$B$14,6)</f>
        <v>0</v>
      </c>
      <c r="BJ26" s="1234"/>
      <c r="BK26" s="698">
        <f t="shared" si="38"/>
        <v>1648.96</v>
      </c>
      <c r="BL26" s="1271">
        <f t="shared" si="39"/>
        <v>538.02</v>
      </c>
      <c r="BM26" s="1270">
        <f t="shared" si="40"/>
        <v>1.5622549999999999</v>
      </c>
      <c r="BN26" s="1269">
        <f t="shared" si="41"/>
        <v>0.50973000000000002</v>
      </c>
    </row>
    <row r="27" spans="1:66" x14ac:dyDescent="0.25">
      <c r="A27" s="49" t="str">
        <f t="shared" si="43"/>
        <v>351160</v>
      </c>
      <c r="B27" s="1371" t="str">
        <f>'HVAC Deemed Table'!C81</f>
        <v>351160_2024_12_</v>
      </c>
      <c r="C27" s="1307" t="str">
        <f>'HVAC Deemed Table'!G81</f>
        <v>Cooling RES</v>
      </c>
      <c r="D27" s="1307" t="str">
        <f>'HVAC Deemed Table'!G82</f>
        <v>Cooling RES ER2</v>
      </c>
      <c r="E27" s="1307"/>
      <c r="F27" s="1307"/>
      <c r="G27" s="1307" t="str">
        <f>'HVAC Deemed Table'!E81</f>
        <v>CAC-SEER18_ER1_SF</v>
      </c>
      <c r="H27" s="18" t="str">
        <f>'HVAC Deemed Table'!D81</f>
        <v>PAYS/SFIE</v>
      </c>
      <c r="I27" s="750">
        <f t="shared" si="26"/>
        <v>2517.94</v>
      </c>
      <c r="J27" s="750">
        <f t="shared" si="27"/>
        <v>662.17</v>
      </c>
      <c r="K27" s="189">
        <f>'HVAC Deemed Table'!F81</f>
        <v>2517.94</v>
      </c>
      <c r="L27" s="189">
        <v>0</v>
      </c>
      <c r="M27" s="189">
        <f>'HVAC Deemed Table'!F82</f>
        <v>662.17</v>
      </c>
      <c r="N27" s="189">
        <v>0</v>
      </c>
      <c r="O27" s="751">
        <f t="shared" si="28"/>
        <v>2.3855420000000001</v>
      </c>
      <c r="P27" s="751">
        <f t="shared" si="29"/>
        <v>0.62735200000000002</v>
      </c>
      <c r="Q27" s="752">
        <f>'HVAC Deemed Table'!I81</f>
        <v>2.3855420000000001</v>
      </c>
      <c r="R27" s="752">
        <v>0</v>
      </c>
      <c r="S27" s="752">
        <f>'HVAC Deemed Table'!I82</f>
        <v>0.62735200000000002</v>
      </c>
      <c r="T27" s="752">
        <v>0</v>
      </c>
      <c r="U27" s="753">
        <f t="shared" si="30"/>
        <v>0</v>
      </c>
      <c r="V27" s="753">
        <f t="shared" si="31"/>
        <v>0</v>
      </c>
      <c r="W27" s="753">
        <f t="shared" si="32"/>
        <v>2.3855420000000001</v>
      </c>
      <c r="X27" s="22">
        <f>'HVAC Deemed Table'!J81</f>
        <v>6</v>
      </c>
      <c r="Y27" s="22">
        <f>'HVAC Deemed Table'!J82</f>
        <v>12</v>
      </c>
      <c r="Z27" s="22">
        <f t="shared" si="44"/>
        <v>18</v>
      </c>
      <c r="AA27" s="17">
        <f>'HVAC Deemed Table'!DG81</f>
        <v>3.3816804496492248</v>
      </c>
      <c r="AB27" s="771">
        <f>'HVAC Deemed Table'!K81</f>
        <v>994.85487938259848</v>
      </c>
      <c r="AC27" s="862">
        <f t="shared" si="45"/>
        <v>2507.4857581762217</v>
      </c>
      <c r="AD27" s="862">
        <f t="shared" si="35"/>
        <v>856.79553767004927</v>
      </c>
      <c r="AE27" s="195">
        <f>'HVAC Deemed Table'!DI81</f>
        <v>2507.4857581762217</v>
      </c>
      <c r="AF27" s="195"/>
      <c r="AG27" s="195">
        <f>'HVAC Deemed Table'!DI82</f>
        <v>856.79553767004927</v>
      </c>
      <c r="AH27" s="195"/>
      <c r="AI27" s="866" t="e">
        <f>#REF!</f>
        <v>#REF!</v>
      </c>
      <c r="AJ27" s="51">
        <f>'HVAC Deemed Table'!L81</f>
        <v>3.3330761421319792</v>
      </c>
      <c r="AK27" s="621"/>
      <c r="AL27" s="621"/>
      <c r="AX27" s="1284" t="str">
        <f t="shared" si="46"/>
        <v>CAC-SEER18_ER1_SF</v>
      </c>
      <c r="AY27" s="1307"/>
      <c r="AZ27" s="1376" t="str">
        <f t="shared" si="47"/>
        <v>351160</v>
      </c>
      <c r="BA27" s="865">
        <f>ROUND((K27*$BC$3)+(K28*$BC$4),2)</f>
        <v>1775.01</v>
      </c>
      <c r="BB27" s="1253"/>
      <c r="BC27" s="865">
        <f>ROUND((M27*$BC$3)+(K28*$BC$4),2)</f>
        <v>661.55</v>
      </c>
      <c r="BD27" s="1253"/>
      <c r="BE27" s="1234"/>
      <c r="BF27" s="1250">
        <f>ROUND(BA27*'CP FACTORS'!$B$9,6)</f>
        <v>1.6816770000000001</v>
      </c>
      <c r="BG27" s="1251">
        <f>ROUND(BB27*'CP FACTORS'!$B$14,6)</f>
        <v>0</v>
      </c>
      <c r="BH27" s="1250">
        <f>ROUND(BC27*'CP FACTORS'!$B$9,6)</f>
        <v>0.62676399999999999</v>
      </c>
      <c r="BI27" s="1252">
        <f>ROUND(BD27*'CP FACTORS'!$B$14,6)</f>
        <v>0</v>
      </c>
      <c r="BJ27" s="1234"/>
      <c r="BK27" s="698">
        <f t="shared" si="38"/>
        <v>1775.01</v>
      </c>
      <c r="BL27" s="1271">
        <f t="shared" si="39"/>
        <v>661.55</v>
      </c>
      <c r="BM27" s="1270">
        <f t="shared" si="40"/>
        <v>1.6816770000000001</v>
      </c>
      <c r="BN27" s="1269">
        <f t="shared" si="41"/>
        <v>0.62676399999999999</v>
      </c>
    </row>
    <row r="28" spans="1:66" x14ac:dyDescent="0.25">
      <c r="A28" s="49" t="str">
        <f t="shared" si="43"/>
        <v>351161</v>
      </c>
      <c r="B28" s="1371" t="str">
        <f>'HVAC Deemed Table'!C83</f>
        <v>351161_2024_12_</v>
      </c>
      <c r="C28" s="1307" t="str">
        <f>'HVAC Deemed Table'!G83</f>
        <v>Cooling RES</v>
      </c>
      <c r="D28" s="1307"/>
      <c r="E28" s="1307"/>
      <c r="F28" s="1307"/>
      <c r="G28" s="1307" t="str">
        <f>'HVAC Deemed Table'!E83</f>
        <v>CAC-SEER18_ROF_SF</v>
      </c>
      <c r="H28" s="18" t="str">
        <f>'HVAC Deemed Table'!D83</f>
        <v>PAYS/SFIE</v>
      </c>
      <c r="I28" s="750">
        <f t="shared" si="26"/>
        <v>660.62</v>
      </c>
      <c r="J28" s="750">
        <f t="shared" si="27"/>
        <v>0</v>
      </c>
      <c r="K28" s="189">
        <f>'HVAC Deemed Table'!F83</f>
        <v>660.62</v>
      </c>
      <c r="L28" s="189">
        <v>0</v>
      </c>
      <c r="M28" s="189"/>
      <c r="N28" s="189">
        <v>0</v>
      </c>
      <c r="O28" s="751">
        <f t="shared" si="28"/>
        <v>0.62588299999999997</v>
      </c>
      <c r="P28" s="751">
        <f t="shared" si="29"/>
        <v>0</v>
      </c>
      <c r="Q28" s="752">
        <f>'HVAC Deemed Table'!I83</f>
        <v>0.62588299999999997</v>
      </c>
      <c r="R28" s="752">
        <v>0</v>
      </c>
      <c r="S28" s="752"/>
      <c r="T28" s="752">
        <v>0</v>
      </c>
      <c r="U28" s="753">
        <f t="shared" si="30"/>
        <v>0</v>
      </c>
      <c r="V28" s="753">
        <f t="shared" si="31"/>
        <v>0</v>
      </c>
      <c r="W28" s="753">
        <f t="shared" si="32"/>
        <v>0.62588299999999997</v>
      </c>
      <c r="X28" s="22">
        <f>'HVAC Deemed Table'!J83</f>
        <v>18</v>
      </c>
      <c r="Y28" s="22"/>
      <c r="Z28" s="22">
        <f t="shared" si="44"/>
        <v>18</v>
      </c>
      <c r="AA28" s="17">
        <f>'HVAC Deemed Table'!DG83</f>
        <v>1.6425814647602304</v>
      </c>
      <c r="AB28" s="771">
        <f>'HVAC Deemed Table'!K83</f>
        <v>920.90843768379273</v>
      </c>
      <c r="AC28" s="862">
        <f t="shared" si="45"/>
        <v>1512.6671304806996</v>
      </c>
      <c r="AD28" s="862">
        <f t="shared" si="35"/>
        <v>0</v>
      </c>
      <c r="AE28" s="195">
        <f>'HVAC Deemed Table'!DI83</f>
        <v>1512.6671304806996</v>
      </c>
      <c r="AF28" s="195"/>
      <c r="AG28" s="195"/>
      <c r="AH28" s="195"/>
      <c r="AI28" s="866" t="e">
        <f t="shared" si="42"/>
        <v>#REF!</v>
      </c>
      <c r="AJ28" s="51">
        <f>'HVAC Deemed Table'!L83</f>
        <v>3.3284552845487805</v>
      </c>
      <c r="AK28" s="621"/>
      <c r="AL28" s="621"/>
      <c r="AX28" s="1284" t="str">
        <f t="shared" si="46"/>
        <v>CAC-SEER18_ROF_SF</v>
      </c>
      <c r="AY28" s="1307"/>
      <c r="AZ28" s="1376" t="str">
        <f t="shared" si="47"/>
        <v>351161</v>
      </c>
      <c r="BA28" s="865">
        <f>ROUND((K27*$BC$3)+(K28*$BC$4),2)</f>
        <v>1775.01</v>
      </c>
      <c r="BB28" s="1253"/>
      <c r="BC28" s="865">
        <f>ROUND((M27*$BC$3)+(K28*$BC$4),2)</f>
        <v>661.55</v>
      </c>
      <c r="BD28" s="1253"/>
      <c r="BE28" s="1234"/>
      <c r="BF28" s="1250">
        <f>ROUND(BA28*'CP FACTORS'!$B$9,6)</f>
        <v>1.6816770000000001</v>
      </c>
      <c r="BG28" s="1251">
        <f>ROUND(BB28*'CP FACTORS'!$B$14,6)</f>
        <v>0</v>
      </c>
      <c r="BH28" s="1250">
        <f>ROUND(BC28*'CP FACTORS'!$B$9,6)</f>
        <v>0.62676399999999999</v>
      </c>
      <c r="BI28" s="1252">
        <f>ROUND(BD28*'CP FACTORS'!$B$14,6)</f>
        <v>0</v>
      </c>
      <c r="BJ28" s="1234"/>
      <c r="BK28" s="698">
        <f t="shared" si="38"/>
        <v>1775.01</v>
      </c>
      <c r="BL28" s="1271">
        <f t="shared" si="39"/>
        <v>661.55</v>
      </c>
      <c r="BM28" s="1270">
        <f t="shared" si="40"/>
        <v>1.6816770000000001</v>
      </c>
      <c r="BN28" s="1269">
        <f t="shared" si="41"/>
        <v>0.62676399999999999</v>
      </c>
    </row>
    <row r="29" spans="1:66" x14ac:dyDescent="0.25">
      <c r="A29" s="49" t="str">
        <f t="shared" si="43"/>
        <v>351170</v>
      </c>
      <c r="B29" s="1371" t="str">
        <f>'HVAC Deemed Table'!C84</f>
        <v>351170_2024_12_</v>
      </c>
      <c r="C29" s="1307" t="str">
        <f>'HVAC Deemed Table'!G84</f>
        <v>Cooling RES</v>
      </c>
      <c r="D29" s="1307" t="str">
        <f>'HVAC Deemed Table'!G85</f>
        <v>Cooling RES ER2</v>
      </c>
      <c r="E29" s="1307"/>
      <c r="F29" s="1307"/>
      <c r="G29" s="1307" t="str">
        <f>'HVAC Deemed Table'!E84</f>
        <v>CAC-SEER19_ER1_SF</v>
      </c>
      <c r="H29" s="18" t="str">
        <f>'HVAC Deemed Table'!D84</f>
        <v>PAYS/SFIE</v>
      </c>
      <c r="I29" s="750">
        <f t="shared" si="26"/>
        <v>3468.74</v>
      </c>
      <c r="J29" s="750">
        <f t="shared" si="27"/>
        <v>1002.03</v>
      </c>
      <c r="K29" s="189">
        <f>'HVAC Deemed Table'!F84</f>
        <v>3468.74</v>
      </c>
      <c r="L29" s="189">
        <v>0</v>
      </c>
      <c r="M29" s="189">
        <f>'HVAC Deemed Table'!F85</f>
        <v>1002.03</v>
      </c>
      <c r="N29" s="189">
        <v>0</v>
      </c>
      <c r="O29" s="751">
        <f t="shared" si="28"/>
        <v>3.2863470000000001</v>
      </c>
      <c r="P29" s="751">
        <f t="shared" si="29"/>
        <v>0.94934099999999999</v>
      </c>
      <c r="Q29" s="752">
        <f>'HVAC Deemed Table'!I84</f>
        <v>3.2863470000000001</v>
      </c>
      <c r="R29" s="752">
        <v>0</v>
      </c>
      <c r="S29" s="752">
        <f>'HVAC Deemed Table'!I85</f>
        <v>0.94934099999999999</v>
      </c>
      <c r="T29" s="752">
        <v>0</v>
      </c>
      <c r="U29" s="753">
        <f t="shared" si="30"/>
        <v>0</v>
      </c>
      <c r="V29" s="753">
        <f t="shared" si="31"/>
        <v>0</v>
      </c>
      <c r="W29" s="753">
        <f t="shared" si="32"/>
        <v>3.2863470000000001</v>
      </c>
      <c r="X29" s="22">
        <f>'HVAC Deemed Table'!J84</f>
        <v>6</v>
      </c>
      <c r="Y29" s="22">
        <f>'HVAC Deemed Table'!J85</f>
        <v>12</v>
      </c>
      <c r="Z29" s="22">
        <f t="shared" si="44"/>
        <v>18</v>
      </c>
      <c r="AA29" s="17">
        <f>'HVAC Deemed Table'!DG84</f>
        <v>4.7754558872000947</v>
      </c>
      <c r="AB29" s="771">
        <f>'HVAC Deemed Table'!K84</f>
        <v>994.85487938259848</v>
      </c>
      <c r="AC29" s="862">
        <f t="shared" si="45"/>
        <v>3454.3381291119672</v>
      </c>
      <c r="AD29" s="862">
        <f t="shared" si="35"/>
        <v>1296.5474615454029</v>
      </c>
      <c r="AE29" s="195">
        <f>'HVAC Deemed Table'!DI84</f>
        <v>3454.3381291119672</v>
      </c>
      <c r="AF29" s="195"/>
      <c r="AG29" s="195">
        <f>'HVAC Deemed Table'!DI85</f>
        <v>1296.5474615454029</v>
      </c>
      <c r="AH29" s="195"/>
      <c r="AI29" s="866" t="e">
        <f>#REF!</f>
        <v>#REF!</v>
      </c>
      <c r="AJ29" s="51">
        <f>'HVAC Deemed Table'!L84</f>
        <v>4.3031428571428565</v>
      </c>
      <c r="AK29" s="621"/>
      <c r="AL29" s="621"/>
      <c r="AX29" s="1284" t="str">
        <f t="shared" si="46"/>
        <v>CAC-SEER19_ER1_SF</v>
      </c>
      <c r="AY29" s="1307"/>
      <c r="AZ29" s="1376" t="str">
        <f t="shared" si="47"/>
        <v>351170</v>
      </c>
      <c r="BA29" s="865">
        <f>ROUND((K29*$BC$3)+(K30*$BC$4),2)</f>
        <v>2496.2199999999998</v>
      </c>
      <c r="BB29" s="1253"/>
      <c r="BC29" s="865">
        <f>ROUND((M29*$BC$3)+(K30*$BC$4),2)</f>
        <v>1016.19</v>
      </c>
      <c r="BD29" s="1253"/>
      <c r="BE29" s="1234"/>
      <c r="BF29" s="1250">
        <f>ROUND(BA29*'CP FACTORS'!$B$9,6)</f>
        <v>2.3649640000000001</v>
      </c>
      <c r="BG29" s="1251">
        <f>ROUND(BB29*'CP FACTORS'!$B$14,6)</f>
        <v>0</v>
      </c>
      <c r="BH29" s="1250">
        <f>ROUND(BC29*'CP FACTORS'!$B$9,6)</f>
        <v>0.96275699999999997</v>
      </c>
      <c r="BI29" s="1252">
        <f>ROUND(BD29*'CP FACTORS'!$B$14,6)</f>
        <v>0</v>
      </c>
      <c r="BJ29" s="1234"/>
      <c r="BK29" s="698">
        <f t="shared" si="38"/>
        <v>2496.2199999999998</v>
      </c>
      <c r="BL29" s="1271">
        <f t="shared" si="39"/>
        <v>1016.19</v>
      </c>
      <c r="BM29" s="1270">
        <f t="shared" si="40"/>
        <v>2.3649640000000001</v>
      </c>
      <c r="BN29" s="1269">
        <f t="shared" si="41"/>
        <v>0.96275699999999997</v>
      </c>
    </row>
    <row r="30" spans="1:66" x14ac:dyDescent="0.25">
      <c r="A30" s="49" t="str">
        <f t="shared" si="43"/>
        <v>351171</v>
      </c>
      <c r="B30" s="1371" t="str">
        <f>'HVAC Deemed Table'!C86</f>
        <v>351171_2024_12_</v>
      </c>
      <c r="C30" s="1307" t="str">
        <f>'HVAC Deemed Table'!G86</f>
        <v>Cooling RES</v>
      </c>
      <c r="D30" s="1307"/>
      <c r="E30" s="1307"/>
      <c r="F30" s="1307"/>
      <c r="G30" s="1307" t="str">
        <f>'HVAC Deemed Table'!E86</f>
        <v>CAC-SEER19_ROF_SF</v>
      </c>
      <c r="H30" s="18" t="str">
        <f>'HVAC Deemed Table'!D86</f>
        <v>PAYS/SFIE</v>
      </c>
      <c r="I30" s="750">
        <f t="shared" si="26"/>
        <v>1037.44</v>
      </c>
      <c r="J30" s="750">
        <f t="shared" si="27"/>
        <v>0</v>
      </c>
      <c r="K30" s="189">
        <f>'HVAC Deemed Table'!F86</f>
        <v>1037.44</v>
      </c>
      <c r="L30" s="189">
        <v>0</v>
      </c>
      <c r="M30" s="189"/>
      <c r="N30" s="189">
        <v>0</v>
      </c>
      <c r="O30" s="751">
        <f t="shared" si="28"/>
        <v>0.98288900000000001</v>
      </c>
      <c r="P30" s="751">
        <f t="shared" si="29"/>
        <v>0</v>
      </c>
      <c r="Q30" s="752">
        <f>'HVAC Deemed Table'!I86</f>
        <v>0.98288900000000001</v>
      </c>
      <c r="R30" s="752">
        <v>0</v>
      </c>
      <c r="S30" s="752"/>
      <c r="T30" s="752">
        <v>0</v>
      </c>
      <c r="U30" s="753">
        <f t="shared" si="30"/>
        <v>0</v>
      </c>
      <c r="V30" s="753">
        <f t="shared" si="31"/>
        <v>0</v>
      </c>
      <c r="W30" s="753">
        <f t="shared" si="32"/>
        <v>0.98288900000000001</v>
      </c>
      <c r="X30" s="22">
        <f>'HVAC Deemed Table'!J86</f>
        <v>18</v>
      </c>
      <c r="Y30" s="22"/>
      <c r="Z30" s="22">
        <f t="shared" si="44"/>
        <v>18</v>
      </c>
      <c r="AA30" s="17">
        <f>'HVAC Deemed Table'!DG86</f>
        <v>2.5795157803288631</v>
      </c>
      <c r="AB30" s="771">
        <f>'HVAC Deemed Table'!K86</f>
        <v>920.90843768379273</v>
      </c>
      <c r="AC30" s="862">
        <f t="shared" si="45"/>
        <v>2375.4978472433427</v>
      </c>
      <c r="AD30" s="862">
        <f t="shared" si="35"/>
        <v>0</v>
      </c>
      <c r="AE30" s="195">
        <f>'HVAC Deemed Table'!DI86</f>
        <v>2375.4978472433427</v>
      </c>
      <c r="AF30" s="195"/>
      <c r="AG30" s="195"/>
      <c r="AH30" s="195"/>
      <c r="AI30" s="866" t="e">
        <f t="shared" si="42"/>
        <v>#REF!</v>
      </c>
      <c r="AJ30" s="51">
        <f>'HVAC Deemed Table'!L86</f>
        <v>4.4285714285714288</v>
      </c>
      <c r="AK30" s="621"/>
      <c r="AL30" s="621"/>
      <c r="AX30" s="1284" t="str">
        <f t="shared" si="46"/>
        <v>CAC-SEER19_ROF_SF</v>
      </c>
      <c r="AY30" s="1307"/>
      <c r="AZ30" s="1376" t="str">
        <f t="shared" si="47"/>
        <v>351171</v>
      </c>
      <c r="BA30" s="865">
        <f>ROUND((K29*$BC$3)+(K30*$BC$4),2)</f>
        <v>2496.2199999999998</v>
      </c>
      <c r="BB30" s="1253"/>
      <c r="BC30" s="865">
        <f>ROUND((M29*$BC$3)+(K30*$BC$4),2)</f>
        <v>1016.19</v>
      </c>
      <c r="BD30" s="1253"/>
      <c r="BE30" s="1234"/>
      <c r="BF30" s="1250">
        <f>ROUND(BA30*'CP FACTORS'!$B$9,6)</f>
        <v>2.3649640000000001</v>
      </c>
      <c r="BG30" s="1251">
        <f>ROUND(BB30*'CP FACTORS'!$B$14,6)</f>
        <v>0</v>
      </c>
      <c r="BH30" s="1250">
        <f>ROUND(BC30*'CP FACTORS'!$B$9,6)</f>
        <v>0.96275699999999997</v>
      </c>
      <c r="BI30" s="1252">
        <f>ROUND(BD30*'CP FACTORS'!$B$14,6)</f>
        <v>0</v>
      </c>
      <c r="BJ30" s="1234"/>
      <c r="BK30" s="698">
        <f t="shared" si="38"/>
        <v>2496.2199999999998</v>
      </c>
      <c r="BL30" s="1271">
        <f t="shared" si="39"/>
        <v>1016.19</v>
      </c>
      <c r="BM30" s="1270">
        <f t="shared" si="40"/>
        <v>2.3649640000000001</v>
      </c>
      <c r="BN30" s="1269">
        <f t="shared" si="41"/>
        <v>0.96275699999999997</v>
      </c>
    </row>
    <row r="31" spans="1:66" x14ac:dyDescent="0.25">
      <c r="A31" s="49" t="str">
        <f t="shared" si="43"/>
        <v>351180</v>
      </c>
      <c r="B31" s="1371" t="str">
        <f>'HVAC Deemed Table'!C87</f>
        <v>351180_2024_12_</v>
      </c>
      <c r="C31" s="1307" t="str">
        <f>'HVAC Deemed Table'!G87</f>
        <v>Cooling RES</v>
      </c>
      <c r="D31" s="1307" t="str">
        <f>'HVAC Deemed Table'!G88</f>
        <v>Cooling RES ER2</v>
      </c>
      <c r="E31" s="1307"/>
      <c r="F31" s="1307"/>
      <c r="G31" s="1307" t="str">
        <f>'HVAC Deemed Table'!E87</f>
        <v>CAC-SEER20_ER1_SF</v>
      </c>
      <c r="H31" s="18" t="str">
        <f>'HVAC Deemed Table'!D87</f>
        <v>PAYS/SFIE</v>
      </c>
      <c r="I31" s="750">
        <f t="shared" si="26"/>
        <v>2828.06</v>
      </c>
      <c r="J31" s="750">
        <f t="shared" si="27"/>
        <v>935.32</v>
      </c>
      <c r="K31" s="189">
        <f>'HVAC Deemed Table'!F87</f>
        <v>2828.06</v>
      </c>
      <c r="L31" s="189">
        <v>0</v>
      </c>
      <c r="M31" s="189">
        <f>'HVAC Deemed Table'!F88</f>
        <v>935.32</v>
      </c>
      <c r="N31" s="189">
        <v>0</v>
      </c>
      <c r="O31" s="751">
        <f t="shared" si="28"/>
        <v>2.6793550000000002</v>
      </c>
      <c r="P31" s="751">
        <f t="shared" si="29"/>
        <v>0.88613900000000001</v>
      </c>
      <c r="Q31" s="752">
        <f>'HVAC Deemed Table'!I87</f>
        <v>2.6793550000000002</v>
      </c>
      <c r="R31" s="752">
        <v>0</v>
      </c>
      <c r="S31" s="752">
        <f>'HVAC Deemed Table'!I88</f>
        <v>0.88613900000000001</v>
      </c>
      <c r="T31" s="752">
        <v>0</v>
      </c>
      <c r="U31" s="753">
        <f t="shared" si="30"/>
        <v>0</v>
      </c>
      <c r="V31" s="753">
        <f t="shared" si="31"/>
        <v>0</v>
      </c>
      <c r="W31" s="753">
        <f t="shared" si="32"/>
        <v>2.6793550000000002</v>
      </c>
      <c r="X31" s="22">
        <f>'HVAC Deemed Table'!J87</f>
        <v>6</v>
      </c>
      <c r="Y31" s="22">
        <f>'HVAC Deemed Table'!J88</f>
        <v>12</v>
      </c>
      <c r="Z31" s="22">
        <f t="shared" si="44"/>
        <v>18</v>
      </c>
      <c r="AA31" s="17">
        <f>'HVAC Deemed Table'!DG87</f>
        <v>3.7273821117244457</v>
      </c>
      <c r="AB31" s="771">
        <f>'HVAC Deemed Table'!K87</f>
        <v>1080.2617102968206</v>
      </c>
      <c r="AC31" s="862">
        <f t="shared" si="45"/>
        <v>2816.3181701183685</v>
      </c>
      <c r="AD31" s="862">
        <f t="shared" si="35"/>
        <v>1210.230004822856</v>
      </c>
      <c r="AE31" s="195">
        <f>'HVAC Deemed Table'!DI87</f>
        <v>2816.3181701183685</v>
      </c>
      <c r="AF31" s="195"/>
      <c r="AG31" s="195">
        <f>'HVAC Deemed Table'!DI88</f>
        <v>1210.230004822856</v>
      </c>
      <c r="AH31" s="195"/>
      <c r="AI31" s="866" t="e">
        <f>#REF!</f>
        <v>#REF!</v>
      </c>
      <c r="AJ31" s="51">
        <f>'HVAC Deemed Table'!L87</f>
        <v>3.6090823970000003</v>
      </c>
      <c r="AK31" s="621"/>
      <c r="AL31" s="621"/>
      <c r="AX31" s="1284" t="str">
        <f t="shared" si="46"/>
        <v>CAC-SEER20_ER1_SF</v>
      </c>
      <c r="AY31" s="1307"/>
      <c r="AZ31" s="1376" t="str">
        <f t="shared" si="47"/>
        <v>351180</v>
      </c>
      <c r="BA31" s="865">
        <f>ROUND((K31*$BC$3)+(K32*$BC$4),2)</f>
        <v>2084.33</v>
      </c>
      <c r="BB31" s="1253"/>
      <c r="BC31" s="865">
        <f>ROUND((M31*$BC$3)+(K32*$BC$4),2)</f>
        <v>948.68</v>
      </c>
      <c r="BD31" s="1253"/>
      <c r="BE31" s="1234"/>
      <c r="BF31" s="1250">
        <f>ROUND(BA31*'CP FACTORS'!$B$9,6)</f>
        <v>1.9747319999999999</v>
      </c>
      <c r="BG31" s="1251">
        <f>ROUND(BB31*'CP FACTORS'!$B$14,6)</f>
        <v>0</v>
      </c>
      <c r="BH31" s="1250">
        <f>ROUND(BC31*'CP FACTORS'!$B$9,6)</f>
        <v>0.89879699999999996</v>
      </c>
      <c r="BI31" s="1252">
        <f>ROUND(BD31*'CP FACTORS'!$B$14,6)</f>
        <v>0</v>
      </c>
      <c r="BJ31" s="1234"/>
      <c r="BK31" s="698">
        <f t="shared" si="38"/>
        <v>2084.33</v>
      </c>
      <c r="BL31" s="1271">
        <f t="shared" si="39"/>
        <v>948.68</v>
      </c>
      <c r="BM31" s="1270">
        <f t="shared" si="40"/>
        <v>1.9747319999999999</v>
      </c>
      <c r="BN31" s="1269">
        <f t="shared" si="41"/>
        <v>0.89879699999999996</v>
      </c>
    </row>
    <row r="32" spans="1:66" x14ac:dyDescent="0.25">
      <c r="A32" s="49" t="str">
        <f t="shared" si="43"/>
        <v>351181</v>
      </c>
      <c r="B32" s="1371" t="str">
        <f>'HVAC Deemed Table'!C89</f>
        <v>351181_2024_12_</v>
      </c>
      <c r="C32" s="1307" t="str">
        <f>'HVAC Deemed Table'!G89</f>
        <v>Cooling RES</v>
      </c>
      <c r="D32" s="1307"/>
      <c r="E32" s="1307"/>
      <c r="F32" s="1307"/>
      <c r="G32" s="1307" t="str">
        <f>'HVAC Deemed Table'!E89</f>
        <v>CAC-SEER20_ROF_SF</v>
      </c>
      <c r="H32" s="18" t="str">
        <f>'HVAC Deemed Table'!D89</f>
        <v>PAYS/SFIE</v>
      </c>
      <c r="I32" s="750">
        <f t="shared" si="26"/>
        <v>968.73</v>
      </c>
      <c r="J32" s="750">
        <f t="shared" si="27"/>
        <v>0</v>
      </c>
      <c r="K32" s="189">
        <f>'HVAC Deemed Table'!F89</f>
        <v>968.73</v>
      </c>
      <c r="L32" s="189">
        <v>0</v>
      </c>
      <c r="M32" s="189"/>
      <c r="N32" s="189">
        <v>0</v>
      </c>
      <c r="O32" s="751">
        <f t="shared" si="28"/>
        <v>0.91779200000000005</v>
      </c>
      <c r="P32" s="751">
        <f t="shared" si="29"/>
        <v>0</v>
      </c>
      <c r="Q32" s="752">
        <f>'HVAC Deemed Table'!I89</f>
        <v>0.91779200000000005</v>
      </c>
      <c r="R32" s="752">
        <v>0</v>
      </c>
      <c r="S32" s="752"/>
      <c r="T32" s="752">
        <v>0</v>
      </c>
      <c r="U32" s="753">
        <f t="shared" si="30"/>
        <v>0</v>
      </c>
      <c r="V32" s="753">
        <f t="shared" si="31"/>
        <v>0</v>
      </c>
      <c r="W32" s="753">
        <f t="shared" si="32"/>
        <v>0.91779200000000005</v>
      </c>
      <c r="X32" s="22">
        <f>'HVAC Deemed Table'!J89</f>
        <v>18</v>
      </c>
      <c r="Y32" s="22"/>
      <c r="Z32" s="22">
        <f t="shared" si="44"/>
        <v>18</v>
      </c>
      <c r="AA32" s="17">
        <f>'HVAC Deemed Table'!DG89</f>
        <v>2.2042474116877364</v>
      </c>
      <c r="AB32" s="771">
        <f>'HVAC Deemed Table'!K89</f>
        <v>1006.3152685980149</v>
      </c>
      <c r="AC32" s="862">
        <f t="shared" si="45"/>
        <v>2218.1678261490238</v>
      </c>
      <c r="AD32" s="862">
        <f t="shared" si="35"/>
        <v>0</v>
      </c>
      <c r="AE32" s="195">
        <f>'HVAC Deemed Table'!DI89</f>
        <v>2218.1678261490238</v>
      </c>
      <c r="AF32" s="195"/>
      <c r="AG32" s="195"/>
      <c r="AH32" s="195"/>
      <c r="AI32" s="866" t="e">
        <f t="shared" si="42"/>
        <v>#REF!</v>
      </c>
      <c r="AJ32" s="51">
        <f>'HVAC Deemed Table'!L89</f>
        <v>3.7737500000000002</v>
      </c>
      <c r="AK32" s="621"/>
      <c r="AL32" s="621"/>
      <c r="AX32" s="1284" t="str">
        <f t="shared" si="46"/>
        <v>CAC-SEER20_ROF_SF</v>
      </c>
      <c r="AY32" s="1307"/>
      <c r="AZ32" s="1376" t="str">
        <f t="shared" si="47"/>
        <v>351181</v>
      </c>
      <c r="BA32" s="865">
        <f>ROUND((K31*$BC$3)+(K32*$BC$4),2)</f>
        <v>2084.33</v>
      </c>
      <c r="BB32" s="1253"/>
      <c r="BC32" s="865">
        <f>ROUND((M31*$BC$3)+(K32*$BC$4),2)</f>
        <v>948.68</v>
      </c>
      <c r="BD32" s="1253"/>
      <c r="BE32" s="1234"/>
      <c r="BF32" s="1250">
        <f>ROUND(BA32*'CP FACTORS'!$B$9,6)</f>
        <v>1.9747319999999999</v>
      </c>
      <c r="BG32" s="1251">
        <f>ROUND(BB32*'CP FACTORS'!$B$14,6)</f>
        <v>0</v>
      </c>
      <c r="BH32" s="1250">
        <f>ROUND(BC32*'CP FACTORS'!$B$9,6)</f>
        <v>0.89879699999999996</v>
      </c>
      <c r="BI32" s="1252">
        <f>ROUND(BD32*'CP FACTORS'!$B$14,6)</f>
        <v>0</v>
      </c>
      <c r="BJ32" s="1234"/>
      <c r="BK32" s="698">
        <f t="shared" si="38"/>
        <v>2084.33</v>
      </c>
      <c r="BL32" s="1271">
        <f t="shared" si="39"/>
        <v>948.68</v>
      </c>
      <c r="BM32" s="1270">
        <f t="shared" si="40"/>
        <v>1.9747319999999999</v>
      </c>
      <c r="BN32" s="1269">
        <f t="shared" si="41"/>
        <v>0.89879699999999996</v>
      </c>
    </row>
    <row r="33" spans="1:66" x14ac:dyDescent="0.25">
      <c r="A33" s="49" t="str">
        <f t="shared" si="43"/>
        <v>351190</v>
      </c>
      <c r="B33" s="1371" t="str">
        <f>'HVAC Deemed Table'!C90</f>
        <v>351190_2024_12_</v>
      </c>
      <c r="C33" s="1307" t="str">
        <f>'HVAC Deemed Table'!G90</f>
        <v>Cooling RES</v>
      </c>
      <c r="D33" s="1307" t="str">
        <f>'HVAC Deemed Table'!G91</f>
        <v>Cooling RES ER2</v>
      </c>
      <c r="E33" s="1307"/>
      <c r="F33" s="1307"/>
      <c r="G33" s="1307" t="str">
        <f>'HVAC Deemed Table'!E90</f>
        <v>CAC-SEER21+_ER1_SF</v>
      </c>
      <c r="H33" s="18" t="str">
        <f>'HVAC Deemed Table'!D90</f>
        <v>PAYS/SFIE</v>
      </c>
      <c r="I33" s="750">
        <f t="shared" si="26"/>
        <v>2724.14</v>
      </c>
      <c r="J33" s="750">
        <f t="shared" si="27"/>
        <v>1010.53</v>
      </c>
      <c r="K33" s="189">
        <f>'HVAC Deemed Table'!F90</f>
        <v>2724.14</v>
      </c>
      <c r="L33" s="189">
        <v>0</v>
      </c>
      <c r="M33" s="189">
        <f>'HVAC Deemed Table'!F91</f>
        <v>1010.53</v>
      </c>
      <c r="N33" s="189">
        <v>0</v>
      </c>
      <c r="O33" s="751">
        <f t="shared" si="28"/>
        <v>2.5809000000000002</v>
      </c>
      <c r="P33" s="751">
        <f t="shared" si="29"/>
        <v>0.95739399999999997</v>
      </c>
      <c r="Q33" s="752">
        <f>'HVAC Deemed Table'!I90</f>
        <v>2.5809000000000002</v>
      </c>
      <c r="R33" s="752">
        <v>0</v>
      </c>
      <c r="S33" s="752">
        <f>'HVAC Deemed Table'!I91</f>
        <v>0.95739399999999997</v>
      </c>
      <c r="T33" s="752">
        <v>0</v>
      </c>
      <c r="U33" s="753">
        <f t="shared" si="30"/>
        <v>0</v>
      </c>
      <c r="V33" s="753">
        <f t="shared" si="31"/>
        <v>0</v>
      </c>
      <c r="W33" s="753">
        <f t="shared" si="32"/>
        <v>2.5809000000000002</v>
      </c>
      <c r="X33" s="22">
        <f>'HVAC Deemed Table'!J90</f>
        <v>6</v>
      </c>
      <c r="Y33" s="22">
        <f>'HVAC Deemed Table'!J91</f>
        <v>12</v>
      </c>
      <c r="Z33" s="22">
        <f t="shared" si="44"/>
        <v>18</v>
      </c>
      <c r="AA33" s="17">
        <f>'HVAC Deemed Table'!DG90</f>
        <v>3.3685067344796575</v>
      </c>
      <c r="AB33" s="771">
        <f>'HVAC Deemed Table'!K90</f>
        <v>1193.5185947700302</v>
      </c>
      <c r="AC33" s="862">
        <f t="shared" si="45"/>
        <v>2712.8296358444491</v>
      </c>
      <c r="AD33" s="862">
        <f t="shared" si="35"/>
        <v>1307.5457883650949</v>
      </c>
      <c r="AE33" s="195">
        <f>'HVAC Deemed Table'!DI90</f>
        <v>2712.8296358444491</v>
      </c>
      <c r="AF33" s="195"/>
      <c r="AG33" s="195">
        <f>'HVAC Deemed Table'!DI91</f>
        <v>1307.5457883650949</v>
      </c>
      <c r="AH33" s="195"/>
      <c r="AI33" s="866" t="e">
        <f>#REF!</f>
        <v>#REF!</v>
      </c>
      <c r="AJ33" s="51">
        <f>'HVAC Deemed Table'!L90</f>
        <v>3.297874149663266</v>
      </c>
      <c r="AK33" s="621"/>
      <c r="AL33" s="621"/>
      <c r="AX33" s="1284" t="str">
        <f t="shared" si="46"/>
        <v>CAC-SEER21+_ER1_SF</v>
      </c>
      <c r="AY33" s="1307"/>
      <c r="AZ33" s="1376" t="str">
        <f t="shared" si="47"/>
        <v>351190</v>
      </c>
      <c r="BA33" s="865">
        <f>ROUND((K33*$BC$3)+(K34*$BC$4),2)</f>
        <v>2061.5100000000002</v>
      </c>
      <c r="BB33" s="1253"/>
      <c r="BC33" s="865">
        <f>ROUND((M33*$BC$3)+(K34*$BC$4),2)</f>
        <v>1033.3499999999999</v>
      </c>
      <c r="BD33" s="1253"/>
      <c r="BE33" s="1234"/>
      <c r="BF33" s="1250">
        <f>ROUND(BA33*'CP FACTORS'!$B$9,6)</f>
        <v>1.953112</v>
      </c>
      <c r="BG33" s="1251">
        <f>ROUND(BB33*'CP FACTORS'!$B$14,6)</f>
        <v>0</v>
      </c>
      <c r="BH33" s="1250">
        <f>ROUND(BC33*'CP FACTORS'!$B$9,6)</f>
        <v>0.97901400000000005</v>
      </c>
      <c r="BI33" s="1252">
        <f>ROUND(BD33*'CP FACTORS'!$B$14,6)</f>
        <v>0</v>
      </c>
      <c r="BJ33" s="1234"/>
      <c r="BK33" s="698">
        <f t="shared" si="38"/>
        <v>2061.5100000000002</v>
      </c>
      <c r="BL33" s="1271">
        <f t="shared" si="39"/>
        <v>1033.3499999999999</v>
      </c>
      <c r="BM33" s="1270">
        <f t="shared" si="40"/>
        <v>1.953112</v>
      </c>
      <c r="BN33" s="1269">
        <f t="shared" si="41"/>
        <v>0.97901400000000005</v>
      </c>
    </row>
    <row r="34" spans="1:66" x14ac:dyDescent="0.25">
      <c r="A34" s="49" t="str">
        <f t="shared" si="43"/>
        <v>351191</v>
      </c>
      <c r="B34" s="1371" t="str">
        <f>'HVAC Deemed Table'!C92</f>
        <v>351191_2024_12_</v>
      </c>
      <c r="C34" s="1307" t="str">
        <f>'HVAC Deemed Table'!G92</f>
        <v>Cooling RES</v>
      </c>
      <c r="D34" s="1307"/>
      <c r="E34" s="1307"/>
      <c r="F34" s="1307"/>
      <c r="G34" s="1307" t="str">
        <f>'HVAC Deemed Table'!E92</f>
        <v>CAC-SEER21+_ROF_SF</v>
      </c>
      <c r="H34" s="18" t="str">
        <f>'HVAC Deemed Table'!D92</f>
        <v>PAYS/SFIE</v>
      </c>
      <c r="I34" s="750">
        <f t="shared" si="26"/>
        <v>1067.57</v>
      </c>
      <c r="J34" s="750">
        <f t="shared" si="27"/>
        <v>0</v>
      </c>
      <c r="K34" s="189">
        <f>'HVAC Deemed Table'!F92</f>
        <v>1067.57</v>
      </c>
      <c r="L34" s="189">
        <v>0</v>
      </c>
      <c r="M34" s="189"/>
      <c r="N34" s="189">
        <v>0</v>
      </c>
      <c r="O34" s="751">
        <f t="shared" si="28"/>
        <v>1.0114350000000001</v>
      </c>
      <c r="P34" s="751">
        <f t="shared" si="29"/>
        <v>0</v>
      </c>
      <c r="Q34" s="752">
        <f>'HVAC Deemed Table'!I92</f>
        <v>1.0114350000000001</v>
      </c>
      <c r="R34" s="752">
        <v>0</v>
      </c>
      <c r="S34" s="752"/>
      <c r="T34" s="752">
        <v>0</v>
      </c>
      <c r="U34" s="753">
        <f t="shared" si="30"/>
        <v>0</v>
      </c>
      <c r="V34" s="753">
        <f t="shared" si="31"/>
        <v>0</v>
      </c>
      <c r="W34" s="753">
        <f t="shared" si="32"/>
        <v>1.0114350000000001</v>
      </c>
      <c r="X34" s="22">
        <f>'HVAC Deemed Table'!J92</f>
        <v>18</v>
      </c>
      <c r="Y34" s="22"/>
      <c r="Z34" s="22">
        <f t="shared" si="44"/>
        <v>18</v>
      </c>
      <c r="AA34" s="17">
        <f>'HVAC Deemed Table'!DG92</f>
        <v>1.9709553019910859</v>
      </c>
      <c r="AB34" s="771">
        <f>'HVAC Deemed Table'!K92</f>
        <v>1240.2557184934958</v>
      </c>
      <c r="AC34" s="862">
        <f t="shared" si="45"/>
        <v>2444.4885841895193</v>
      </c>
      <c r="AD34" s="862">
        <f t="shared" si="35"/>
        <v>0</v>
      </c>
      <c r="AE34" s="195">
        <f>'HVAC Deemed Table'!DI92</f>
        <v>2444.4885841895193</v>
      </c>
      <c r="AF34" s="195"/>
      <c r="AG34" s="195"/>
      <c r="AH34" s="195"/>
      <c r="AI34" s="866" t="e">
        <f t="shared" si="42"/>
        <v>#REF!</v>
      </c>
      <c r="AJ34" s="51">
        <f>'HVAC Deemed Table'!L92</f>
        <v>3.376689189189189</v>
      </c>
      <c r="AK34" s="621"/>
      <c r="AL34" s="621"/>
      <c r="AX34" s="1284" t="str">
        <f t="shared" si="46"/>
        <v>CAC-SEER21+_ROF_SF</v>
      </c>
      <c r="AY34" s="1307"/>
      <c r="AZ34" s="1376" t="str">
        <f t="shared" si="47"/>
        <v>351191</v>
      </c>
      <c r="BA34" s="865">
        <f>ROUND((K33*$BC$3)+(K34*$BC$4),2)</f>
        <v>2061.5100000000002</v>
      </c>
      <c r="BB34" s="1253"/>
      <c r="BC34" s="865">
        <f>ROUND((M33*$BC$3)+(K34*$BC$4),2)</f>
        <v>1033.3499999999999</v>
      </c>
      <c r="BD34" s="1253"/>
      <c r="BE34" s="1234"/>
      <c r="BF34" s="1250">
        <f>ROUND(BA34*'CP FACTORS'!$B$9,6)</f>
        <v>1.953112</v>
      </c>
      <c r="BG34" s="1251">
        <f>ROUND(BB34*'CP FACTORS'!$B$14,6)</f>
        <v>0</v>
      </c>
      <c r="BH34" s="1250">
        <f>ROUND(BC34*'CP FACTORS'!$B$9,6)</f>
        <v>0.97901400000000005</v>
      </c>
      <c r="BI34" s="1252">
        <f>ROUND(BD34*'CP FACTORS'!$B$14,6)</f>
        <v>0</v>
      </c>
      <c r="BJ34" s="1234"/>
      <c r="BK34" s="698">
        <f t="shared" si="38"/>
        <v>2061.5100000000002</v>
      </c>
      <c r="BL34" s="1271">
        <f t="shared" si="39"/>
        <v>1033.3499999999999</v>
      </c>
      <c r="BM34" s="1270">
        <f t="shared" si="40"/>
        <v>1.953112</v>
      </c>
      <c r="BN34" s="1269">
        <f t="shared" si="41"/>
        <v>0.97901400000000005</v>
      </c>
    </row>
    <row r="35" spans="1:66" x14ac:dyDescent="0.25">
      <c r="A35" s="49" t="str">
        <f t="shared" si="43"/>
        <v>351200</v>
      </c>
      <c r="B35" s="1371" t="str">
        <f>'HVAC Deemed Table'!C293</f>
        <v>351200_2024_12_</v>
      </c>
      <c r="C35" s="1307" t="str">
        <f>'HVAC Deemed Table'!G293</f>
        <v>Cooling RES</v>
      </c>
      <c r="D35" s="1307" t="str">
        <f>'HVAC Deemed Table'!G294</f>
        <v>Cooling RES ER2</v>
      </c>
      <c r="E35" s="1307"/>
      <c r="F35" s="1307"/>
      <c r="G35" s="1307" t="str">
        <f>'HVAC Deemed Table'!E293</f>
        <v>Mini/MultiSplitAC_ER1_SF</v>
      </c>
      <c r="H35" s="18" t="str">
        <f>'HVAC Deemed Table'!D293</f>
        <v>PAYS</v>
      </c>
      <c r="I35" s="750">
        <f t="shared" si="26"/>
        <v>1227.25</v>
      </c>
      <c r="J35" s="750">
        <f t="shared" si="27"/>
        <v>322.8</v>
      </c>
      <c r="K35" s="189">
        <f>'HVAC Deemed Table'!F293</f>
        <v>1227.25</v>
      </c>
      <c r="L35" s="189"/>
      <c r="M35" s="189">
        <f>'HVAC Deemed Table'!F294</f>
        <v>322.8</v>
      </c>
      <c r="N35" s="189">
        <v>0</v>
      </c>
      <c r="O35" s="751">
        <f t="shared" si="28"/>
        <v>1.1627190000000001</v>
      </c>
      <c r="P35" s="751">
        <f t="shared" si="29"/>
        <v>0.30582700000000002</v>
      </c>
      <c r="Q35" s="752">
        <f>'HVAC Deemed Table'!I293</f>
        <v>1.1627190000000001</v>
      </c>
      <c r="R35" s="752"/>
      <c r="S35" s="752">
        <f>'HVAC Deemed Table'!I294</f>
        <v>0.30582700000000002</v>
      </c>
      <c r="T35" s="752"/>
      <c r="U35" s="753">
        <f t="shared" si="30"/>
        <v>0</v>
      </c>
      <c r="V35" s="753">
        <f t="shared" si="31"/>
        <v>0</v>
      </c>
      <c r="W35" s="753">
        <f t="shared" si="32"/>
        <v>1.1627190000000001</v>
      </c>
      <c r="X35" s="22">
        <f>'HVAC Deemed Table'!J293</f>
        <v>6</v>
      </c>
      <c r="Y35" s="22">
        <f>'HVAC Deemed Table'!J294</f>
        <v>12</v>
      </c>
      <c r="Z35" s="22">
        <f t="shared" si="44"/>
        <v>18</v>
      </c>
      <c r="AA35" s="17">
        <f>'HVAC Deemed Table'!DG293</f>
        <v>2.397703376394094</v>
      </c>
      <c r="AB35" s="771">
        <f>'HVAC Deemed Table'!K293</f>
        <v>683.91788099116957</v>
      </c>
      <c r="AC35" s="862">
        <f t="shared" si="45"/>
        <v>1222.1545774409906</v>
      </c>
      <c r="AD35" s="862">
        <f t="shared" si="35"/>
        <v>417.6776349878308</v>
      </c>
      <c r="AE35" s="195">
        <f>'HVAC Deemed Table'!DI293</f>
        <v>1222.1545774409906</v>
      </c>
      <c r="AF35" s="195"/>
      <c r="AG35" s="195">
        <f>'HVAC Deemed Table'!DI294</f>
        <v>417.6776349878308</v>
      </c>
      <c r="AH35" s="195">
        <v>0</v>
      </c>
      <c r="AI35" s="866" t="e">
        <f>#REF!</f>
        <v>#REF!</v>
      </c>
      <c r="AJ35" s="51">
        <f>'HVAC Deemed Table'!L293</f>
        <v>1.75</v>
      </c>
      <c r="AK35" s="621"/>
      <c r="AL35" s="621"/>
      <c r="AX35" s="1284" t="str">
        <f t="shared" si="46"/>
        <v>Mini/MultiSplitAC_ER1_SF</v>
      </c>
      <c r="AY35" s="1307"/>
      <c r="AZ35" s="1376" t="str">
        <f t="shared" si="47"/>
        <v>351200</v>
      </c>
      <c r="BA35" s="865">
        <f>ROUND((K35*$BC$3)+(K36*$BC$4),2)</f>
        <v>832.46</v>
      </c>
      <c r="BB35" s="1253"/>
      <c r="BC35" s="865">
        <f>ROUND((M35*$BC$3)+(K36*$BC$4),2)</f>
        <v>289.79000000000002</v>
      </c>
      <c r="BD35" s="1253"/>
      <c r="BE35" s="1234"/>
      <c r="BF35" s="1250">
        <f>ROUND(BA35*'CP FACTORS'!$B$9,6)</f>
        <v>0.78868799999999994</v>
      </c>
      <c r="BG35" s="1251">
        <f>ROUND(BB35*'CP FACTORS'!$B$14,6)</f>
        <v>0</v>
      </c>
      <c r="BH35" s="1250">
        <f>ROUND(BC35*'CP FACTORS'!$B$9,6)</f>
        <v>0.27455200000000002</v>
      </c>
      <c r="BI35" s="1252">
        <f>ROUND(BD35*'CP FACTORS'!$B$14,6)</f>
        <v>0</v>
      </c>
      <c r="BJ35" s="1234"/>
      <c r="BK35" s="698">
        <f t="shared" si="38"/>
        <v>832.46</v>
      </c>
      <c r="BL35" s="1271">
        <f t="shared" si="39"/>
        <v>289.79000000000002</v>
      </c>
      <c r="BM35" s="1270">
        <f t="shared" si="40"/>
        <v>0.78868799999999994</v>
      </c>
      <c r="BN35" s="1269">
        <f t="shared" si="41"/>
        <v>0.27455200000000002</v>
      </c>
    </row>
    <row r="36" spans="1:66" x14ac:dyDescent="0.25">
      <c r="A36" s="49" t="str">
        <f t="shared" si="43"/>
        <v>351250</v>
      </c>
      <c r="B36" s="1371" t="str">
        <f>'HVAC Deemed Table'!C295</f>
        <v>351250_2024_12_</v>
      </c>
      <c r="C36" s="1307" t="str">
        <f>'HVAC Deemed Table'!G295</f>
        <v>Cooling RES</v>
      </c>
      <c r="D36" s="1307"/>
      <c r="E36" s="1307"/>
      <c r="F36" s="1307"/>
      <c r="G36" s="1307" t="str">
        <f>'HVAC Deemed Table'!E295</f>
        <v>Mini/MultiSplitAC_ROF_SF</v>
      </c>
      <c r="H36" s="18" t="str">
        <f>'HVAC Deemed Table'!D295</f>
        <v>PAYS</v>
      </c>
      <c r="I36" s="750">
        <f t="shared" si="26"/>
        <v>240.28</v>
      </c>
      <c r="J36" s="750">
        <f t="shared" si="27"/>
        <v>0</v>
      </c>
      <c r="K36" s="189">
        <f>'HVAC Deemed Table'!F295</f>
        <v>240.28</v>
      </c>
      <c r="L36" s="189"/>
      <c r="M36" s="189"/>
      <c r="N36" s="189">
        <v>0</v>
      </c>
      <c r="O36" s="751">
        <f t="shared" si="28"/>
        <v>0.22764599999999999</v>
      </c>
      <c r="P36" s="751">
        <f t="shared" si="29"/>
        <v>0</v>
      </c>
      <c r="Q36" s="752">
        <f>'HVAC Deemed Table'!I295</f>
        <v>0.22764599999999999</v>
      </c>
      <c r="R36" s="752"/>
      <c r="S36" s="752"/>
      <c r="T36" s="752"/>
      <c r="U36" s="753">
        <f t="shared" si="30"/>
        <v>0</v>
      </c>
      <c r="V36" s="753">
        <f t="shared" si="31"/>
        <v>0</v>
      </c>
      <c r="W36" s="753">
        <f t="shared" si="32"/>
        <v>0.22764599999999999</v>
      </c>
      <c r="X36" s="22">
        <f>'HVAC Deemed Table'!J295</f>
        <v>18</v>
      </c>
      <c r="Y36" s="22"/>
      <c r="Z36" s="22">
        <f t="shared" si="44"/>
        <v>18</v>
      </c>
      <c r="AA36" s="17">
        <f>'HVAC Deemed Table'!DG295</f>
        <v>1.0119161965158152</v>
      </c>
      <c r="AB36" s="771">
        <f>'HVAC Deemed Table'!K295</f>
        <v>543.7067546700647</v>
      </c>
      <c r="AC36" s="862">
        <f t="shared" si="45"/>
        <v>550.18567120568935</v>
      </c>
      <c r="AD36" s="862">
        <f t="shared" si="35"/>
        <v>0</v>
      </c>
      <c r="AE36" s="195">
        <f>'HVAC Deemed Table'!DI295</f>
        <v>550.18567120568935</v>
      </c>
      <c r="AF36" s="195"/>
      <c r="AG36" s="195"/>
      <c r="AH36" s="195">
        <v>0</v>
      </c>
      <c r="AI36" s="866" t="e">
        <f t="shared" si="42"/>
        <v>#REF!</v>
      </c>
      <c r="AJ36" s="51">
        <f>'HVAC Deemed Table'!L295</f>
        <v>1.0555555555555556</v>
      </c>
      <c r="AK36" s="621"/>
      <c r="AL36" s="621"/>
      <c r="AX36" s="1284" t="str">
        <f t="shared" si="46"/>
        <v>Mini/MultiSplitAC_ROF_SF</v>
      </c>
      <c r="AY36" s="1307"/>
      <c r="AZ36" s="1376" t="str">
        <f t="shared" si="47"/>
        <v>351250</v>
      </c>
      <c r="BA36" s="865">
        <f>ROUND((K35*$BC$3)+(K36*$BC$4),2)</f>
        <v>832.46</v>
      </c>
      <c r="BB36" s="1253"/>
      <c r="BC36" s="865">
        <f>ROUND((M35*$BC$3)+(K36*$BC$4),2)</f>
        <v>289.79000000000002</v>
      </c>
      <c r="BD36" s="1253"/>
      <c r="BE36" s="1234"/>
      <c r="BF36" s="1250">
        <f>ROUND(BA36*'CP FACTORS'!$B$9,6)</f>
        <v>0.78868799999999994</v>
      </c>
      <c r="BG36" s="1251">
        <f>ROUND(BB36*'CP FACTORS'!$B$14,6)</f>
        <v>0</v>
      </c>
      <c r="BH36" s="1250">
        <f>ROUND(BC36*'CP FACTORS'!$B$9,6)</f>
        <v>0.27455200000000002</v>
      </c>
      <c r="BI36" s="1252">
        <f>ROUND(BD36*'CP FACTORS'!$B$14,6)</f>
        <v>0</v>
      </c>
      <c r="BJ36" s="1234"/>
      <c r="BK36" s="698">
        <f t="shared" si="38"/>
        <v>832.46</v>
      </c>
      <c r="BL36" s="1271">
        <f t="shared" si="39"/>
        <v>289.79000000000002</v>
      </c>
      <c r="BM36" s="1270">
        <f t="shared" si="40"/>
        <v>0.78868799999999994</v>
      </c>
      <c r="BN36" s="1269">
        <f t="shared" si="41"/>
        <v>0.27455200000000002</v>
      </c>
    </row>
    <row r="37" spans="1:66" x14ac:dyDescent="0.25">
      <c r="A37" s="49" t="str">
        <f t="shared" si="43"/>
        <v>351300</v>
      </c>
      <c r="B37" s="1371" t="str">
        <f>'HVAC Deemed Table'!C296</f>
        <v>351300_2024_12_</v>
      </c>
      <c r="C37" s="1307" t="str">
        <f>'HVAC Deemed Table'!G296</f>
        <v>Cooling RES</v>
      </c>
      <c r="D37" s="1307" t="str">
        <f>'HVAC Deemed Table'!G297</f>
        <v>Heating RES</v>
      </c>
      <c r="E37" s="1307"/>
      <c r="F37" s="1307"/>
      <c r="G37" s="1307" t="str">
        <f>'HVAC Deemed Table'!E296</f>
        <v>Mini/MultiSplitASHP_ROF_SF_NC</v>
      </c>
      <c r="H37" s="18" t="str">
        <f>'HVAC Deemed Table'!D296</f>
        <v>PAYS</v>
      </c>
      <c r="I37" s="750">
        <f t="shared" si="26"/>
        <v>1168.58</v>
      </c>
      <c r="J37" s="750">
        <f t="shared" si="27"/>
        <v>0</v>
      </c>
      <c r="K37" s="189">
        <f>'HVAC Deemed Table'!F296</f>
        <v>251.78</v>
      </c>
      <c r="L37" s="189">
        <f>'HVAC Deemed Table'!F297</f>
        <v>916.8</v>
      </c>
      <c r="M37" s="189">
        <v>0</v>
      </c>
      <c r="N37" s="189">
        <v>0</v>
      </c>
      <c r="O37" s="751">
        <f t="shared" si="28"/>
        <v>0.238541</v>
      </c>
      <c r="P37" s="751">
        <f t="shared" si="29"/>
        <v>0</v>
      </c>
      <c r="Q37" s="752">
        <f>'HVAC Deemed Table'!I296</f>
        <v>0.238541</v>
      </c>
      <c r="R37" s="752">
        <f>'HVAC Deemed Table'!I297</f>
        <v>0</v>
      </c>
      <c r="S37" s="752"/>
      <c r="T37" s="752"/>
      <c r="U37" s="753">
        <f t="shared" si="30"/>
        <v>0</v>
      </c>
      <c r="V37" s="753">
        <f t="shared" si="31"/>
        <v>0</v>
      </c>
      <c r="W37" s="753">
        <f t="shared" si="32"/>
        <v>0.238541</v>
      </c>
      <c r="X37" s="22">
        <f>'HVAC Deemed Table'!J296</f>
        <v>18</v>
      </c>
      <c r="Y37" s="22"/>
      <c r="Z37" s="22">
        <f t="shared" si="44"/>
        <v>18</v>
      </c>
      <c r="AA37" s="17">
        <f>'HVAC Deemed Table'!DG296</f>
        <v>2.0823125947678669</v>
      </c>
      <c r="AB37" s="771">
        <f>'HVAC Deemed Table'!K296</f>
        <v>543.7067546700647</v>
      </c>
      <c r="AC37" s="862">
        <f t="shared" si="45"/>
        <v>1132.1674231098384</v>
      </c>
      <c r="AD37" s="862">
        <f t="shared" si="35"/>
        <v>0</v>
      </c>
      <c r="AE37" s="195">
        <f>'HVAC Deemed Table'!DI296</f>
        <v>576.5180135515584</v>
      </c>
      <c r="AF37" s="195">
        <f>'HVAC Deemed Table'!DI297</f>
        <v>555.64940955828001</v>
      </c>
      <c r="AG37" s="195">
        <v>0</v>
      </c>
      <c r="AH37" s="195">
        <v>0</v>
      </c>
      <c r="AI37" s="866" t="e">
        <f t="shared" si="42"/>
        <v>#REF!</v>
      </c>
      <c r="AJ37" s="51">
        <f>'HVAC Deemed Table'!L296</f>
        <v>1.3282828282828283</v>
      </c>
      <c r="AK37" s="621"/>
      <c r="AL37" s="621"/>
      <c r="AX37" s="1284" t="str">
        <f t="shared" si="46"/>
        <v>Mini/MultiSplitASHP_ROF_SF_NC</v>
      </c>
      <c r="AY37" s="1307"/>
      <c r="AZ37" s="1376" t="str">
        <f t="shared" si="47"/>
        <v>351300</v>
      </c>
      <c r="BA37" s="1256">
        <f>BA38</f>
        <v>795.42</v>
      </c>
      <c r="BB37" s="1256">
        <f>BB38</f>
        <v>1240.51</v>
      </c>
      <c r="BC37" s="1256">
        <f>BC38</f>
        <v>583.36</v>
      </c>
      <c r="BD37" s="1256">
        <f>BD38</f>
        <v>980.18</v>
      </c>
      <c r="BE37" s="1234"/>
      <c r="BF37" s="1250">
        <f>ROUND(BA37*'CP FACTORS'!$B$9,6)</f>
        <v>0.75359500000000001</v>
      </c>
      <c r="BG37" s="1251">
        <f>ROUND(BB37*'CP FACTORS'!$B$14,6)</f>
        <v>0</v>
      </c>
      <c r="BH37" s="1250">
        <f>ROUND(BC37*'CP FACTORS'!$B$9,6)</f>
        <v>0.55268600000000001</v>
      </c>
      <c r="BI37" s="1252">
        <f>ROUND(BD37*'CP FACTORS'!$B$14,6)</f>
        <v>0</v>
      </c>
      <c r="BJ37" s="1234"/>
      <c r="BK37" s="698">
        <f t="shared" si="38"/>
        <v>2035.9299999999998</v>
      </c>
      <c r="BL37" s="1271">
        <f t="shared" si="39"/>
        <v>1563.54</v>
      </c>
      <c r="BM37" s="1270">
        <f t="shared" si="40"/>
        <v>0.75359500000000001</v>
      </c>
      <c r="BN37" s="1269">
        <f t="shared" si="41"/>
        <v>0.55268600000000001</v>
      </c>
    </row>
    <row r="38" spans="1:66" x14ac:dyDescent="0.25">
      <c r="A38" s="49" t="str">
        <f t="shared" si="43"/>
        <v>351350</v>
      </c>
      <c r="B38" s="1371" t="str">
        <f>'HVAC Deemed Table'!C298</f>
        <v>351350_2024_12_</v>
      </c>
      <c r="C38" s="1307" t="str">
        <f>'HVAC Deemed Table'!G298</f>
        <v>Cooling RES</v>
      </c>
      <c r="D38" s="1307" t="str">
        <f>'HVAC Deemed Table'!G299</f>
        <v>Heating RES</v>
      </c>
      <c r="E38" s="1307"/>
      <c r="F38" s="1307"/>
      <c r="G38" s="1307" t="str">
        <f>'HVAC Deemed Table'!E298</f>
        <v>Mini/MultiSplitASHP_ROF_SF</v>
      </c>
      <c r="H38" s="18" t="str">
        <f>'HVAC Deemed Table'!D298</f>
        <v>PAYS</v>
      </c>
      <c r="I38" s="750">
        <f t="shared" si="26"/>
        <v>1168.58</v>
      </c>
      <c r="J38" s="750">
        <f t="shared" si="27"/>
        <v>0</v>
      </c>
      <c r="K38" s="189">
        <f>'HVAC Deemed Table'!F298</f>
        <v>251.78</v>
      </c>
      <c r="L38" s="189">
        <f>'HVAC Deemed Table'!F299</f>
        <v>916.8</v>
      </c>
      <c r="M38" s="189">
        <v>0</v>
      </c>
      <c r="N38" s="189">
        <v>0</v>
      </c>
      <c r="O38" s="751">
        <f t="shared" si="28"/>
        <v>0.238541</v>
      </c>
      <c r="P38" s="751">
        <f t="shared" si="29"/>
        <v>0</v>
      </c>
      <c r="Q38" s="752">
        <f>'HVAC Deemed Table'!I298</f>
        <v>0.238541</v>
      </c>
      <c r="R38" s="752">
        <f>'HVAC Deemed Table'!I299</f>
        <v>0</v>
      </c>
      <c r="S38" s="752"/>
      <c r="T38" s="752"/>
      <c r="U38" s="753">
        <f t="shared" si="30"/>
        <v>0</v>
      </c>
      <c r="V38" s="753">
        <f t="shared" si="31"/>
        <v>0</v>
      </c>
      <c r="W38" s="753">
        <f t="shared" si="32"/>
        <v>0.238541</v>
      </c>
      <c r="X38" s="22">
        <f>'HVAC Deemed Table'!J298</f>
        <v>18</v>
      </c>
      <c r="Y38" s="22"/>
      <c r="Z38" s="22">
        <f t="shared" si="44"/>
        <v>18</v>
      </c>
      <c r="AA38" s="17">
        <f>'HVAC Deemed Table'!DG298</f>
        <v>2.0823125947678669</v>
      </c>
      <c r="AB38" s="771">
        <f>'HVAC Deemed Table'!K298</f>
        <v>543.7067546700647</v>
      </c>
      <c r="AC38" s="862">
        <f t="shared" si="45"/>
        <v>1132.1674231098384</v>
      </c>
      <c r="AD38" s="862">
        <f t="shared" si="35"/>
        <v>0</v>
      </c>
      <c r="AE38" s="195">
        <f>'HVAC Deemed Table'!DI298</f>
        <v>576.5180135515584</v>
      </c>
      <c r="AF38" s="195">
        <f>'HVAC Deemed Table'!DI299</f>
        <v>555.64940955828001</v>
      </c>
      <c r="AG38" s="195">
        <v>0</v>
      </c>
      <c r="AH38" s="195">
        <v>0</v>
      </c>
      <c r="AI38" s="866" t="e">
        <f t="shared" si="42"/>
        <v>#REF!</v>
      </c>
      <c r="AJ38" s="51">
        <f>'HVAC Deemed Table'!L298</f>
        <v>1.3282828282828283</v>
      </c>
      <c r="AK38" s="621"/>
      <c r="AL38" s="621"/>
      <c r="AX38" s="1284" t="str">
        <f t="shared" si="46"/>
        <v>Mini/MultiSplitASHP_ROF_SF</v>
      </c>
      <c r="AY38" s="1307"/>
      <c r="AZ38" s="1376" t="str">
        <f t="shared" si="47"/>
        <v>351350</v>
      </c>
      <c r="BA38" s="698">
        <f>BA43</f>
        <v>795.42</v>
      </c>
      <c r="BB38" s="698">
        <f>BB43</f>
        <v>1240.51</v>
      </c>
      <c r="BC38" s="698">
        <f>BC43</f>
        <v>583.36</v>
      </c>
      <c r="BD38" s="698">
        <f>BD43</f>
        <v>980.18</v>
      </c>
      <c r="BE38" s="1234"/>
      <c r="BF38" s="1250">
        <f>ROUND(BA38*'CP FACTORS'!$B$9,6)</f>
        <v>0.75359500000000001</v>
      </c>
      <c r="BG38" s="1251">
        <f>ROUND(BB38*'CP FACTORS'!$B$14,6)</f>
        <v>0</v>
      </c>
      <c r="BH38" s="1250">
        <f>ROUND(BC38*'CP FACTORS'!$B$9,6)</f>
        <v>0.55268600000000001</v>
      </c>
      <c r="BI38" s="1252">
        <f>ROUND(BD38*'CP FACTORS'!$B$14,6)</f>
        <v>0</v>
      </c>
      <c r="BJ38" s="1234"/>
      <c r="BK38" s="698">
        <f t="shared" si="38"/>
        <v>2035.9299999999998</v>
      </c>
      <c r="BL38" s="1271">
        <f t="shared" si="39"/>
        <v>1563.54</v>
      </c>
      <c r="BM38" s="1270">
        <f t="shared" si="40"/>
        <v>0.75359500000000001</v>
      </c>
      <c r="BN38" s="1269">
        <f t="shared" si="41"/>
        <v>0.55268600000000001</v>
      </c>
    </row>
    <row r="39" spans="1:66" x14ac:dyDescent="0.25">
      <c r="A39" s="49" t="str">
        <f t="shared" si="43"/>
        <v>351400</v>
      </c>
      <c r="B39" s="1371" t="str">
        <f>'HVAC Deemed Table'!C300</f>
        <v>351400_2024_12_</v>
      </c>
      <c r="C39" s="1307" t="str">
        <f>'HVAC Deemed Table'!G300</f>
        <v>Cooling RES</v>
      </c>
      <c r="D39" s="1307" t="str">
        <f>'HVAC Deemed Table'!G301</f>
        <v>Heating RES</v>
      </c>
      <c r="E39" s="1307" t="str">
        <f>'HVAC Deemed Table'!G302</f>
        <v>Cooling RES ER2</v>
      </c>
      <c r="F39" s="1307" t="str">
        <f>'HVAC Deemed Table'!G303</f>
        <v>Heating RES ER2</v>
      </c>
      <c r="G39" s="1307" t="str">
        <f>'HVAC Deemed Table'!E300</f>
        <v>Mini/MultiSplitASHP-Replace_CAC_ElectricHeat_ER1_SF</v>
      </c>
      <c r="H39" s="18" t="str">
        <f>'HVAC Deemed Table'!D300</f>
        <v>PAYS</v>
      </c>
      <c r="I39" s="750">
        <f t="shared" si="26"/>
        <v>5898.35</v>
      </c>
      <c r="J39" s="750">
        <f t="shared" si="27"/>
        <v>5170.45</v>
      </c>
      <c r="K39" s="189">
        <f>'HVAC Deemed Table'!F300</f>
        <v>1157.8399999999999</v>
      </c>
      <c r="L39" s="189">
        <f>'HVAC Deemed Table'!F301</f>
        <v>4740.51</v>
      </c>
      <c r="M39" s="189">
        <f>'HVAC Deemed Table'!F302</f>
        <v>429.94</v>
      </c>
      <c r="N39" s="189">
        <f>'HVAC Deemed Table'!F303</f>
        <v>4740.51</v>
      </c>
      <c r="O39" s="751">
        <f t="shared" si="28"/>
        <v>1.096959</v>
      </c>
      <c r="P39" s="751">
        <f t="shared" si="29"/>
        <v>0.407333</v>
      </c>
      <c r="Q39" s="752">
        <f>'HVAC Deemed Table'!I300</f>
        <v>1.096959</v>
      </c>
      <c r="R39" s="752">
        <f>'HVAC Deemed Table'!I301</f>
        <v>0</v>
      </c>
      <c r="S39" s="752">
        <f>'HVAC Deemed Table'!I302</f>
        <v>0.407333</v>
      </c>
      <c r="T39" s="752">
        <f>'HVAC Deemed Table'!I303</f>
        <v>0</v>
      </c>
      <c r="U39" s="753">
        <f t="shared" si="30"/>
        <v>0</v>
      </c>
      <c r="V39" s="753">
        <f t="shared" si="31"/>
        <v>0</v>
      </c>
      <c r="W39" s="753">
        <f t="shared" si="32"/>
        <v>1.096959</v>
      </c>
      <c r="X39" s="22">
        <f>'HVAC Deemed Table'!J300</f>
        <v>6</v>
      </c>
      <c r="Y39" s="22">
        <f>'HVAC Deemed Table'!J302</f>
        <v>12</v>
      </c>
      <c r="Z39" s="22">
        <f t="shared" si="44"/>
        <v>18</v>
      </c>
      <c r="AA39" s="17">
        <f>'HVAC Deemed Table'!DG300</f>
        <v>7.3143219896259657</v>
      </c>
      <c r="AB39" s="771">
        <f>'HVAC Deemed Table'!K300</f>
        <v>626.5030303030303</v>
      </c>
      <c r="AC39" s="862">
        <f t="shared" si="45"/>
        <v>2424.3370946237897</v>
      </c>
      <c r="AD39" s="862">
        <f t="shared" si="35"/>
        <v>2158.1077964889673</v>
      </c>
      <c r="AE39" s="195">
        <f>'HVAC Deemed Table'!DI300</f>
        <v>1153.0327610057254</v>
      </c>
      <c r="AF39" s="195">
        <f>'HVAC Deemed Table'!DI301</f>
        <v>1271.3043336180642</v>
      </c>
      <c r="AG39" s="195">
        <f>'HVAC Deemed Table'!DI302</f>
        <v>556.30830974804201</v>
      </c>
      <c r="AH39" s="195">
        <f>'HVAC Deemed Table'!DI303</f>
        <v>1601.7994867409254</v>
      </c>
      <c r="AI39" s="866" t="e">
        <f t="shared" si="42"/>
        <v>#REF!</v>
      </c>
      <c r="AJ39" s="51">
        <f>'HVAC Deemed Table'!L300</f>
        <v>1.9242424242424243</v>
      </c>
      <c r="AK39" s="621"/>
      <c r="AL39" s="621"/>
      <c r="AX39" s="1284" t="str">
        <f t="shared" si="46"/>
        <v>Mini/MultiSplitASHP-Replace_CAC_ElectricHeat_ER1_SF</v>
      </c>
      <c r="AY39" s="1307"/>
      <c r="AZ39" s="1376" t="str">
        <f t="shared" si="47"/>
        <v>351400</v>
      </c>
      <c r="BA39" s="1254">
        <f>ROUND((K39*$BC$3)+(K41*$BC$4),2)</f>
        <v>814.43</v>
      </c>
      <c r="BB39" s="1254">
        <f>ROUND((L39*$BC$3)+(L41*$BC$4),2)</f>
        <v>4501.71</v>
      </c>
      <c r="BC39" s="1254">
        <f>ROUND((M39*$BC$3)+(K41*$BC$4),2)</f>
        <v>377.69</v>
      </c>
      <c r="BD39" s="1254">
        <f>ROUND((N39*$BC$3)+(L41*$BC$4),2)</f>
        <v>4501.71</v>
      </c>
      <c r="BE39" s="1234"/>
      <c r="BF39" s="1250">
        <f>ROUND(BA39*'CP FACTORS'!$B$9,6)</f>
        <v>0.77160600000000001</v>
      </c>
      <c r="BG39" s="1251">
        <f>ROUND(BB39*'CP FACTORS'!$B$14,6)</f>
        <v>0</v>
      </c>
      <c r="BH39" s="1250">
        <f>ROUND(BC39*'CP FACTORS'!$B$9,6)</f>
        <v>0.35782999999999998</v>
      </c>
      <c r="BI39" s="1252">
        <f>ROUND(BD39*'CP FACTORS'!$B$14,6)</f>
        <v>0</v>
      </c>
      <c r="BJ39" s="1234"/>
      <c r="BK39" s="698">
        <f t="shared" si="38"/>
        <v>5316.14</v>
      </c>
      <c r="BL39" s="1271">
        <f t="shared" si="39"/>
        <v>4879.3999999999996</v>
      </c>
      <c r="BM39" s="1270">
        <f t="shared" si="40"/>
        <v>0.77160600000000001</v>
      </c>
      <c r="BN39" s="1269">
        <f t="shared" si="41"/>
        <v>0.35782999999999998</v>
      </c>
    </row>
    <row r="40" spans="1:66" x14ac:dyDescent="0.25">
      <c r="A40" s="49" t="str">
        <f t="shared" si="43"/>
        <v>351401</v>
      </c>
      <c r="B40" s="1371" t="str">
        <f>'HVAC Deemed Table'!C304</f>
        <v>351401_2024_12_</v>
      </c>
      <c r="C40" s="846" t="str">
        <f>'HVAC Deemed Table'!G304</f>
        <v>Cooling RES</v>
      </c>
      <c r="D40" s="846" t="str">
        <f>'HVAC Deemed Table'!G305</f>
        <v>Heating RES</v>
      </c>
      <c r="E40" s="1307" t="str">
        <f>'HVAC Deemed Table'!G306</f>
        <v>Cooling RES ER2</v>
      </c>
      <c r="F40" s="846" t="str">
        <f>'HVAC Deemed Table'!G307</f>
        <v>Heating RES ER2</v>
      </c>
      <c r="G40" s="1307" t="str">
        <f>'HVAC Deemed Table'!E304</f>
        <v>Mini/MultiSplitASHP-Replace_CAC_NonElectricHeat_ER1_SF</v>
      </c>
      <c r="H40" s="18" t="str">
        <f>'HVAC Deemed Table'!D304</f>
        <v>PAYS</v>
      </c>
      <c r="I40" s="750">
        <f t="shared" si="26"/>
        <v>1157.8399999999999</v>
      </c>
      <c r="J40" s="750">
        <f t="shared" si="27"/>
        <v>429.94</v>
      </c>
      <c r="K40" s="189">
        <f>'HVAC Deemed Table'!F304</f>
        <v>1157.8399999999999</v>
      </c>
      <c r="L40" s="189">
        <f>'HVAC Deemed Table'!F305</f>
        <v>0</v>
      </c>
      <c r="M40" s="189">
        <f>'HVAC Deemed Table'!F306</f>
        <v>429.94</v>
      </c>
      <c r="N40" s="189">
        <f>'HVAC Deemed Table'!F307</f>
        <v>0</v>
      </c>
      <c r="O40" s="751">
        <f t="shared" si="28"/>
        <v>1.096959</v>
      </c>
      <c r="P40" s="751">
        <f t="shared" si="29"/>
        <v>0.407333</v>
      </c>
      <c r="Q40" s="752">
        <f>'HVAC Deemed Table'!I304</f>
        <v>1.096959</v>
      </c>
      <c r="R40" s="752">
        <f>'HVAC Deemed Table'!I305</f>
        <v>0</v>
      </c>
      <c r="S40" s="752">
        <f>'HVAC Deemed Table'!I306</f>
        <v>0.407333</v>
      </c>
      <c r="T40" s="752">
        <f>'HVAC Deemed Table'!I307</f>
        <v>0</v>
      </c>
      <c r="U40" s="753">
        <f t="shared" si="30"/>
        <v>0</v>
      </c>
      <c r="V40" s="753">
        <f t="shared" si="31"/>
        <v>0</v>
      </c>
      <c r="W40" s="753">
        <f t="shared" si="32"/>
        <v>1.096959</v>
      </c>
      <c r="X40" s="22">
        <f>'HVAC Deemed Table'!J304</f>
        <v>6</v>
      </c>
      <c r="Y40" s="22">
        <f>'HVAC Deemed Table'!J306</f>
        <v>12</v>
      </c>
      <c r="Z40" s="22">
        <f t="shared" si="44"/>
        <v>18</v>
      </c>
      <c r="AA40" s="17">
        <f>'HVAC Deemed Table'!DG304</f>
        <v>19.020230024557058</v>
      </c>
      <c r="AB40" s="771">
        <f>'HVAC Deemed Table'!K304</f>
        <v>89.869631889142951</v>
      </c>
      <c r="AC40" s="862">
        <f t="shared" si="45"/>
        <v>1153.0327610057254</v>
      </c>
      <c r="AD40" s="862">
        <f t="shared" si="35"/>
        <v>556.30830974804201</v>
      </c>
      <c r="AE40" s="195">
        <f>'HVAC Deemed Table'!DI304</f>
        <v>1153.0327610057254</v>
      </c>
      <c r="AF40" s="195">
        <f>'HVAC Deemed Table'!DI305</f>
        <v>0</v>
      </c>
      <c r="AG40" s="195">
        <f>'HVAC Deemed Table'!DI306</f>
        <v>556.30830974804201</v>
      </c>
      <c r="AH40" s="195">
        <f>'HVAC Deemed Table'!DI307</f>
        <v>0</v>
      </c>
      <c r="AI40" s="866" t="e">
        <f t="shared" si="42"/>
        <v>#REF!</v>
      </c>
      <c r="AJ40" s="46">
        <f>'HVAC Deemed Table'!L304</f>
        <v>1.924242424242425</v>
      </c>
      <c r="AK40" s="621"/>
      <c r="AL40" s="621"/>
      <c r="AX40" s="1284" t="str">
        <f t="shared" si="46"/>
        <v>Mini/MultiSplitASHP-Replace_CAC_NonElectricHeat_ER1_SF</v>
      </c>
      <c r="AY40" s="1307"/>
      <c r="AZ40" s="1376" t="str">
        <f t="shared" si="47"/>
        <v>351401</v>
      </c>
      <c r="BA40" s="1255">
        <f>ROUND((K40*$BC$3)+(K42*$BC$4),2)</f>
        <v>814.43</v>
      </c>
      <c r="BB40" s="1255">
        <f>ROUND((L40*$BC$3)+(L42*$BC$4),2)</f>
        <v>0</v>
      </c>
      <c r="BC40" s="1255">
        <f>ROUND((M40*$BC$3)+(K42*$BC$4),2)</f>
        <v>377.69</v>
      </c>
      <c r="BD40" s="1255">
        <f>ROUND((N40*$BC$3)+(L42*$BC$4),2)</f>
        <v>0</v>
      </c>
      <c r="BE40" s="1234"/>
      <c r="BF40" s="1250">
        <f>ROUND(BA40*'CP FACTORS'!$B$9,6)</f>
        <v>0.77160600000000001</v>
      </c>
      <c r="BG40" s="1251">
        <f>ROUND(BB40*'CP FACTORS'!$B$14,6)</f>
        <v>0</v>
      </c>
      <c r="BH40" s="1250">
        <f>ROUND(BC40*'CP FACTORS'!$B$9,6)</f>
        <v>0.35782999999999998</v>
      </c>
      <c r="BI40" s="1252">
        <f>ROUND(BD40*'CP FACTORS'!$B$14,6)</f>
        <v>0</v>
      </c>
      <c r="BJ40" s="1234"/>
      <c r="BK40" s="698">
        <f t="shared" si="38"/>
        <v>814.43</v>
      </c>
      <c r="BL40" s="1271">
        <f t="shared" si="39"/>
        <v>377.69</v>
      </c>
      <c r="BM40" s="1270">
        <f t="shared" si="40"/>
        <v>0.77160600000000001</v>
      </c>
      <c r="BN40" s="1269">
        <f t="shared" si="41"/>
        <v>0.35782999999999998</v>
      </c>
    </row>
    <row r="41" spans="1:66" x14ac:dyDescent="0.25">
      <c r="A41" s="49" t="str">
        <f t="shared" si="43"/>
        <v>351450</v>
      </c>
      <c r="B41" s="1371" t="str">
        <f>'HVAC Deemed Table'!C308</f>
        <v>351450_2024_12_</v>
      </c>
      <c r="C41" s="1307" t="str">
        <f>'HVAC Deemed Table'!G308</f>
        <v>Cooling RES</v>
      </c>
      <c r="D41" s="1307" t="str">
        <f>'HVAC Deemed Table'!G309</f>
        <v>Heating RES</v>
      </c>
      <c r="E41" s="1307"/>
      <c r="F41" s="1307"/>
      <c r="G41" s="1307" t="str">
        <f>'HVAC Deemed Table'!E308</f>
        <v>Mini/MultiSplitASHP-Replace_CAC_ElectricHeat_ROF_SF</v>
      </c>
      <c r="H41" s="18" t="str">
        <f>'HVAC Deemed Table'!D308</f>
        <v>PAYS</v>
      </c>
      <c r="I41" s="750">
        <f t="shared" si="26"/>
        <v>4442.83</v>
      </c>
      <c r="J41" s="750">
        <f t="shared" si="27"/>
        <v>0</v>
      </c>
      <c r="K41" s="189">
        <f>'HVAC Deemed Table'!F308</f>
        <v>299.32</v>
      </c>
      <c r="L41" s="189">
        <f>'HVAC Deemed Table'!F309</f>
        <v>4143.51</v>
      </c>
      <c r="M41" s="189"/>
      <c r="N41" s="189"/>
      <c r="O41" s="751">
        <f t="shared" si="28"/>
        <v>0.28358100000000003</v>
      </c>
      <c r="P41" s="751">
        <f t="shared" si="29"/>
        <v>0</v>
      </c>
      <c r="Q41" s="752">
        <f>'HVAC Deemed Table'!I308</f>
        <v>0.28358100000000003</v>
      </c>
      <c r="R41" s="752">
        <f>'HVAC Deemed Table'!I309</f>
        <v>0</v>
      </c>
      <c r="S41" s="752"/>
      <c r="T41" s="752"/>
      <c r="U41" s="753">
        <f t="shared" si="30"/>
        <v>0</v>
      </c>
      <c r="V41" s="753">
        <f t="shared" si="31"/>
        <v>0</v>
      </c>
      <c r="W41" s="753">
        <f t="shared" si="32"/>
        <v>0.28358100000000003</v>
      </c>
      <c r="X41" s="22">
        <f>'HVAC Deemed Table'!J308</f>
        <v>18</v>
      </c>
      <c r="Y41" s="22"/>
      <c r="Z41" s="22">
        <f t="shared" si="44"/>
        <v>18</v>
      </c>
      <c r="AA41" s="17">
        <f>'HVAC Deemed Table'!DG308</f>
        <v>5.8793655640780518</v>
      </c>
      <c r="AB41" s="771">
        <f>'HVAC Deemed Table'!K308</f>
        <v>543.7067546700647</v>
      </c>
      <c r="AC41" s="862">
        <f t="shared" si="45"/>
        <v>3196.6507703638117</v>
      </c>
      <c r="AD41" s="862">
        <f t="shared" si="35"/>
        <v>0</v>
      </c>
      <c r="AE41" s="195">
        <f>'HVAC Deemed Table'!DI308</f>
        <v>685.37362704048167</v>
      </c>
      <c r="AF41" s="195">
        <f>'HVAC Deemed Table'!DI309</f>
        <v>2511.2771433233302</v>
      </c>
      <c r="AG41" s="195">
        <v>0</v>
      </c>
      <c r="AH41" s="195">
        <v>0</v>
      </c>
      <c r="AI41" s="866" t="e">
        <f t="shared" si="42"/>
        <v>#REF!</v>
      </c>
      <c r="AJ41" s="51">
        <f>'HVAC Deemed Table'!L308</f>
        <v>1.3282828282828283</v>
      </c>
      <c r="AK41" s="621"/>
      <c r="AL41" s="621"/>
      <c r="AX41" s="1284" t="str">
        <f t="shared" si="46"/>
        <v>Mini/MultiSplitASHP-Replace_CAC_ElectricHeat_ROF_SF</v>
      </c>
      <c r="AY41" s="1307"/>
      <c r="AZ41" s="1376" t="str">
        <f t="shared" si="47"/>
        <v>351450</v>
      </c>
      <c r="BA41" s="1254">
        <f>ROUND((K39*$BC$3)+(K41*$BC$4),2)</f>
        <v>814.43</v>
      </c>
      <c r="BB41" s="1254">
        <f>ROUND((L39*$BC$3)+(L41*$BC$4),2)</f>
        <v>4501.71</v>
      </c>
      <c r="BC41" s="1254">
        <f>ROUND((M39*$BC$3)+(K41*$BC$4),2)</f>
        <v>377.69</v>
      </c>
      <c r="BD41" s="1254">
        <f>ROUND((N39*$BC$3)+(L41*$BC$4),2)</f>
        <v>4501.71</v>
      </c>
      <c r="BE41" s="1234"/>
      <c r="BF41" s="1250">
        <f>ROUND(BA41*'CP FACTORS'!$B$9,6)</f>
        <v>0.77160600000000001</v>
      </c>
      <c r="BG41" s="1251">
        <f>ROUND(BB41*'CP FACTORS'!$B$14,6)</f>
        <v>0</v>
      </c>
      <c r="BH41" s="1250">
        <f>ROUND(BC41*'CP FACTORS'!$B$9,6)</f>
        <v>0.35782999999999998</v>
      </c>
      <c r="BI41" s="1252">
        <f>ROUND(BD41*'CP FACTORS'!$B$14,6)</f>
        <v>0</v>
      </c>
      <c r="BJ41" s="1234"/>
      <c r="BK41" s="698">
        <f t="shared" si="38"/>
        <v>5316.14</v>
      </c>
      <c r="BL41" s="1271">
        <f t="shared" si="39"/>
        <v>4879.3999999999996</v>
      </c>
      <c r="BM41" s="1270">
        <f t="shared" si="40"/>
        <v>0.77160600000000001</v>
      </c>
      <c r="BN41" s="1269">
        <f t="shared" si="41"/>
        <v>0.35782999999999998</v>
      </c>
    </row>
    <row r="42" spans="1:66" s="39" customFormat="1" x14ac:dyDescent="0.25">
      <c r="A42" s="49" t="str">
        <f t="shared" si="43"/>
        <v>351451</v>
      </c>
      <c r="B42" s="1371" t="str">
        <f>'HVAC Deemed Table'!C310</f>
        <v>351451_2024_12_</v>
      </c>
      <c r="C42" s="846" t="str">
        <f>'HVAC Deemed Table'!G310</f>
        <v>Cooling RES</v>
      </c>
      <c r="D42" s="846" t="str">
        <f>'HVAC Deemed Table'!G311</f>
        <v>Heating RES</v>
      </c>
      <c r="E42" s="1307"/>
      <c r="F42" s="1307"/>
      <c r="G42" s="1307" t="str">
        <f>'HVAC Deemed Table'!E310</f>
        <v>Mini/MultiSplitASHP-Replace_CAC_NonElectricHeat_ROF_SF</v>
      </c>
      <c r="H42" s="18" t="str">
        <f>'HVAC Deemed Table'!D310</f>
        <v>PAYS</v>
      </c>
      <c r="I42" s="750">
        <f t="shared" si="26"/>
        <v>299.32</v>
      </c>
      <c r="J42" s="750">
        <f t="shared" si="27"/>
        <v>0</v>
      </c>
      <c r="K42" s="189">
        <f>'HVAC Deemed Table'!F310</f>
        <v>299.32</v>
      </c>
      <c r="L42" s="189">
        <f>'HVAC Deemed Table'!F311</f>
        <v>0</v>
      </c>
      <c r="M42" s="189"/>
      <c r="N42" s="189"/>
      <c r="O42" s="751">
        <f t="shared" si="28"/>
        <v>0.28358100000000003</v>
      </c>
      <c r="P42" s="751">
        <f t="shared" si="29"/>
        <v>0</v>
      </c>
      <c r="Q42" s="752">
        <f>'HVAC Deemed Table'!I310</f>
        <v>0.28358100000000003</v>
      </c>
      <c r="R42" s="752">
        <f>'HVAC Deemed Table'!I311</f>
        <v>0</v>
      </c>
      <c r="S42" s="752"/>
      <c r="T42" s="752"/>
      <c r="U42" s="753">
        <f t="shared" si="30"/>
        <v>0</v>
      </c>
      <c r="V42" s="753">
        <f t="shared" si="31"/>
        <v>0</v>
      </c>
      <c r="W42" s="753">
        <f t="shared" si="32"/>
        <v>0.28358100000000003</v>
      </c>
      <c r="X42" s="22">
        <f>'HVAC Deemed Table'!J310</f>
        <v>18</v>
      </c>
      <c r="Y42" s="22"/>
      <c r="Z42" s="22">
        <f t="shared" si="44"/>
        <v>18</v>
      </c>
      <c r="AA42" s="17">
        <f>'HVAC Deemed Table'!DG310</f>
        <v>18.710552835718158</v>
      </c>
      <c r="AB42" s="771">
        <f>'HVAC Deemed Table'!K310</f>
        <v>36.630324772238367</v>
      </c>
      <c r="AC42" s="862">
        <f t="shared" si="45"/>
        <v>685.37362704048167</v>
      </c>
      <c r="AD42" s="862">
        <f t="shared" si="35"/>
        <v>0</v>
      </c>
      <c r="AE42" s="195">
        <f>'HVAC Deemed Table'!DI310</f>
        <v>685.37362704048167</v>
      </c>
      <c r="AF42" s="195">
        <f>'HVAC Deemed Table'!DI311</f>
        <v>0</v>
      </c>
      <c r="AG42" s="195">
        <v>0</v>
      </c>
      <c r="AH42" s="195">
        <v>0</v>
      </c>
      <c r="AI42" s="866" t="e">
        <f t="shared" si="42"/>
        <v>#REF!</v>
      </c>
      <c r="AJ42" s="46">
        <f>'HVAC Deemed Table'!L310</f>
        <v>1.3282828282828283</v>
      </c>
      <c r="AK42" s="877"/>
      <c r="AL42" s="877"/>
      <c r="AM42"/>
      <c r="AN42"/>
      <c r="AO42"/>
      <c r="AP42"/>
      <c r="AQ42"/>
      <c r="AR42"/>
      <c r="AS42"/>
      <c r="AT42"/>
      <c r="AU42"/>
      <c r="AV42"/>
      <c r="AW42"/>
      <c r="AX42" s="1284" t="str">
        <f t="shared" si="46"/>
        <v>Mini/MultiSplitASHP-Replace_CAC_NonElectricHeat_ROF_SF</v>
      </c>
      <c r="AY42" s="1307"/>
      <c r="AZ42" s="1376" t="str">
        <f t="shared" si="47"/>
        <v>351451</v>
      </c>
      <c r="BA42" s="1255">
        <f>ROUND((K40*$BC$3)+(K42*$BC$4),2)</f>
        <v>814.43</v>
      </c>
      <c r="BB42" s="1255">
        <f>ROUND((L40*$BC$3)+(L42*$BC$4),2)</f>
        <v>0</v>
      </c>
      <c r="BC42" s="1255">
        <f>ROUND((M40*$BC$3)+(K42*$BC$4),2)</f>
        <v>377.69</v>
      </c>
      <c r="BD42" s="1255">
        <f>ROUND((N40*$BC$3)+(L42*$BC$4),2)</f>
        <v>0</v>
      </c>
      <c r="BE42" s="1235"/>
      <c r="BF42" s="1250">
        <f>ROUND(BA42*'CP FACTORS'!$B$9,6)</f>
        <v>0.77160600000000001</v>
      </c>
      <c r="BG42" s="1251">
        <f>ROUND(BB42*'CP FACTORS'!$B$14,6)</f>
        <v>0</v>
      </c>
      <c r="BH42" s="1250">
        <f>ROUND(BC42*'CP FACTORS'!$B$9,6)</f>
        <v>0.35782999999999998</v>
      </c>
      <c r="BI42" s="1252">
        <f>ROUND(BD42*'CP FACTORS'!$B$14,6)</f>
        <v>0</v>
      </c>
      <c r="BJ42" s="1234"/>
      <c r="BK42" s="698">
        <f t="shared" si="38"/>
        <v>814.43</v>
      </c>
      <c r="BL42" s="1271">
        <f t="shared" si="39"/>
        <v>377.69</v>
      </c>
      <c r="BM42" s="1270">
        <f t="shared" si="40"/>
        <v>0.77160600000000001</v>
      </c>
      <c r="BN42" s="1269">
        <f t="shared" si="41"/>
        <v>0.35782999999999998</v>
      </c>
    </row>
    <row r="43" spans="1:66" x14ac:dyDescent="0.25">
      <c r="A43" s="49" t="str">
        <f t="shared" si="43"/>
        <v>351500</v>
      </c>
      <c r="B43" s="1371" t="str">
        <f>'HVAC Deemed Table'!C312</f>
        <v>351500_2024_12_</v>
      </c>
      <c r="C43" s="1307" t="str">
        <f>'HVAC Deemed Table'!G312</f>
        <v>Cooling RES</v>
      </c>
      <c r="D43" s="1307" t="str">
        <f>'HVAC Deemed Table'!G313</f>
        <v>Heating RES</v>
      </c>
      <c r="E43" s="1307" t="str">
        <f>'HVAC Deemed Table'!G314</f>
        <v>Cooling RES ER2</v>
      </c>
      <c r="F43" s="1307" t="str">
        <f>'HVAC Deemed Table'!G315</f>
        <v>Heating RES ER2</v>
      </c>
      <c r="G43" s="1307" t="str">
        <f>'HVAC Deemed Table'!E312</f>
        <v>Mini/MultiSplitASHP_ER1_SF</v>
      </c>
      <c r="H43" s="18" t="str">
        <f>'HVAC Deemed Table'!D312</f>
        <v>PAYS</v>
      </c>
      <c r="I43" s="750">
        <f t="shared" si="26"/>
        <v>2614.16</v>
      </c>
      <c r="J43" s="750">
        <f t="shared" si="27"/>
        <v>1383.5</v>
      </c>
      <c r="K43" s="189">
        <f>'HVAC Deemed Table'!F312</f>
        <v>1157.8399999999999</v>
      </c>
      <c r="L43" s="189">
        <f>'HVAC Deemed Table'!F313</f>
        <v>1456.32</v>
      </c>
      <c r="M43" s="189">
        <f>'HVAC Deemed Table'!F314</f>
        <v>361.07</v>
      </c>
      <c r="N43" s="189">
        <f>'HVAC Deemed Table'!F315</f>
        <v>1022.43</v>
      </c>
      <c r="O43" s="751">
        <f t="shared" si="28"/>
        <v>1.096959</v>
      </c>
      <c r="P43" s="751">
        <f t="shared" si="29"/>
        <v>0.342084</v>
      </c>
      <c r="Q43" s="752">
        <f>'HVAC Deemed Table'!I312</f>
        <v>1.096959</v>
      </c>
      <c r="R43" s="752">
        <f>'HVAC Deemed Table'!I313</f>
        <v>0</v>
      </c>
      <c r="S43" s="752">
        <f>'HVAC Deemed Table'!I314</f>
        <v>0.342084</v>
      </c>
      <c r="T43" s="752">
        <f>'HVAC Deemed Table'!I315</f>
        <v>0</v>
      </c>
      <c r="U43" s="753">
        <f t="shared" si="30"/>
        <v>0</v>
      </c>
      <c r="V43" s="753">
        <f t="shared" si="31"/>
        <v>0</v>
      </c>
      <c r="W43" s="753">
        <f t="shared" si="32"/>
        <v>1.096959</v>
      </c>
      <c r="X43" s="22">
        <f>'HVAC Deemed Table'!J312</f>
        <v>6</v>
      </c>
      <c r="Y43" s="22">
        <f>'HVAC Deemed Table'!J314</f>
        <v>12</v>
      </c>
      <c r="Z43" s="22">
        <f t="shared" si="44"/>
        <v>18</v>
      </c>
      <c r="AA43" s="17">
        <f>'HVAC Deemed Table'!DG312</f>
        <v>3.4452351798525354</v>
      </c>
      <c r="AB43" s="771">
        <f>'HVAC Deemed Table'!K312</f>
        <v>683.91788099116957</v>
      </c>
      <c r="AC43" s="862">
        <f t="shared" si="45"/>
        <v>1543.5869265142169</v>
      </c>
      <c r="AD43" s="862">
        <f t="shared" si="35"/>
        <v>812.6710172067601</v>
      </c>
      <c r="AE43" s="195">
        <f>'HVAC Deemed Table'!DI312</f>
        <v>1153.0327610057254</v>
      </c>
      <c r="AF43" s="195">
        <f>'HVAC Deemed Table'!DI313</f>
        <v>390.55416550849151</v>
      </c>
      <c r="AG43" s="195">
        <f>'HVAC Deemed Table'!DI314</f>
        <v>467.1959840924909</v>
      </c>
      <c r="AH43" s="195">
        <f>'HVAC Deemed Table'!DI315</f>
        <v>345.47503311426919</v>
      </c>
      <c r="AI43" s="866" t="e">
        <f t="shared" si="42"/>
        <v>#REF!</v>
      </c>
      <c r="AJ43" s="51">
        <f>'HVAC Deemed Table'!L312</f>
        <v>1.9242424242424243</v>
      </c>
      <c r="AK43" s="621"/>
      <c r="AL43" s="621"/>
      <c r="AX43" s="1284" t="str">
        <f t="shared" si="46"/>
        <v>Mini/MultiSplitASHP_ER1_SF</v>
      </c>
      <c r="AY43" s="1307"/>
      <c r="AZ43" s="1376" t="str">
        <f t="shared" si="47"/>
        <v>351500</v>
      </c>
      <c r="BA43" s="1257">
        <f>ROUND((K43*$BC$3)+(K38*$BC$4),2)</f>
        <v>795.42</v>
      </c>
      <c r="BB43" s="1257">
        <f>ROUND((L43*$BC$3)+(L38*$BC$4),2)</f>
        <v>1240.51</v>
      </c>
      <c r="BC43" s="1257">
        <f>ROUND((M43*$BC$3)+(L38*$BC$4),2)</f>
        <v>583.36</v>
      </c>
      <c r="BD43" s="1257">
        <f>ROUND((N43*$BC$3)+(L38*$BC$4),2)</f>
        <v>980.18</v>
      </c>
      <c r="BE43" s="1234"/>
      <c r="BF43" s="1250">
        <f>ROUND(BA43*'CP FACTORS'!$B$9,6)</f>
        <v>0.75359500000000001</v>
      </c>
      <c r="BG43" s="1251">
        <f>ROUND(BB43*'CP FACTORS'!$B$14,6)</f>
        <v>0</v>
      </c>
      <c r="BH43" s="1250">
        <f>ROUND(BC43*'CP FACTORS'!$B$9,6)</f>
        <v>0.55268600000000001</v>
      </c>
      <c r="BI43" s="1252">
        <f>ROUND(BD43*'CP FACTORS'!$B$14,6)</f>
        <v>0</v>
      </c>
      <c r="BJ43" s="1234"/>
      <c r="BK43" s="698">
        <f t="shared" si="38"/>
        <v>2035.9299999999998</v>
      </c>
      <c r="BL43" s="1271">
        <f t="shared" si="39"/>
        <v>1563.54</v>
      </c>
      <c r="BM43" s="1270">
        <f t="shared" si="40"/>
        <v>0.75359500000000001</v>
      </c>
      <c r="BN43" s="1269">
        <f t="shared" si="41"/>
        <v>0.55268600000000001</v>
      </c>
    </row>
    <row r="44" spans="1:66" x14ac:dyDescent="0.25">
      <c r="A44" s="49" t="str">
        <f t="shared" si="43"/>
        <v>351550</v>
      </c>
      <c r="B44" s="1371" t="str">
        <f>'HVAC Deemed Table'!C316</f>
        <v>351550_2024_12_</v>
      </c>
      <c r="C44" s="1307" t="str">
        <f>'HVAC Deemed Table'!G316</f>
        <v>Cooling RES</v>
      </c>
      <c r="D44" s="1307" t="str">
        <f>'HVAC Deemed Table'!G317</f>
        <v>Cooling RES ER2</v>
      </c>
      <c r="E44" s="1307"/>
      <c r="F44" s="1307"/>
      <c r="G44" s="1307" t="str">
        <f>'HVAC Deemed Table'!E316</f>
        <v>Mini/MultiSplitAC_ER1_MF</v>
      </c>
      <c r="H44" s="18" t="str">
        <f>'HVAC Deemed Table'!D316</f>
        <v>MFIE</v>
      </c>
      <c r="I44" s="750">
        <f t="shared" si="26"/>
        <v>1402.57</v>
      </c>
      <c r="J44" s="750">
        <f t="shared" si="27"/>
        <v>368.91</v>
      </c>
      <c r="K44" s="189">
        <f>'HVAC Deemed Table'!F316</f>
        <v>1402.57</v>
      </c>
      <c r="L44" s="189"/>
      <c r="M44" s="189">
        <f>'HVAC Deemed Table'!F317</f>
        <v>368.91</v>
      </c>
      <c r="N44" s="189"/>
      <c r="O44" s="751">
        <f t="shared" si="28"/>
        <v>1.3288199999999999</v>
      </c>
      <c r="P44" s="751">
        <f t="shared" si="29"/>
        <v>0.34951199999999999</v>
      </c>
      <c r="Q44" s="752">
        <f>'HVAC Deemed Table'!I316</f>
        <v>1.3288199999999999</v>
      </c>
      <c r="R44" s="752"/>
      <c r="S44" s="752">
        <f>'HVAC Deemed Table'!I317</f>
        <v>0.34951199999999999</v>
      </c>
      <c r="T44" s="752"/>
      <c r="U44" s="753">
        <f t="shared" si="30"/>
        <v>0</v>
      </c>
      <c r="V44" s="753">
        <f t="shared" si="31"/>
        <v>0</v>
      </c>
      <c r="W44" s="753">
        <f t="shared" si="32"/>
        <v>1.3288199999999999</v>
      </c>
      <c r="X44" s="22">
        <f>'HVAC Deemed Table'!J316</f>
        <v>6</v>
      </c>
      <c r="Y44" s="22">
        <f>'HVAC Deemed Table'!J317</f>
        <v>12</v>
      </c>
      <c r="Z44" s="22">
        <f t="shared" si="44"/>
        <v>18</v>
      </c>
      <c r="AA44" s="17" t="e">
        <f>'HVAC Deemed Table'!DG316</f>
        <v>#DIV/0!</v>
      </c>
      <c r="AB44" s="771" t="e">
        <f>'HVAC Deemed Table'!K316</f>
        <v>#N/A</v>
      </c>
      <c r="AC44" s="862">
        <f t="shared" si="45"/>
        <v>1396.7466658638502</v>
      </c>
      <c r="AD44" s="862">
        <f t="shared" si="35"/>
        <v>477.34032318265389</v>
      </c>
      <c r="AE44" s="195">
        <f>'HVAC Deemed Table'!DI316</f>
        <v>1396.7466658638502</v>
      </c>
      <c r="AF44" s="195"/>
      <c r="AG44" s="195">
        <f>'HVAC Deemed Table'!DI317</f>
        <v>477.34032318265389</v>
      </c>
      <c r="AH44" s="195"/>
      <c r="AI44" s="866" t="e">
        <f t="shared" si="42"/>
        <v>#REF!</v>
      </c>
      <c r="AJ44" s="51">
        <f>'HVAC Deemed Table'!L316</f>
        <v>1.75</v>
      </c>
      <c r="AK44" s="621"/>
      <c r="AL44" s="621"/>
      <c r="AX44" s="1284" t="str">
        <f t="shared" si="46"/>
        <v>Mini/MultiSplitAC_ER1_MF</v>
      </c>
      <c r="AY44" s="1307"/>
      <c r="AZ44" s="1376" t="str">
        <f t="shared" si="47"/>
        <v>351550</v>
      </c>
      <c r="BA44" s="1254" t="e">
        <f>ROUND((K44*$BC$3)+(#REF!*$BC$4),2)</f>
        <v>#REF!</v>
      </c>
      <c r="BB44" s="1254" t="e">
        <f>ROUND((L44*$BC$3)+(#REF!*$BC$4),2)</f>
        <v>#REF!</v>
      </c>
      <c r="BC44" s="1254" t="e">
        <f>ROUND((M44*$BC$3)+(#REF!*$BC$4),2)</f>
        <v>#REF!</v>
      </c>
      <c r="BD44" s="1254" t="e">
        <f>ROUND((N44*$BC$3)+(#REF!*$BC$4),2)</f>
        <v>#REF!</v>
      </c>
      <c r="BE44" s="1234"/>
      <c r="BF44" s="1250" t="e">
        <f>ROUND(BA44*'CP FACTORS'!$B$9,6)</f>
        <v>#REF!</v>
      </c>
      <c r="BG44" s="1251" t="e">
        <f>ROUND(BB44*'CP FACTORS'!$B$14,6)</f>
        <v>#REF!</v>
      </c>
      <c r="BH44" s="1250" t="e">
        <f>ROUND(BC44*'CP FACTORS'!$B$9,6)</f>
        <v>#REF!</v>
      </c>
      <c r="BI44" s="1252" t="e">
        <f>ROUND(BD44*'CP FACTORS'!$B$14,6)</f>
        <v>#REF!</v>
      </c>
      <c r="BJ44" s="1234"/>
      <c r="BK44" s="698" t="e">
        <f t="shared" si="38"/>
        <v>#REF!</v>
      </c>
      <c r="BL44" s="1271" t="e">
        <f t="shared" si="39"/>
        <v>#REF!</v>
      </c>
      <c r="BM44" s="1270" t="e">
        <f t="shared" si="40"/>
        <v>#REF!</v>
      </c>
      <c r="BN44" s="1269" t="e">
        <f t="shared" si="41"/>
        <v>#REF!</v>
      </c>
    </row>
    <row r="45" spans="1:66" x14ac:dyDescent="0.25">
      <c r="A45" s="49" t="str">
        <f t="shared" si="43"/>
        <v>351900</v>
      </c>
      <c r="B45" s="1371" t="str">
        <f>'HVAC Deemed Table'!C510</f>
        <v>351900_2024_12_</v>
      </c>
      <c r="C45" s="846" t="str">
        <f>'HVAC Deemed Table'!G510</f>
        <v>Cooling Res</v>
      </c>
      <c r="D45" s="846" t="str">
        <f>'HVAC Deemed Table'!G511</f>
        <v>Heating Res</v>
      </c>
      <c r="E45" s="1307"/>
      <c r="F45" s="1307"/>
      <c r="G45" s="1307" t="str">
        <f>'HVAC Deemed Table'!E510</f>
        <v>DFHP-SEER19-ROF_MF</v>
      </c>
      <c r="H45" s="18" t="str">
        <f>'HVAC Deemed Table'!D510</f>
        <v>PAYS</v>
      </c>
      <c r="I45" s="750">
        <f t="shared" ref="I45:I67" si="48">K45+L45</f>
        <v>944.42000000000007</v>
      </c>
      <c r="J45" s="750">
        <f t="shared" ref="J45:J67" si="49">M45+N45</f>
        <v>0</v>
      </c>
      <c r="K45" s="189">
        <f>'HVAC Deemed Table'!F510</f>
        <v>398.66</v>
      </c>
      <c r="L45" s="189">
        <f>'HVAC Deemed Table'!F511</f>
        <v>545.76</v>
      </c>
      <c r="M45" s="189"/>
      <c r="N45" s="189"/>
      <c r="O45" s="751">
        <f t="shared" ref="O45:O67" si="50">Q45+R45</f>
        <v>0.37769799999999998</v>
      </c>
      <c r="P45" s="751">
        <f t="shared" ref="P45:P67" si="51">S45+T45</f>
        <v>0</v>
      </c>
      <c r="Q45" s="752">
        <f>'HVAC Deemed Table'!I510</f>
        <v>0.37769799999999998</v>
      </c>
      <c r="R45" s="752">
        <f>'HVAC Deemed Table'!I511</f>
        <v>0</v>
      </c>
      <c r="S45" s="752"/>
      <c r="T45" s="752"/>
      <c r="U45" s="753">
        <f t="shared" ref="U45:U66" si="52">IFERROR(IF(V45+W45&gt;0,0,IF(Z45&gt;0,O45,0)),0)</f>
        <v>0</v>
      </c>
      <c r="V45" s="753">
        <f t="shared" ref="V45:V66" si="53">IF(W45&gt;0,0,IF(Z45&gt;9,O45,0))</f>
        <v>0</v>
      </c>
      <c r="W45" s="753">
        <f t="shared" ref="W45:W66" si="54">IF(Z45&gt;14,O45,0)</f>
        <v>0.37769799999999998</v>
      </c>
      <c r="X45" s="22">
        <f>'HVAC Deemed Table'!J510</f>
        <v>18</v>
      </c>
      <c r="Y45" s="22"/>
      <c r="Z45" s="22">
        <f t="shared" si="44"/>
        <v>18</v>
      </c>
      <c r="AA45" s="17">
        <f>'HVAC Deemed Table'!DG510</f>
        <v>1.15042615353807</v>
      </c>
      <c r="AB45" s="771">
        <f>'HVAC Deemed Table'!K510</f>
        <v>1081</v>
      </c>
      <c r="AC45" s="862">
        <f t="shared" si="45"/>
        <v>1243.6106719746535</v>
      </c>
      <c r="AD45" s="862">
        <f t="shared" ref="AD45:AD65" si="55">AG45+AH45</f>
        <v>0</v>
      </c>
      <c r="AE45" s="195">
        <f>'HVAC Deemed Table'!DI510</f>
        <v>912.83926953079788</v>
      </c>
      <c r="AF45" s="195">
        <f>'HVAC Deemed Table'!DI511</f>
        <v>330.77140244385566</v>
      </c>
      <c r="AG45" s="195"/>
      <c r="AH45" s="195"/>
      <c r="AI45" s="866" t="e">
        <f>#REF!</f>
        <v>#REF!</v>
      </c>
      <c r="AJ45" s="45">
        <f>'HVAC Deemed Table'!L510</f>
        <v>3.4</v>
      </c>
      <c r="AK45" s="621"/>
      <c r="AL45" s="621"/>
      <c r="AX45" s="1284" t="str">
        <f t="shared" si="46"/>
        <v>DFHP-SEER19-ROF_MF</v>
      </c>
      <c r="AY45" s="1307"/>
      <c r="AZ45" s="1376" t="str">
        <f t="shared" si="47"/>
        <v>351900</v>
      </c>
      <c r="BA45" s="1256">
        <f t="shared" ref="BA45:BD47" si="56">K45</f>
        <v>398.66</v>
      </c>
      <c r="BB45" s="1256">
        <f t="shared" si="56"/>
        <v>545.76</v>
      </c>
      <c r="BC45" s="1256">
        <f t="shared" si="56"/>
        <v>0</v>
      </c>
      <c r="BD45" s="1256">
        <f t="shared" si="56"/>
        <v>0</v>
      </c>
      <c r="BE45" s="1234"/>
      <c r="BF45" s="1250">
        <f>ROUND(BA45*'CP FACTORS'!$B$9,6)</f>
        <v>0.37769799999999998</v>
      </c>
      <c r="BG45" s="1251">
        <f>ROUND(BB45*'CP FACTORS'!$B$14,6)</f>
        <v>0</v>
      </c>
      <c r="BH45" s="1250">
        <f>ROUND(BC45*'CP FACTORS'!$B$9,6)</f>
        <v>0</v>
      </c>
      <c r="BI45" s="1252">
        <f>ROUND(BD45*'CP FACTORS'!$B$14,6)</f>
        <v>0</v>
      </c>
      <c r="BJ45" s="1234"/>
      <c r="BK45" s="698">
        <f t="shared" ref="BK45:BK68" si="57">BA45+BB45</f>
        <v>944.42000000000007</v>
      </c>
      <c r="BL45" s="1271">
        <f t="shared" ref="BL45:BL68" si="58">BC45+BD45</f>
        <v>0</v>
      </c>
      <c r="BM45" s="1270">
        <f t="shared" ref="BM45:BM68" si="59">BF45+BG45</f>
        <v>0.37769799999999998</v>
      </c>
      <c r="BN45" s="1269">
        <f t="shared" ref="BN45:BN68" si="60">BH45+BI45</f>
        <v>0</v>
      </c>
    </row>
    <row r="46" spans="1:66" x14ac:dyDescent="0.25">
      <c r="A46" s="49" t="str">
        <f t="shared" si="43"/>
        <v>351950</v>
      </c>
      <c r="B46" s="1371" t="str">
        <f>'HVAC Deemed Table'!C512</f>
        <v>351950_2024_12_</v>
      </c>
      <c r="C46" s="846" t="str">
        <f>'HVAC Deemed Table'!G512</f>
        <v>Cooling Res</v>
      </c>
      <c r="D46" s="846" t="str">
        <f>'HVAC Deemed Table'!G513</f>
        <v>Heating Res</v>
      </c>
      <c r="E46" s="1307"/>
      <c r="F46" s="1307"/>
      <c r="G46" s="1307" t="str">
        <f>'HVAC Deemed Table'!E512</f>
        <v>DFHP-SEER20-ROF_MF</v>
      </c>
      <c r="H46" s="18" t="str">
        <f>'HVAC Deemed Table'!D512</f>
        <v>PAYS</v>
      </c>
      <c r="I46" s="750">
        <f t="shared" si="48"/>
        <v>1470.46</v>
      </c>
      <c r="J46" s="750">
        <f t="shared" si="49"/>
        <v>0</v>
      </c>
      <c r="K46" s="189">
        <f>'HVAC Deemed Table'!F512</f>
        <v>594.4</v>
      </c>
      <c r="L46" s="189">
        <f>'HVAC Deemed Table'!F513</f>
        <v>876.06</v>
      </c>
      <c r="M46" s="189"/>
      <c r="N46" s="189"/>
      <c r="O46" s="751">
        <f t="shared" si="50"/>
        <v>0.56314500000000001</v>
      </c>
      <c r="P46" s="751">
        <f t="shared" si="51"/>
        <v>0</v>
      </c>
      <c r="Q46" s="752">
        <f>'HVAC Deemed Table'!I512</f>
        <v>0.56314500000000001</v>
      </c>
      <c r="R46" s="752">
        <f>'HVAC Deemed Table'!I513</f>
        <v>0</v>
      </c>
      <c r="S46" s="752"/>
      <c r="T46" s="752"/>
      <c r="U46" s="753">
        <f t="shared" si="52"/>
        <v>0</v>
      </c>
      <c r="V46" s="753">
        <f t="shared" si="53"/>
        <v>0</v>
      </c>
      <c r="W46" s="753">
        <f t="shared" si="54"/>
        <v>0.56314500000000001</v>
      </c>
      <c r="X46" s="22">
        <f>'HVAC Deemed Table'!J512</f>
        <v>18</v>
      </c>
      <c r="Y46" s="22"/>
      <c r="Z46" s="22">
        <f t="shared" si="44"/>
        <v>18</v>
      </c>
      <c r="AA46" s="17">
        <f>'HVAC Deemed Table'!DG512</f>
        <v>1.7502280801942376</v>
      </c>
      <c r="AB46" s="771">
        <f>'HVAC Deemed Table'!K512</f>
        <v>1081</v>
      </c>
      <c r="AC46" s="862">
        <f t="shared" si="45"/>
        <v>1891.9965546899709</v>
      </c>
      <c r="AD46" s="862">
        <f t="shared" si="55"/>
        <v>0</v>
      </c>
      <c r="AE46" s="195">
        <f>'HVAC Deemed Table'!DI512</f>
        <v>1361.0386339464862</v>
      </c>
      <c r="AF46" s="195">
        <f>'HVAC Deemed Table'!DI513</f>
        <v>530.95792074348469</v>
      </c>
      <c r="AG46" s="195"/>
      <c r="AH46" s="195"/>
      <c r="AI46" s="866" t="e">
        <f>#REF!</f>
        <v>#REF!</v>
      </c>
      <c r="AJ46" s="45">
        <f>'HVAC Deemed Table'!L512</f>
        <v>4.4000000000000004</v>
      </c>
      <c r="AK46" s="621"/>
      <c r="AL46" s="621"/>
      <c r="AX46" s="1284" t="str">
        <f t="shared" si="46"/>
        <v>DFHP-SEER20-ROF_MF</v>
      </c>
      <c r="AY46" s="1307"/>
      <c r="AZ46" s="1376" t="str">
        <f t="shared" si="47"/>
        <v>351950</v>
      </c>
      <c r="BA46" s="1256">
        <f t="shared" si="56"/>
        <v>594.4</v>
      </c>
      <c r="BB46" s="1256">
        <f t="shared" si="56"/>
        <v>876.06</v>
      </c>
      <c r="BC46" s="1256">
        <f t="shared" si="56"/>
        <v>0</v>
      </c>
      <c r="BD46" s="1256">
        <f t="shared" si="56"/>
        <v>0</v>
      </c>
      <c r="BE46" s="1234"/>
      <c r="BF46" s="1250">
        <f>ROUND(BA46*'CP FACTORS'!$B$9,6)</f>
        <v>0.56314500000000001</v>
      </c>
      <c r="BG46" s="1251">
        <f>ROUND(BB46*'CP FACTORS'!$B$14,6)</f>
        <v>0</v>
      </c>
      <c r="BH46" s="1250">
        <f>ROUND(BC46*'CP FACTORS'!$B$9,6)</f>
        <v>0</v>
      </c>
      <c r="BI46" s="1252">
        <f>ROUND(BD46*'CP FACTORS'!$B$14,6)</f>
        <v>0</v>
      </c>
      <c r="BJ46" s="1234"/>
      <c r="BK46" s="698">
        <f t="shared" si="57"/>
        <v>1470.46</v>
      </c>
      <c r="BL46" s="1271">
        <f t="shared" si="58"/>
        <v>0</v>
      </c>
      <c r="BM46" s="1270">
        <f t="shared" si="59"/>
        <v>0.56314500000000001</v>
      </c>
      <c r="BN46" s="1269">
        <f t="shared" si="60"/>
        <v>0</v>
      </c>
    </row>
    <row r="47" spans="1:66" x14ac:dyDescent="0.25">
      <c r="A47" s="49" t="str">
        <f t="shared" si="43"/>
        <v>352000</v>
      </c>
      <c r="B47" s="1371" t="str">
        <f>'HVAC Deemed Table'!C514</f>
        <v>352000_2024_12_</v>
      </c>
      <c r="C47" s="846" t="str">
        <f>'HVAC Deemed Table'!G514</f>
        <v>Cooling Res</v>
      </c>
      <c r="D47" s="846" t="str">
        <f>'HVAC Deemed Table'!G515</f>
        <v>Heating Res</v>
      </c>
      <c r="E47" s="1307"/>
      <c r="F47" s="1307"/>
      <c r="G47" s="1307" t="str">
        <f>'HVAC Deemed Table'!E514</f>
        <v>DFHP-SEER21-ROF_MF</v>
      </c>
      <c r="H47" s="18" t="str">
        <f>'HVAC Deemed Table'!D514</f>
        <v>PAYS</v>
      </c>
      <c r="I47" s="750">
        <f t="shared" si="48"/>
        <v>2084.73</v>
      </c>
      <c r="J47" s="750">
        <f t="shared" si="49"/>
        <v>0</v>
      </c>
      <c r="K47" s="189">
        <f>'HVAC Deemed Table'!F514</f>
        <v>816.63</v>
      </c>
      <c r="L47" s="189">
        <f>'HVAC Deemed Table'!F515</f>
        <v>1268.0999999999999</v>
      </c>
      <c r="M47" s="189"/>
      <c r="N47" s="189"/>
      <c r="O47" s="751">
        <f t="shared" si="50"/>
        <v>0.77368999999999999</v>
      </c>
      <c r="P47" s="751">
        <f t="shared" si="51"/>
        <v>0</v>
      </c>
      <c r="Q47" s="752">
        <f>'HVAC Deemed Table'!I514</f>
        <v>0.77368999999999999</v>
      </c>
      <c r="R47" s="752">
        <f>'HVAC Deemed Table'!I515</f>
        <v>0</v>
      </c>
      <c r="S47" s="752"/>
      <c r="T47" s="752"/>
      <c r="U47" s="753">
        <f t="shared" si="52"/>
        <v>0</v>
      </c>
      <c r="V47" s="753">
        <f t="shared" si="53"/>
        <v>0</v>
      </c>
      <c r="W47" s="753">
        <f t="shared" si="54"/>
        <v>0.77368999999999999</v>
      </c>
      <c r="X47" s="22">
        <f>'HVAC Deemed Table'!J514</f>
        <v>18</v>
      </c>
      <c r="Y47" s="22"/>
      <c r="Z47" s="22">
        <f t="shared" si="44"/>
        <v>18</v>
      </c>
      <c r="AA47" s="17">
        <f>'HVAC Deemed Table'!DG514</f>
        <v>2.4407562219478138</v>
      </c>
      <c r="AB47" s="771">
        <f>'HVAC Deemed Table'!K514</f>
        <v>1081</v>
      </c>
      <c r="AC47" s="862">
        <f t="shared" si="45"/>
        <v>2638.4574759255866</v>
      </c>
      <c r="AD47" s="862">
        <f t="shared" si="55"/>
        <v>0</v>
      </c>
      <c r="AE47" s="195">
        <f>'HVAC Deemed Table'!DI514</f>
        <v>1869.8939765136593</v>
      </c>
      <c r="AF47" s="195">
        <f>'HVAC Deemed Table'!DI515</f>
        <v>768.56349941192718</v>
      </c>
      <c r="AG47" s="195"/>
      <c r="AH47" s="195"/>
      <c r="AI47" s="866" t="e">
        <f>#REF!</f>
        <v>#REF!</v>
      </c>
      <c r="AJ47" s="45">
        <f>'HVAC Deemed Table'!L514</f>
        <v>5.4</v>
      </c>
      <c r="AK47" s="621"/>
      <c r="AL47" s="621"/>
      <c r="AX47" s="1284" t="str">
        <f t="shared" si="46"/>
        <v>DFHP-SEER21-ROF_MF</v>
      </c>
      <c r="AY47" s="1307"/>
      <c r="AZ47" s="1376" t="str">
        <f t="shared" si="47"/>
        <v>352000</v>
      </c>
      <c r="BA47" s="1256">
        <f t="shared" si="56"/>
        <v>816.63</v>
      </c>
      <c r="BB47" s="1256">
        <f t="shared" si="56"/>
        <v>1268.0999999999999</v>
      </c>
      <c r="BC47" s="1256">
        <f t="shared" si="56"/>
        <v>0</v>
      </c>
      <c r="BD47" s="1256">
        <f t="shared" si="56"/>
        <v>0</v>
      </c>
      <c r="BE47" s="1234"/>
      <c r="BF47" s="1250">
        <f>ROUND(BA47*'CP FACTORS'!$B$9,6)</f>
        <v>0.77368999999999999</v>
      </c>
      <c r="BG47" s="1251">
        <f>ROUND(BB47*'CP FACTORS'!$B$14,6)</f>
        <v>0</v>
      </c>
      <c r="BH47" s="1250">
        <f>ROUND(BC47*'CP FACTORS'!$B$9,6)</f>
        <v>0</v>
      </c>
      <c r="BI47" s="1252">
        <f>ROUND(BD47*'CP FACTORS'!$B$14,6)</f>
        <v>0</v>
      </c>
      <c r="BJ47" s="1234"/>
      <c r="BK47" s="698">
        <f t="shared" si="57"/>
        <v>2084.73</v>
      </c>
      <c r="BL47" s="1271">
        <f t="shared" si="58"/>
        <v>0</v>
      </c>
      <c r="BM47" s="1270">
        <f t="shared" si="59"/>
        <v>0.77368999999999999</v>
      </c>
      <c r="BN47" s="1269">
        <f t="shared" si="60"/>
        <v>0</v>
      </c>
    </row>
    <row r="48" spans="1:66" x14ac:dyDescent="0.25">
      <c r="A48" s="49" t="str">
        <f t="shared" si="43"/>
        <v>352050</v>
      </c>
      <c r="B48" s="1371" t="str">
        <f>'HVAC Deemed Table'!C575</f>
        <v>352050_2024_12_</v>
      </c>
      <c r="C48" s="846" t="str">
        <f>'HVAC Deemed Table'!G575</f>
        <v>Cooling Res</v>
      </c>
      <c r="D48" s="846" t="str">
        <f>'HVAC Deemed Table'!G576</f>
        <v>Heating RES</v>
      </c>
      <c r="E48" s="1307"/>
      <c r="F48" s="1307"/>
      <c r="G48" s="1307" t="str">
        <f>'HVAC Deemed Table'!E575</f>
        <v>GSHP-EER23-Replace_CAC_ElectricHeat_ROF_SF</v>
      </c>
      <c r="H48" s="18" t="str">
        <f>'HVAC Deemed Table'!D575</f>
        <v>PAYS</v>
      </c>
      <c r="I48" s="750">
        <f t="shared" si="48"/>
        <v>17830.329999999998</v>
      </c>
      <c r="J48" s="750">
        <f t="shared" si="49"/>
        <v>0</v>
      </c>
      <c r="K48" s="189">
        <f>'HVAC Deemed Table'!F575</f>
        <v>1606.94</v>
      </c>
      <c r="L48" s="189">
        <f>'HVAC Deemed Table'!F576</f>
        <v>16223.39</v>
      </c>
      <c r="M48" s="189"/>
      <c r="N48" s="189"/>
      <c r="O48" s="751">
        <f t="shared" si="50"/>
        <v>1.5224439999999999</v>
      </c>
      <c r="P48" s="751">
        <f t="shared" si="51"/>
        <v>0</v>
      </c>
      <c r="Q48" s="752">
        <f>'HVAC Deemed Table'!I575</f>
        <v>1.5224439999999999</v>
      </c>
      <c r="R48" s="752">
        <f>'HVAC Deemed Table'!I576</f>
        <v>0</v>
      </c>
      <c r="S48" s="752"/>
      <c r="T48" s="752"/>
      <c r="U48" s="753">
        <f t="shared" si="52"/>
        <v>0</v>
      </c>
      <c r="V48" s="753">
        <f t="shared" si="53"/>
        <v>0</v>
      </c>
      <c r="W48" s="753">
        <f t="shared" si="54"/>
        <v>1.5224439999999999</v>
      </c>
      <c r="X48" s="22">
        <f>'HVAC Deemed Table'!J575</f>
        <v>18</v>
      </c>
      <c r="Y48" s="22"/>
      <c r="Z48" s="22">
        <f t="shared" si="44"/>
        <v>18</v>
      </c>
      <c r="AA48" s="17">
        <f>'HVAC Deemed Table'!DG575</f>
        <v>1.300507010341031</v>
      </c>
      <c r="AB48" s="771">
        <f>'HVAC Deemed Table'!K575</f>
        <v>10389.878378378377</v>
      </c>
      <c r="AC48" s="862">
        <f t="shared" si="45"/>
        <v>13512.109667671783</v>
      </c>
      <c r="AD48" s="862">
        <f t="shared" si="55"/>
        <v>0</v>
      </c>
      <c r="AE48" s="195">
        <f>'HVAC Deemed Table'!DI575</f>
        <v>3679.5212355887734</v>
      </c>
      <c r="AF48" s="195">
        <f>'HVAC Deemed Table'!DI576</f>
        <v>9832.58843208301</v>
      </c>
      <c r="AG48" s="195"/>
      <c r="AH48" s="195"/>
      <c r="AI48" s="866" t="e">
        <f>#REF!</f>
        <v>#REF!</v>
      </c>
      <c r="AJ48" s="45">
        <f>'HVAC Deemed Table'!L575</f>
        <v>3.993150684931507</v>
      </c>
      <c r="AK48" s="621"/>
      <c r="AL48" s="621"/>
      <c r="AX48" s="1284" t="str">
        <f t="shared" si="46"/>
        <v>GSHP-EER23-Replace_CAC_ElectricHeat_ROF_SF</v>
      </c>
      <c r="AY48" s="1307"/>
      <c r="AZ48" s="1376" t="str">
        <f t="shared" si="47"/>
        <v>352050</v>
      </c>
      <c r="BA48" s="1259">
        <f>ROUND((K49*$BC$3)+(K48*$BC$4),2)</f>
        <v>3478.2</v>
      </c>
      <c r="BB48" s="1259">
        <f>ROUND((L49*$BC$3)+(L48*$BC$4),2)</f>
        <v>15960.03</v>
      </c>
      <c r="BC48" s="1259">
        <f>ROUND((M49*$BC$3)+(K48*$BC$4),2)</f>
        <v>1577.17</v>
      </c>
      <c r="BD48" s="1259">
        <f>ROUND((N49*$BC$3)+(L48*$BC$4),2)</f>
        <v>15960.03</v>
      </c>
      <c r="BE48" s="1234"/>
      <c r="BF48" s="1250">
        <f>ROUND(BA48*'CP FACTORS'!$B$9,6)</f>
        <v>3.2953100000000002</v>
      </c>
      <c r="BG48" s="1251">
        <f>ROUND(BB48*'CP FACTORS'!$B$14,6)</f>
        <v>0</v>
      </c>
      <c r="BH48" s="1250">
        <f>ROUND(BC48*'CP FACTORS'!$B$9,6)</f>
        <v>1.4942390000000001</v>
      </c>
      <c r="BI48" s="1252">
        <f>ROUND(BD48*'CP FACTORS'!$B$14,6)</f>
        <v>0</v>
      </c>
      <c r="BJ48" s="1234"/>
      <c r="BK48" s="698">
        <f t="shared" si="57"/>
        <v>19438.23</v>
      </c>
      <c r="BL48" s="1271">
        <f t="shared" si="58"/>
        <v>17537.2</v>
      </c>
      <c r="BM48" s="1270">
        <f t="shared" si="59"/>
        <v>3.2953100000000002</v>
      </c>
      <c r="BN48" s="1269">
        <f t="shared" si="60"/>
        <v>1.4942390000000001</v>
      </c>
    </row>
    <row r="49" spans="1:66" x14ac:dyDescent="0.25">
      <c r="A49" s="49" t="str">
        <f t="shared" ref="A49:A77" si="61">LEFT(B49,6)</f>
        <v>352100</v>
      </c>
      <c r="B49" s="1371" t="str">
        <f>'HVAC Deemed Table'!C577</f>
        <v>352100_2024_12_</v>
      </c>
      <c r="C49" s="846" t="str">
        <f>'HVAC Deemed Table'!G577</f>
        <v>Cooling Res</v>
      </c>
      <c r="D49" s="846" t="str">
        <f>'HVAC Deemed Table'!G578</f>
        <v>Heating RES</v>
      </c>
      <c r="E49" s="846" t="str">
        <f>'HVAC Deemed Table'!G579</f>
        <v>Cooling Res ER2</v>
      </c>
      <c r="F49" s="846" t="str">
        <f>'HVAC Deemed Table'!G580</f>
        <v>Heating RES ER2</v>
      </c>
      <c r="G49" s="1307" t="str">
        <f>'HVAC Deemed Table'!E577</f>
        <v>GSHP-EER23-Replace_CAC_ElectricHeat_ER1_SF</v>
      </c>
      <c r="H49" s="18" t="str">
        <f>'HVAC Deemed Table'!D577</f>
        <v>PAYS</v>
      </c>
      <c r="I49" s="750">
        <f t="shared" si="48"/>
        <v>20510.150000000001</v>
      </c>
      <c r="J49" s="750">
        <f t="shared" si="49"/>
        <v>17341.78</v>
      </c>
      <c r="K49" s="189">
        <f>'HVAC Deemed Table'!F577</f>
        <v>4725.7</v>
      </c>
      <c r="L49" s="189">
        <f>'HVAC Deemed Table'!F578</f>
        <v>15784.45</v>
      </c>
      <c r="M49" s="189">
        <f>'HVAC Deemed Table'!F579</f>
        <v>1557.33</v>
      </c>
      <c r="N49" s="189">
        <f>'HVAC Deemed Table'!F580</f>
        <v>15784.45</v>
      </c>
      <c r="O49" s="751">
        <f t="shared" si="50"/>
        <v>4.477214</v>
      </c>
      <c r="P49" s="751">
        <f t="shared" si="51"/>
        <v>1.4754430000000001</v>
      </c>
      <c r="Q49" s="752">
        <f>'HVAC Deemed Table'!I577</f>
        <v>4.477214</v>
      </c>
      <c r="R49" s="752">
        <f>'HVAC Deemed Table'!I578</f>
        <v>0</v>
      </c>
      <c r="S49" s="752">
        <f>'HVAC Deemed Table'!I579</f>
        <v>1.4754430000000001</v>
      </c>
      <c r="T49" s="752">
        <f>'HVAC Deemed Table'!I580</f>
        <v>0</v>
      </c>
      <c r="U49" s="753">
        <f t="shared" si="52"/>
        <v>0</v>
      </c>
      <c r="V49" s="753">
        <f t="shared" si="53"/>
        <v>0</v>
      </c>
      <c r="W49" s="753">
        <f t="shared" si="54"/>
        <v>4.477214</v>
      </c>
      <c r="X49" s="22">
        <f>'HVAC Deemed Table'!J577</f>
        <v>6</v>
      </c>
      <c r="Y49" s="22">
        <f>'HVAC Deemed Table'!J579</f>
        <v>12</v>
      </c>
      <c r="Z49" s="22">
        <f t="shared" ref="Z49:Z77" si="62">Y49+X49</f>
        <v>18</v>
      </c>
      <c r="AA49" s="17">
        <f>'HVAC Deemed Table'!DG577</f>
        <v>1.6278290817075913</v>
      </c>
      <c r="AB49" s="771">
        <f>'HVAC Deemed Table'!K577</f>
        <v>10005.779576760684</v>
      </c>
      <c r="AC49" s="862">
        <f t="shared" ref="AC49:AC77" si="63">AE49+AF49</f>
        <v>8939.1343811011629</v>
      </c>
      <c r="AD49" s="862">
        <f t="shared" si="55"/>
        <v>7348.5645991057536</v>
      </c>
      <c r="AE49" s="195">
        <f>'HVAC Deemed Table'!DI577</f>
        <v>4706.0793535244566</v>
      </c>
      <c r="AF49" s="195">
        <f>'HVAC Deemed Table'!DI578</f>
        <v>4233.0550275767064</v>
      </c>
      <c r="AG49" s="195">
        <f>'HVAC Deemed Table'!DI579</f>
        <v>2015.0616830718666</v>
      </c>
      <c r="AH49" s="195">
        <f>'HVAC Deemed Table'!DI580</f>
        <v>5333.5029160338872</v>
      </c>
      <c r="AI49" s="866" t="e">
        <f t="shared" ref="AI49:AI66" si="64">AI48</f>
        <v>#REF!</v>
      </c>
      <c r="AJ49" s="45">
        <f>'HVAC Deemed Table'!L577</f>
        <v>3.8698630136986303</v>
      </c>
      <c r="AK49" s="621"/>
      <c r="AL49" s="621"/>
      <c r="AX49" s="1284" t="str">
        <f t="shared" si="46"/>
        <v>GSHP-EER23-Replace_CAC_ElectricHeat_ER1_SF</v>
      </c>
      <c r="AY49" s="1307"/>
      <c r="AZ49" s="1376" t="str">
        <f t="shared" si="47"/>
        <v>352100</v>
      </c>
      <c r="BA49" s="1259">
        <f>BA48</f>
        <v>3478.2</v>
      </c>
      <c r="BB49" s="1259">
        <f>BB48</f>
        <v>15960.03</v>
      </c>
      <c r="BC49" s="1259">
        <f>BC48</f>
        <v>1577.17</v>
      </c>
      <c r="BD49" s="1259">
        <f>BD48</f>
        <v>15960.03</v>
      </c>
      <c r="BE49" s="1234"/>
      <c r="BF49" s="1250">
        <f>ROUND(BA49*'CP FACTORS'!$B$9,6)</f>
        <v>3.2953100000000002</v>
      </c>
      <c r="BG49" s="1251">
        <f>ROUND(BB49*'CP FACTORS'!$B$14,6)</f>
        <v>0</v>
      </c>
      <c r="BH49" s="1250">
        <f>ROUND(BC49*'CP FACTORS'!$B$9,6)</f>
        <v>1.4942390000000001</v>
      </c>
      <c r="BI49" s="1252">
        <f>ROUND(BD49*'CP FACTORS'!$B$14,6)</f>
        <v>0</v>
      </c>
      <c r="BJ49" s="1234"/>
      <c r="BK49" s="698">
        <f t="shared" si="57"/>
        <v>19438.23</v>
      </c>
      <c r="BL49" s="1271">
        <f t="shared" si="58"/>
        <v>17537.2</v>
      </c>
      <c r="BM49" s="1270">
        <f t="shared" si="59"/>
        <v>3.2953100000000002</v>
      </c>
      <c r="BN49" s="1269">
        <f t="shared" si="60"/>
        <v>1.4942390000000001</v>
      </c>
    </row>
    <row r="50" spans="1:66" x14ac:dyDescent="0.25">
      <c r="A50" s="49" t="str">
        <f t="shared" si="61"/>
        <v>352200</v>
      </c>
      <c r="B50" s="1371" t="str">
        <f>'HVAC Deemed Table'!C581</f>
        <v>352200_2024_12_</v>
      </c>
      <c r="C50" s="846" t="str">
        <f>'HVAC Deemed Table'!G581</f>
        <v>Cooling Res</v>
      </c>
      <c r="D50" s="846" t="str">
        <f>'HVAC Deemed Table'!G582</f>
        <v>Heating RES</v>
      </c>
      <c r="E50" s="846" t="str">
        <f>'HVAC Deemed Table'!G583</f>
        <v>Cooling Res ER2</v>
      </c>
      <c r="F50" s="846" t="str">
        <f>'HVAC Deemed Table'!G584</f>
        <v>Heating RES ER2</v>
      </c>
      <c r="G50" s="1307" t="str">
        <f>'HVAC Deemed Table'!E581</f>
        <v>GSHP-EER23-Replace_ASHP_ER1_SF</v>
      </c>
      <c r="H50" s="18" t="str">
        <f>'HVAC Deemed Table'!D581</f>
        <v>PAYS</v>
      </c>
      <c r="I50" s="750">
        <f t="shared" si="48"/>
        <v>9060.25</v>
      </c>
      <c r="J50" s="750">
        <f t="shared" si="49"/>
        <v>6042.19</v>
      </c>
      <c r="K50" s="189">
        <f>'HVAC Deemed Table'!F581</f>
        <v>4385.8500000000004</v>
      </c>
      <c r="L50" s="189">
        <f>'HVAC Deemed Table'!F582</f>
        <v>4674.3999999999996</v>
      </c>
      <c r="M50" s="189">
        <f>'HVAC Deemed Table'!F583</f>
        <v>1367.79</v>
      </c>
      <c r="N50" s="189">
        <f>'HVAC Deemed Table'!F584</f>
        <v>4674.3999999999996</v>
      </c>
      <c r="O50" s="751">
        <f t="shared" si="50"/>
        <v>4.1552340000000001</v>
      </c>
      <c r="P50" s="751">
        <f t="shared" si="51"/>
        <v>1.2958689999999999</v>
      </c>
      <c r="Q50" s="752">
        <f>'HVAC Deemed Table'!I581</f>
        <v>4.1552340000000001</v>
      </c>
      <c r="R50" s="752">
        <f>'HVAC Deemed Table'!I582</f>
        <v>0</v>
      </c>
      <c r="S50" s="752">
        <f>'HVAC Deemed Table'!I583</f>
        <v>1.2958689999999999</v>
      </c>
      <c r="T50" s="752">
        <f>'HVAC Deemed Table'!I584</f>
        <v>0</v>
      </c>
      <c r="U50" s="753">
        <f t="shared" si="52"/>
        <v>0</v>
      </c>
      <c r="V50" s="753">
        <f t="shared" si="53"/>
        <v>0</v>
      </c>
      <c r="W50" s="753">
        <f t="shared" si="54"/>
        <v>4.1552340000000001</v>
      </c>
      <c r="X50" s="22">
        <f>'HVAC Deemed Table'!J581</f>
        <v>6</v>
      </c>
      <c r="Y50" s="22">
        <f>'HVAC Deemed Table'!J583</f>
        <v>12</v>
      </c>
      <c r="Z50" s="22">
        <f t="shared" si="62"/>
        <v>18</v>
      </c>
      <c r="AA50" s="17">
        <f>'HVAC Deemed Table'!DG581</f>
        <v>1.4355894503288062</v>
      </c>
      <c r="AB50" s="771">
        <f>'HVAC Deemed Table'!K581</f>
        <v>6248.64477985144</v>
      </c>
      <c r="AC50" s="862">
        <f t="shared" si="63"/>
        <v>5621.2154100956441</v>
      </c>
      <c r="AD50" s="862">
        <f t="shared" si="55"/>
        <v>3349.273114711249</v>
      </c>
      <c r="AE50" s="195">
        <f>'HVAC Deemed Table'!DI581</f>
        <v>4367.6403776488651</v>
      </c>
      <c r="AF50" s="195">
        <f>'HVAC Deemed Table'!DI582</f>
        <v>1253.5750324467788</v>
      </c>
      <c r="AG50" s="195">
        <f>'HVAC Deemed Table'!DI583</f>
        <v>1769.8119342007592</v>
      </c>
      <c r="AH50" s="195">
        <f>'HVAC Deemed Table'!DI584</f>
        <v>1579.4611805104896</v>
      </c>
      <c r="AI50" s="866" t="e">
        <f t="shared" si="64"/>
        <v>#REF!</v>
      </c>
      <c r="AJ50" s="45">
        <f>'HVAC Deemed Table'!L581</f>
        <v>3.8698630136986303</v>
      </c>
      <c r="AK50" s="621"/>
      <c r="AL50" s="621"/>
      <c r="AX50" s="1284" t="str">
        <f t="shared" ref="AX50:AX74" si="65">G50</f>
        <v>GSHP-EER23-Replace_ASHP_ER1_SF</v>
      </c>
      <c r="AY50" s="1307"/>
      <c r="AZ50" s="1376" t="str">
        <f t="shared" ref="AZ50:AZ74" si="66">A50</f>
        <v>352200</v>
      </c>
      <c r="BA50" s="1260">
        <f>ROUND((K50*$BC$3)+(K51*$BC$4),2)</f>
        <v>3196.06</v>
      </c>
      <c r="BB50" s="1260">
        <f>ROUND((L50*$BC$3)+(L51*$BC$4),2)</f>
        <v>4726.3999999999996</v>
      </c>
      <c r="BC50" s="1260">
        <f>ROUND((M50*$BC$3)+(K51*$BC$4),2)</f>
        <v>1385.22</v>
      </c>
      <c r="BD50" s="1260">
        <f>ROUND((N50*$BC$3)+(L51*$BC$4),2)</f>
        <v>4726.3999999999996</v>
      </c>
      <c r="BE50" s="1234"/>
      <c r="BF50" s="1250">
        <f>ROUND(BA50*'CP FACTORS'!$B$9,6)</f>
        <v>3.0280049999999998</v>
      </c>
      <c r="BG50" s="1251">
        <f>ROUND(BB50*'CP FACTORS'!$B$14,6)</f>
        <v>0</v>
      </c>
      <c r="BH50" s="1250">
        <f>ROUND(BC50*'CP FACTORS'!$B$9,6)</f>
        <v>1.3123830000000001</v>
      </c>
      <c r="BI50" s="1252">
        <f>ROUND(BD50*'CP FACTORS'!$B$14,6)</f>
        <v>0</v>
      </c>
      <c r="BJ50" s="1234"/>
      <c r="BK50" s="698">
        <f t="shared" si="57"/>
        <v>7922.4599999999991</v>
      </c>
      <c r="BL50" s="1271">
        <f t="shared" si="58"/>
        <v>6111.62</v>
      </c>
      <c r="BM50" s="1270">
        <f t="shared" si="59"/>
        <v>3.0280049999999998</v>
      </c>
      <c r="BN50" s="1269">
        <f t="shared" si="60"/>
        <v>1.3123830000000001</v>
      </c>
    </row>
    <row r="51" spans="1:66" s="39" customFormat="1" ht="14.25" customHeight="1" x14ac:dyDescent="0.25">
      <c r="A51" s="49" t="str">
        <f t="shared" si="61"/>
        <v>352250</v>
      </c>
      <c r="B51" s="1371" t="str">
        <f>'HVAC Deemed Table'!C585</f>
        <v>352250_2024_12_</v>
      </c>
      <c r="C51" s="846" t="str">
        <f>'HVAC Deemed Table'!G585</f>
        <v>Cooling Res</v>
      </c>
      <c r="D51" s="846" t="str">
        <f>'HVAC Deemed Table'!G586</f>
        <v>Heating RES</v>
      </c>
      <c r="E51" s="1307"/>
      <c r="F51" s="1307"/>
      <c r="G51" s="1307" t="str">
        <f>'HVAC Deemed Table'!E585</f>
        <v>GSHP-EER23_ROF_SF</v>
      </c>
      <c r="H51" s="18" t="str">
        <f>'HVAC Deemed Table'!D585</f>
        <v>PAYS</v>
      </c>
      <c r="I51" s="750">
        <f t="shared" si="48"/>
        <v>6215.76</v>
      </c>
      <c r="J51" s="750">
        <f t="shared" si="49"/>
        <v>0</v>
      </c>
      <c r="K51" s="189">
        <f>'HVAC Deemed Table'!F585</f>
        <v>1411.37</v>
      </c>
      <c r="L51" s="189">
        <f>'HVAC Deemed Table'!F586</f>
        <v>4804.3900000000003</v>
      </c>
      <c r="M51" s="189"/>
      <c r="N51" s="189"/>
      <c r="O51" s="751">
        <f t="shared" si="50"/>
        <v>1.3371569999999999</v>
      </c>
      <c r="P51" s="751">
        <f t="shared" si="51"/>
        <v>0</v>
      </c>
      <c r="Q51" s="752">
        <f>'HVAC Deemed Table'!I585</f>
        <v>1.3371569999999999</v>
      </c>
      <c r="R51" s="752">
        <f>'HVAC Deemed Table'!I586</f>
        <v>0</v>
      </c>
      <c r="S51" s="752"/>
      <c r="T51" s="752"/>
      <c r="U51" s="753">
        <f t="shared" si="52"/>
        <v>0</v>
      </c>
      <c r="V51" s="753">
        <f t="shared" si="53"/>
        <v>0</v>
      </c>
      <c r="W51" s="753">
        <f t="shared" si="54"/>
        <v>1.3371569999999999</v>
      </c>
      <c r="X51" s="22">
        <f>'HVAC Deemed Table'!J585</f>
        <v>18</v>
      </c>
      <c r="Y51" s="22"/>
      <c r="Z51" s="22">
        <f t="shared" si="62"/>
        <v>18</v>
      </c>
      <c r="AA51" s="17">
        <f>'HVAC Deemed Table'!DG585</f>
        <v>0.81816786649657092</v>
      </c>
      <c r="AB51" s="771">
        <f>'HVAC Deemed Table'!K585</f>
        <v>7508.8881687196081</v>
      </c>
      <c r="AC51" s="862">
        <f t="shared" si="63"/>
        <v>6143.5310127626653</v>
      </c>
      <c r="AD51" s="862">
        <f t="shared" si="55"/>
        <v>0</v>
      </c>
      <c r="AE51" s="195">
        <f>'HVAC Deemed Table'!DI585</f>
        <v>3231.7111318860234</v>
      </c>
      <c r="AF51" s="195">
        <f>'HVAC Deemed Table'!DI586</f>
        <v>2911.8198808766415</v>
      </c>
      <c r="AG51" s="195"/>
      <c r="AH51" s="195"/>
      <c r="AI51" s="866" t="e">
        <f t="shared" si="64"/>
        <v>#REF!</v>
      </c>
      <c r="AJ51" s="45">
        <f>'HVAC Deemed Table'!L585</f>
        <v>3.993150684931507</v>
      </c>
      <c r="AK51" s="621"/>
      <c r="AL51" s="621"/>
      <c r="AM51"/>
      <c r="AN51"/>
      <c r="AO51"/>
      <c r="AP51"/>
      <c r="AQ51"/>
      <c r="AR51"/>
      <c r="AS51"/>
      <c r="AT51"/>
      <c r="AU51"/>
      <c r="AV51"/>
      <c r="AW51"/>
      <c r="AX51" s="1284" t="str">
        <f t="shared" si="65"/>
        <v>GSHP-EER23_ROF_SF</v>
      </c>
      <c r="AY51" s="1307"/>
      <c r="AZ51" s="1376" t="str">
        <f t="shared" si="66"/>
        <v>352250</v>
      </c>
      <c r="BA51" s="1260">
        <f t="shared" ref="BA51:BD52" si="67">BA50</f>
        <v>3196.06</v>
      </c>
      <c r="BB51" s="1260">
        <f t="shared" si="67"/>
        <v>4726.3999999999996</v>
      </c>
      <c r="BC51" s="1260">
        <f t="shared" si="67"/>
        <v>1385.22</v>
      </c>
      <c r="BD51" s="1260">
        <f t="shared" si="67"/>
        <v>4726.3999999999996</v>
      </c>
      <c r="BE51" s="1235"/>
      <c r="BF51" s="1250">
        <f>ROUND(BA51*'CP FACTORS'!$B$9,6)</f>
        <v>3.0280049999999998</v>
      </c>
      <c r="BG51" s="1251">
        <f>ROUND(BB51*'CP FACTORS'!$B$14,6)</f>
        <v>0</v>
      </c>
      <c r="BH51" s="1250">
        <f>ROUND(BC51*'CP FACTORS'!$B$9,6)</f>
        <v>1.3123830000000001</v>
      </c>
      <c r="BI51" s="1252">
        <f>ROUND(BD51*'CP FACTORS'!$B$14,6)</f>
        <v>0</v>
      </c>
      <c r="BJ51" s="1234"/>
      <c r="BK51" s="698">
        <f t="shared" si="57"/>
        <v>7922.4599999999991</v>
      </c>
      <c r="BL51" s="1271">
        <f t="shared" si="58"/>
        <v>6111.62</v>
      </c>
      <c r="BM51" s="1270">
        <f t="shared" si="59"/>
        <v>3.0280049999999998</v>
      </c>
      <c r="BN51" s="1269">
        <f t="shared" si="60"/>
        <v>1.3123830000000001</v>
      </c>
    </row>
    <row r="52" spans="1:66" s="39" customFormat="1" ht="14.25" customHeight="1" x14ac:dyDescent="0.25">
      <c r="A52" s="49" t="str">
        <f t="shared" ref="A52" si="68">LEFT(B52,6)</f>
        <v>352260</v>
      </c>
      <c r="B52" s="1371" t="str">
        <f>'HVAC Deemed Table'!C587</f>
        <v>352260_2024_12_</v>
      </c>
      <c r="C52" s="846" t="str">
        <f>'HVAC Deemed Table'!G587</f>
        <v>Cooling Res</v>
      </c>
      <c r="D52" s="846" t="str">
        <f>'HVAC Deemed Table'!G588</f>
        <v>Heating RES</v>
      </c>
      <c r="E52" s="1307"/>
      <c r="F52" s="1307"/>
      <c r="G52" s="1307" t="str">
        <f>'HVAC Deemed Table'!E587</f>
        <v>GSHP-EER23-Replace_GSHP_ER1_SF</v>
      </c>
      <c r="H52" s="18" t="str">
        <f>'HVAC Deemed Table'!D587</f>
        <v>PAYS</v>
      </c>
      <c r="I52" s="750">
        <f t="shared" ref="I52" si="69">K52+L52</f>
        <v>6231.73</v>
      </c>
      <c r="J52" s="750">
        <f t="shared" ref="J52" si="70">M52+N52</f>
        <v>0</v>
      </c>
      <c r="K52" s="189">
        <f>'HVAC Deemed Table'!F587</f>
        <v>1557.33</v>
      </c>
      <c r="L52" s="189">
        <f>'HVAC Deemed Table'!F588</f>
        <v>4674.3999999999996</v>
      </c>
      <c r="M52" s="189"/>
      <c r="N52" s="189"/>
      <c r="O52" s="751">
        <f t="shared" ref="O52" si="71">Q52+R52</f>
        <v>1.4754430000000001</v>
      </c>
      <c r="P52" s="751">
        <f t="shared" ref="P52" si="72">S52+T52</f>
        <v>0</v>
      </c>
      <c r="Q52" s="752">
        <f>'HVAC Deemed Table'!I587</f>
        <v>1.4754430000000001</v>
      </c>
      <c r="R52" s="752">
        <f>'HVAC Deemed Table'!I588</f>
        <v>0</v>
      </c>
      <c r="S52" s="752"/>
      <c r="T52" s="752"/>
      <c r="U52" s="753">
        <f t="shared" si="52"/>
        <v>0</v>
      </c>
      <c r="V52" s="753">
        <f t="shared" si="53"/>
        <v>0</v>
      </c>
      <c r="W52" s="753">
        <f t="shared" si="54"/>
        <v>1.4754430000000001</v>
      </c>
      <c r="X52" s="22">
        <f>'HVAC Deemed Table'!J587</f>
        <v>6</v>
      </c>
      <c r="Y52" s="22">
        <f>'HVAC Deemed Table'!J589</f>
        <v>12</v>
      </c>
      <c r="Z52" s="22">
        <f t="shared" ref="Z52" si="73">Y52+X52</f>
        <v>18</v>
      </c>
      <c r="AA52" s="17">
        <f>'HVAC Deemed Table'!DG587</f>
        <v>0.98480750328554567</v>
      </c>
      <c r="AB52" s="771">
        <f>'HVAC Deemed Table'!K587</f>
        <v>6248.64477985144</v>
      </c>
      <c r="AC52" s="862">
        <f t="shared" ref="AC52" si="74">AE52+AF52</f>
        <v>2804.4391498525056</v>
      </c>
      <c r="AD52" s="862">
        <f t="shared" ref="AD52" si="75">AG52+AH52</f>
        <v>0</v>
      </c>
      <c r="AE52" s="195">
        <f>'HVAC Deemed Table'!DI587</f>
        <v>1550.8641174057266</v>
      </c>
      <c r="AF52" s="195">
        <f>'HVAC Deemed Table'!DI588</f>
        <v>1253.5750324467788</v>
      </c>
      <c r="AG52" s="195"/>
      <c r="AH52" s="195"/>
      <c r="AI52" s="866" t="e">
        <f t="shared" si="64"/>
        <v>#REF!</v>
      </c>
      <c r="AJ52" s="45">
        <f>'HVAC Deemed Table'!L587</f>
        <v>3.8698630136986303</v>
      </c>
      <c r="AK52" s="621"/>
      <c r="AL52" s="621"/>
      <c r="AM52"/>
      <c r="AN52"/>
      <c r="AO52"/>
      <c r="AP52"/>
      <c r="AQ52"/>
      <c r="AR52"/>
      <c r="AS52"/>
      <c r="AT52"/>
      <c r="AU52"/>
      <c r="AV52"/>
      <c r="AW52"/>
      <c r="AX52" s="1284" t="str">
        <f t="shared" ref="AX52" si="76">G52</f>
        <v>GSHP-EER23-Replace_GSHP_ER1_SF</v>
      </c>
      <c r="AY52" s="1307"/>
      <c r="AZ52" s="1376" t="str">
        <f t="shared" ref="AZ52" si="77">A52</f>
        <v>352260</v>
      </c>
      <c r="BA52" s="1260">
        <f t="shared" si="67"/>
        <v>3196.06</v>
      </c>
      <c r="BB52" s="1260">
        <f t="shared" si="67"/>
        <v>4726.3999999999996</v>
      </c>
      <c r="BC52" s="1260">
        <f t="shared" si="67"/>
        <v>1385.22</v>
      </c>
      <c r="BD52" s="1260">
        <f t="shared" si="67"/>
        <v>4726.3999999999996</v>
      </c>
      <c r="BE52" s="1235"/>
      <c r="BF52" s="1250">
        <f>ROUND(BA52*'CP FACTORS'!$B$9,6)</f>
        <v>3.0280049999999998</v>
      </c>
      <c r="BG52" s="1251">
        <f>ROUND(BB52*'CP FACTORS'!$B$14,6)</f>
        <v>0</v>
      </c>
      <c r="BH52" s="1250">
        <f>ROUND(BC52*'CP FACTORS'!$B$9,6)</f>
        <v>1.3123830000000001</v>
      </c>
      <c r="BI52" s="1252">
        <f>ROUND(BD52*'CP FACTORS'!$B$14,6)</f>
        <v>0</v>
      </c>
      <c r="BJ52" s="1234"/>
      <c r="BK52" s="698">
        <f t="shared" ref="BK52" si="78">BA52+BB52</f>
        <v>7922.4599999999991</v>
      </c>
      <c r="BL52" s="1271">
        <f t="shared" ref="BL52" si="79">BC52+BD52</f>
        <v>6111.62</v>
      </c>
      <c r="BM52" s="1270">
        <f t="shared" ref="BM52" si="80">BF52+BG52</f>
        <v>3.0280049999999998</v>
      </c>
      <c r="BN52" s="1269">
        <f t="shared" ref="BN52" si="81">BH52+BI52</f>
        <v>1.3123830000000001</v>
      </c>
    </row>
    <row r="53" spans="1:66" x14ac:dyDescent="0.25">
      <c r="A53" s="49" t="str">
        <f t="shared" si="61"/>
        <v>352300</v>
      </c>
      <c r="B53" s="1371" t="str">
        <f>'HVAC Deemed Table'!C709</f>
        <v>352300_2024_12_</v>
      </c>
      <c r="C53" s="846" t="str">
        <f>'HVAC Deemed Table'!G709</f>
        <v>Cooling Res</v>
      </c>
      <c r="D53" s="846" t="str">
        <f>'HVAC Deemed Table'!G710</f>
        <v>Heating Res</v>
      </c>
      <c r="E53" s="846" t="str">
        <f>'HVAC Deemed Table'!G711</f>
        <v>Cooling Res ER2</v>
      </c>
      <c r="F53" s="846" t="str">
        <f>'HVAC Deemed Table'!G712</f>
        <v>Heating Res ER2</v>
      </c>
      <c r="G53" s="1307" t="str">
        <f>'HVAC Deemed Table'!E709</f>
        <v>ASHP-SEER15-Replace_CAC_ElectricHeat_ER1_SF</v>
      </c>
      <c r="H53" s="18" t="str">
        <f>'HVAC Deemed Table'!D709</f>
        <v>PAYS</v>
      </c>
      <c r="I53" s="750">
        <f t="shared" si="48"/>
        <v>10303.56</v>
      </c>
      <c r="J53" s="750">
        <f t="shared" si="49"/>
        <v>8565.5399999999991</v>
      </c>
      <c r="K53" s="189">
        <f>'HVAC Deemed Table'!F709</f>
        <v>2004.34</v>
      </c>
      <c r="L53" s="189">
        <f>'HVAC Deemed Table'!F710</f>
        <v>8299.2199999999993</v>
      </c>
      <c r="M53" s="189">
        <f>'HVAC Deemed Table'!F711</f>
        <v>266.32</v>
      </c>
      <c r="N53" s="189">
        <f>'HVAC Deemed Table'!F712</f>
        <v>8299.2199999999993</v>
      </c>
      <c r="O53" s="751">
        <f t="shared" si="50"/>
        <v>1.8989480000000001</v>
      </c>
      <c r="P53" s="751">
        <f t="shared" si="51"/>
        <v>0.25231599999999998</v>
      </c>
      <c r="Q53" s="752">
        <f>'HVAC Deemed Table'!I709</f>
        <v>1.8989480000000001</v>
      </c>
      <c r="R53" s="752">
        <f>'HVAC Deemed Table'!I710</f>
        <v>0</v>
      </c>
      <c r="S53" s="752">
        <f>'HVAC Deemed Table'!I711</f>
        <v>0.25231599999999998</v>
      </c>
      <c r="T53" s="752">
        <f>'HVAC Deemed Table'!I712</f>
        <v>0</v>
      </c>
      <c r="U53" s="753">
        <f t="shared" si="52"/>
        <v>0</v>
      </c>
      <c r="V53" s="753">
        <f t="shared" si="53"/>
        <v>0</v>
      </c>
      <c r="W53" s="753">
        <f t="shared" si="54"/>
        <v>1.8989480000000001</v>
      </c>
      <c r="X53" s="22">
        <f>'HVAC Deemed Table'!J709</f>
        <v>6</v>
      </c>
      <c r="Y53" s="22">
        <f>'HVAC Deemed Table'!J711</f>
        <v>12</v>
      </c>
      <c r="Z53" s="22">
        <f t="shared" si="62"/>
        <v>18</v>
      </c>
      <c r="AA53" s="17">
        <f>'HVAC Deemed Table'!DG709</f>
        <v>2.2774505609007343</v>
      </c>
      <c r="AB53" s="246">
        <f>'HVAC Deemed Table'!K709</f>
        <v>3236.3220917485878</v>
      </c>
      <c r="AC53" s="862">
        <f t="shared" si="63"/>
        <v>4221.6931242145793</v>
      </c>
      <c r="AD53" s="862">
        <f t="shared" si="55"/>
        <v>3148.8704388936803</v>
      </c>
      <c r="AE53" s="195">
        <f>'HVAC Deemed Table'!DI709</f>
        <v>1996.0181753905683</v>
      </c>
      <c r="AF53" s="195">
        <f>'HVAC Deemed Table'!DI710</f>
        <v>2225.6749488240107</v>
      </c>
      <c r="AG53" s="195">
        <f>'HVAC Deemed Table'!DI711</f>
        <v>344.59698807298355</v>
      </c>
      <c r="AH53" s="195">
        <f>'HVAC Deemed Table'!DI712</f>
        <v>2804.2734508206968</v>
      </c>
      <c r="AI53" s="866" t="e">
        <f t="shared" si="64"/>
        <v>#REF!</v>
      </c>
      <c r="AJ53" s="45">
        <f>'HVAC Deemed Table'!L709</f>
        <v>2.5726507669889709</v>
      </c>
      <c r="AK53" s="621"/>
      <c r="AL53" s="621"/>
      <c r="AX53" s="1284" t="str">
        <f t="shared" si="65"/>
        <v>ASHP-SEER15-Replace_CAC_ElectricHeat_ER1_SF</v>
      </c>
      <c r="AY53" s="1307"/>
      <c r="AZ53" s="1376" t="str">
        <f t="shared" si="66"/>
        <v>352300</v>
      </c>
      <c r="BA53" s="1261">
        <f t="shared" ref="BA53:BB54" si="82">ROUND((K53*$BC$3)+(K56*$BC$4),2)</f>
        <v>1312.07</v>
      </c>
      <c r="BB53" s="1261">
        <f t="shared" si="82"/>
        <v>8563.1299999999992</v>
      </c>
      <c r="BC53" s="1261">
        <f t="shared" ref="BC53:BD54" si="83">ROUND((M53*$BC$3)+(K56*$BC$4),2)</f>
        <v>269.26</v>
      </c>
      <c r="BD53" s="1261">
        <f t="shared" si="83"/>
        <v>8563.1299999999992</v>
      </c>
      <c r="BE53" s="1234"/>
      <c r="BF53" s="1250">
        <f>ROUND(BA53*'CP FACTORS'!$B$9,6)</f>
        <v>1.243079</v>
      </c>
      <c r="BG53" s="1251">
        <f>ROUND(BB53*'CP FACTORS'!$B$14,6)</f>
        <v>0</v>
      </c>
      <c r="BH53" s="1250">
        <f>ROUND(BC53*'CP FACTORS'!$B$9,6)</f>
        <v>0.255102</v>
      </c>
      <c r="BI53" s="1252">
        <f>ROUND(BD53*'CP FACTORS'!$B$14,6)</f>
        <v>0</v>
      </c>
      <c r="BJ53" s="1234"/>
      <c r="BK53" s="698">
        <f t="shared" si="57"/>
        <v>9875.1999999999989</v>
      </c>
      <c r="BL53" s="1271">
        <f t="shared" si="58"/>
        <v>8832.39</v>
      </c>
      <c r="BM53" s="1270">
        <f t="shared" si="59"/>
        <v>1.243079</v>
      </c>
      <c r="BN53" s="1269">
        <f t="shared" si="60"/>
        <v>0.255102</v>
      </c>
    </row>
    <row r="54" spans="1:66" x14ac:dyDescent="0.25">
      <c r="A54" s="49" t="str">
        <f t="shared" si="61"/>
        <v>352310</v>
      </c>
      <c r="B54" s="1371" t="str">
        <f>'HVAC Deemed Table'!C713</f>
        <v>352310_2024_12_</v>
      </c>
      <c r="C54" s="846" t="str">
        <f>'HVAC Deemed Table'!G713</f>
        <v>Cooling Res</v>
      </c>
      <c r="D54" s="846" t="str">
        <f>'HVAC Deemed Table'!G714</f>
        <v>Heating Res</v>
      </c>
      <c r="E54" s="846" t="str">
        <f>'HVAC Deemed Table'!G715</f>
        <v>Cooling Res ER2</v>
      </c>
      <c r="F54" s="846" t="str">
        <f>'HVAC Deemed Table'!G716</f>
        <v>Heating Res ER2</v>
      </c>
      <c r="G54" s="1307" t="str">
        <f>'HVAC Deemed Table'!E713</f>
        <v>ASHP-SEER15-Replace_CAC_NonElectricHeat_ER1_SF</v>
      </c>
      <c r="H54" s="18" t="str">
        <f>'HVAC Deemed Table'!D713</f>
        <v>PAYS</v>
      </c>
      <c r="I54" s="750">
        <f t="shared" si="48"/>
        <v>2004.34</v>
      </c>
      <c r="J54" s="750">
        <f t="shared" si="49"/>
        <v>266.32</v>
      </c>
      <c r="K54" s="189">
        <f>'HVAC Deemed Table'!F713</f>
        <v>2004.34</v>
      </c>
      <c r="L54" s="189">
        <f>'HVAC Deemed Table'!F714</f>
        <v>0</v>
      </c>
      <c r="M54" s="189">
        <f>'HVAC Deemed Table'!F715</f>
        <v>266.32</v>
      </c>
      <c r="N54" s="189">
        <f>'HVAC Deemed Table'!F716</f>
        <v>0</v>
      </c>
      <c r="O54" s="751">
        <f t="shared" si="50"/>
        <v>1.8989480000000001</v>
      </c>
      <c r="P54" s="751">
        <f t="shared" si="51"/>
        <v>0.25231599999999998</v>
      </c>
      <c r="Q54" s="752">
        <f>'HVAC Deemed Table'!I713</f>
        <v>1.8989480000000001</v>
      </c>
      <c r="R54" s="752">
        <f>'HVAC Deemed Table'!I714</f>
        <v>0</v>
      </c>
      <c r="S54" s="752">
        <f>'HVAC Deemed Table'!I715</f>
        <v>0.25231599999999998</v>
      </c>
      <c r="T54" s="752">
        <f>'HVAC Deemed Table'!I716</f>
        <v>0</v>
      </c>
      <c r="U54" s="753">
        <f t="shared" si="52"/>
        <v>0</v>
      </c>
      <c r="V54" s="753">
        <f t="shared" si="53"/>
        <v>0</v>
      </c>
      <c r="W54" s="753">
        <f t="shared" si="54"/>
        <v>1.8989480000000001</v>
      </c>
      <c r="X54" s="22">
        <f>'HVAC Deemed Table'!J713</f>
        <v>6</v>
      </c>
      <c r="Y54" s="22">
        <f>'HVAC Deemed Table'!J715</f>
        <v>12</v>
      </c>
      <c r="Z54" s="22">
        <f t="shared" si="62"/>
        <v>18</v>
      </c>
      <c r="AA54" s="17">
        <f>'HVAC Deemed Table'!DG713</f>
        <v>6.0100398695147375</v>
      </c>
      <c r="AB54" s="246">
        <f>'HVAC Deemed Table'!K713</f>
        <v>389.45085461679935</v>
      </c>
      <c r="AC54" s="862">
        <f t="shared" si="63"/>
        <v>1996.0181753905683</v>
      </c>
      <c r="AD54" s="862">
        <f t="shared" si="55"/>
        <v>344.59698807298355</v>
      </c>
      <c r="AE54" s="195">
        <f>'HVAC Deemed Table'!DI713</f>
        <v>1996.0181753905683</v>
      </c>
      <c r="AF54" s="195">
        <f>'HVAC Deemed Table'!DI714</f>
        <v>0</v>
      </c>
      <c r="AG54" s="195">
        <f>'HVAC Deemed Table'!DI715</f>
        <v>344.59698807298355</v>
      </c>
      <c r="AH54" s="195">
        <f>'HVAC Deemed Table'!DI716</f>
        <v>0</v>
      </c>
      <c r="AI54" s="866" t="e">
        <f t="shared" si="64"/>
        <v>#REF!</v>
      </c>
      <c r="AJ54" s="45">
        <f>'HVAC Deemed Table'!L713</f>
        <v>2.5726507669889709</v>
      </c>
      <c r="AK54" s="877"/>
      <c r="AL54" s="877"/>
      <c r="AX54" s="1284" t="str">
        <f t="shared" si="65"/>
        <v>ASHP-SEER15-Replace_CAC_NonElectricHeat_ER1_SF</v>
      </c>
      <c r="AY54" s="1307"/>
      <c r="AZ54" s="1376" t="str">
        <f t="shared" si="66"/>
        <v>352310</v>
      </c>
      <c r="BA54" s="1261">
        <f t="shared" si="82"/>
        <v>1312.07</v>
      </c>
      <c r="BB54" s="1261">
        <f t="shared" si="82"/>
        <v>0</v>
      </c>
      <c r="BC54" s="1261">
        <f t="shared" si="83"/>
        <v>269.26</v>
      </c>
      <c r="BD54" s="1261">
        <f t="shared" si="83"/>
        <v>0</v>
      </c>
      <c r="BE54" s="1234"/>
      <c r="BF54" s="1250">
        <f>ROUND(BA54*'CP FACTORS'!$B$9,6)</f>
        <v>1.243079</v>
      </c>
      <c r="BG54" s="1251">
        <f>ROUND(BB54*'CP FACTORS'!$B$14,6)</f>
        <v>0</v>
      </c>
      <c r="BH54" s="1250">
        <f>ROUND(BC54*'CP FACTORS'!$B$9,6)</f>
        <v>0.255102</v>
      </c>
      <c r="BI54" s="1252">
        <f>ROUND(BD54*'CP FACTORS'!$B$14,6)</f>
        <v>0</v>
      </c>
      <c r="BJ54" s="1234"/>
      <c r="BK54" s="698">
        <f t="shared" si="57"/>
        <v>1312.07</v>
      </c>
      <c r="BL54" s="1271">
        <f t="shared" si="58"/>
        <v>269.26</v>
      </c>
      <c r="BM54" s="1270">
        <f t="shared" si="59"/>
        <v>1.243079</v>
      </c>
      <c r="BN54" s="1269">
        <f t="shared" si="60"/>
        <v>0.255102</v>
      </c>
    </row>
    <row r="55" spans="1:66" s="39" customFormat="1" x14ac:dyDescent="0.25">
      <c r="A55" s="49" t="str">
        <f t="shared" si="61"/>
        <v>352350</v>
      </c>
      <c r="B55" s="1371" t="str">
        <f>'HVAC Deemed Table'!C717</f>
        <v>352350_2024_12_</v>
      </c>
      <c r="C55" s="846" t="str">
        <f>'HVAC Deemed Table'!G717</f>
        <v>Cooling Res</v>
      </c>
      <c r="D55" s="846" t="str">
        <f>'HVAC Deemed Table'!G718</f>
        <v>Heating Res</v>
      </c>
      <c r="E55" s="846" t="str">
        <f>'HVAC Deemed Table'!G719</f>
        <v>Cooling Res ER2</v>
      </c>
      <c r="F55" s="846" t="str">
        <f>'HVAC Deemed Table'!G720</f>
        <v>Heating Res ER2</v>
      </c>
      <c r="G55" s="1307" t="str">
        <f>'HVAC Deemed Table'!E717</f>
        <v>ASHP-SEER15_ER1_SF</v>
      </c>
      <c r="H55" s="18" t="str">
        <f>'HVAC Deemed Table'!D717</f>
        <v>PAYS</v>
      </c>
      <c r="I55" s="750">
        <f t="shared" si="48"/>
        <v>3778.68</v>
      </c>
      <c r="J55" s="750">
        <f t="shared" si="49"/>
        <v>1032.82</v>
      </c>
      <c r="K55" s="189">
        <f>'HVAC Deemed Table'!F717</f>
        <v>2004.34</v>
      </c>
      <c r="L55" s="189">
        <f>'HVAC Deemed Table'!F718</f>
        <v>1774.34</v>
      </c>
      <c r="M55" s="189">
        <f>'HVAC Deemed Table'!F719</f>
        <v>119.46</v>
      </c>
      <c r="N55" s="189">
        <f>'HVAC Deemed Table'!F720</f>
        <v>913.36</v>
      </c>
      <c r="O55" s="751">
        <f t="shared" si="50"/>
        <v>1.8989480000000001</v>
      </c>
      <c r="P55" s="751">
        <f t="shared" si="51"/>
        <v>0.113179</v>
      </c>
      <c r="Q55" s="752">
        <f>'HVAC Deemed Table'!I717</f>
        <v>1.8989480000000001</v>
      </c>
      <c r="R55" s="752">
        <f>'HVAC Deemed Table'!I718</f>
        <v>0</v>
      </c>
      <c r="S55" s="752">
        <f>'HVAC Deemed Table'!I719</f>
        <v>0.113179</v>
      </c>
      <c r="T55" s="752">
        <f>'HVAC Deemed Table'!I720</f>
        <v>0</v>
      </c>
      <c r="U55" s="753">
        <f t="shared" si="52"/>
        <v>0</v>
      </c>
      <c r="V55" s="753">
        <f t="shared" si="53"/>
        <v>0</v>
      </c>
      <c r="W55" s="753">
        <f t="shared" si="54"/>
        <v>1.8989480000000001</v>
      </c>
      <c r="X55" s="22">
        <f>'HVAC Deemed Table'!J717</f>
        <v>6</v>
      </c>
      <c r="Y55" s="22">
        <f>'HVAC Deemed Table'!J719</f>
        <v>12</v>
      </c>
      <c r="Z55" s="22">
        <f t="shared" si="62"/>
        <v>18</v>
      </c>
      <c r="AA55" s="17">
        <f>'HVAC Deemed Table'!DG717</f>
        <v>22.286283086578191</v>
      </c>
      <c r="AB55" s="246">
        <f>'HVAC Deemed Table'!K717</f>
        <v>131.69764772075905</v>
      </c>
      <c r="AC55" s="862">
        <f t="shared" si="63"/>
        <v>2471.8585662581913</v>
      </c>
      <c r="AD55" s="862">
        <f t="shared" si="55"/>
        <v>463.19249268309392</v>
      </c>
      <c r="AE55" s="195">
        <f>'HVAC Deemed Table'!DI717</f>
        <v>1996.0181753905683</v>
      </c>
      <c r="AF55" s="195">
        <f>'HVAC Deemed Table'!DI718</f>
        <v>475.84039086762311</v>
      </c>
      <c r="AG55" s="195">
        <f>'HVAC Deemed Table'!DI719</f>
        <v>154.57177904475299</v>
      </c>
      <c r="AH55" s="195">
        <f>'HVAC Deemed Table'!DI720</f>
        <v>308.62071363834093</v>
      </c>
      <c r="AI55" s="866" t="e">
        <f t="shared" si="64"/>
        <v>#REF!</v>
      </c>
      <c r="AJ55" s="45">
        <f>'HVAC Deemed Table'!L717</f>
        <v>2.5726507669889709</v>
      </c>
      <c r="AK55" s="621"/>
      <c r="AL55" s="621"/>
      <c r="AM55"/>
      <c r="AN55"/>
      <c r="AO55"/>
      <c r="AP55"/>
      <c r="AQ55"/>
      <c r="AR55"/>
      <c r="AS55"/>
      <c r="AT55"/>
      <c r="AU55"/>
      <c r="AV55"/>
      <c r="AW55"/>
      <c r="AX55" s="1284" t="str">
        <f t="shared" si="65"/>
        <v>ASHP-SEER15_ER1_SF</v>
      </c>
      <c r="AY55" s="1307"/>
      <c r="AZ55" s="1376" t="str">
        <f t="shared" si="66"/>
        <v>352350</v>
      </c>
      <c r="BA55" s="1261" t="e">
        <f>ROUND((K55*$BC$3)+(#REF!*$BC$4),2)</f>
        <v>#REF!</v>
      </c>
      <c r="BB55" s="1261" t="e">
        <f>ROUND((L55*$BC$3)+(#REF!*$BC$4),2)</f>
        <v>#REF!</v>
      </c>
      <c r="BC55" s="1261" t="e">
        <f>ROUND((M55*$BC$3)+(#REF!*$BC$4),2)</f>
        <v>#REF!</v>
      </c>
      <c r="BD55" s="1261" t="e">
        <f>ROUND((N55*$BC$3)+(#REF!*$BC$4),2)</f>
        <v>#REF!</v>
      </c>
      <c r="BE55" s="1235"/>
      <c r="BF55" s="1250" t="e">
        <f>ROUND(BA55*'CP FACTORS'!$B$9,6)</f>
        <v>#REF!</v>
      </c>
      <c r="BG55" s="1251" t="e">
        <f>ROUND(BB55*'CP FACTORS'!$B$14,6)</f>
        <v>#REF!</v>
      </c>
      <c r="BH55" s="1250" t="e">
        <f>ROUND(BC55*'CP FACTORS'!$B$9,6)</f>
        <v>#REF!</v>
      </c>
      <c r="BI55" s="1252" t="e">
        <f>ROUND(BD55*'CP FACTORS'!$B$14,6)</f>
        <v>#REF!</v>
      </c>
      <c r="BJ55" s="1234"/>
      <c r="BK55" s="698" t="e">
        <f t="shared" si="57"/>
        <v>#REF!</v>
      </c>
      <c r="BL55" s="1271" t="e">
        <f t="shared" si="58"/>
        <v>#REF!</v>
      </c>
      <c r="BM55" s="1270" t="e">
        <f t="shared" si="59"/>
        <v>#REF!</v>
      </c>
      <c r="BN55" s="1269" t="e">
        <f t="shared" si="60"/>
        <v>#REF!</v>
      </c>
    </row>
    <row r="56" spans="1:66" x14ac:dyDescent="0.25">
      <c r="A56" s="49" t="str">
        <f>LEFT(B56,6)</f>
        <v>352400</v>
      </c>
      <c r="B56" s="1371" t="str">
        <f>'HVAC Deemed Table'!C721</f>
        <v>352400_2024_12_</v>
      </c>
      <c r="C56" s="846" t="str">
        <f>'HVAC Deemed Table'!G721</f>
        <v>Cooling Res</v>
      </c>
      <c r="D56" s="846" t="str">
        <f>'HVAC Deemed Table'!G722</f>
        <v>Heating Res</v>
      </c>
      <c r="E56" s="1307"/>
      <c r="F56" s="1307"/>
      <c r="G56" s="1307" t="str">
        <f>'HVAC Deemed Table'!E721</f>
        <v>ASHP-SEER15-Replace_CAC_ElectricHeat_ROF_SF</v>
      </c>
      <c r="H56" s="18" t="str">
        <f>'HVAC Deemed Table'!D721</f>
        <v>PAYS</v>
      </c>
      <c r="I56" s="750">
        <f t="shared" si="48"/>
        <v>9232.66</v>
      </c>
      <c r="J56" s="750">
        <f t="shared" si="49"/>
        <v>0</v>
      </c>
      <c r="K56" s="189">
        <f>'HVAC Deemed Table'!F721</f>
        <v>273.67</v>
      </c>
      <c r="L56" s="189">
        <f>'HVAC Deemed Table'!F722</f>
        <v>8958.99</v>
      </c>
      <c r="M56" s="189"/>
      <c r="N56" s="189"/>
      <c r="O56" s="751">
        <f t="shared" si="50"/>
        <v>0.25928000000000001</v>
      </c>
      <c r="P56" s="751">
        <f t="shared" si="51"/>
        <v>0</v>
      </c>
      <c r="Q56" s="752">
        <f>'HVAC Deemed Table'!I721</f>
        <v>0.25928000000000001</v>
      </c>
      <c r="R56" s="752">
        <f>'HVAC Deemed Table'!I722</f>
        <v>0</v>
      </c>
      <c r="S56" s="752"/>
      <c r="T56" s="752"/>
      <c r="U56" s="753">
        <f t="shared" si="52"/>
        <v>0</v>
      </c>
      <c r="V56" s="753">
        <f t="shared" si="53"/>
        <v>0</v>
      </c>
      <c r="W56" s="753">
        <f t="shared" si="54"/>
        <v>0.25928000000000001</v>
      </c>
      <c r="X56" s="22">
        <f>'HVAC Deemed Table'!J721</f>
        <v>18</v>
      </c>
      <c r="Y56" s="22"/>
      <c r="Z56" s="22">
        <f t="shared" si="62"/>
        <v>18</v>
      </c>
      <c r="AA56" s="17">
        <f>'HVAC Deemed Table'!DG721</f>
        <v>1.8162501539997935</v>
      </c>
      <c r="AB56" s="246">
        <f>'HVAC Deemed Table'!K721</f>
        <v>3334.5954220882886</v>
      </c>
      <c r="AC56" s="862">
        <f t="shared" si="63"/>
        <v>6056.4594488948605</v>
      </c>
      <c r="AD56" s="862">
        <f t="shared" si="55"/>
        <v>0</v>
      </c>
      <c r="AE56" s="195">
        <f>'HVAC Deemed Table'!DI721</f>
        <v>626.64105476469535</v>
      </c>
      <c r="AF56" s="195">
        <f>'HVAC Deemed Table'!DI722</f>
        <v>5429.818394130165</v>
      </c>
      <c r="AG56" s="195"/>
      <c r="AH56" s="195"/>
      <c r="AI56" s="866" t="e">
        <f t="shared" si="64"/>
        <v>#REF!</v>
      </c>
      <c r="AJ56" s="45">
        <f>'HVAC Deemed Table'!L721</f>
        <v>2.8059923701471465</v>
      </c>
      <c r="AK56" s="621"/>
      <c r="AL56" s="621"/>
      <c r="AX56" s="1284" t="str">
        <f t="shared" si="65"/>
        <v>ASHP-SEER15-Replace_CAC_ElectricHeat_ROF_SF</v>
      </c>
      <c r="AY56" s="1307"/>
      <c r="AZ56" s="1376" t="str">
        <f t="shared" si="66"/>
        <v>352400</v>
      </c>
      <c r="BA56" s="1262">
        <f>BA53</f>
        <v>1312.07</v>
      </c>
      <c r="BB56" s="1262">
        <f>BB53</f>
        <v>8563.1299999999992</v>
      </c>
      <c r="BC56" s="1262">
        <f>BC53</f>
        <v>269.26</v>
      </c>
      <c r="BD56" s="1262">
        <f>BD53</f>
        <v>8563.1299999999992</v>
      </c>
      <c r="BE56" s="1234"/>
      <c r="BF56" s="1250">
        <f>ROUND(BA56*'CP FACTORS'!$B$9,6)</f>
        <v>1.243079</v>
      </c>
      <c r="BG56" s="1251">
        <f>ROUND(BB56*'CP FACTORS'!$B$14,6)</f>
        <v>0</v>
      </c>
      <c r="BH56" s="1250">
        <f>ROUND(BC56*'CP FACTORS'!$B$9,6)</f>
        <v>0.255102</v>
      </c>
      <c r="BI56" s="1252">
        <f>ROUND(BD56*'CP FACTORS'!$B$14,6)</f>
        <v>0</v>
      </c>
      <c r="BJ56" s="1234"/>
      <c r="BK56" s="698">
        <f t="shared" si="57"/>
        <v>9875.1999999999989</v>
      </c>
      <c r="BL56" s="1271">
        <f t="shared" si="58"/>
        <v>8832.39</v>
      </c>
      <c r="BM56" s="1270">
        <f t="shared" si="59"/>
        <v>1.243079</v>
      </c>
      <c r="BN56" s="1269">
        <f t="shared" si="60"/>
        <v>0.255102</v>
      </c>
    </row>
    <row r="57" spans="1:66" x14ac:dyDescent="0.25">
      <c r="A57" s="49" t="str">
        <f t="shared" si="61"/>
        <v>352410</v>
      </c>
      <c r="B57" s="1371" t="str">
        <f>'HVAC Deemed Table'!C723</f>
        <v>352410_2024_12_</v>
      </c>
      <c r="C57" s="846" t="str">
        <f>'HVAC Deemed Table'!G723</f>
        <v>Cooling Res</v>
      </c>
      <c r="D57" s="846" t="str">
        <f>'HVAC Deemed Table'!G724</f>
        <v>Heating Res</v>
      </c>
      <c r="E57" s="1307"/>
      <c r="F57" s="1307"/>
      <c r="G57" s="1307" t="str">
        <f>'HVAC Deemed Table'!E723</f>
        <v>ASHP-SEER15-Replace_CAC_NonElectricHeat_ROF_SF</v>
      </c>
      <c r="H57" s="18" t="str">
        <f>'HVAC Deemed Table'!D723</f>
        <v>PAYS</v>
      </c>
      <c r="I57" s="750">
        <f t="shared" si="48"/>
        <v>273.67</v>
      </c>
      <c r="J57" s="750">
        <f t="shared" si="49"/>
        <v>0</v>
      </c>
      <c r="K57" s="189">
        <f>'HVAC Deemed Table'!F723</f>
        <v>273.67</v>
      </c>
      <c r="L57" s="189">
        <f>'HVAC Deemed Table'!F724</f>
        <v>0</v>
      </c>
      <c r="M57" s="189"/>
      <c r="N57" s="189"/>
      <c r="O57" s="751">
        <f t="shared" si="50"/>
        <v>0.25928000000000001</v>
      </c>
      <c r="P57" s="751">
        <f t="shared" si="51"/>
        <v>0</v>
      </c>
      <c r="Q57" s="752">
        <f>'HVAC Deemed Table'!I723</f>
        <v>0.25928000000000001</v>
      </c>
      <c r="R57" s="752">
        <f>'HVAC Deemed Table'!I724</f>
        <v>0</v>
      </c>
      <c r="S57" s="752"/>
      <c r="T57" s="752"/>
      <c r="U57" s="753">
        <f t="shared" si="52"/>
        <v>0</v>
      </c>
      <c r="V57" s="753">
        <f t="shared" si="53"/>
        <v>0</v>
      </c>
      <c r="W57" s="753">
        <f t="shared" si="54"/>
        <v>0.25928000000000001</v>
      </c>
      <c r="X57" s="22">
        <f>'HVAC Deemed Table'!J723</f>
        <v>18</v>
      </c>
      <c r="Y57" s="22"/>
      <c r="Z57" s="22">
        <f t="shared" si="62"/>
        <v>18</v>
      </c>
      <c r="AA57" s="17">
        <f>'HVAC Deemed Table'!DG723</f>
        <v>6.3397969027733563</v>
      </c>
      <c r="AB57" s="246">
        <f>'HVAC Deemed Table'!K723</f>
        <v>98.842449430922628</v>
      </c>
      <c r="AC57" s="862">
        <f t="shared" si="63"/>
        <v>626.64105476469535</v>
      </c>
      <c r="AD57" s="862">
        <f t="shared" si="55"/>
        <v>0</v>
      </c>
      <c r="AE57" s="195">
        <f>'HVAC Deemed Table'!DI723</f>
        <v>626.64105476469535</v>
      </c>
      <c r="AF57" s="195">
        <f>'HVAC Deemed Table'!DI724</f>
        <v>0</v>
      </c>
      <c r="AG57" s="195"/>
      <c r="AH57" s="195"/>
      <c r="AI57" s="866" t="e">
        <f t="shared" si="64"/>
        <v>#REF!</v>
      </c>
      <c r="AJ57" s="45">
        <f>'HVAC Deemed Table'!L723</f>
        <v>2.8059923701471465</v>
      </c>
      <c r="AK57" s="877"/>
      <c r="AL57" s="877"/>
      <c r="AX57" s="1284" t="str">
        <f t="shared" si="65"/>
        <v>ASHP-SEER15-Replace_CAC_NonElectricHeat_ROF_SF</v>
      </c>
      <c r="AY57" s="1307"/>
      <c r="AZ57" s="1376" t="str">
        <f t="shared" si="66"/>
        <v>352410</v>
      </c>
      <c r="BA57" s="1262">
        <f t="shared" ref="BA57:BD57" si="84">BA54</f>
        <v>1312.07</v>
      </c>
      <c r="BB57" s="1262">
        <f t="shared" si="84"/>
        <v>0</v>
      </c>
      <c r="BC57" s="1262">
        <f t="shared" si="84"/>
        <v>269.26</v>
      </c>
      <c r="BD57" s="1262">
        <f t="shared" si="84"/>
        <v>0</v>
      </c>
      <c r="BE57" s="1234"/>
      <c r="BF57" s="1250">
        <f>ROUND(BA57*'CP FACTORS'!$B$9,6)</f>
        <v>1.243079</v>
      </c>
      <c r="BG57" s="1251">
        <f>ROUND(BB57*'CP FACTORS'!$B$14,6)</f>
        <v>0</v>
      </c>
      <c r="BH57" s="1250">
        <f>ROUND(BC57*'CP FACTORS'!$B$9,6)</f>
        <v>0.255102</v>
      </c>
      <c r="BI57" s="1252">
        <f>ROUND(BD57*'CP FACTORS'!$B$14,6)</f>
        <v>0</v>
      </c>
      <c r="BJ57" s="1234"/>
      <c r="BK57" s="698">
        <f t="shared" si="57"/>
        <v>1312.07</v>
      </c>
      <c r="BL57" s="1271">
        <f t="shared" si="58"/>
        <v>269.26</v>
      </c>
      <c r="BM57" s="1270">
        <f t="shared" si="59"/>
        <v>1.243079</v>
      </c>
      <c r="BN57" s="1269">
        <f t="shared" si="60"/>
        <v>0.255102</v>
      </c>
    </row>
    <row r="58" spans="1:66" x14ac:dyDescent="0.25">
      <c r="A58" s="49" t="str">
        <f t="shared" si="61"/>
        <v>352500</v>
      </c>
      <c r="B58" s="1371" t="str">
        <f>'HVAC Deemed Table'!C725</f>
        <v>352500_2024_12_</v>
      </c>
      <c r="C58" s="846" t="str">
        <f>'HVAC Deemed Table'!G725</f>
        <v>Cooling Res</v>
      </c>
      <c r="D58" s="846" t="str">
        <f>'HVAC Deemed Table'!G726</f>
        <v>Heating Res</v>
      </c>
      <c r="E58" s="846" t="str">
        <f>'HVAC Deemed Table'!G727</f>
        <v>Cooling Res ER2</v>
      </c>
      <c r="F58" s="846" t="str">
        <f>'HVAC Deemed Table'!G728</f>
        <v>Heating Res ER2</v>
      </c>
      <c r="G58" s="1307" t="str">
        <f>'HVAC Deemed Table'!E725</f>
        <v>ASHP-SEER16-Replace_CAC_ElectricHeat_ER1_SF</v>
      </c>
      <c r="H58" s="18" t="str">
        <f>'HVAC Deemed Table'!D725</f>
        <v>PAYS/SFIE</v>
      </c>
      <c r="I58" s="750">
        <f t="shared" si="48"/>
        <v>10496.43</v>
      </c>
      <c r="J58" s="750">
        <f t="shared" si="49"/>
        <v>8733.69</v>
      </c>
      <c r="K58" s="189">
        <f>'HVAC Deemed Table'!F725</f>
        <v>2150.16</v>
      </c>
      <c r="L58" s="189">
        <f>'HVAC Deemed Table'!F726</f>
        <v>8346.27</v>
      </c>
      <c r="M58" s="189">
        <f>'HVAC Deemed Table'!F727</f>
        <v>387.42</v>
      </c>
      <c r="N58" s="189">
        <f>'HVAC Deemed Table'!F728</f>
        <v>8346.27</v>
      </c>
      <c r="O58" s="751">
        <f t="shared" si="50"/>
        <v>2.0371009999999998</v>
      </c>
      <c r="P58" s="751">
        <f t="shared" si="51"/>
        <v>0.36704900000000001</v>
      </c>
      <c r="Q58" s="752">
        <f>'HVAC Deemed Table'!I725</f>
        <v>2.0371009999999998</v>
      </c>
      <c r="R58" s="752">
        <f>'HVAC Deemed Table'!I726</f>
        <v>0</v>
      </c>
      <c r="S58" s="752">
        <f>'HVAC Deemed Table'!I727</f>
        <v>0.36704900000000001</v>
      </c>
      <c r="T58" s="752">
        <f>'HVAC Deemed Table'!I728</f>
        <v>0</v>
      </c>
      <c r="U58" s="753">
        <f t="shared" si="52"/>
        <v>0</v>
      </c>
      <c r="V58" s="753">
        <f t="shared" si="53"/>
        <v>0</v>
      </c>
      <c r="W58" s="753">
        <f t="shared" si="54"/>
        <v>2.0371009999999998</v>
      </c>
      <c r="X58" s="22">
        <f>'HVAC Deemed Table'!J725</f>
        <v>6</v>
      </c>
      <c r="Y58" s="22">
        <f>'HVAC Deemed Table'!J727</f>
        <v>12</v>
      </c>
      <c r="Z58" s="22">
        <f t="shared" si="62"/>
        <v>18</v>
      </c>
      <c r="AA58" s="17">
        <f>'HVAC Deemed Table'!DG725</f>
        <v>2.2019497986351224</v>
      </c>
      <c r="AB58" s="246">
        <f>'HVAC Deemed Table'!K725</f>
        <v>3497.3493799102171</v>
      </c>
      <c r="AC58" s="862">
        <f t="shared" si="63"/>
        <v>4379.5255068069018</v>
      </c>
      <c r="AD58" s="862">
        <f t="shared" si="55"/>
        <v>3321.4622560430703</v>
      </c>
      <c r="AE58" s="195">
        <f>'HVAC Deemed Table'!DI725</f>
        <v>2141.2327449423674</v>
      </c>
      <c r="AF58" s="195">
        <f>'HVAC Deemed Table'!DI726</f>
        <v>2238.292761864534</v>
      </c>
      <c r="AG58" s="195">
        <f>'HVAC Deemed Table'!DI727</f>
        <v>501.29079723353601</v>
      </c>
      <c r="AH58" s="195">
        <f>'HVAC Deemed Table'!DI728</f>
        <v>2820.1714588095342</v>
      </c>
      <c r="AI58" s="866" t="e">
        <f>#REF!</f>
        <v>#REF!</v>
      </c>
      <c r="AJ58" s="45">
        <f>'HVAC Deemed Table'!L725</f>
        <v>2.5310295805916874</v>
      </c>
      <c r="AK58" s="621"/>
      <c r="AL58" s="621"/>
      <c r="AX58" s="1284" t="str">
        <f t="shared" si="65"/>
        <v>ASHP-SEER16-Replace_CAC_ElectricHeat_ER1_SF</v>
      </c>
      <c r="AY58" s="1307"/>
      <c r="AZ58" s="1376" t="str">
        <f t="shared" si="66"/>
        <v>352500</v>
      </c>
      <c r="BA58" s="1261">
        <f t="shared" ref="BA58:BB60" si="85">ROUND((K58*$BC$3)+(K61*$BC$4),2)</f>
        <v>1447.94</v>
      </c>
      <c r="BB58" s="1261">
        <f t="shared" si="85"/>
        <v>8676.99</v>
      </c>
      <c r="BC58" s="1261">
        <f t="shared" ref="BC58:BD60" si="86">ROUND((M58*$BC$3)+(K61*$BC$4),2)</f>
        <v>390.3</v>
      </c>
      <c r="BD58" s="1261">
        <f t="shared" si="86"/>
        <v>8676.99</v>
      </c>
      <c r="BE58" s="1234"/>
      <c r="BF58" s="1250">
        <f>ROUND(BA58*'CP FACTORS'!$B$9,6)</f>
        <v>1.3718049999999999</v>
      </c>
      <c r="BG58" s="1251">
        <f>ROUND(BB58*'CP FACTORS'!$B$14,6)</f>
        <v>0</v>
      </c>
      <c r="BH58" s="1250">
        <f>ROUND(BC58*'CP FACTORS'!$B$9,6)</f>
        <v>0.36977700000000002</v>
      </c>
      <c r="BI58" s="1252">
        <f>ROUND(BD58*'CP FACTORS'!$B$14,6)</f>
        <v>0</v>
      </c>
      <c r="BJ58" s="1234"/>
      <c r="BK58" s="698">
        <f t="shared" si="57"/>
        <v>10124.93</v>
      </c>
      <c r="BL58" s="1271">
        <f t="shared" si="58"/>
        <v>9067.2899999999991</v>
      </c>
      <c r="BM58" s="1270">
        <f t="shared" si="59"/>
        <v>1.3718049999999999</v>
      </c>
      <c r="BN58" s="1269">
        <f t="shared" si="60"/>
        <v>0.36977700000000002</v>
      </c>
    </row>
    <row r="59" spans="1:66" x14ac:dyDescent="0.25">
      <c r="A59" s="49" t="str">
        <f t="shared" si="61"/>
        <v>352510</v>
      </c>
      <c r="B59" s="1371" t="str">
        <f>'HVAC Deemed Table'!C729</f>
        <v>352510_2024_12_</v>
      </c>
      <c r="C59" s="846" t="str">
        <f>'HVAC Deemed Table'!G729</f>
        <v>Cooling Res</v>
      </c>
      <c r="D59" s="846" t="str">
        <f>'HVAC Deemed Table'!G730</f>
        <v>Heating Res</v>
      </c>
      <c r="E59" s="846" t="str">
        <f>'HVAC Deemed Table'!G731</f>
        <v>Cooling Res ER2</v>
      </c>
      <c r="F59" s="846" t="str">
        <f>'HVAC Deemed Table'!G732</f>
        <v>Heating Res ER2</v>
      </c>
      <c r="G59" s="1307" t="str">
        <f>'HVAC Deemed Table'!E729</f>
        <v>ASHP-SEER16-Replace_CAC_NonElectricHeat_ER1_SF</v>
      </c>
      <c r="H59" s="18" t="str">
        <f>'HVAC Deemed Table'!D729</f>
        <v>PAYS</v>
      </c>
      <c r="I59" s="750">
        <f t="shared" si="48"/>
        <v>2150.16</v>
      </c>
      <c r="J59" s="750">
        <f t="shared" si="49"/>
        <v>387.42</v>
      </c>
      <c r="K59" s="189">
        <f>'HVAC Deemed Table'!F729</f>
        <v>2150.16</v>
      </c>
      <c r="L59" s="189">
        <f>'HVAC Deemed Table'!F730</f>
        <v>0</v>
      </c>
      <c r="M59" s="189">
        <f>'HVAC Deemed Table'!F731</f>
        <v>387.42</v>
      </c>
      <c r="N59" s="189">
        <f>'HVAC Deemed Table'!F732</f>
        <v>0</v>
      </c>
      <c r="O59" s="751">
        <f t="shared" si="50"/>
        <v>2.0371009999999998</v>
      </c>
      <c r="P59" s="751">
        <f t="shared" si="51"/>
        <v>0.36704900000000001</v>
      </c>
      <c r="Q59" s="752">
        <f>'HVAC Deemed Table'!I729</f>
        <v>2.0371009999999998</v>
      </c>
      <c r="R59" s="752">
        <f>'HVAC Deemed Table'!I730</f>
        <v>0</v>
      </c>
      <c r="S59" s="752">
        <f>'HVAC Deemed Table'!I731</f>
        <v>0.36704900000000001</v>
      </c>
      <c r="T59" s="752">
        <f>'HVAC Deemed Table'!I732</f>
        <v>0</v>
      </c>
      <c r="U59" s="753">
        <f t="shared" si="52"/>
        <v>0</v>
      </c>
      <c r="V59" s="753">
        <f t="shared" si="53"/>
        <v>0</v>
      </c>
      <c r="W59" s="753">
        <f t="shared" si="54"/>
        <v>2.0371009999999998</v>
      </c>
      <c r="X59" s="22">
        <f>'HVAC Deemed Table'!J729</f>
        <v>6</v>
      </c>
      <c r="Y59" s="22">
        <f>'HVAC Deemed Table'!J731</f>
        <v>12</v>
      </c>
      <c r="Z59" s="22">
        <f t="shared" si="62"/>
        <v>18</v>
      </c>
      <c r="AA59" s="17">
        <f>'HVAC Deemed Table'!DG729</f>
        <v>5.7258780856487865</v>
      </c>
      <c r="AB59" s="246">
        <f>'HVAC Deemed Table'!K729</f>
        <v>461.50538007420482</v>
      </c>
      <c r="AC59" s="862">
        <f t="shared" si="63"/>
        <v>2141.2327449423674</v>
      </c>
      <c r="AD59" s="862">
        <f t="shared" si="55"/>
        <v>501.29079723353601</v>
      </c>
      <c r="AE59" s="195">
        <f>'HVAC Deemed Table'!DI729</f>
        <v>2141.2327449423674</v>
      </c>
      <c r="AF59" s="195">
        <f>'HVAC Deemed Table'!DI730</f>
        <v>0</v>
      </c>
      <c r="AG59" s="195">
        <f>'HVAC Deemed Table'!DI731</f>
        <v>501.29079723353601</v>
      </c>
      <c r="AH59" s="195">
        <f>'HVAC Deemed Table'!DI732</f>
        <v>0</v>
      </c>
      <c r="AI59" s="866" t="e">
        <f t="shared" si="64"/>
        <v>#REF!</v>
      </c>
      <c r="AJ59" s="45">
        <f>'HVAC Deemed Table'!L729</f>
        <v>2.5310295805916874</v>
      </c>
      <c r="AK59" s="877"/>
      <c r="AL59" s="877"/>
      <c r="AX59" s="1284" t="str">
        <f t="shared" si="65"/>
        <v>ASHP-SEER16-Replace_CAC_NonElectricHeat_ER1_SF</v>
      </c>
      <c r="AY59" s="1307"/>
      <c r="AZ59" s="1376" t="str">
        <f t="shared" si="66"/>
        <v>352510</v>
      </c>
      <c r="BA59" s="1261">
        <f t="shared" si="85"/>
        <v>1447.94</v>
      </c>
      <c r="BB59" s="1261">
        <f t="shared" si="85"/>
        <v>0</v>
      </c>
      <c r="BC59" s="1261">
        <f t="shared" si="86"/>
        <v>390.3</v>
      </c>
      <c r="BD59" s="1261">
        <f t="shared" si="86"/>
        <v>0</v>
      </c>
      <c r="BE59" s="1234"/>
      <c r="BF59" s="1250">
        <f>ROUND(BA59*'CP FACTORS'!$B$9,6)</f>
        <v>1.3718049999999999</v>
      </c>
      <c r="BG59" s="1251">
        <f>ROUND(BB59*'CP FACTORS'!$B$14,6)</f>
        <v>0</v>
      </c>
      <c r="BH59" s="1250">
        <f>ROUND(BC59*'CP FACTORS'!$B$9,6)</f>
        <v>0.36977700000000002</v>
      </c>
      <c r="BI59" s="1252">
        <f>ROUND(BD59*'CP FACTORS'!$B$14,6)</f>
        <v>0</v>
      </c>
      <c r="BJ59" s="1234"/>
      <c r="BK59" s="698">
        <f t="shared" si="57"/>
        <v>1447.94</v>
      </c>
      <c r="BL59" s="1271">
        <f t="shared" si="58"/>
        <v>390.3</v>
      </c>
      <c r="BM59" s="1270">
        <f t="shared" si="59"/>
        <v>1.3718049999999999</v>
      </c>
      <c r="BN59" s="1269">
        <f t="shared" si="60"/>
        <v>0.36977700000000002</v>
      </c>
    </row>
    <row r="60" spans="1:66" x14ac:dyDescent="0.25">
      <c r="A60" s="49" t="str">
        <f t="shared" si="61"/>
        <v>352550</v>
      </c>
      <c r="B60" s="1371" t="str">
        <f>'HVAC Deemed Table'!C733</f>
        <v>352550_2024_12_</v>
      </c>
      <c r="C60" s="846" t="str">
        <f>'HVAC Deemed Table'!G733</f>
        <v>Cooling Res</v>
      </c>
      <c r="D60" s="846" t="str">
        <f>'HVAC Deemed Table'!G734</f>
        <v>Heating Res</v>
      </c>
      <c r="E60" s="846" t="str">
        <f>'HVAC Deemed Table'!G735</f>
        <v>Cooling Res ER2</v>
      </c>
      <c r="F60" s="846" t="str">
        <f>'HVAC Deemed Table'!G736</f>
        <v>Heating Res ER2</v>
      </c>
      <c r="G60" s="1307" t="str">
        <f>'HVAC Deemed Table'!E733</f>
        <v>ASHP-SEER16_ER1_SF</v>
      </c>
      <c r="H60" s="18" t="str">
        <f>'HVAC Deemed Table'!D733</f>
        <v>PAYS/SFIE</v>
      </c>
      <c r="I60" s="750">
        <f t="shared" si="48"/>
        <v>4077.1</v>
      </c>
      <c r="J60" s="750">
        <f t="shared" si="49"/>
        <v>1319.63</v>
      </c>
      <c r="K60" s="189">
        <f>'HVAC Deemed Table'!F733</f>
        <v>2150.16</v>
      </c>
      <c r="L60" s="189">
        <f>'HVAC Deemed Table'!F734</f>
        <v>1926.94</v>
      </c>
      <c r="M60" s="189">
        <f>'HVAC Deemed Table'!F735</f>
        <v>239.74</v>
      </c>
      <c r="N60" s="189">
        <f>'HVAC Deemed Table'!F736</f>
        <v>1079.8900000000001</v>
      </c>
      <c r="O60" s="751">
        <f t="shared" si="50"/>
        <v>2.0371009999999998</v>
      </c>
      <c r="P60" s="751">
        <f t="shared" si="51"/>
        <v>0.227134</v>
      </c>
      <c r="Q60" s="752">
        <f>'HVAC Deemed Table'!I733</f>
        <v>2.0371009999999998</v>
      </c>
      <c r="R60" s="752">
        <f>'HVAC Deemed Table'!I734</f>
        <v>0</v>
      </c>
      <c r="S60" s="752">
        <f>'HVAC Deemed Table'!I735</f>
        <v>0.227134</v>
      </c>
      <c r="T60" s="752">
        <f>'HVAC Deemed Table'!I736</f>
        <v>0</v>
      </c>
      <c r="U60" s="753">
        <f t="shared" si="52"/>
        <v>0</v>
      </c>
      <c r="V60" s="753">
        <f t="shared" si="53"/>
        <v>0</v>
      </c>
      <c r="W60" s="753">
        <f t="shared" si="54"/>
        <v>2.0371009999999998</v>
      </c>
      <c r="X60" s="22">
        <f>'HVAC Deemed Table'!J733</f>
        <v>6</v>
      </c>
      <c r="Y60" s="22">
        <f>'HVAC Deemed Table'!J735</f>
        <v>12</v>
      </c>
      <c r="Z60" s="22">
        <f t="shared" si="62"/>
        <v>18</v>
      </c>
      <c r="AA60" s="17">
        <f>'HVAC Deemed Table'!DG733</f>
        <v>7.9800104070902824</v>
      </c>
      <c r="AB60" s="246">
        <f>'HVAC Deemed Table'!K733</f>
        <v>417.68019891621225</v>
      </c>
      <c r="AC60" s="862">
        <f t="shared" si="63"/>
        <v>2657.9972223133659</v>
      </c>
      <c r="AD60" s="862">
        <f t="shared" si="55"/>
        <v>675.09511187354656</v>
      </c>
      <c r="AE60" s="195">
        <f>'HVAC Deemed Table'!DI733</f>
        <v>2141.2327449423674</v>
      </c>
      <c r="AF60" s="195">
        <f>'HVAC Deemed Table'!DI734</f>
        <v>516.76447737099863</v>
      </c>
      <c r="AG60" s="195">
        <f>'HVAC Deemed Table'!DI735</f>
        <v>310.20457314740571</v>
      </c>
      <c r="AH60" s="195">
        <f>'HVAC Deemed Table'!DI736</f>
        <v>364.8905387261409</v>
      </c>
      <c r="AI60" s="866" t="e">
        <f t="shared" si="64"/>
        <v>#REF!</v>
      </c>
      <c r="AJ60" s="45">
        <f>'HVAC Deemed Table'!L733</f>
        <v>2.5310295805916874</v>
      </c>
      <c r="AK60" s="621"/>
      <c r="AL60" s="621"/>
      <c r="AX60" s="1284" t="str">
        <f t="shared" si="65"/>
        <v>ASHP-SEER16_ER1_SF</v>
      </c>
      <c r="AY60" s="1307"/>
      <c r="AZ60" s="1376" t="str">
        <f t="shared" si="66"/>
        <v>352550</v>
      </c>
      <c r="BA60" s="1261">
        <f t="shared" si="85"/>
        <v>1387.72</v>
      </c>
      <c r="BB60" s="1261">
        <f t="shared" si="85"/>
        <v>1597.98</v>
      </c>
      <c r="BC60" s="1261">
        <f t="shared" si="86"/>
        <v>241.47</v>
      </c>
      <c r="BD60" s="1261">
        <f t="shared" si="86"/>
        <v>1089.75</v>
      </c>
      <c r="BE60" s="1234"/>
      <c r="BF60" s="1250">
        <f>ROUND(BA60*'CP FACTORS'!$B$9,6)</f>
        <v>1.314751</v>
      </c>
      <c r="BG60" s="1251">
        <f>ROUND(BB60*'CP FACTORS'!$B$14,6)</f>
        <v>0</v>
      </c>
      <c r="BH60" s="1250">
        <f>ROUND(BC60*'CP FACTORS'!$B$9,6)</f>
        <v>0.228773</v>
      </c>
      <c r="BI60" s="1252">
        <f>ROUND(BD60*'CP FACTORS'!$B$14,6)</f>
        <v>0</v>
      </c>
      <c r="BJ60" s="1234"/>
      <c r="BK60" s="698">
        <f t="shared" si="57"/>
        <v>2985.7</v>
      </c>
      <c r="BL60" s="1271">
        <f t="shared" si="58"/>
        <v>1331.22</v>
      </c>
      <c r="BM60" s="1270">
        <f t="shared" si="59"/>
        <v>1.314751</v>
      </c>
      <c r="BN60" s="1269">
        <f t="shared" si="60"/>
        <v>0.228773</v>
      </c>
    </row>
    <row r="61" spans="1:66" x14ac:dyDescent="0.25">
      <c r="A61" s="49" t="str">
        <f t="shared" si="61"/>
        <v>352600</v>
      </c>
      <c r="B61" s="1371" t="str">
        <f>'HVAC Deemed Table'!C737</f>
        <v>352600_2024_12_</v>
      </c>
      <c r="C61" s="846" t="str">
        <f>'HVAC Deemed Table'!G737</f>
        <v>Cooling Res</v>
      </c>
      <c r="D61" s="846" t="str">
        <f>'HVAC Deemed Table'!G738</f>
        <v>Heating Res</v>
      </c>
      <c r="E61" s="1307"/>
      <c r="F61" s="1307"/>
      <c r="G61" s="1307" t="str">
        <f>'HVAC Deemed Table'!E737</f>
        <v>ASHP-SEER16-Replace_CAC_ElectricHeat_ROF_SF</v>
      </c>
      <c r="H61" s="18" t="str">
        <f>'HVAC Deemed Table'!D737</f>
        <v>PAYS/SFIE</v>
      </c>
      <c r="I61" s="750">
        <f t="shared" si="48"/>
        <v>9567.69</v>
      </c>
      <c r="J61" s="750">
        <f t="shared" si="49"/>
        <v>0</v>
      </c>
      <c r="K61" s="189">
        <f>'HVAC Deemed Table'!F737</f>
        <v>394.62</v>
      </c>
      <c r="L61" s="189">
        <f>'HVAC Deemed Table'!F738</f>
        <v>9173.07</v>
      </c>
      <c r="M61" s="189"/>
      <c r="N61" s="189"/>
      <c r="O61" s="751">
        <f t="shared" si="50"/>
        <v>0.37386999999999998</v>
      </c>
      <c r="P61" s="751">
        <f t="shared" si="51"/>
        <v>0</v>
      </c>
      <c r="Q61" s="752">
        <f>'HVAC Deemed Table'!I737</f>
        <v>0.37386999999999998</v>
      </c>
      <c r="R61" s="752">
        <f>'HVAC Deemed Table'!I738</f>
        <v>0</v>
      </c>
      <c r="S61" s="752"/>
      <c r="T61" s="752"/>
      <c r="U61" s="753">
        <f t="shared" si="52"/>
        <v>0</v>
      </c>
      <c r="V61" s="753">
        <f t="shared" si="53"/>
        <v>0</v>
      </c>
      <c r="W61" s="753">
        <f t="shared" si="54"/>
        <v>0.37386999999999998</v>
      </c>
      <c r="X61" s="22">
        <f>'HVAC Deemed Table'!J737</f>
        <v>18</v>
      </c>
      <c r="Y61" s="22"/>
      <c r="Z61" s="22">
        <f t="shared" si="62"/>
        <v>18</v>
      </c>
      <c r="AA61" s="17">
        <f>'HVAC Deemed Table'!DG737</f>
        <v>1.7837950310688742</v>
      </c>
      <c r="AB61" s="246">
        <f>'HVAC Deemed Table'!K737</f>
        <v>3623.261297181818</v>
      </c>
      <c r="AC61" s="862">
        <f t="shared" si="63"/>
        <v>6463.1554981770905</v>
      </c>
      <c r="AD61" s="862">
        <f t="shared" si="55"/>
        <v>0</v>
      </c>
      <c r="AE61" s="195">
        <f>'HVAC Deemed Table'!DI737</f>
        <v>903.58860317624908</v>
      </c>
      <c r="AF61" s="195">
        <f>'HVAC Deemed Table'!DI738</f>
        <v>5559.5668950008412</v>
      </c>
      <c r="AG61" s="195"/>
      <c r="AH61" s="195"/>
      <c r="AI61" s="866" t="e">
        <f t="shared" si="64"/>
        <v>#REF!</v>
      </c>
      <c r="AJ61" s="45">
        <f>'HVAC Deemed Table'!L737</f>
        <v>2.8104354953030306</v>
      </c>
      <c r="AK61" s="621"/>
      <c r="AL61" s="621"/>
      <c r="AX61" s="1284" t="str">
        <f t="shared" si="65"/>
        <v>ASHP-SEER16-Replace_CAC_ElectricHeat_ROF_SF</v>
      </c>
      <c r="AY61" s="1307"/>
      <c r="AZ61" s="1376" t="str">
        <f t="shared" si="66"/>
        <v>352600</v>
      </c>
      <c r="BA61" s="1262">
        <f>BA58</f>
        <v>1447.94</v>
      </c>
      <c r="BB61" s="1262">
        <f>BB58</f>
        <v>8676.99</v>
      </c>
      <c r="BC61" s="1262">
        <f>BC58</f>
        <v>390.3</v>
      </c>
      <c r="BD61" s="1262">
        <f>BD58</f>
        <v>8676.99</v>
      </c>
      <c r="BE61" s="1234"/>
      <c r="BF61" s="1250">
        <f>ROUND(BA61*'CP FACTORS'!$B$9,6)</f>
        <v>1.3718049999999999</v>
      </c>
      <c r="BG61" s="1251">
        <f>ROUND(BB61*'CP FACTORS'!$B$14,6)</f>
        <v>0</v>
      </c>
      <c r="BH61" s="1250">
        <f>ROUND(BC61*'CP FACTORS'!$B$9,6)</f>
        <v>0.36977700000000002</v>
      </c>
      <c r="BI61" s="1252">
        <f>ROUND(BD61*'CP FACTORS'!$B$14,6)</f>
        <v>0</v>
      </c>
      <c r="BJ61" s="1234"/>
      <c r="BK61" s="698">
        <f t="shared" si="57"/>
        <v>10124.93</v>
      </c>
      <c r="BL61" s="1271">
        <f t="shared" si="58"/>
        <v>9067.2899999999991</v>
      </c>
      <c r="BM61" s="1270">
        <f t="shared" si="59"/>
        <v>1.3718049999999999</v>
      </c>
      <c r="BN61" s="1269">
        <f t="shared" si="60"/>
        <v>0.36977700000000002</v>
      </c>
    </row>
    <row r="62" spans="1:66" s="39" customFormat="1" x14ac:dyDescent="0.25">
      <c r="A62" s="49" t="str">
        <f>LEFT(B62,6)</f>
        <v>352610</v>
      </c>
      <c r="B62" s="1371" t="str">
        <f>'HVAC Deemed Table'!C739</f>
        <v>352610_2024_12_</v>
      </c>
      <c r="C62" s="846" t="str">
        <f>'HVAC Deemed Table'!G739</f>
        <v>Cooling Res</v>
      </c>
      <c r="D62" s="846" t="str">
        <f>'HVAC Deemed Table'!G740</f>
        <v>Heating Res</v>
      </c>
      <c r="E62" s="1307"/>
      <c r="F62" s="1307"/>
      <c r="G62" s="1307" t="str">
        <f>'HVAC Deemed Table'!E739</f>
        <v>ASHP-SEER16-Replace_CAC_NonElectricHeat_ROF_SF</v>
      </c>
      <c r="H62" s="18" t="str">
        <f>'HVAC Deemed Table'!D739</f>
        <v>PAYS</v>
      </c>
      <c r="I62" s="750">
        <f>K62+L62</f>
        <v>394.62</v>
      </c>
      <c r="J62" s="750">
        <f>M62+N62</f>
        <v>0</v>
      </c>
      <c r="K62" s="189">
        <f>'HVAC Deemed Table'!F739</f>
        <v>394.62</v>
      </c>
      <c r="L62" s="189">
        <f>'HVAC Deemed Table'!F740</f>
        <v>0</v>
      </c>
      <c r="M62" s="189"/>
      <c r="N62" s="189"/>
      <c r="O62" s="751">
        <f>Q62+R62</f>
        <v>0.37386999999999998</v>
      </c>
      <c r="P62" s="751">
        <f>S62+T62</f>
        <v>0</v>
      </c>
      <c r="Q62" s="752">
        <f>'HVAC Deemed Table'!I739</f>
        <v>0.37386999999999998</v>
      </c>
      <c r="R62" s="752">
        <f>'HVAC Deemed Table'!I740</f>
        <v>0</v>
      </c>
      <c r="S62" s="752"/>
      <c r="T62" s="752"/>
      <c r="U62" s="753">
        <f t="shared" si="52"/>
        <v>0</v>
      </c>
      <c r="V62" s="753">
        <f t="shared" si="53"/>
        <v>0</v>
      </c>
      <c r="W62" s="753">
        <f t="shared" si="54"/>
        <v>0.37386999999999998</v>
      </c>
      <c r="X62" s="22">
        <f>'HVAC Deemed Table'!J739</f>
        <v>18</v>
      </c>
      <c r="Y62" s="22"/>
      <c r="Z62" s="22">
        <f>Y62+X62</f>
        <v>18</v>
      </c>
      <c r="AA62" s="17">
        <f>'HVAC Deemed Table'!DG739</f>
        <v>6.0464308827089415</v>
      </c>
      <c r="AB62" s="771">
        <f>'HVAC Deemed Table'!K739</f>
        <v>149.4416492480305</v>
      </c>
      <c r="AC62" s="862">
        <f>AE62+AF62</f>
        <v>903.58860317624908</v>
      </c>
      <c r="AD62" s="862">
        <f>AG62+AH62</f>
        <v>0</v>
      </c>
      <c r="AE62" s="195">
        <f>'HVAC Deemed Table'!DI739</f>
        <v>903.58860317624908</v>
      </c>
      <c r="AF62" s="195">
        <f>'HVAC Deemed Table'!DI740</f>
        <v>0</v>
      </c>
      <c r="AG62" s="195"/>
      <c r="AH62" s="195"/>
      <c r="AI62" s="866" t="e">
        <f t="shared" si="64"/>
        <v>#REF!</v>
      </c>
      <c r="AJ62" s="46">
        <f>'HVAC Deemed Table'!L739</f>
        <v>2.8104354953030306</v>
      </c>
      <c r="AK62" s="877"/>
      <c r="AL62" s="877"/>
      <c r="AM62"/>
      <c r="AN62"/>
      <c r="AO62"/>
      <c r="AP62"/>
      <c r="AQ62"/>
      <c r="AR62"/>
      <c r="AS62"/>
      <c r="AT62"/>
      <c r="AU62"/>
      <c r="AV62"/>
      <c r="AW62"/>
      <c r="AX62" s="1284" t="str">
        <f t="shared" si="65"/>
        <v>ASHP-SEER16-Replace_CAC_NonElectricHeat_ROF_SF</v>
      </c>
      <c r="AY62" s="1307"/>
      <c r="AZ62" s="1376" t="str">
        <f t="shared" si="66"/>
        <v>352610</v>
      </c>
      <c r="BA62" s="1262">
        <f t="shared" ref="BA62:BD63" si="87">BA59</f>
        <v>1447.94</v>
      </c>
      <c r="BB62" s="1262">
        <f t="shared" si="87"/>
        <v>0</v>
      </c>
      <c r="BC62" s="1262">
        <f t="shared" si="87"/>
        <v>390.3</v>
      </c>
      <c r="BD62" s="1262">
        <f t="shared" si="87"/>
        <v>0</v>
      </c>
      <c r="BE62" s="1235"/>
      <c r="BF62" s="1250">
        <f>ROUND(BA62*'CP FACTORS'!$B$9,6)</f>
        <v>1.3718049999999999</v>
      </c>
      <c r="BG62" s="1251">
        <f>ROUND(BB62*'CP FACTORS'!$B$14,6)</f>
        <v>0</v>
      </c>
      <c r="BH62" s="1250">
        <f>ROUND(BC62*'CP FACTORS'!$B$9,6)</f>
        <v>0.36977700000000002</v>
      </c>
      <c r="BI62" s="1252">
        <f>ROUND(BD62*'CP FACTORS'!$B$14,6)</f>
        <v>0</v>
      </c>
      <c r="BJ62" s="1234"/>
      <c r="BK62" s="698">
        <f t="shared" si="57"/>
        <v>1447.94</v>
      </c>
      <c r="BL62" s="1271">
        <f t="shared" si="58"/>
        <v>390.3</v>
      </c>
      <c r="BM62" s="1270">
        <f t="shared" si="59"/>
        <v>1.3718049999999999</v>
      </c>
      <c r="BN62" s="1269">
        <f t="shared" si="60"/>
        <v>0.36977700000000002</v>
      </c>
    </row>
    <row r="63" spans="1:66" x14ac:dyDescent="0.25">
      <c r="A63" s="49" t="str">
        <f t="shared" si="61"/>
        <v>352650</v>
      </c>
      <c r="B63" s="1371" t="str">
        <f>'HVAC Deemed Table'!C741</f>
        <v>352650_2024_12_</v>
      </c>
      <c r="C63" s="846" t="str">
        <f>'HVAC Deemed Table'!G741</f>
        <v>Cooling Res</v>
      </c>
      <c r="D63" s="846" t="str">
        <f>'HVAC Deemed Table'!G742</f>
        <v>Heating Res</v>
      </c>
      <c r="E63" s="1307"/>
      <c r="F63" s="1307"/>
      <c r="G63" s="1307" t="str">
        <f>'HVAC Deemed Table'!E741</f>
        <v>ASHP-SEER16_ROF_SF</v>
      </c>
      <c r="H63" s="18" t="str">
        <f>'HVAC Deemed Table'!D741</f>
        <v>PAYS/SFIE</v>
      </c>
      <c r="I63" s="750">
        <f t="shared" si="48"/>
        <v>1348.61</v>
      </c>
      <c r="J63" s="750">
        <f t="shared" si="49"/>
        <v>0</v>
      </c>
      <c r="K63" s="189">
        <f>'HVAC Deemed Table'!F741</f>
        <v>244.06</v>
      </c>
      <c r="L63" s="189">
        <f>'HVAC Deemed Table'!F742</f>
        <v>1104.55</v>
      </c>
      <c r="M63" s="189"/>
      <c r="N63" s="189"/>
      <c r="O63" s="751">
        <f t="shared" si="50"/>
        <v>0.23122699999999999</v>
      </c>
      <c r="P63" s="751">
        <f t="shared" si="51"/>
        <v>0</v>
      </c>
      <c r="Q63" s="752">
        <f>'HVAC Deemed Table'!I741</f>
        <v>0.23122699999999999</v>
      </c>
      <c r="R63" s="752">
        <f>'HVAC Deemed Table'!I742</f>
        <v>0</v>
      </c>
      <c r="S63" s="752"/>
      <c r="T63" s="752"/>
      <c r="U63" s="753">
        <f t="shared" si="52"/>
        <v>0</v>
      </c>
      <c r="V63" s="753">
        <f t="shared" si="53"/>
        <v>0</v>
      </c>
      <c r="W63" s="753">
        <f t="shared" si="54"/>
        <v>0.23122699999999999</v>
      </c>
      <c r="X63" s="22">
        <f>'HVAC Deemed Table'!J741</f>
        <v>18</v>
      </c>
      <c r="Y63" s="22"/>
      <c r="Z63" s="22">
        <f t="shared" si="62"/>
        <v>18</v>
      </c>
      <c r="AA63" s="17">
        <f>'HVAC Deemed Table'!DG741</f>
        <v>2.9175319659047343</v>
      </c>
      <c r="AB63" s="246">
        <f>'HVAC Deemed Table'!K741</f>
        <v>421</v>
      </c>
      <c r="AC63" s="862">
        <f t="shared" si="63"/>
        <v>1228.2809576458931</v>
      </c>
      <c r="AD63" s="862">
        <f t="shared" si="55"/>
        <v>0</v>
      </c>
      <c r="AE63" s="195">
        <f>'HVAC Deemed Table'!DI741</f>
        <v>558.84099764633152</v>
      </c>
      <c r="AF63" s="195">
        <f>'HVAC Deemed Table'!DI742</f>
        <v>669.43995999956167</v>
      </c>
      <c r="AG63" s="195"/>
      <c r="AH63" s="195"/>
      <c r="AI63" s="866" t="e">
        <f t="shared" si="64"/>
        <v>#REF!</v>
      </c>
      <c r="AJ63" s="45">
        <f>'HVAC Deemed Table'!L741</f>
        <v>2.8104354953030306</v>
      </c>
      <c r="AK63" s="621"/>
      <c r="AL63" s="621"/>
      <c r="AX63" s="1284" t="str">
        <f t="shared" si="65"/>
        <v>ASHP-SEER16_ROF_SF</v>
      </c>
      <c r="AY63" s="1307"/>
      <c r="AZ63" s="1376" t="str">
        <f t="shared" si="66"/>
        <v>352650</v>
      </c>
      <c r="BA63" s="1262">
        <f t="shared" si="87"/>
        <v>1387.72</v>
      </c>
      <c r="BB63" s="1262">
        <f t="shared" si="87"/>
        <v>1597.98</v>
      </c>
      <c r="BC63" s="1262">
        <f t="shared" si="87"/>
        <v>241.47</v>
      </c>
      <c r="BD63" s="1262">
        <f t="shared" si="87"/>
        <v>1089.75</v>
      </c>
      <c r="BE63" s="1234"/>
      <c r="BF63" s="1250">
        <f>ROUND(BA63*'CP FACTORS'!$B$9,6)</f>
        <v>1.314751</v>
      </c>
      <c r="BG63" s="1251">
        <f>ROUND(BB63*'CP FACTORS'!$B$14,6)</f>
        <v>0</v>
      </c>
      <c r="BH63" s="1250">
        <f>ROUND(BC63*'CP FACTORS'!$B$9,6)</f>
        <v>0.228773</v>
      </c>
      <c r="BI63" s="1252">
        <f>ROUND(BD63*'CP FACTORS'!$B$14,6)</f>
        <v>0</v>
      </c>
      <c r="BJ63" s="1234"/>
      <c r="BK63" s="698">
        <f t="shared" si="57"/>
        <v>2985.7</v>
      </c>
      <c r="BL63" s="1271">
        <f t="shared" si="58"/>
        <v>1331.22</v>
      </c>
      <c r="BM63" s="1270">
        <f t="shared" si="59"/>
        <v>1.314751</v>
      </c>
      <c r="BN63" s="1269">
        <f t="shared" si="60"/>
        <v>0.228773</v>
      </c>
    </row>
    <row r="64" spans="1:66" s="39" customFormat="1" x14ac:dyDescent="0.25">
      <c r="A64" s="49" t="str">
        <f t="shared" si="61"/>
        <v>353000</v>
      </c>
      <c r="B64" s="1371" t="str">
        <f>'HVAC Deemed Table'!C743</f>
        <v>353000_2024_12_</v>
      </c>
      <c r="C64" s="846" t="str">
        <f>'HVAC Deemed Table'!G743</f>
        <v>Cooling Res</v>
      </c>
      <c r="D64" s="846" t="str">
        <f>'HVAC Deemed Table'!G744</f>
        <v>Heating Res</v>
      </c>
      <c r="E64" s="846" t="str">
        <f>'HVAC Deemed Table'!G745</f>
        <v>Cooling Res ER2</v>
      </c>
      <c r="F64" s="846" t="str">
        <f>'HVAC Deemed Table'!G746</f>
        <v>Heating Res ER2</v>
      </c>
      <c r="G64" s="1307" t="str">
        <f>'HVAC Deemed Table'!E743</f>
        <v>ASHP-SEER16-Replace_CAC_ElectricHeat_ER1_MF</v>
      </c>
      <c r="H64" s="18" t="str">
        <f>'HVAC Deemed Table'!D743</f>
        <v>MFIE</v>
      </c>
      <c r="I64" s="750">
        <f t="shared" si="48"/>
        <v>11533.98</v>
      </c>
      <c r="J64" s="750">
        <f t="shared" si="49"/>
        <v>9846.1400000000012</v>
      </c>
      <c r="K64" s="189">
        <f>'HVAC Deemed Table'!F743</f>
        <v>2088.29</v>
      </c>
      <c r="L64" s="189">
        <f>'HVAC Deemed Table'!F744</f>
        <v>9445.69</v>
      </c>
      <c r="M64" s="189">
        <f>'HVAC Deemed Table'!F745</f>
        <v>400.45</v>
      </c>
      <c r="N64" s="189">
        <f>'HVAC Deemed Table'!F746</f>
        <v>9445.69</v>
      </c>
      <c r="O64" s="751">
        <f t="shared" si="50"/>
        <v>1.9784839999999999</v>
      </c>
      <c r="P64" s="751">
        <f t="shared" si="51"/>
        <v>0.37939400000000001</v>
      </c>
      <c r="Q64" s="752">
        <f>'HVAC Deemed Table'!I743</f>
        <v>1.9784839999999999</v>
      </c>
      <c r="R64" s="752">
        <f>'HVAC Deemed Table'!I744</f>
        <v>0</v>
      </c>
      <c r="S64" s="752">
        <f>'HVAC Deemed Table'!I745</f>
        <v>0.37939400000000001</v>
      </c>
      <c r="T64" s="752">
        <f>'HVAC Deemed Table'!I746</f>
        <v>0</v>
      </c>
      <c r="U64" s="753">
        <f t="shared" si="52"/>
        <v>0</v>
      </c>
      <c r="V64" s="753">
        <f t="shared" si="53"/>
        <v>0</v>
      </c>
      <c r="W64" s="753">
        <f t="shared" si="54"/>
        <v>1.9784839999999999</v>
      </c>
      <c r="X64" s="22">
        <f>'HVAC Deemed Table'!J743</f>
        <v>6</v>
      </c>
      <c r="Y64" s="22">
        <f>'HVAC Deemed Table'!J745</f>
        <v>12</v>
      </c>
      <c r="Z64" s="22">
        <f t="shared" si="62"/>
        <v>18</v>
      </c>
      <c r="AA64" s="17">
        <f>'HVAC Deemed Table'!DG743</f>
        <v>2.2602983121092279</v>
      </c>
      <c r="AB64" s="246">
        <f>'HVAC Deemed Table'!K743</f>
        <v>3682.0649648885365</v>
      </c>
      <c r="AC64" s="862">
        <f t="shared" si="63"/>
        <v>4612.7535330172104</v>
      </c>
      <c r="AD64" s="862">
        <f t="shared" si="55"/>
        <v>3709.8116921968722</v>
      </c>
      <c r="AE64" s="195">
        <f>'HVAC Deemed Table'!DI743</f>
        <v>2079.619623160926</v>
      </c>
      <c r="AF64" s="195">
        <f>'HVAC Deemed Table'!DI744</f>
        <v>2533.1339098562839</v>
      </c>
      <c r="AG64" s="195">
        <f>'HVAC Deemed Table'!DI745</f>
        <v>518.15058528772261</v>
      </c>
      <c r="AH64" s="195">
        <f>'HVAC Deemed Table'!DI746</f>
        <v>3191.6611069091496</v>
      </c>
      <c r="AI64" s="866" t="e">
        <f>#REF!</f>
        <v>#REF!</v>
      </c>
      <c r="AJ64" s="45">
        <f>'HVAC Deemed Table'!L743</f>
        <v>2.8388888888888886</v>
      </c>
      <c r="AK64" s="621"/>
      <c r="AL64" s="621"/>
      <c r="AM64"/>
      <c r="AN64"/>
      <c r="AO64"/>
      <c r="AP64"/>
      <c r="AQ64"/>
      <c r="AR64"/>
      <c r="AS64"/>
      <c r="AT64"/>
      <c r="AU64"/>
      <c r="AV64"/>
      <c r="AW64"/>
      <c r="AX64" s="1284" t="str">
        <f t="shared" si="65"/>
        <v>ASHP-SEER16-Replace_CAC_ElectricHeat_ER1_MF</v>
      </c>
      <c r="AY64" s="1307"/>
      <c r="AZ64" s="1376" t="str">
        <f t="shared" si="66"/>
        <v>353000</v>
      </c>
      <c r="BA64" s="1263" t="e">
        <f>#REF!</f>
        <v>#REF!</v>
      </c>
      <c r="BB64" s="1263" t="e">
        <f>#REF!</f>
        <v>#REF!</v>
      </c>
      <c r="BC64" s="1263" t="e">
        <f>#REF!</f>
        <v>#REF!</v>
      </c>
      <c r="BD64" s="1263" t="e">
        <f>#REF!</f>
        <v>#REF!</v>
      </c>
      <c r="BE64" s="1235"/>
      <c r="BF64" s="1250" t="e">
        <f>ROUND(BA64*'CP FACTORS'!$B$9,6)</f>
        <v>#REF!</v>
      </c>
      <c r="BG64" s="1251" t="e">
        <f>ROUND(BB64*'CP FACTORS'!$B$14,6)</f>
        <v>#REF!</v>
      </c>
      <c r="BH64" s="1250" t="e">
        <f>ROUND(BC64*'CP FACTORS'!$B$9,6)</f>
        <v>#REF!</v>
      </c>
      <c r="BI64" s="1252" t="e">
        <f>ROUND(BD64*'CP FACTORS'!$B$14,6)</f>
        <v>#REF!</v>
      </c>
      <c r="BJ64" s="1234"/>
      <c r="BK64" s="698" t="e">
        <f t="shared" si="57"/>
        <v>#REF!</v>
      </c>
      <c r="BL64" s="1271" t="e">
        <f t="shared" si="58"/>
        <v>#REF!</v>
      </c>
      <c r="BM64" s="1270" t="e">
        <f t="shared" si="59"/>
        <v>#REF!</v>
      </c>
      <c r="BN64" s="1269" t="e">
        <f t="shared" si="60"/>
        <v>#REF!</v>
      </c>
    </row>
    <row r="65" spans="1:66" x14ac:dyDescent="0.25">
      <c r="A65" s="49" t="str">
        <f t="shared" si="61"/>
        <v>353100</v>
      </c>
      <c r="B65" s="1371" t="str">
        <f>'HVAC Deemed Table'!C747</f>
        <v>353100_2024_12_</v>
      </c>
      <c r="C65" s="846" t="str">
        <f>'HVAC Deemed Table'!G747</f>
        <v>Cooling Res</v>
      </c>
      <c r="D65" s="846" t="str">
        <f>'HVAC Deemed Table'!G748</f>
        <v>Heating Res</v>
      </c>
      <c r="E65" s="1307"/>
      <c r="F65" s="1307"/>
      <c r="G65" s="1307" t="str">
        <f>'HVAC Deemed Table'!E747</f>
        <v>ASHP-SEER17-Replace_CAC_ElectricHeat_ROF_SF</v>
      </c>
      <c r="H65" s="18" t="str">
        <f>'HVAC Deemed Table'!D747</f>
        <v>PAYS/SFIE</v>
      </c>
      <c r="I65" s="750">
        <f t="shared" si="48"/>
        <v>11305.1</v>
      </c>
      <c r="J65" s="750">
        <f t="shared" si="49"/>
        <v>0</v>
      </c>
      <c r="K65" s="189">
        <f>'HVAC Deemed Table'!F747</f>
        <v>510.45</v>
      </c>
      <c r="L65" s="189">
        <f>'HVAC Deemed Table'!F748</f>
        <v>10794.65</v>
      </c>
      <c r="M65" s="189"/>
      <c r="N65" s="189"/>
      <c r="O65" s="751">
        <f t="shared" si="50"/>
        <v>0.48360999999999998</v>
      </c>
      <c r="P65" s="751">
        <f t="shared" si="51"/>
        <v>0</v>
      </c>
      <c r="Q65" s="752">
        <f>'HVAC Deemed Table'!I747</f>
        <v>0.48360999999999998</v>
      </c>
      <c r="R65" s="752">
        <f>'HVAC Deemed Table'!I748</f>
        <v>0</v>
      </c>
      <c r="S65" s="752"/>
      <c r="T65" s="752"/>
      <c r="U65" s="753">
        <f t="shared" si="52"/>
        <v>0</v>
      </c>
      <c r="V65" s="753">
        <f t="shared" si="53"/>
        <v>0</v>
      </c>
      <c r="W65" s="753">
        <f t="shared" si="54"/>
        <v>0.48360999999999998</v>
      </c>
      <c r="X65" s="22">
        <f>'HVAC Deemed Table'!J747</f>
        <v>18</v>
      </c>
      <c r="Y65" s="22"/>
      <c r="Z65" s="22">
        <f t="shared" si="62"/>
        <v>18</v>
      </c>
      <c r="AA65" s="17">
        <f>'HVAC Deemed Table'!DG747</f>
        <v>1.8931507853865068</v>
      </c>
      <c r="AB65" s="246">
        <f>'HVAC Deemed Table'!K747</f>
        <v>4073.1981423529414</v>
      </c>
      <c r="AC65" s="862">
        <f t="shared" si="63"/>
        <v>7711.1782622303317</v>
      </c>
      <c r="AD65" s="862">
        <f t="shared" si="55"/>
        <v>0</v>
      </c>
      <c r="AE65" s="195">
        <f>'HVAC Deemed Table'!DI747</f>
        <v>1168.8125348216417</v>
      </c>
      <c r="AF65" s="195">
        <f>'HVAC Deemed Table'!DI748</f>
        <v>6542.36572740869</v>
      </c>
      <c r="AG65" s="195"/>
      <c r="AH65" s="195"/>
      <c r="AI65" s="866" t="e">
        <f>#REF!</f>
        <v>#REF!</v>
      </c>
      <c r="AJ65" s="45">
        <f>'HVAC Deemed Table'!L747</f>
        <v>3.2119969039215692</v>
      </c>
      <c r="AK65" s="621"/>
      <c r="AL65" s="621"/>
      <c r="AX65" s="1284" t="str">
        <f t="shared" si="65"/>
        <v>ASHP-SEER17-Replace_CAC_ElectricHeat_ROF_SF</v>
      </c>
      <c r="AY65" s="1307"/>
      <c r="AZ65" s="1376" t="str">
        <f t="shared" si="66"/>
        <v>353100</v>
      </c>
      <c r="BA65" s="1264">
        <f>ROUND((K86*$BC$3)+(K65*$BC$4),2)</f>
        <v>1539.94</v>
      </c>
      <c r="BB65" s="1264">
        <f>ROUND((L86*$BC$3)+(L65*$BC$4),2)</f>
        <v>9694.92</v>
      </c>
      <c r="BC65" s="1264">
        <f>ROUND((M86*$BC$3)+(K65*$BC$4),2)</f>
        <v>510.85</v>
      </c>
      <c r="BD65" s="1264">
        <f>ROUND((N86*$BC$3)+(L65*$BC$4),2)</f>
        <v>9694.92</v>
      </c>
      <c r="BE65" s="1234"/>
      <c r="BF65" s="1250">
        <f>ROUND(BA65*'CP FACTORS'!$B$9,6)</f>
        <v>1.4589669999999999</v>
      </c>
      <c r="BG65" s="1251">
        <f>ROUND(BB65*'CP FACTORS'!$B$14,6)</f>
        <v>0</v>
      </c>
      <c r="BH65" s="1250">
        <f>ROUND(BC65*'CP FACTORS'!$B$9,6)</f>
        <v>0.483989</v>
      </c>
      <c r="BI65" s="1252">
        <f>ROUND(BD65*'CP FACTORS'!$B$14,6)</f>
        <v>0</v>
      </c>
      <c r="BJ65" s="1234"/>
      <c r="BK65" s="698">
        <f t="shared" si="57"/>
        <v>11234.86</v>
      </c>
      <c r="BL65" s="1271">
        <f t="shared" si="58"/>
        <v>10205.77</v>
      </c>
      <c r="BM65" s="1270">
        <f t="shared" si="59"/>
        <v>1.4589669999999999</v>
      </c>
      <c r="BN65" s="1269">
        <f t="shared" si="60"/>
        <v>0.483989</v>
      </c>
    </row>
    <row r="66" spans="1:66" s="39" customFormat="1" x14ac:dyDescent="0.25">
      <c r="A66" s="49" t="str">
        <f>LEFT(B66,6)</f>
        <v>353110</v>
      </c>
      <c r="B66" s="1371" t="str">
        <f>'HVAC Deemed Table'!C749</f>
        <v>353110_2024_12_</v>
      </c>
      <c r="C66" s="846" t="str">
        <f>'HVAC Deemed Table'!G749</f>
        <v>Cooling Res</v>
      </c>
      <c r="D66" s="846" t="str">
        <f>'HVAC Deemed Table'!G750</f>
        <v>Heating Res</v>
      </c>
      <c r="E66" s="1307"/>
      <c r="F66" s="1307"/>
      <c r="G66" s="1307" t="str">
        <f>'HVAC Deemed Table'!E749</f>
        <v>ASHP-SEER17-Replace_CAC_NonElectricHeat_ROF_SF</v>
      </c>
      <c r="H66" s="18" t="str">
        <f>'HVAC Deemed Table'!D749</f>
        <v>PAYS</v>
      </c>
      <c r="I66" s="750">
        <f>K66+L66</f>
        <v>510.45</v>
      </c>
      <c r="J66" s="750">
        <f>M66+N66</f>
        <v>0</v>
      </c>
      <c r="K66" s="189">
        <f>'HVAC Deemed Table'!F749</f>
        <v>510.45</v>
      </c>
      <c r="L66" s="189">
        <f>'HVAC Deemed Table'!F750</f>
        <v>0</v>
      </c>
      <c r="M66" s="189"/>
      <c r="N66" s="189"/>
      <c r="O66" s="751">
        <f>Q66+R66</f>
        <v>0.48360999999999998</v>
      </c>
      <c r="P66" s="751">
        <f>S66+T66</f>
        <v>0</v>
      </c>
      <c r="Q66" s="752">
        <f>'HVAC Deemed Table'!I749</f>
        <v>0.48360999999999998</v>
      </c>
      <c r="R66" s="752">
        <f>'HVAC Deemed Table'!I750</f>
        <v>0</v>
      </c>
      <c r="S66" s="752"/>
      <c r="T66" s="752"/>
      <c r="U66" s="753">
        <f t="shared" si="52"/>
        <v>0</v>
      </c>
      <c r="V66" s="753">
        <f t="shared" si="53"/>
        <v>0</v>
      </c>
      <c r="W66" s="753">
        <f t="shared" si="54"/>
        <v>0.48360999999999998</v>
      </c>
      <c r="X66" s="22">
        <f>'HVAC Deemed Table'!J749</f>
        <v>18</v>
      </c>
      <c r="Y66" s="22"/>
      <c r="Z66" s="22">
        <f>Y66+X66</f>
        <v>18</v>
      </c>
      <c r="AA66" s="17">
        <f>'HVAC Deemed Table'!DG749</f>
        <v>6.3552190398416633</v>
      </c>
      <c r="AB66" s="771">
        <f>'HVAC Deemed Table'!K749</f>
        <v>183.91380808343658</v>
      </c>
      <c r="AC66" s="862">
        <f>AE66+AF66</f>
        <v>1168.8125348216417</v>
      </c>
      <c r="AD66" s="862">
        <f>AG66+AH66</f>
        <v>0</v>
      </c>
      <c r="AE66" s="195">
        <f>'HVAC Deemed Table'!DI749</f>
        <v>1168.8125348216417</v>
      </c>
      <c r="AF66" s="195">
        <f>'HVAC Deemed Table'!DI750</f>
        <v>0</v>
      </c>
      <c r="AG66" s="195"/>
      <c r="AH66" s="195"/>
      <c r="AI66" s="866" t="e">
        <f t="shared" si="64"/>
        <v>#REF!</v>
      </c>
      <c r="AJ66" s="46">
        <f>'HVAC Deemed Table'!L749</f>
        <v>3.2119969039215692</v>
      </c>
      <c r="AK66" s="877"/>
      <c r="AL66" s="877"/>
      <c r="AM66"/>
      <c r="AN66"/>
      <c r="AO66"/>
      <c r="AP66"/>
      <c r="AQ66"/>
      <c r="AR66"/>
      <c r="AS66"/>
      <c r="AT66"/>
      <c r="AU66"/>
      <c r="AV66"/>
      <c r="AW66"/>
      <c r="AX66" s="1284" t="str">
        <f t="shared" si="65"/>
        <v>ASHP-SEER17-Replace_CAC_NonElectricHeat_ROF_SF</v>
      </c>
      <c r="AY66" s="1307"/>
      <c r="AZ66" s="1376" t="str">
        <f t="shared" si="66"/>
        <v>353110</v>
      </c>
      <c r="BA66" s="1264">
        <f>ROUND((K87*$BC$3)+(K66*$BC$4),2)</f>
        <v>1539.94</v>
      </c>
      <c r="BB66" s="1264">
        <f>ROUND((L87*$BC$3)+(L66*$BC$4),2)</f>
        <v>0</v>
      </c>
      <c r="BC66" s="1264">
        <f>ROUND((M87*$BC$3)+(K66*$BC$4),2)</f>
        <v>510.85</v>
      </c>
      <c r="BD66" s="1264">
        <f>ROUND((N87*$BC$3)+(L66*$BC$4),2)</f>
        <v>0</v>
      </c>
      <c r="BE66" s="1235"/>
      <c r="BF66" s="1250">
        <f>ROUND(BA66*'CP FACTORS'!$B$9,6)</f>
        <v>1.4589669999999999</v>
      </c>
      <c r="BG66" s="1251">
        <f>ROUND(BB66*'CP FACTORS'!$B$14,6)</f>
        <v>0</v>
      </c>
      <c r="BH66" s="1250">
        <f>ROUND(BC66*'CP FACTORS'!$B$9,6)</f>
        <v>0.483989</v>
      </c>
      <c r="BI66" s="1252">
        <f>ROUND(BD66*'CP FACTORS'!$B$14,6)</f>
        <v>0</v>
      </c>
      <c r="BJ66" s="1234"/>
      <c r="BK66" s="698">
        <f t="shared" si="57"/>
        <v>1539.94</v>
      </c>
      <c r="BL66" s="1271">
        <f t="shared" si="58"/>
        <v>510.85</v>
      </c>
      <c r="BM66" s="1270">
        <f t="shared" si="59"/>
        <v>1.4589669999999999</v>
      </c>
      <c r="BN66" s="1269">
        <f t="shared" si="60"/>
        <v>0.483989</v>
      </c>
    </row>
    <row r="67" spans="1:66" x14ac:dyDescent="0.25">
      <c r="A67" s="49" t="str">
        <f t="shared" si="61"/>
        <v>353200</v>
      </c>
      <c r="B67" s="1371" t="str">
        <f>'HVAC Deemed Table'!C751</f>
        <v>353200_2024_12_</v>
      </c>
      <c r="C67" s="846" t="str">
        <f>'HVAC Deemed Table'!G751</f>
        <v>Cooling Res</v>
      </c>
      <c r="D67" s="846" t="str">
        <f>'HVAC Deemed Table'!G752</f>
        <v>Heating Res</v>
      </c>
      <c r="E67" s="1307"/>
      <c r="F67" s="1307"/>
      <c r="G67" s="1307" t="str">
        <f>'HVAC Deemed Table'!E751</f>
        <v>ASHP-SEER18-Replace_CAC_ElectricHeat_ROF_SF</v>
      </c>
      <c r="H67" s="18" t="str">
        <f>'HVAC Deemed Table'!D751</f>
        <v>PAYS/SFIE</v>
      </c>
      <c r="I67" s="750">
        <f t="shared" si="48"/>
        <v>11058.71</v>
      </c>
      <c r="J67" s="750">
        <f t="shared" si="49"/>
        <v>0</v>
      </c>
      <c r="K67" s="189">
        <f>'HVAC Deemed Table'!F751</f>
        <v>700.49</v>
      </c>
      <c r="L67" s="189">
        <f>'HVAC Deemed Table'!F752</f>
        <v>10358.219999999999</v>
      </c>
      <c r="M67" s="189"/>
      <c r="N67" s="189"/>
      <c r="O67" s="751">
        <f t="shared" si="50"/>
        <v>0.66365700000000005</v>
      </c>
      <c r="P67" s="751">
        <f t="shared" si="51"/>
        <v>0</v>
      </c>
      <c r="Q67" s="752">
        <f>'HVAC Deemed Table'!I751</f>
        <v>0.66365700000000005</v>
      </c>
      <c r="R67" s="752">
        <f>'HVAC Deemed Table'!I752</f>
        <v>0</v>
      </c>
      <c r="S67" s="752"/>
      <c r="T67" s="752"/>
      <c r="U67" s="753">
        <f t="shared" ref="U67:U99" si="88">IFERROR(IF(V67+W67&gt;0,0,IF(Z67&gt;0,O67,0)),0)</f>
        <v>0</v>
      </c>
      <c r="V67" s="753">
        <f t="shared" ref="V67:V99" si="89">IF(W67&gt;0,0,IF(Z67&gt;9,O67,0))</f>
        <v>0</v>
      </c>
      <c r="W67" s="753">
        <f t="shared" ref="W67:W99" si="90">IF(Z67&gt;14,O67,0)</f>
        <v>0.66365700000000005</v>
      </c>
      <c r="X67" s="22">
        <f>'HVAC Deemed Table'!J751</f>
        <v>18</v>
      </c>
      <c r="Y67" s="22"/>
      <c r="Z67" s="22">
        <f t="shared" si="62"/>
        <v>18</v>
      </c>
      <c r="AA67" s="17">
        <f>'HVAC Deemed Table'!DG751</f>
        <v>1.8891171859742262</v>
      </c>
      <c r="AB67" s="246">
        <f>'HVAC Deemed Table'!K751</f>
        <v>4172.2222220000003</v>
      </c>
      <c r="AC67" s="862">
        <f t="shared" si="63"/>
        <v>7881.8167032837737</v>
      </c>
      <c r="AD67" s="862">
        <f t="shared" ref="AD67:AD100" si="91">AG67+AH67</f>
        <v>0</v>
      </c>
      <c r="AE67" s="195">
        <f>'HVAC Deemed Table'!DI751</f>
        <v>1603.9602165093779</v>
      </c>
      <c r="AF67" s="195">
        <f>'HVAC Deemed Table'!DI752</f>
        <v>6277.8564867743962</v>
      </c>
      <c r="AG67" s="195"/>
      <c r="AH67" s="195"/>
      <c r="AI67" s="866" t="e">
        <f>#REF!</f>
        <v>#REF!</v>
      </c>
      <c r="AJ67" s="45">
        <f>'HVAC Deemed Table'!L751</f>
        <v>3.0020370366666667</v>
      </c>
      <c r="AK67" s="621"/>
      <c r="AL67" s="621"/>
      <c r="AX67" s="1284" t="str">
        <f t="shared" si="65"/>
        <v>ASHP-SEER18-Replace_CAC_ElectricHeat_ROF_SF</v>
      </c>
      <c r="AY67" s="1307"/>
      <c r="AZ67" s="1376" t="str">
        <f t="shared" si="66"/>
        <v>353200</v>
      </c>
      <c r="BA67" s="1255">
        <f>ROUND((K90*$BC$3)+(K67*$BC$4),2)</f>
        <v>1835.95</v>
      </c>
      <c r="BB67" s="1255">
        <f>ROUND((L90*$BC$3)+(L67*$BC$4),2)</f>
        <v>10174.02</v>
      </c>
      <c r="BC67" s="1255">
        <f>ROUND((M90*$BC$3)+(K67*$BC$4),2)</f>
        <v>680.07</v>
      </c>
      <c r="BD67" s="1255">
        <f>ROUND((N90*$BC$3)+(L67*$BC$4),2)</f>
        <v>10174.02</v>
      </c>
      <c r="BE67" s="1234"/>
      <c r="BF67" s="1250">
        <f>ROUND(BA67*'CP FACTORS'!$B$9,6)</f>
        <v>1.739412</v>
      </c>
      <c r="BG67" s="1251">
        <f>ROUND(BB67*'CP FACTORS'!$B$14,6)</f>
        <v>0</v>
      </c>
      <c r="BH67" s="1250">
        <f>ROUND(BC67*'CP FACTORS'!$B$9,6)</f>
        <v>0.64431099999999997</v>
      </c>
      <c r="BI67" s="1252">
        <f>ROUND(BD67*'CP FACTORS'!$B$14,6)</f>
        <v>0</v>
      </c>
      <c r="BJ67" s="1234"/>
      <c r="BK67" s="698">
        <f t="shared" si="57"/>
        <v>12009.970000000001</v>
      </c>
      <c r="BL67" s="1271">
        <f t="shared" si="58"/>
        <v>10854.09</v>
      </c>
      <c r="BM67" s="1270">
        <f t="shared" si="59"/>
        <v>1.739412</v>
      </c>
      <c r="BN67" s="1269">
        <f t="shared" si="60"/>
        <v>0.64431099999999997</v>
      </c>
    </row>
    <row r="68" spans="1:66" s="39" customFormat="1" x14ac:dyDescent="0.25">
      <c r="A68" s="49" t="str">
        <f>LEFT(B68,6)</f>
        <v>353210</v>
      </c>
      <c r="B68" s="1371" t="str">
        <f>'HVAC Deemed Table'!C753</f>
        <v>353210_2024_12_</v>
      </c>
      <c r="C68" s="846" t="str">
        <f>'HVAC Deemed Table'!G753</f>
        <v>Cooling Res</v>
      </c>
      <c r="D68" s="846" t="str">
        <f>'HVAC Deemed Table'!G754</f>
        <v>Heating Res</v>
      </c>
      <c r="E68" s="1307"/>
      <c r="F68" s="1307"/>
      <c r="G68" s="1307" t="str">
        <f>'HVAC Deemed Table'!E753</f>
        <v>ASHP-SEER18-Replace_CAC_NonElectricHeat_ROF_SF</v>
      </c>
      <c r="H68" s="18" t="str">
        <f>'HVAC Deemed Table'!D753</f>
        <v>PAYS</v>
      </c>
      <c r="I68" s="750">
        <f>K68+L68</f>
        <v>700.49</v>
      </c>
      <c r="J68" s="750">
        <f>M68+N68</f>
        <v>0</v>
      </c>
      <c r="K68" s="189">
        <f>'HVAC Deemed Table'!F753</f>
        <v>700.49</v>
      </c>
      <c r="L68" s="189">
        <f>'HVAC Deemed Table'!F754</f>
        <v>0</v>
      </c>
      <c r="M68" s="189"/>
      <c r="N68" s="189"/>
      <c r="O68" s="751">
        <f>Q68+R68</f>
        <v>0.66365700000000005</v>
      </c>
      <c r="P68" s="751">
        <f>S68+T68</f>
        <v>0</v>
      </c>
      <c r="Q68" s="752">
        <f>'HVAC Deemed Table'!I753</f>
        <v>0.66365700000000005</v>
      </c>
      <c r="R68" s="752">
        <f>'HVAC Deemed Table'!I754</f>
        <v>0</v>
      </c>
      <c r="S68" s="752"/>
      <c r="T68" s="752"/>
      <c r="U68" s="753">
        <f t="shared" si="88"/>
        <v>0</v>
      </c>
      <c r="V68" s="753">
        <f t="shared" si="89"/>
        <v>0</v>
      </c>
      <c r="W68" s="753">
        <f t="shared" si="90"/>
        <v>0.66365700000000005</v>
      </c>
      <c r="X68" s="22">
        <f>'HVAC Deemed Table'!J753</f>
        <v>18</v>
      </c>
      <c r="Y68" s="22"/>
      <c r="Z68" s="22">
        <f>Y68+X68</f>
        <v>18</v>
      </c>
      <c r="AA68" s="17">
        <f>'HVAC Deemed Table'!DG753</f>
        <v>6.0691614398257743</v>
      </c>
      <c r="AB68" s="771">
        <f>'HVAC Deemed Table'!K753</f>
        <v>264.28036762775952</v>
      </c>
      <c r="AC68" s="862">
        <f>AE68+AF68</f>
        <v>1603.9602165093779</v>
      </c>
      <c r="AD68" s="862">
        <f>AG68+AH68</f>
        <v>0</v>
      </c>
      <c r="AE68" s="195">
        <f>'HVAC Deemed Table'!DI753</f>
        <v>1603.9602165093779</v>
      </c>
      <c r="AF68" s="195">
        <f>'HVAC Deemed Table'!DI754</f>
        <v>0</v>
      </c>
      <c r="AG68" s="195"/>
      <c r="AH68" s="195"/>
      <c r="AI68" s="866" t="e">
        <f t="shared" ref="AI68:AI96" si="92">AI67</f>
        <v>#REF!</v>
      </c>
      <c r="AJ68" s="46">
        <f>'HVAC Deemed Table'!L753</f>
        <v>3.0020370366666667</v>
      </c>
      <c r="AK68" s="877"/>
      <c r="AL68" s="877"/>
      <c r="AM68"/>
      <c r="AN68"/>
      <c r="AO68"/>
      <c r="AP68"/>
      <c r="AQ68"/>
      <c r="AR68"/>
      <c r="AS68"/>
      <c r="AT68"/>
      <c r="AU68"/>
      <c r="AV68"/>
      <c r="AW68"/>
      <c r="AX68" s="1284" t="str">
        <f t="shared" si="65"/>
        <v>ASHP-SEER18-Replace_CAC_NonElectricHeat_ROF_SF</v>
      </c>
      <c r="AY68" s="1307"/>
      <c r="AZ68" s="1376" t="str">
        <f t="shared" si="66"/>
        <v>353210</v>
      </c>
      <c r="BA68" s="1255">
        <f>ROUND((K91*$BC$3)+(K68*$BC$4),2)</f>
        <v>1835.95</v>
      </c>
      <c r="BB68" s="1255">
        <f>ROUND((L91*$BC$3)+(L68*$BC$4),2)</f>
        <v>0</v>
      </c>
      <c r="BC68" s="1255">
        <f>ROUND((M91*$BC$3)+(K68*$BC$4),2)</f>
        <v>680.07</v>
      </c>
      <c r="BD68" s="1255">
        <f>ROUND((N91*$BC$3)+(L68*$BC$4),2)</f>
        <v>0</v>
      </c>
      <c r="BE68" s="1235"/>
      <c r="BF68" s="1250">
        <f>ROUND(BA68*'CP FACTORS'!$B$9,6)</f>
        <v>1.739412</v>
      </c>
      <c r="BG68" s="1251">
        <f>ROUND(BB68*'CP FACTORS'!$B$14,6)</f>
        <v>0</v>
      </c>
      <c r="BH68" s="1250">
        <f>ROUND(BC68*'CP FACTORS'!$B$9,6)</f>
        <v>0.64431099999999997</v>
      </c>
      <c r="BI68" s="1252">
        <f>ROUND(BD68*'CP FACTORS'!$B$14,6)</f>
        <v>0</v>
      </c>
      <c r="BJ68" s="1234"/>
      <c r="BK68" s="698">
        <f t="shared" si="57"/>
        <v>1835.95</v>
      </c>
      <c r="BL68" s="1271">
        <f t="shared" si="58"/>
        <v>680.07</v>
      </c>
      <c r="BM68" s="1270">
        <f t="shared" si="59"/>
        <v>1.739412</v>
      </c>
      <c r="BN68" s="1269">
        <f t="shared" si="60"/>
        <v>0.64431099999999997</v>
      </c>
    </row>
    <row r="69" spans="1:66" x14ac:dyDescent="0.25">
      <c r="A69" s="49" t="str">
        <f t="shared" si="61"/>
        <v>353300</v>
      </c>
      <c r="B69" s="1371" t="str">
        <f>'HVAC Deemed Table'!C755</f>
        <v>353300_2024_12_</v>
      </c>
      <c r="C69" s="846" t="str">
        <f>'HVAC Deemed Table'!G755</f>
        <v>Cooling Res</v>
      </c>
      <c r="D69" s="846" t="str">
        <f>'HVAC Deemed Table'!G756</f>
        <v>Heating Res</v>
      </c>
      <c r="E69" s="1307"/>
      <c r="F69" s="1307"/>
      <c r="G69" s="1307" t="str">
        <f>'HVAC Deemed Table'!E755</f>
        <v>ASHP-SEER19-Replace_CAC_ElectricHeat_ROF_SF</v>
      </c>
      <c r="H69" s="18" t="str">
        <f>'HVAC Deemed Table'!D755</f>
        <v>PAYS/SFIE</v>
      </c>
      <c r="I69" s="750">
        <f t="shared" ref="I69:I102" si="93">K69+L69</f>
        <v>11279.69</v>
      </c>
      <c r="J69" s="750">
        <f t="shared" ref="J69:J102" si="94">M69+N69</f>
        <v>0</v>
      </c>
      <c r="K69" s="189">
        <f>'HVAC Deemed Table'!F755</f>
        <v>838.11</v>
      </c>
      <c r="L69" s="189">
        <f>'HVAC Deemed Table'!F756</f>
        <v>10441.58</v>
      </c>
      <c r="M69" s="189"/>
      <c r="N69" s="189"/>
      <c r="O69" s="751">
        <f t="shared" ref="O69:O102" si="95">Q69+R69</f>
        <v>0.794041</v>
      </c>
      <c r="P69" s="751">
        <f t="shared" ref="P69:P102" si="96">S69+T69</f>
        <v>0</v>
      </c>
      <c r="Q69" s="752">
        <f>'HVAC Deemed Table'!I755</f>
        <v>0.794041</v>
      </c>
      <c r="R69" s="752">
        <f>'HVAC Deemed Table'!I756</f>
        <v>0</v>
      </c>
      <c r="S69" s="752"/>
      <c r="T69" s="752"/>
      <c r="U69" s="753">
        <f t="shared" si="88"/>
        <v>0</v>
      </c>
      <c r="V69" s="753">
        <f t="shared" si="89"/>
        <v>0</v>
      </c>
      <c r="W69" s="753">
        <f t="shared" si="90"/>
        <v>0.794041</v>
      </c>
      <c r="X69" s="22">
        <f>'HVAC Deemed Table'!J755</f>
        <v>18</v>
      </c>
      <c r="Y69" s="22"/>
      <c r="Z69" s="22">
        <f t="shared" si="62"/>
        <v>18</v>
      </c>
      <c r="AA69" s="17">
        <f>'HVAC Deemed Table'!DG755</f>
        <v>1.8777423512379938</v>
      </c>
      <c r="AB69" s="246">
        <f>'HVAC Deemed Table'!K755</f>
        <v>4392.2197803846157</v>
      </c>
      <c r="AC69" s="862">
        <f t="shared" si="63"/>
        <v>8247.4570975734332</v>
      </c>
      <c r="AD69" s="862">
        <f t="shared" si="91"/>
        <v>0</v>
      </c>
      <c r="AE69" s="195">
        <f>'HVAC Deemed Table'!DI755</f>
        <v>1919.0782124779435</v>
      </c>
      <c r="AF69" s="195">
        <f>'HVAC Deemed Table'!DI756</f>
        <v>6328.3788850954897</v>
      </c>
      <c r="AG69" s="195"/>
      <c r="AH69" s="195"/>
      <c r="AI69" s="866" t="e">
        <f>#REF!</f>
        <v>#REF!</v>
      </c>
      <c r="AJ69" s="45">
        <f>'HVAC Deemed Table'!L755</f>
        <v>2.9920329673076922</v>
      </c>
      <c r="AK69" s="621"/>
      <c r="AL69" s="621"/>
      <c r="AX69" s="1284" t="str">
        <f t="shared" si="65"/>
        <v>ASHP-SEER19-Replace_CAC_ElectricHeat_ROF_SF</v>
      </c>
      <c r="AY69" s="1307"/>
      <c r="AZ69" s="1376" t="str">
        <f t="shared" si="66"/>
        <v>353300</v>
      </c>
      <c r="BA69" s="1265">
        <f>ROUND((K94*$BC$3)+(K69*$BC$4),2)</f>
        <v>1873.15</v>
      </c>
      <c r="BB69" s="1265">
        <f>ROUND((L94*$BC$3)+(L69*$BC$4),2)</f>
        <v>12063.7</v>
      </c>
      <c r="BC69" s="1265">
        <f>ROUND((M94*$BC$3)+(K69*$BC$4),2)</f>
        <v>840.97</v>
      </c>
      <c r="BD69" s="1265">
        <f>ROUND((N94*$BC$3)+(L69*$BC$4),2)</f>
        <v>12063.7</v>
      </c>
      <c r="BE69" s="1234"/>
      <c r="BF69" s="1250">
        <f>ROUND(BA69*'CP FACTORS'!$B$9,6)</f>
        <v>1.774656</v>
      </c>
      <c r="BG69" s="1251">
        <f>ROUND(BB69*'CP FACTORS'!$B$14,6)</f>
        <v>0</v>
      </c>
      <c r="BH69" s="1250">
        <f>ROUND(BC69*'CP FACTORS'!$B$9,6)</f>
        <v>0.79674999999999996</v>
      </c>
      <c r="BI69" s="1252">
        <f>ROUND(BD69*'CP FACTORS'!$B$14,6)</f>
        <v>0</v>
      </c>
      <c r="BJ69" s="1234"/>
      <c r="BK69" s="698">
        <f t="shared" ref="BK69:BK100" si="97">BA69+BB69</f>
        <v>13936.85</v>
      </c>
      <c r="BL69" s="1271">
        <f t="shared" ref="BL69:BL100" si="98">BC69+BD69</f>
        <v>12904.67</v>
      </c>
      <c r="BM69" s="1270">
        <f t="shared" ref="BM69:BM100" si="99">BF69+BG69</f>
        <v>1.774656</v>
      </c>
      <c r="BN69" s="1269">
        <f t="shared" ref="BN69:BN100" si="100">BH69+BI69</f>
        <v>0.79674999999999996</v>
      </c>
    </row>
    <row r="70" spans="1:66" s="39" customFormat="1" x14ac:dyDescent="0.25">
      <c r="A70" s="49" t="str">
        <f>LEFT(B70,6)</f>
        <v>353310</v>
      </c>
      <c r="B70" s="1371" t="str">
        <f>'HVAC Deemed Table'!C757</f>
        <v>353310_2024_12_</v>
      </c>
      <c r="C70" s="846" t="str">
        <f>'HVAC Deemed Table'!G757</f>
        <v>Cooling Res</v>
      </c>
      <c r="D70" s="846" t="str">
        <f>'HVAC Deemed Table'!G758</f>
        <v>Heating Res</v>
      </c>
      <c r="E70" s="1307"/>
      <c r="F70" s="1307"/>
      <c r="G70" s="1307" t="str">
        <f>'HVAC Deemed Table'!E757</f>
        <v>ASHP-SEER19-Replace_CAC_NonElectricHeat_ROF_SF</v>
      </c>
      <c r="H70" s="18" t="str">
        <f>'HVAC Deemed Table'!D757</f>
        <v>PAYS</v>
      </c>
      <c r="I70" s="750">
        <f>K70+L70</f>
        <v>838.11</v>
      </c>
      <c r="J70" s="750">
        <f>M70+N70</f>
        <v>0</v>
      </c>
      <c r="K70" s="189">
        <f>'HVAC Deemed Table'!F757</f>
        <v>838.11</v>
      </c>
      <c r="L70" s="189">
        <f>'HVAC Deemed Table'!F758</f>
        <v>0</v>
      </c>
      <c r="M70" s="189"/>
      <c r="N70" s="189"/>
      <c r="O70" s="751">
        <f>Q70+R70</f>
        <v>0.794041</v>
      </c>
      <c r="P70" s="751">
        <f>S70+T70</f>
        <v>0</v>
      </c>
      <c r="Q70" s="752">
        <f>'HVAC Deemed Table'!I757</f>
        <v>0.794041</v>
      </c>
      <c r="R70" s="752">
        <f>'HVAC Deemed Table'!I758</f>
        <v>0</v>
      </c>
      <c r="S70" s="752"/>
      <c r="T70" s="752"/>
      <c r="U70" s="753">
        <f t="shared" si="88"/>
        <v>0</v>
      </c>
      <c r="V70" s="753">
        <f t="shared" si="89"/>
        <v>0</v>
      </c>
      <c r="W70" s="753">
        <f t="shared" si="90"/>
        <v>0.794041</v>
      </c>
      <c r="X70" s="22">
        <f>'HVAC Deemed Table'!J757</f>
        <v>18</v>
      </c>
      <c r="Y70" s="22"/>
      <c r="Z70" s="22">
        <f>Y70+X70</f>
        <v>18</v>
      </c>
      <c r="AA70" s="17">
        <f>'HVAC Deemed Table'!DG757</f>
        <v>5.8803713500255563</v>
      </c>
      <c r="AB70" s="771">
        <f>'HVAC Deemed Table'!K757</f>
        <v>326.35323489724897</v>
      </c>
      <c r="AC70" s="862">
        <f>AE70+AF70</f>
        <v>1919.0782124779435</v>
      </c>
      <c r="AD70" s="862">
        <f>AG70+AH70</f>
        <v>0</v>
      </c>
      <c r="AE70" s="195">
        <f>'HVAC Deemed Table'!DI757</f>
        <v>1919.0782124779435</v>
      </c>
      <c r="AF70" s="195">
        <f>'HVAC Deemed Table'!DI758</f>
        <v>0</v>
      </c>
      <c r="AG70" s="195"/>
      <c r="AH70" s="195"/>
      <c r="AI70" s="866" t="e">
        <f t="shared" si="92"/>
        <v>#REF!</v>
      </c>
      <c r="AJ70" s="46">
        <f>'HVAC Deemed Table'!L757</f>
        <v>2.9920329673076922</v>
      </c>
      <c r="AK70" s="877"/>
      <c r="AL70" s="877"/>
      <c r="AM70"/>
      <c r="AN70"/>
      <c r="AO70"/>
      <c r="AP70"/>
      <c r="AQ70"/>
      <c r="AR70"/>
      <c r="AS70"/>
      <c r="AT70"/>
      <c r="AU70"/>
      <c r="AV70"/>
      <c r="AW70"/>
      <c r="AX70" s="1284" t="str">
        <f t="shared" si="65"/>
        <v>ASHP-SEER19-Replace_CAC_NonElectricHeat_ROF_SF</v>
      </c>
      <c r="AY70" s="1307"/>
      <c r="AZ70" s="1376" t="str">
        <f t="shared" si="66"/>
        <v>353310</v>
      </c>
      <c r="BA70" s="1265">
        <f>ROUND((K95*$BC$3)+(K70*$BC$4),2)</f>
        <v>1873.15</v>
      </c>
      <c r="BB70" s="1265">
        <f>ROUND((L95*$BC$3)+(L70*$BC$4),2)</f>
        <v>0</v>
      </c>
      <c r="BC70" s="1265">
        <f>ROUND((M95*$BC$3)+(K70*$BC$4),2)</f>
        <v>840.97</v>
      </c>
      <c r="BD70" s="1265">
        <f>ROUND((N95*$BC$3)+(L70*$BC$4),2)</f>
        <v>0</v>
      </c>
      <c r="BE70" s="1235"/>
      <c r="BF70" s="1250">
        <f>ROUND(BA70*'CP FACTORS'!$B$9,6)</f>
        <v>1.774656</v>
      </c>
      <c r="BG70" s="1251">
        <f>ROUND(BB70*'CP FACTORS'!$B$14,6)</f>
        <v>0</v>
      </c>
      <c r="BH70" s="1250">
        <f>ROUND(BC70*'CP FACTORS'!$B$9,6)</f>
        <v>0.79674999999999996</v>
      </c>
      <c r="BI70" s="1252">
        <f>ROUND(BD70*'CP FACTORS'!$B$14,6)</f>
        <v>0</v>
      </c>
      <c r="BJ70" s="1234"/>
      <c r="BK70" s="698">
        <f t="shared" si="97"/>
        <v>1873.15</v>
      </c>
      <c r="BL70" s="1271">
        <f t="shared" si="98"/>
        <v>840.97</v>
      </c>
      <c r="BM70" s="1270">
        <f t="shared" si="99"/>
        <v>1.774656</v>
      </c>
      <c r="BN70" s="1269">
        <f t="shared" si="100"/>
        <v>0.79674999999999996</v>
      </c>
    </row>
    <row r="71" spans="1:66" x14ac:dyDescent="0.25">
      <c r="A71" s="49" t="str">
        <f t="shared" si="61"/>
        <v>353400</v>
      </c>
      <c r="B71" s="1371" t="str">
        <f>'HVAC Deemed Table'!C759</f>
        <v>353400_2024_12_</v>
      </c>
      <c r="C71" s="846" t="str">
        <f>'HVAC Deemed Table'!G759</f>
        <v>Cooling Res</v>
      </c>
      <c r="D71" s="846" t="str">
        <f>'HVAC Deemed Table'!G760</f>
        <v>Heating Res</v>
      </c>
      <c r="E71" s="846" t="str">
        <f>'HVAC Deemed Table'!G761</f>
        <v>Cooling Res ER2</v>
      </c>
      <c r="F71" s="846" t="str">
        <f>'HVAC Deemed Table'!G762</f>
        <v>Heating Res ER2</v>
      </c>
      <c r="G71" s="1307" t="str">
        <f>'HVAC Deemed Table'!E759</f>
        <v>ASHP-SEER20-Replace_CAC_ElectricHeat_ER1_SF</v>
      </c>
      <c r="H71" s="18" t="str">
        <f>'HVAC Deemed Table'!D759</f>
        <v>PAYS/SFIE</v>
      </c>
      <c r="I71" s="750">
        <f t="shared" si="93"/>
        <v>11382.29</v>
      </c>
      <c r="J71" s="750">
        <f t="shared" si="94"/>
        <v>9883.2099999999991</v>
      </c>
      <c r="K71" s="189">
        <f>'HVAC Deemed Table'!F759</f>
        <v>2257.71</v>
      </c>
      <c r="L71" s="189">
        <f>'HVAC Deemed Table'!F760</f>
        <v>9124.58</v>
      </c>
      <c r="M71" s="189">
        <f>'HVAC Deemed Table'!F761</f>
        <v>758.63</v>
      </c>
      <c r="N71" s="189">
        <f>'HVAC Deemed Table'!F762</f>
        <v>9124.58</v>
      </c>
      <c r="O71" s="751">
        <f t="shared" si="95"/>
        <v>2.138995</v>
      </c>
      <c r="P71" s="751">
        <f t="shared" si="96"/>
        <v>0.71874000000000005</v>
      </c>
      <c r="Q71" s="752">
        <f>'HVAC Deemed Table'!I759</f>
        <v>2.138995</v>
      </c>
      <c r="R71" s="752">
        <f>'HVAC Deemed Table'!I760</f>
        <v>0</v>
      </c>
      <c r="S71" s="752">
        <f>'HVAC Deemed Table'!I761</f>
        <v>0.71874000000000005</v>
      </c>
      <c r="T71" s="752">
        <f>'HVAC Deemed Table'!I762</f>
        <v>0</v>
      </c>
      <c r="U71" s="753">
        <f t="shared" si="88"/>
        <v>0</v>
      </c>
      <c r="V71" s="753">
        <f t="shared" si="89"/>
        <v>0</v>
      </c>
      <c r="W71" s="753">
        <f t="shared" si="90"/>
        <v>2.138995</v>
      </c>
      <c r="X71" s="22">
        <f>'HVAC Deemed Table'!J759</f>
        <v>6</v>
      </c>
      <c r="Y71" s="22">
        <f>'HVAC Deemed Table'!J761</f>
        <v>12</v>
      </c>
      <c r="Z71" s="22">
        <f t="shared" si="62"/>
        <v>18</v>
      </c>
      <c r="AA71" s="17">
        <f>'HVAC Deemed Table'!DG759</f>
        <v>2.0913445621339002</v>
      </c>
      <c r="AB71" s="246">
        <f>'HVAC Deemed Table'!K759</f>
        <v>4188.7510221369221</v>
      </c>
      <c r="AC71" s="862">
        <f t="shared" si="63"/>
        <v>4695.3552197818535</v>
      </c>
      <c r="AD71" s="862">
        <f t="shared" si="91"/>
        <v>4064.7664524970146</v>
      </c>
      <c r="AE71" s="195">
        <f>'HVAC Deemed Table'!DI759</f>
        <v>2248.3362078095734</v>
      </c>
      <c r="AF71" s="195">
        <f>'HVAC Deemed Table'!DI760</f>
        <v>2447.0190119722806</v>
      </c>
      <c r="AG71" s="195">
        <f>'HVAC Deemed Table'!DI761</f>
        <v>981.60713826151823</v>
      </c>
      <c r="AH71" s="195">
        <f>'HVAC Deemed Table'!DI762</f>
        <v>3083.1593142354964</v>
      </c>
      <c r="AI71" s="866" t="e">
        <f>#REF!</f>
        <v>#REF!</v>
      </c>
      <c r="AJ71" s="45">
        <f>'HVAC Deemed Table'!L759</f>
        <v>2.5833656509695291</v>
      </c>
      <c r="AK71" s="621"/>
      <c r="AL71" s="621"/>
      <c r="AX71" s="1284" t="str">
        <f t="shared" si="65"/>
        <v>ASHP-SEER20-Replace_CAC_ElectricHeat_ER1_SF</v>
      </c>
      <c r="AY71" s="1307"/>
      <c r="AZ71" s="1376" t="str">
        <f t="shared" si="66"/>
        <v>353400</v>
      </c>
      <c r="BA71" s="1254">
        <f>ROUND((K71*$BC$3)+(K73*$BC$4),2)</f>
        <v>1684.09</v>
      </c>
      <c r="BB71" s="1254">
        <f>ROUND((L71*$BC$3)+(L73*$BC$4),2)</f>
        <v>9561.65</v>
      </c>
      <c r="BC71" s="1254">
        <f>ROUND((M71*$BC$3)+(K73*$BC$4),2)</f>
        <v>784.64</v>
      </c>
      <c r="BD71" s="1254">
        <f>ROUND((N71*$BC$3)+(L73*$BC$4),2)</f>
        <v>9561.65</v>
      </c>
      <c r="BE71" s="1234"/>
      <c r="BF71" s="1250">
        <f>ROUND(BA71*'CP FACTORS'!$B$9,6)</f>
        <v>1.595537</v>
      </c>
      <c r="BG71" s="1251">
        <f>ROUND(BB71*'CP FACTORS'!$B$14,6)</f>
        <v>0</v>
      </c>
      <c r="BH71" s="1250">
        <f>ROUND(BC71*'CP FACTORS'!$B$9,6)</f>
        <v>0.74338199999999999</v>
      </c>
      <c r="BI71" s="1252">
        <f>ROUND(BD71*'CP FACTORS'!$B$14,6)</f>
        <v>0</v>
      </c>
      <c r="BJ71" s="1234"/>
      <c r="BK71" s="698">
        <f t="shared" si="97"/>
        <v>11245.74</v>
      </c>
      <c r="BL71" s="1271">
        <f t="shared" si="98"/>
        <v>10346.289999999999</v>
      </c>
      <c r="BM71" s="1270">
        <f t="shared" si="99"/>
        <v>1.595537</v>
      </c>
      <c r="BN71" s="1269">
        <f t="shared" si="100"/>
        <v>0.74338199999999999</v>
      </c>
    </row>
    <row r="72" spans="1:66" x14ac:dyDescent="0.25">
      <c r="A72" s="49" t="str">
        <f t="shared" si="61"/>
        <v>353410</v>
      </c>
      <c r="B72" s="1371" t="str">
        <f>'HVAC Deemed Table'!C763</f>
        <v>353410_2024_12_</v>
      </c>
      <c r="C72" s="846" t="str">
        <f>'HVAC Deemed Table'!G763</f>
        <v>Cooling Res</v>
      </c>
      <c r="D72" s="846" t="str">
        <f>'HVAC Deemed Table'!G764</f>
        <v>Heating Res</v>
      </c>
      <c r="E72" s="846" t="str">
        <f>'HVAC Deemed Table'!G765</f>
        <v>Cooling Res ER2</v>
      </c>
      <c r="F72" s="846" t="str">
        <f>'HVAC Deemed Table'!G766</f>
        <v>Heating Res ER2</v>
      </c>
      <c r="G72" s="1307" t="str">
        <f>'HVAC Deemed Table'!E763</f>
        <v>ASHP-SEER20-Replace_CAC_NonElectricHeat_ER1_SF</v>
      </c>
      <c r="H72" s="18" t="str">
        <f>'HVAC Deemed Table'!D763</f>
        <v>PAYS</v>
      </c>
      <c r="I72" s="750">
        <f t="shared" si="93"/>
        <v>2257.71</v>
      </c>
      <c r="J72" s="750">
        <f t="shared" si="94"/>
        <v>758.63</v>
      </c>
      <c r="K72" s="189">
        <f>'HVAC Deemed Table'!F763</f>
        <v>2257.71</v>
      </c>
      <c r="L72" s="189">
        <f>'HVAC Deemed Table'!F764</f>
        <v>0</v>
      </c>
      <c r="M72" s="189">
        <f>'HVAC Deemed Table'!F765</f>
        <v>758.63</v>
      </c>
      <c r="N72" s="189">
        <f>'HVAC Deemed Table'!F766</f>
        <v>0</v>
      </c>
      <c r="O72" s="751">
        <f t="shared" si="95"/>
        <v>2.138995</v>
      </c>
      <c r="P72" s="751">
        <f t="shared" si="96"/>
        <v>0.71874000000000005</v>
      </c>
      <c r="Q72" s="752">
        <f>'HVAC Deemed Table'!I763</f>
        <v>2.138995</v>
      </c>
      <c r="R72" s="752">
        <f>'HVAC Deemed Table'!I764</f>
        <v>0</v>
      </c>
      <c r="S72" s="752">
        <f>'HVAC Deemed Table'!I765</f>
        <v>0.71874000000000005</v>
      </c>
      <c r="T72" s="752">
        <f>'HVAC Deemed Table'!I766</f>
        <v>0</v>
      </c>
      <c r="U72" s="753">
        <f t="shared" si="88"/>
        <v>0</v>
      </c>
      <c r="V72" s="753">
        <f t="shared" si="89"/>
        <v>0</v>
      </c>
      <c r="W72" s="753">
        <f t="shared" si="90"/>
        <v>2.138995</v>
      </c>
      <c r="X72" s="22">
        <f>'HVAC Deemed Table'!J763</f>
        <v>6</v>
      </c>
      <c r="Y72" s="22">
        <f>'HVAC Deemed Table'!J765</f>
        <v>12</v>
      </c>
      <c r="Z72" s="22">
        <f t="shared" si="62"/>
        <v>18</v>
      </c>
      <c r="AA72" s="17">
        <f>'HVAC Deemed Table'!DG763</f>
        <v>5.4363281385133835</v>
      </c>
      <c r="AB72" s="246">
        <f>'HVAC Deemed Table'!K763</f>
        <v>594.14061546225037</v>
      </c>
      <c r="AC72" s="862">
        <f t="shared" si="63"/>
        <v>2248.3362078095734</v>
      </c>
      <c r="AD72" s="862">
        <f t="shared" si="91"/>
        <v>981.60713826151823</v>
      </c>
      <c r="AE72" s="195">
        <f>'HVAC Deemed Table'!DI763</f>
        <v>2248.3362078095734</v>
      </c>
      <c r="AF72" s="195">
        <f>'HVAC Deemed Table'!DI764</f>
        <v>0</v>
      </c>
      <c r="AG72" s="195">
        <f>'HVAC Deemed Table'!DI765</f>
        <v>981.60713826151823</v>
      </c>
      <c r="AH72" s="195">
        <f>'HVAC Deemed Table'!DI766</f>
        <v>0</v>
      </c>
      <c r="AI72" s="866" t="e">
        <f t="shared" si="92"/>
        <v>#REF!</v>
      </c>
      <c r="AJ72" s="45">
        <f>'HVAC Deemed Table'!L763</f>
        <v>2.5833656509695291</v>
      </c>
      <c r="AK72" s="877"/>
      <c r="AL72" s="877"/>
      <c r="AX72" s="1284" t="str">
        <f t="shared" si="65"/>
        <v>ASHP-SEER20-Replace_CAC_NonElectricHeat_ER1_SF</v>
      </c>
      <c r="AY72" s="1307"/>
      <c r="AZ72" s="1376" t="str">
        <f t="shared" si="66"/>
        <v>353410</v>
      </c>
      <c r="BA72" s="1254">
        <f>ROUND((K72*$BC$3)+(K74*$BC$4),2)</f>
        <v>1684.09</v>
      </c>
      <c r="BB72" s="1254">
        <f>ROUND((L72*$BC$3)+(L74*$BC$4),2)</f>
        <v>0</v>
      </c>
      <c r="BC72" s="1254">
        <f>ROUND((M72*$BC$3)+(K74*$BC$4),2)</f>
        <v>784.64</v>
      </c>
      <c r="BD72" s="1254">
        <f>ROUND((N72*$BC$3)+(L74*$BC$4),2)</f>
        <v>0</v>
      </c>
      <c r="BE72" s="1234"/>
      <c r="BF72" s="1250">
        <f>ROUND(BA72*'CP FACTORS'!$B$9,6)</f>
        <v>1.595537</v>
      </c>
      <c r="BG72" s="1251">
        <f>ROUND(BB72*'CP FACTORS'!$B$14,6)</f>
        <v>0</v>
      </c>
      <c r="BH72" s="1250">
        <f>ROUND(BC72*'CP FACTORS'!$B$9,6)</f>
        <v>0.74338199999999999</v>
      </c>
      <c r="BI72" s="1252">
        <f>ROUND(BD72*'CP FACTORS'!$B$14,6)</f>
        <v>0</v>
      </c>
      <c r="BJ72" s="1234"/>
      <c r="BK72" s="698">
        <f t="shared" si="97"/>
        <v>1684.09</v>
      </c>
      <c r="BL72" s="1271">
        <f t="shared" si="98"/>
        <v>784.64</v>
      </c>
      <c r="BM72" s="1270">
        <f t="shared" si="99"/>
        <v>1.595537</v>
      </c>
      <c r="BN72" s="1269">
        <f t="shared" si="100"/>
        <v>0.74338199999999999</v>
      </c>
    </row>
    <row r="73" spans="1:66" x14ac:dyDescent="0.25">
      <c r="A73" s="49" t="str">
        <f t="shared" si="61"/>
        <v>353450</v>
      </c>
      <c r="B73" s="1371" t="str">
        <f>'HVAC Deemed Table'!C767</f>
        <v>353450_2024_12_</v>
      </c>
      <c r="C73" s="846" t="str">
        <f>'HVAC Deemed Table'!G767</f>
        <v>Cooling Res</v>
      </c>
      <c r="D73" s="846" t="str">
        <f>'HVAC Deemed Table'!G768</f>
        <v>Heating Res</v>
      </c>
      <c r="E73" s="1307"/>
      <c r="F73" s="1307"/>
      <c r="G73" s="1307" t="str">
        <f>'HVAC Deemed Table'!E767</f>
        <v>ASHP-SEER20-Replace_CAC_ElectricHeat_ROF_SF</v>
      </c>
      <c r="H73" s="18" t="str">
        <f>'HVAC Deemed Table'!D767</f>
        <v>PAYS/SFIE</v>
      </c>
      <c r="I73" s="750">
        <f t="shared" si="93"/>
        <v>11040.91</v>
      </c>
      <c r="J73" s="750">
        <f t="shared" si="94"/>
        <v>0</v>
      </c>
      <c r="K73" s="189">
        <f>'HVAC Deemed Table'!F767</f>
        <v>823.65</v>
      </c>
      <c r="L73" s="189">
        <f>'HVAC Deemed Table'!F768</f>
        <v>10217.26</v>
      </c>
      <c r="M73" s="189"/>
      <c r="N73" s="189"/>
      <c r="O73" s="751">
        <f t="shared" si="95"/>
        <v>0.78034099999999995</v>
      </c>
      <c r="P73" s="751">
        <f t="shared" si="96"/>
        <v>0</v>
      </c>
      <c r="Q73" s="752">
        <f>'HVAC Deemed Table'!I767</f>
        <v>0.78034099999999995</v>
      </c>
      <c r="R73" s="752">
        <f>'HVAC Deemed Table'!I768</f>
        <v>0</v>
      </c>
      <c r="S73" s="752"/>
      <c r="T73" s="752"/>
      <c r="U73" s="753">
        <f t="shared" si="88"/>
        <v>0</v>
      </c>
      <c r="V73" s="753">
        <f t="shared" si="89"/>
        <v>0</v>
      </c>
      <c r="W73" s="753">
        <f t="shared" si="90"/>
        <v>0.78034099999999995</v>
      </c>
      <c r="X73" s="22">
        <f>'HVAC Deemed Table'!J767</f>
        <v>18</v>
      </c>
      <c r="Y73" s="22"/>
      <c r="Z73" s="22">
        <f t="shared" si="62"/>
        <v>18</v>
      </c>
      <c r="AA73" s="17">
        <f>'HVAC Deemed Table'!DG767</f>
        <v>1.866002733058677</v>
      </c>
      <c r="AB73" s="246">
        <f>'HVAC Deemed Table'!K767</f>
        <v>4329.25</v>
      </c>
      <c r="AC73" s="862">
        <f t="shared" si="63"/>
        <v>8078.3923320942777</v>
      </c>
      <c r="AD73" s="862">
        <f t="shared" si="91"/>
        <v>0</v>
      </c>
      <c r="AE73" s="195">
        <f>'HVAC Deemed Table'!DI767</f>
        <v>1885.9681541891377</v>
      </c>
      <c r="AF73" s="195">
        <f>'HVAC Deemed Table'!DI768</f>
        <v>6192.4241779051399</v>
      </c>
      <c r="AG73" s="195"/>
      <c r="AH73" s="195"/>
      <c r="AI73" s="866" t="e">
        <f t="shared" si="92"/>
        <v>#REF!</v>
      </c>
      <c r="AJ73" s="45">
        <f>'HVAC Deemed Table'!L767</f>
        <v>2.8870833333333334</v>
      </c>
      <c r="AK73" s="621"/>
      <c r="AL73" s="621"/>
      <c r="AX73" s="1284" t="str">
        <f t="shared" si="65"/>
        <v>ASHP-SEER20-Replace_CAC_ElectricHeat_ROF_SF</v>
      </c>
      <c r="AY73" s="1307"/>
      <c r="AZ73" s="1376" t="str">
        <f t="shared" si="66"/>
        <v>353450</v>
      </c>
      <c r="BA73" s="1258">
        <f>BA71</f>
        <v>1684.09</v>
      </c>
      <c r="BB73" s="1258">
        <f t="shared" ref="BB73:BD74" si="101">BB71</f>
        <v>9561.65</v>
      </c>
      <c r="BC73" s="1258">
        <f t="shared" si="101"/>
        <v>784.64</v>
      </c>
      <c r="BD73" s="1258">
        <f t="shared" si="101"/>
        <v>9561.65</v>
      </c>
      <c r="BE73" s="1234"/>
      <c r="BF73" s="1250">
        <f>ROUND(BA73*'CP FACTORS'!$B$9,6)</f>
        <v>1.595537</v>
      </c>
      <c r="BG73" s="1251">
        <f>ROUND(BB73*'CP FACTORS'!$B$14,6)</f>
        <v>0</v>
      </c>
      <c r="BH73" s="1250">
        <f>ROUND(BC73*'CP FACTORS'!$B$9,6)</f>
        <v>0.74338199999999999</v>
      </c>
      <c r="BI73" s="1252">
        <f>ROUND(BD73*'CP FACTORS'!$B$14,6)</f>
        <v>0</v>
      </c>
      <c r="BJ73" s="1234"/>
      <c r="BK73" s="698">
        <f t="shared" si="97"/>
        <v>11245.74</v>
      </c>
      <c r="BL73" s="1271">
        <f t="shared" si="98"/>
        <v>10346.289999999999</v>
      </c>
      <c r="BM73" s="1270">
        <f t="shared" si="99"/>
        <v>1.595537</v>
      </c>
      <c r="BN73" s="1269">
        <f t="shared" si="100"/>
        <v>0.74338199999999999</v>
      </c>
    </row>
    <row r="74" spans="1:66" s="39" customFormat="1" x14ac:dyDescent="0.25">
      <c r="A74" s="49" t="str">
        <f>LEFT(B74,6)</f>
        <v>353460</v>
      </c>
      <c r="B74" s="1371" t="str">
        <f>'HVAC Deemed Table'!C769</f>
        <v>353460_2024_12_</v>
      </c>
      <c r="C74" s="846" t="str">
        <f>'HVAC Deemed Table'!G769</f>
        <v>Cooling Res</v>
      </c>
      <c r="D74" s="846" t="str">
        <f>'HVAC Deemed Table'!G770</f>
        <v>Heating Res</v>
      </c>
      <c r="E74" s="1307"/>
      <c r="F74" s="1307"/>
      <c r="G74" s="1307" t="str">
        <f>'HVAC Deemed Table'!E769</f>
        <v>ASHP-SEER20-Replace_CAC_NonElectricHeat_ROF_SF</v>
      </c>
      <c r="H74" s="18" t="str">
        <f>'HVAC Deemed Table'!D769</f>
        <v>PAYS</v>
      </c>
      <c r="I74" s="750">
        <f>K74+L74</f>
        <v>823.65</v>
      </c>
      <c r="J74" s="750">
        <f>M74+N74</f>
        <v>0</v>
      </c>
      <c r="K74" s="189">
        <f>'HVAC Deemed Table'!F769</f>
        <v>823.65</v>
      </c>
      <c r="L74" s="189">
        <f>'HVAC Deemed Table'!F770</f>
        <v>0</v>
      </c>
      <c r="M74" s="189"/>
      <c r="N74" s="189"/>
      <c r="O74" s="751">
        <f>Q74+R74</f>
        <v>0.78034099999999995</v>
      </c>
      <c r="P74" s="751">
        <f>S74+T74</f>
        <v>0</v>
      </c>
      <c r="Q74" s="752">
        <f>'HVAC Deemed Table'!I769</f>
        <v>0.78034099999999995</v>
      </c>
      <c r="R74" s="752">
        <f>'HVAC Deemed Table'!I770</f>
        <v>0</v>
      </c>
      <c r="S74" s="752"/>
      <c r="T74" s="752"/>
      <c r="U74" s="753">
        <f t="shared" si="88"/>
        <v>0</v>
      </c>
      <c r="V74" s="753">
        <f t="shared" si="89"/>
        <v>0</v>
      </c>
      <c r="W74" s="753">
        <f t="shared" si="90"/>
        <v>0.78034099999999995</v>
      </c>
      <c r="X74" s="22">
        <f>'HVAC Deemed Table'!J769</f>
        <v>18</v>
      </c>
      <c r="Y74" s="22"/>
      <c r="Z74" s="22">
        <f>Y74+X74</f>
        <v>18</v>
      </c>
      <c r="AA74" s="17">
        <f>'HVAC Deemed Table'!DG769</f>
        <v>5.8396101730630026</v>
      </c>
      <c r="AB74" s="771">
        <f>'HVAC Deemed Table'!K769</f>
        <v>322.96131048074847</v>
      </c>
      <c r="AC74" s="862">
        <f>AE74+AF74</f>
        <v>1885.9681541891377</v>
      </c>
      <c r="AD74" s="862">
        <f>AG74+AH74</f>
        <v>0</v>
      </c>
      <c r="AE74" s="195">
        <f>'HVAC Deemed Table'!DI769</f>
        <v>1885.9681541891377</v>
      </c>
      <c r="AF74" s="195">
        <f>'HVAC Deemed Table'!DI770</f>
        <v>0</v>
      </c>
      <c r="AG74" s="195"/>
      <c r="AH74" s="195"/>
      <c r="AI74" s="866" t="e">
        <f t="shared" si="92"/>
        <v>#REF!</v>
      </c>
      <c r="AJ74" s="46">
        <f>'HVAC Deemed Table'!L769</f>
        <v>2.8870833333333334</v>
      </c>
      <c r="AK74" s="877"/>
      <c r="AL74" s="877"/>
      <c r="AM74"/>
      <c r="AN74"/>
      <c r="AO74"/>
      <c r="AP74"/>
      <c r="AQ74"/>
      <c r="AR74"/>
      <c r="AS74"/>
      <c r="AT74"/>
      <c r="AU74"/>
      <c r="AV74"/>
      <c r="AW74"/>
      <c r="AX74" s="1284" t="str">
        <f t="shared" si="65"/>
        <v>ASHP-SEER20-Replace_CAC_NonElectricHeat_ROF_SF</v>
      </c>
      <c r="AY74" s="1307"/>
      <c r="AZ74" s="1376" t="str">
        <f t="shared" si="66"/>
        <v>353460</v>
      </c>
      <c r="BA74" s="1258">
        <f>BA72</f>
        <v>1684.09</v>
      </c>
      <c r="BB74" s="1258">
        <f t="shared" si="101"/>
        <v>0</v>
      </c>
      <c r="BC74" s="1258">
        <f t="shared" si="101"/>
        <v>784.64</v>
      </c>
      <c r="BD74" s="1258">
        <f t="shared" si="101"/>
        <v>0</v>
      </c>
      <c r="BE74" s="1235"/>
      <c r="BF74" s="1250">
        <f>ROUND(BA74*'CP FACTORS'!$B$9,6)</f>
        <v>1.595537</v>
      </c>
      <c r="BG74" s="1251">
        <f>ROUND(BB74*'CP FACTORS'!$B$14,6)</f>
        <v>0</v>
      </c>
      <c r="BH74" s="1250">
        <f>ROUND(BC74*'CP FACTORS'!$B$9,6)</f>
        <v>0.74338199999999999</v>
      </c>
      <c r="BI74" s="1252">
        <f>ROUND(BD74*'CP FACTORS'!$B$14,6)</f>
        <v>0</v>
      </c>
      <c r="BJ74" s="1234"/>
      <c r="BK74" s="698">
        <f t="shared" si="97"/>
        <v>1684.09</v>
      </c>
      <c r="BL74" s="1271">
        <f t="shared" si="98"/>
        <v>784.64</v>
      </c>
      <c r="BM74" s="1270">
        <f t="shared" si="99"/>
        <v>1.595537</v>
      </c>
      <c r="BN74" s="1269">
        <f t="shared" si="100"/>
        <v>0.74338199999999999</v>
      </c>
    </row>
    <row r="75" spans="1:66" x14ac:dyDescent="0.25">
      <c r="A75" s="49" t="str">
        <f t="shared" si="61"/>
        <v>353550</v>
      </c>
      <c r="B75" s="1371" t="str">
        <f>'HVAC Deemed Table'!C771</f>
        <v>353550_2024_12_</v>
      </c>
      <c r="C75" s="846" t="str">
        <f>'HVAC Deemed Table'!G771</f>
        <v>Cooling Res</v>
      </c>
      <c r="D75" s="846" t="str">
        <f>'HVAC Deemed Table'!G772</f>
        <v>Heating Res</v>
      </c>
      <c r="E75" s="846" t="str">
        <f>'HVAC Deemed Table'!G773</f>
        <v>Cooling Res ER2</v>
      </c>
      <c r="F75" s="846" t="str">
        <f>'HVAC Deemed Table'!G774</f>
        <v>Heating Res ER2</v>
      </c>
      <c r="G75" s="1307" t="str">
        <f>'HVAC Deemed Table'!E771</f>
        <v>ASHP-SEER21-Replace_CAC_ElectricHeat_ER1_SF</v>
      </c>
      <c r="H75" s="18" t="str">
        <f>'HVAC Deemed Table'!D771</f>
        <v>PAYS/SFIE</v>
      </c>
      <c r="I75" s="750">
        <f t="shared" si="93"/>
        <v>14521.039999999999</v>
      </c>
      <c r="J75" s="750">
        <f t="shared" si="94"/>
        <v>12985.619999999999</v>
      </c>
      <c r="K75" s="189">
        <f>'HVAC Deemed Table'!F771</f>
        <v>2498.89</v>
      </c>
      <c r="L75" s="189">
        <f>'HVAC Deemed Table'!F772</f>
        <v>12022.15</v>
      </c>
      <c r="M75" s="189">
        <f>'HVAC Deemed Table'!F773</f>
        <v>963.47</v>
      </c>
      <c r="N75" s="189">
        <f>'HVAC Deemed Table'!F774</f>
        <v>12022.15</v>
      </c>
      <c r="O75" s="751">
        <f t="shared" si="95"/>
        <v>2.3674940000000002</v>
      </c>
      <c r="P75" s="751">
        <f t="shared" si="96"/>
        <v>0.91280899999999998</v>
      </c>
      <c r="Q75" s="752">
        <f>'HVAC Deemed Table'!I771</f>
        <v>2.3674940000000002</v>
      </c>
      <c r="R75" s="752">
        <f>'HVAC Deemed Table'!I772</f>
        <v>0</v>
      </c>
      <c r="S75" s="752">
        <f>'HVAC Deemed Table'!I773</f>
        <v>0.91280899999999998</v>
      </c>
      <c r="T75" s="752">
        <f>'HVAC Deemed Table'!I774</f>
        <v>0</v>
      </c>
      <c r="U75" s="753">
        <f t="shared" si="88"/>
        <v>0</v>
      </c>
      <c r="V75" s="753">
        <f t="shared" si="89"/>
        <v>0</v>
      </c>
      <c r="W75" s="753">
        <f t="shared" si="90"/>
        <v>2.3674940000000002</v>
      </c>
      <c r="X75" s="22">
        <f>'HVAC Deemed Table'!J771</f>
        <v>6</v>
      </c>
      <c r="Y75" s="22">
        <f>'HVAC Deemed Table'!J773</f>
        <v>12</v>
      </c>
      <c r="Z75" s="22">
        <f t="shared" si="62"/>
        <v>18</v>
      </c>
      <c r="AA75" s="17">
        <f>'HVAC Deemed Table'!DG771</f>
        <v>2.3726800996174342</v>
      </c>
      <c r="AB75" s="246">
        <f>'HVAC Deemed Table'!K771</f>
        <v>4645.1653206811143</v>
      </c>
      <c r="AC75" s="862">
        <f t="shared" si="63"/>
        <v>5712.6007402351443</v>
      </c>
      <c r="AD75" s="862">
        <f t="shared" si="91"/>
        <v>5308.8905755779724</v>
      </c>
      <c r="AE75" s="195">
        <f>'HVAC Deemed Table'!DI771</f>
        <v>2488.5148519221975</v>
      </c>
      <c r="AF75" s="195">
        <f>'HVAC Deemed Table'!DI772</f>
        <v>3224.0858883129472</v>
      </c>
      <c r="AG75" s="195">
        <f>'HVAC Deemed Table'!DI773</f>
        <v>1246.6538754080711</v>
      </c>
      <c r="AH75" s="195">
        <f>'HVAC Deemed Table'!DI774</f>
        <v>4062.2367001699008</v>
      </c>
      <c r="AI75" s="866" t="e">
        <f>#REF!</f>
        <v>#REF!</v>
      </c>
      <c r="AJ75" s="45">
        <f>'HVAC Deemed Table'!L771</f>
        <v>3.3440561485431846</v>
      </c>
      <c r="AK75" s="621"/>
      <c r="AL75" s="621"/>
      <c r="AX75" s="1284" t="str">
        <f t="shared" ref="AX75:AX108" si="102">G75</f>
        <v>ASHP-SEER21-Replace_CAC_ElectricHeat_ER1_SF</v>
      </c>
      <c r="AY75" s="1307"/>
      <c r="AZ75" s="1376" t="str">
        <f t="shared" ref="AZ75:AZ108" si="103">A75</f>
        <v>353550</v>
      </c>
      <c r="BA75" s="1255">
        <f>ROUND((K75*$BC$3)+(K78*$BC$4),2)</f>
        <v>1891.78</v>
      </c>
      <c r="BB75" s="1255">
        <f>ROUND((L75*$BC$3)+(L78*$BC$4),2)</f>
        <v>12171.69</v>
      </c>
      <c r="BC75" s="1255">
        <f>ROUND((M75*$BC$3)+(K78*$BC$4),2)</f>
        <v>970.53</v>
      </c>
      <c r="BD75" s="1255">
        <f>ROUND((N75*$BC$3)+(L78*$BC$4),2)</f>
        <v>12171.69</v>
      </c>
      <c r="BE75" s="1234"/>
      <c r="BF75" s="1250">
        <f>ROUND(BA75*'CP FACTORS'!$B$9,6)</f>
        <v>1.7923070000000001</v>
      </c>
      <c r="BG75" s="1251">
        <f>ROUND(BB75*'CP FACTORS'!$B$14,6)</f>
        <v>0</v>
      </c>
      <c r="BH75" s="1250">
        <f>ROUND(BC75*'CP FACTORS'!$B$9,6)</f>
        <v>0.91949800000000004</v>
      </c>
      <c r="BI75" s="1252">
        <f>ROUND(BD75*'CP FACTORS'!$B$14,6)</f>
        <v>0</v>
      </c>
      <c r="BJ75" s="1234"/>
      <c r="BK75" s="698">
        <f t="shared" si="97"/>
        <v>14063.470000000001</v>
      </c>
      <c r="BL75" s="1271">
        <f t="shared" si="98"/>
        <v>13142.220000000001</v>
      </c>
      <c r="BM75" s="1270">
        <f t="shared" si="99"/>
        <v>1.7923070000000001</v>
      </c>
      <c r="BN75" s="1269">
        <f t="shared" si="100"/>
        <v>0.91949800000000004</v>
      </c>
    </row>
    <row r="76" spans="1:66" x14ac:dyDescent="0.25">
      <c r="A76" s="49" t="str">
        <f t="shared" si="61"/>
        <v>353560</v>
      </c>
      <c r="B76" s="1371" t="str">
        <f>'HVAC Deemed Table'!C775</f>
        <v>353560_2024_12_</v>
      </c>
      <c r="C76" s="846" t="str">
        <f>'HVAC Deemed Table'!G775</f>
        <v>Cooling Res</v>
      </c>
      <c r="D76" s="846" t="str">
        <f>'HVAC Deemed Table'!G776</f>
        <v>Heating Res</v>
      </c>
      <c r="E76" s="846" t="str">
        <f>'HVAC Deemed Table'!G777</f>
        <v>Cooling Res ER2</v>
      </c>
      <c r="F76" s="846" t="str">
        <f>'HVAC Deemed Table'!G778</f>
        <v>Heating Res ER2</v>
      </c>
      <c r="G76" s="1307" t="str">
        <f>'HVAC Deemed Table'!E775</f>
        <v>ASHP-SEER21-Replace_CAC_NonElectricHeat_ER1_SF</v>
      </c>
      <c r="H76" s="18" t="str">
        <f>'HVAC Deemed Table'!D775</f>
        <v>PAYS</v>
      </c>
      <c r="I76" s="750">
        <f t="shared" si="93"/>
        <v>2498.89</v>
      </c>
      <c r="J76" s="750">
        <f t="shared" si="94"/>
        <v>963.47</v>
      </c>
      <c r="K76" s="189">
        <f>'HVAC Deemed Table'!F775</f>
        <v>2498.89</v>
      </c>
      <c r="L76" s="189">
        <f>'HVAC Deemed Table'!F776</f>
        <v>0</v>
      </c>
      <c r="M76" s="189">
        <f>'HVAC Deemed Table'!F777</f>
        <v>963.47</v>
      </c>
      <c r="N76" s="189">
        <f>'HVAC Deemed Table'!F778</f>
        <v>0</v>
      </c>
      <c r="O76" s="751">
        <f t="shared" si="95"/>
        <v>2.3674940000000002</v>
      </c>
      <c r="P76" s="751">
        <f t="shared" si="96"/>
        <v>0.91280899999999998</v>
      </c>
      <c r="Q76" s="752">
        <f>'HVAC Deemed Table'!I775</f>
        <v>2.3674940000000002</v>
      </c>
      <c r="R76" s="752">
        <f>'HVAC Deemed Table'!I776</f>
        <v>0</v>
      </c>
      <c r="S76" s="752">
        <f>'HVAC Deemed Table'!I777</f>
        <v>0.91280899999999998</v>
      </c>
      <c r="T76" s="752">
        <f>'HVAC Deemed Table'!I778</f>
        <v>0</v>
      </c>
      <c r="U76" s="753">
        <f t="shared" si="88"/>
        <v>0</v>
      </c>
      <c r="V76" s="753">
        <f t="shared" si="89"/>
        <v>0</v>
      </c>
      <c r="W76" s="753">
        <f t="shared" si="90"/>
        <v>2.3674940000000002</v>
      </c>
      <c r="X76" s="22">
        <f>'HVAC Deemed Table'!J775</f>
        <v>6</v>
      </c>
      <c r="Y76" s="22">
        <f>'HVAC Deemed Table'!J777</f>
        <v>12</v>
      </c>
      <c r="Z76" s="22">
        <f t="shared" si="62"/>
        <v>18</v>
      </c>
      <c r="AA76" s="17">
        <f>'HVAC Deemed Table'!DG775</f>
        <v>6.3881438518055838</v>
      </c>
      <c r="AB76" s="246">
        <f>'HVAC Deemed Table'!K775</f>
        <v>584.70329002915889</v>
      </c>
      <c r="AC76" s="862">
        <f t="shared" si="63"/>
        <v>2488.5148519221975</v>
      </c>
      <c r="AD76" s="862">
        <f t="shared" si="91"/>
        <v>1246.6538754080711</v>
      </c>
      <c r="AE76" s="195">
        <f>'HVAC Deemed Table'!DI775</f>
        <v>2488.5148519221975</v>
      </c>
      <c r="AF76" s="195">
        <f>'HVAC Deemed Table'!DI776</f>
        <v>0</v>
      </c>
      <c r="AG76" s="195">
        <f>'HVAC Deemed Table'!DI777</f>
        <v>1246.6538754080711</v>
      </c>
      <c r="AH76" s="195">
        <f>'HVAC Deemed Table'!DI778</f>
        <v>0</v>
      </c>
      <c r="AI76" s="866" t="e">
        <f t="shared" si="92"/>
        <v>#REF!</v>
      </c>
      <c r="AJ76" s="45">
        <f>'HVAC Deemed Table'!L775</f>
        <v>3.3440561485431846</v>
      </c>
      <c r="AK76" s="877"/>
      <c r="AL76" s="877"/>
      <c r="AX76" s="1284" t="str">
        <f t="shared" si="102"/>
        <v>ASHP-SEER21-Replace_CAC_NonElectricHeat_ER1_SF</v>
      </c>
      <c r="AY76" s="1307"/>
      <c r="AZ76" s="1376" t="str">
        <f t="shared" si="103"/>
        <v>353560</v>
      </c>
      <c r="BA76" s="1255">
        <f>ROUND((K76*$BC$3)+(K79*$BC$4),2)</f>
        <v>1891.78</v>
      </c>
      <c r="BB76" s="1255">
        <f>ROUND((L76*$BC$3)+(L79*$BC$4),2)</f>
        <v>0</v>
      </c>
      <c r="BC76" s="1255">
        <f>ROUND((M76*$BC$3)+(K79*$BC$4),2)</f>
        <v>970.53</v>
      </c>
      <c r="BD76" s="1255">
        <f>ROUND((N76*$BC$3)+(L79*$BC$4),2)</f>
        <v>0</v>
      </c>
      <c r="BE76" s="1234"/>
      <c r="BF76" s="1250">
        <f>ROUND(BA76*'CP FACTORS'!$B$9,6)</f>
        <v>1.7923070000000001</v>
      </c>
      <c r="BG76" s="1251">
        <f>ROUND(BB76*'CP FACTORS'!$B$14,6)</f>
        <v>0</v>
      </c>
      <c r="BH76" s="1250">
        <f>ROUND(BC76*'CP FACTORS'!$B$9,6)</f>
        <v>0.91949800000000004</v>
      </c>
      <c r="BI76" s="1252">
        <f>ROUND(BD76*'CP FACTORS'!$B$14,6)</f>
        <v>0</v>
      </c>
      <c r="BJ76" s="1234"/>
      <c r="BK76" s="698">
        <f t="shared" si="97"/>
        <v>1891.78</v>
      </c>
      <c r="BL76" s="1271">
        <f t="shared" si="98"/>
        <v>970.53</v>
      </c>
      <c r="BM76" s="1270">
        <f t="shared" si="99"/>
        <v>1.7923070000000001</v>
      </c>
      <c r="BN76" s="1269">
        <f t="shared" si="100"/>
        <v>0.91949800000000004</v>
      </c>
    </row>
    <row r="77" spans="1:66" s="39" customFormat="1" x14ac:dyDescent="0.25">
      <c r="A77" s="49" t="str">
        <f t="shared" si="61"/>
        <v>353600</v>
      </c>
      <c r="B77" s="1371" t="str">
        <f>'HVAC Deemed Table'!C779</f>
        <v>353600_2024_12_</v>
      </c>
      <c r="C77" s="846" t="str">
        <f>'HVAC Deemed Table'!G779</f>
        <v>Cooling Res</v>
      </c>
      <c r="D77" s="846" t="str">
        <f>'HVAC Deemed Table'!G780</f>
        <v>Heating Res</v>
      </c>
      <c r="E77" s="846" t="str">
        <f>'HVAC Deemed Table'!G781</f>
        <v>Cooling Res ER2</v>
      </c>
      <c r="F77" s="846" t="str">
        <f>'HVAC Deemed Table'!G782</f>
        <v>Heating Res ER2</v>
      </c>
      <c r="G77" s="1307" t="str">
        <f>'HVAC Deemed Table'!E779</f>
        <v>ASHP-SEER21-Replace_CAC_ElectricHeat_ER1_MF</v>
      </c>
      <c r="H77" s="18" t="str">
        <f>'HVAC Deemed Table'!D779</f>
        <v>MFIE</v>
      </c>
      <c r="I77" s="750">
        <f t="shared" si="93"/>
        <v>8281.69</v>
      </c>
      <c r="J77" s="750">
        <f t="shared" si="94"/>
        <v>7327.28</v>
      </c>
      <c r="K77" s="189">
        <f>'HVAC Deemed Table'!F779</f>
        <v>1521.91</v>
      </c>
      <c r="L77" s="189">
        <f>'HVAC Deemed Table'!F780</f>
        <v>6759.78</v>
      </c>
      <c r="M77" s="189">
        <f>'HVAC Deemed Table'!F781</f>
        <v>567.5</v>
      </c>
      <c r="N77" s="189">
        <f>'HVAC Deemed Table'!F782</f>
        <v>6759.78</v>
      </c>
      <c r="O77" s="751">
        <f t="shared" si="95"/>
        <v>1.4418850000000001</v>
      </c>
      <c r="P77" s="751">
        <f t="shared" si="96"/>
        <v>0.53766000000000003</v>
      </c>
      <c r="Q77" s="752">
        <f>'HVAC Deemed Table'!I779</f>
        <v>1.4418850000000001</v>
      </c>
      <c r="R77" s="752">
        <f>'HVAC Deemed Table'!I780</f>
        <v>0</v>
      </c>
      <c r="S77" s="752">
        <f>'HVAC Deemed Table'!I781</f>
        <v>0.53766000000000003</v>
      </c>
      <c r="T77" s="752">
        <f>'HVAC Deemed Table'!I782</f>
        <v>0</v>
      </c>
      <c r="U77" s="753">
        <f t="shared" si="88"/>
        <v>0</v>
      </c>
      <c r="V77" s="753">
        <f t="shared" si="89"/>
        <v>0</v>
      </c>
      <c r="W77" s="753">
        <f t="shared" si="90"/>
        <v>1.4418850000000001</v>
      </c>
      <c r="X77" s="22">
        <f>'HVAC Deemed Table'!J779</f>
        <v>6</v>
      </c>
      <c r="Y77" s="22">
        <f>'HVAC Deemed Table'!J781</f>
        <v>12</v>
      </c>
      <c r="Z77" s="22">
        <f t="shared" si="62"/>
        <v>18</v>
      </c>
      <c r="AA77" s="17">
        <f>'HVAC Deemed Table'!DG779</f>
        <v>1.6494975209084624</v>
      </c>
      <c r="AB77" s="246">
        <f>'HVAC Deemed Table'!K779</f>
        <v>3847.7316315552043</v>
      </c>
      <c r="AC77" s="862">
        <f t="shared" si="63"/>
        <v>3328.4209383737866</v>
      </c>
      <c r="AD77" s="862">
        <f t="shared" si="91"/>
        <v>3018.4028489975954</v>
      </c>
      <c r="AE77" s="195">
        <f>'HVAC Deemed Table'!DI779</f>
        <v>1515.5911777985073</v>
      </c>
      <c r="AF77" s="195">
        <f>'HVAC Deemed Table'!DI780</f>
        <v>1812.8297605752794</v>
      </c>
      <c r="AG77" s="195">
        <f>'HVAC Deemed Table'!DI781</f>
        <v>734.30005531472739</v>
      </c>
      <c r="AH77" s="195">
        <f>'HVAC Deemed Table'!DI782</f>
        <v>2284.1027936828682</v>
      </c>
      <c r="AI77" s="866" t="e">
        <f t="shared" si="92"/>
        <v>#REF!</v>
      </c>
      <c r="AJ77" s="45">
        <f>'HVAC Deemed Table'!L779</f>
        <v>3.1</v>
      </c>
      <c r="AK77" s="621"/>
      <c r="AL77" s="621"/>
      <c r="AM77"/>
      <c r="AN77"/>
      <c r="AO77"/>
      <c r="AP77"/>
      <c r="AQ77"/>
      <c r="AR77"/>
      <c r="AS77"/>
      <c r="AT77"/>
      <c r="AU77"/>
      <c r="AV77"/>
      <c r="AW77"/>
      <c r="AX77" s="1284" t="str">
        <f t="shared" si="102"/>
        <v>ASHP-SEER21-Replace_CAC_ElectricHeat_ER1_MF</v>
      </c>
      <c r="AY77" s="1307"/>
      <c r="AZ77" s="1376" t="str">
        <f t="shared" si="103"/>
        <v>353600</v>
      </c>
      <c r="BA77" s="1264">
        <f>ROUND((K77*$BC$3)+(K104*$BC$4),2)</f>
        <v>1118.18</v>
      </c>
      <c r="BB77" s="1264">
        <f>ROUND((L77*$BC$3)+(L104*$BC$4),2)</f>
        <v>6541.11</v>
      </c>
      <c r="BC77" s="1264">
        <f>ROUND((M77*$BC$3)+(K104*$BC$4),2)</f>
        <v>545.53</v>
      </c>
      <c r="BD77" s="1264">
        <f>ROUND((N77*$BC$3)+(L104*$BC$4),2)</f>
        <v>6541.11</v>
      </c>
      <c r="BE77" s="1235"/>
      <c r="BF77" s="1250">
        <f>ROUND(BA77*'CP FACTORS'!$B$9,6)</f>
        <v>1.0593840000000001</v>
      </c>
      <c r="BG77" s="1251">
        <f>ROUND(BB77*'CP FACTORS'!$B$14,6)</f>
        <v>0</v>
      </c>
      <c r="BH77" s="1250">
        <f>ROUND(BC77*'CP FACTORS'!$B$9,6)</f>
        <v>0.516845</v>
      </c>
      <c r="BI77" s="1252">
        <f>ROUND(BD77*'CP FACTORS'!$B$14,6)</f>
        <v>0</v>
      </c>
      <c r="BJ77" s="1234"/>
      <c r="BK77" s="698">
        <f t="shared" si="97"/>
        <v>7659.29</v>
      </c>
      <c r="BL77" s="1271">
        <f t="shared" si="98"/>
        <v>7086.6399999999994</v>
      </c>
      <c r="BM77" s="1270">
        <f t="shared" si="99"/>
        <v>1.0593840000000001</v>
      </c>
      <c r="BN77" s="1269">
        <f t="shared" si="100"/>
        <v>0.516845</v>
      </c>
    </row>
    <row r="78" spans="1:66" x14ac:dyDescent="0.25">
      <c r="A78" s="49" t="str">
        <f t="shared" ref="A78:A110" si="104">LEFT(B78,6)</f>
        <v>353650</v>
      </c>
      <c r="B78" s="1371" t="str">
        <f>'HVAC Deemed Table'!C783</f>
        <v>353650_2024_12_</v>
      </c>
      <c r="C78" s="846" t="str">
        <f>'HVAC Deemed Table'!G783</f>
        <v>Cooling Res</v>
      </c>
      <c r="D78" s="846" t="str">
        <f>'HVAC Deemed Table'!G784</f>
        <v>Heating Res</v>
      </c>
      <c r="E78" s="1307"/>
      <c r="F78" s="1307"/>
      <c r="G78" s="1307" t="str">
        <f>'HVAC Deemed Table'!E783</f>
        <v>ASHP-SEER21-Replace_CAC_ElectricHeat_ROF_SF</v>
      </c>
      <c r="H78" s="18" t="str">
        <f>'HVAC Deemed Table'!D783</f>
        <v>PAYS/SFIE</v>
      </c>
      <c r="I78" s="750">
        <f t="shared" si="93"/>
        <v>13377.11</v>
      </c>
      <c r="J78" s="750">
        <f t="shared" si="94"/>
        <v>0</v>
      </c>
      <c r="K78" s="189">
        <f>'HVAC Deemed Table'!F783</f>
        <v>981.12</v>
      </c>
      <c r="L78" s="189">
        <f>'HVAC Deemed Table'!F784</f>
        <v>12395.99</v>
      </c>
      <c r="M78" s="189"/>
      <c r="N78" s="189"/>
      <c r="O78" s="751">
        <f t="shared" si="95"/>
        <v>0.929531</v>
      </c>
      <c r="P78" s="751">
        <f t="shared" si="96"/>
        <v>0</v>
      </c>
      <c r="Q78" s="752">
        <f>'HVAC Deemed Table'!I783</f>
        <v>0.929531</v>
      </c>
      <c r="R78" s="752">
        <f>'HVAC Deemed Table'!I784</f>
        <v>0</v>
      </c>
      <c r="S78" s="752"/>
      <c r="T78" s="752"/>
      <c r="U78" s="753">
        <f t="shared" si="88"/>
        <v>0</v>
      </c>
      <c r="V78" s="753">
        <f t="shared" si="89"/>
        <v>0</v>
      </c>
      <c r="W78" s="753">
        <f t="shared" si="90"/>
        <v>0.929531</v>
      </c>
      <c r="X78" s="22">
        <f>'HVAC Deemed Table'!J783</f>
        <v>18</v>
      </c>
      <c r="Y78" s="22"/>
      <c r="Z78" s="22">
        <f t="shared" ref="Z78:Z110" si="105">Y78+X78</f>
        <v>18</v>
      </c>
      <c r="AA78" s="17">
        <f>'HVAC Deemed Table'!DG783</f>
        <v>2.0858086929149433</v>
      </c>
      <c r="AB78" s="246">
        <f>'HVAC Deemed Table'!K783</f>
        <v>4678.9696970312507</v>
      </c>
      <c r="AC78" s="862">
        <f t="shared" ref="AC78:AC110" si="106">AE78+AF78</f>
        <v>9759.4356679533812</v>
      </c>
      <c r="AD78" s="862">
        <f t="shared" si="91"/>
        <v>0</v>
      </c>
      <c r="AE78" s="195">
        <f>'HVAC Deemed Table'!DI783</f>
        <v>2246.5380628155731</v>
      </c>
      <c r="AF78" s="195">
        <f>'HVAC Deemed Table'!DI784</f>
        <v>7512.8976051378086</v>
      </c>
      <c r="AG78" s="195"/>
      <c r="AH78" s="195"/>
      <c r="AI78" s="866" t="e">
        <f>#REF!</f>
        <v>#REF!</v>
      </c>
      <c r="AJ78" s="45">
        <f>'HVAC Deemed Table'!L783</f>
        <v>3.4699494950520831</v>
      </c>
      <c r="AK78" s="621"/>
      <c r="AL78" s="621"/>
      <c r="AX78" s="1284" t="str">
        <f t="shared" si="102"/>
        <v>ASHP-SEER21-Replace_CAC_ElectricHeat_ROF_SF</v>
      </c>
      <c r="AY78" s="1307"/>
      <c r="AZ78" s="1376" t="str">
        <f t="shared" si="103"/>
        <v>353650</v>
      </c>
      <c r="BA78" s="1262">
        <f t="shared" ref="BA78:BD79" si="107">BA75</f>
        <v>1891.78</v>
      </c>
      <c r="BB78" s="1262">
        <f t="shared" si="107"/>
        <v>12171.69</v>
      </c>
      <c r="BC78" s="1262">
        <f t="shared" si="107"/>
        <v>970.53</v>
      </c>
      <c r="BD78" s="1262">
        <f t="shared" si="107"/>
        <v>12171.69</v>
      </c>
      <c r="BE78" s="1234"/>
      <c r="BF78" s="1250">
        <f>ROUND(BA78*'CP FACTORS'!$B$9,6)</f>
        <v>1.7923070000000001</v>
      </c>
      <c r="BG78" s="1251">
        <f>ROUND(BB78*'CP FACTORS'!$B$14,6)</f>
        <v>0</v>
      </c>
      <c r="BH78" s="1250">
        <f>ROUND(BC78*'CP FACTORS'!$B$9,6)</f>
        <v>0.91949800000000004</v>
      </c>
      <c r="BI78" s="1252">
        <f>ROUND(BD78*'CP FACTORS'!$B$14,6)</f>
        <v>0</v>
      </c>
      <c r="BJ78" s="1234"/>
      <c r="BK78" s="698">
        <f t="shared" si="97"/>
        <v>14063.470000000001</v>
      </c>
      <c r="BL78" s="1271">
        <f t="shared" si="98"/>
        <v>13142.220000000001</v>
      </c>
      <c r="BM78" s="1270">
        <f t="shared" si="99"/>
        <v>1.7923070000000001</v>
      </c>
      <c r="BN78" s="1269">
        <f t="shared" si="100"/>
        <v>0.91949800000000004</v>
      </c>
    </row>
    <row r="79" spans="1:66" s="39" customFormat="1" x14ac:dyDescent="0.25">
      <c r="A79" s="49" t="str">
        <f>LEFT(B79,6)</f>
        <v>353660</v>
      </c>
      <c r="B79" s="1371" t="str">
        <f>'HVAC Deemed Table'!C785</f>
        <v>353660_2024_12_</v>
      </c>
      <c r="C79" s="846" t="str">
        <f>'HVAC Deemed Table'!G785</f>
        <v>Cooling Res</v>
      </c>
      <c r="D79" s="846" t="str">
        <f>'HVAC Deemed Table'!G786</f>
        <v>Heating Res</v>
      </c>
      <c r="E79" s="1307"/>
      <c r="F79" s="1307"/>
      <c r="G79" s="1307" t="str">
        <f>'HVAC Deemed Table'!E785</f>
        <v>ASHP-SEER21-Replace_CAC_NonElectricHeat_ROF_SF</v>
      </c>
      <c r="H79" s="18" t="str">
        <f>'HVAC Deemed Table'!D785</f>
        <v>PAYS</v>
      </c>
      <c r="I79" s="750">
        <f>K79+L79</f>
        <v>981.12</v>
      </c>
      <c r="J79" s="750">
        <f>M79+N79</f>
        <v>0</v>
      </c>
      <c r="K79" s="189">
        <f>'HVAC Deemed Table'!F785</f>
        <v>981.12</v>
      </c>
      <c r="L79" s="189">
        <f>'HVAC Deemed Table'!F786</f>
        <v>0</v>
      </c>
      <c r="M79" s="189"/>
      <c r="N79" s="189"/>
      <c r="O79" s="751">
        <f>Q79+R79</f>
        <v>0.929531</v>
      </c>
      <c r="P79" s="751">
        <f>S79+T79</f>
        <v>0</v>
      </c>
      <c r="Q79" s="752">
        <f>'HVAC Deemed Table'!I785</f>
        <v>0.929531</v>
      </c>
      <c r="R79" s="752">
        <f>'HVAC Deemed Table'!I786</f>
        <v>0</v>
      </c>
      <c r="S79" s="752"/>
      <c r="T79" s="752"/>
      <c r="U79" s="753">
        <f t="shared" si="88"/>
        <v>0</v>
      </c>
      <c r="V79" s="753">
        <f t="shared" si="89"/>
        <v>0</v>
      </c>
      <c r="W79" s="753">
        <f t="shared" si="90"/>
        <v>0.929531</v>
      </c>
      <c r="X79" s="22">
        <f>'HVAC Deemed Table'!J785</f>
        <v>18</v>
      </c>
      <c r="Y79" s="22"/>
      <c r="Z79" s="22">
        <f>Y79+X79</f>
        <v>18</v>
      </c>
      <c r="AA79" s="17">
        <f>'HVAC Deemed Table'!DG785</f>
        <v>6.5464177860584343</v>
      </c>
      <c r="AB79" s="771">
        <f>'HVAC Deemed Table'!K785</f>
        <v>343.17059134232289</v>
      </c>
      <c r="AC79" s="862">
        <f>AE79+AF79</f>
        <v>2246.5380628155731</v>
      </c>
      <c r="AD79" s="862">
        <f>AG79+AH79</f>
        <v>0</v>
      </c>
      <c r="AE79" s="195">
        <f>'HVAC Deemed Table'!DI785</f>
        <v>2246.5380628155731</v>
      </c>
      <c r="AF79" s="195">
        <f>'HVAC Deemed Table'!DI786</f>
        <v>0</v>
      </c>
      <c r="AG79" s="195"/>
      <c r="AH79" s="195"/>
      <c r="AI79" s="866" t="e">
        <f t="shared" si="92"/>
        <v>#REF!</v>
      </c>
      <c r="AJ79" s="46">
        <f>'HVAC Deemed Table'!L785</f>
        <v>3.4699494950520831</v>
      </c>
      <c r="AK79" s="877"/>
      <c r="AL79" s="877"/>
      <c r="AM79"/>
      <c r="AN79"/>
      <c r="AO79"/>
      <c r="AP79"/>
      <c r="AQ79"/>
      <c r="AR79"/>
      <c r="AS79"/>
      <c r="AT79"/>
      <c r="AU79"/>
      <c r="AV79"/>
      <c r="AW79"/>
      <c r="AX79" s="1284" t="str">
        <f t="shared" si="102"/>
        <v>ASHP-SEER21-Replace_CAC_NonElectricHeat_ROF_SF</v>
      </c>
      <c r="AY79" s="1307"/>
      <c r="AZ79" s="1376" t="str">
        <f t="shared" si="103"/>
        <v>353660</v>
      </c>
      <c r="BA79" s="1262">
        <f t="shared" si="107"/>
        <v>1891.78</v>
      </c>
      <c r="BB79" s="1262">
        <f t="shared" si="107"/>
        <v>0</v>
      </c>
      <c r="BC79" s="1262">
        <f t="shared" si="107"/>
        <v>970.53</v>
      </c>
      <c r="BD79" s="1262">
        <f t="shared" si="107"/>
        <v>0</v>
      </c>
      <c r="BE79" s="1235"/>
      <c r="BF79" s="1250">
        <f>ROUND(BA79*'CP FACTORS'!$B$9,6)</f>
        <v>1.7923070000000001</v>
      </c>
      <c r="BG79" s="1251">
        <f>ROUND(BB79*'CP FACTORS'!$B$14,6)</f>
        <v>0</v>
      </c>
      <c r="BH79" s="1250">
        <f>ROUND(BC79*'CP FACTORS'!$B$9,6)</f>
        <v>0.91949800000000004</v>
      </c>
      <c r="BI79" s="1252">
        <f>ROUND(BD79*'CP FACTORS'!$B$14,6)</f>
        <v>0</v>
      </c>
      <c r="BJ79" s="1234"/>
      <c r="BK79" s="698">
        <f t="shared" si="97"/>
        <v>1891.78</v>
      </c>
      <c r="BL79" s="1271">
        <f t="shared" si="98"/>
        <v>970.53</v>
      </c>
      <c r="BM79" s="1270">
        <f t="shared" si="99"/>
        <v>1.7923070000000001</v>
      </c>
      <c r="BN79" s="1269">
        <f t="shared" si="100"/>
        <v>0.91949800000000004</v>
      </c>
    </row>
    <row r="80" spans="1:66" x14ac:dyDescent="0.25">
      <c r="A80" s="49" t="str">
        <f t="shared" si="104"/>
        <v>353750</v>
      </c>
      <c r="B80" s="1371" t="str">
        <f>'HVAC Deemed Table'!C787</f>
        <v>353750_2024_12_</v>
      </c>
      <c r="C80" s="846" t="str">
        <f>'HVAC Deemed Table'!G787</f>
        <v>Cooling Res</v>
      </c>
      <c r="D80" s="846" t="str">
        <f>'HVAC Deemed Table'!G788</f>
        <v>Heating Res</v>
      </c>
      <c r="E80" s="846" t="str">
        <f>'HVAC Deemed Table'!G789</f>
        <v>Cooling Res ER2</v>
      </c>
      <c r="F80" s="846" t="str">
        <f>'HVAC Deemed Table'!G790</f>
        <v>Heating Res ER2</v>
      </c>
      <c r="G80" s="1307" t="str">
        <f>'HVAC Deemed Table'!E787</f>
        <v>ASHP-SEER17_ER1_SF</v>
      </c>
      <c r="H80" s="18" t="str">
        <f>'HVAC Deemed Table'!D787</f>
        <v>PAYS/SFIE</v>
      </c>
      <c r="I80" s="750">
        <f t="shared" si="93"/>
        <v>4440.67</v>
      </c>
      <c r="J80" s="750">
        <f t="shared" si="94"/>
        <v>1691.23</v>
      </c>
      <c r="K80" s="189">
        <f>'HVAC Deemed Table'!F787</f>
        <v>2226.27</v>
      </c>
      <c r="L80" s="189">
        <f>'HVAC Deemed Table'!F788</f>
        <v>2214.4</v>
      </c>
      <c r="M80" s="189">
        <f>'HVAC Deemed Table'!F789</f>
        <v>367.16</v>
      </c>
      <c r="N80" s="189">
        <f>'HVAC Deemed Table'!F790</f>
        <v>1324.07</v>
      </c>
      <c r="O80" s="751">
        <f t="shared" si="95"/>
        <v>2.1092080000000002</v>
      </c>
      <c r="P80" s="751">
        <f t="shared" si="96"/>
        <v>0.347854</v>
      </c>
      <c r="Q80" s="752">
        <f>'HVAC Deemed Table'!I787</f>
        <v>2.1092080000000002</v>
      </c>
      <c r="R80" s="752">
        <f>'HVAC Deemed Table'!I788</f>
        <v>0</v>
      </c>
      <c r="S80" s="752">
        <f>'HVAC Deemed Table'!I789</f>
        <v>0.347854</v>
      </c>
      <c r="T80" s="752">
        <f>'HVAC Deemed Table'!I790</f>
        <v>0</v>
      </c>
      <c r="U80" s="753">
        <f t="shared" si="88"/>
        <v>0</v>
      </c>
      <c r="V80" s="753">
        <f t="shared" si="89"/>
        <v>0</v>
      </c>
      <c r="W80" s="753">
        <f t="shared" si="90"/>
        <v>2.1092080000000002</v>
      </c>
      <c r="X80" s="22">
        <f>'HVAC Deemed Table'!J787</f>
        <v>6</v>
      </c>
      <c r="Y80" s="22">
        <f>'HVAC Deemed Table'!J789</f>
        <v>12</v>
      </c>
      <c r="Z80" s="22">
        <f t="shared" si="105"/>
        <v>18</v>
      </c>
      <c r="AA80" s="17">
        <f>'HVAC Deemed Table'!DG787</f>
        <v>5.9568386924353147</v>
      </c>
      <c r="AB80" s="246">
        <f>'HVAC Deemed Table'!K787</f>
        <v>626.73442183390762</v>
      </c>
      <c r="AC80" s="862">
        <f t="shared" si="106"/>
        <v>2810.8819019067337</v>
      </c>
      <c r="AD80" s="862">
        <f t="shared" si="91"/>
        <v>922.47395195456329</v>
      </c>
      <c r="AE80" s="195">
        <f>'HVAC Deemed Table'!DI787</f>
        <v>2217.026743629704</v>
      </c>
      <c r="AF80" s="195">
        <f>'HVAC Deemed Table'!DI788</f>
        <v>593.85515827702955</v>
      </c>
      <c r="AG80" s="195">
        <f>'HVAC Deemed Table'!DI789</f>
        <v>475.07596177859966</v>
      </c>
      <c r="AH80" s="195">
        <f>'HVAC Deemed Table'!DI790</f>
        <v>447.39799017596357</v>
      </c>
      <c r="AI80" s="866" t="e">
        <f>#REF!</f>
        <v>#REF!</v>
      </c>
      <c r="AJ80" s="45">
        <f>'HVAC Deemed Table'!L787</f>
        <v>2.6603692243864097</v>
      </c>
      <c r="AK80" s="621"/>
      <c r="AL80" s="621"/>
      <c r="AX80" s="1284" t="str">
        <f t="shared" si="102"/>
        <v>ASHP-SEER17_ER1_SF</v>
      </c>
      <c r="AY80" s="1307"/>
      <c r="AZ80" s="1376" t="str">
        <f t="shared" si="103"/>
        <v>353750</v>
      </c>
      <c r="BA80" s="1260">
        <f>ROUND((K80*$BC$3)+(K81*$BC$4),2)</f>
        <v>1481.17</v>
      </c>
      <c r="BB80" s="1260">
        <f>ROUND((L80*$BC$3)+(L81*$BC$4),2)</f>
        <v>1957.95</v>
      </c>
      <c r="BC80" s="1260">
        <f>ROUND((M80*$BC$3)+(K81*$BC$4),2)</f>
        <v>365.7</v>
      </c>
      <c r="BD80" s="1260">
        <f>ROUND((N80*$BC$3)+(L81*$BC$4),2)</f>
        <v>1423.75</v>
      </c>
      <c r="BE80" s="1234"/>
      <c r="BF80" s="1250">
        <f>ROUND(BA80*'CP FACTORS'!$B$9,6)</f>
        <v>1.403287</v>
      </c>
      <c r="BG80" s="1251">
        <f>ROUND(BB80*'CP FACTORS'!$B$14,6)</f>
        <v>0</v>
      </c>
      <c r="BH80" s="1250">
        <f>ROUND(BC80*'CP FACTORS'!$B$9,6)</f>
        <v>0.34647099999999997</v>
      </c>
      <c r="BI80" s="1252">
        <f>ROUND(BD80*'CP FACTORS'!$B$14,6)</f>
        <v>0</v>
      </c>
      <c r="BJ80" s="1234"/>
      <c r="BK80" s="698">
        <f t="shared" si="97"/>
        <v>3439.12</v>
      </c>
      <c r="BL80" s="1271">
        <f t="shared" si="98"/>
        <v>1789.45</v>
      </c>
      <c r="BM80" s="1270">
        <f t="shared" si="99"/>
        <v>1.403287</v>
      </c>
      <c r="BN80" s="1269">
        <f t="shared" si="100"/>
        <v>0.34647099999999997</v>
      </c>
    </row>
    <row r="81" spans="1:66" x14ac:dyDescent="0.25">
      <c r="A81" s="49" t="str">
        <f t="shared" si="104"/>
        <v>353800</v>
      </c>
      <c r="B81" s="1371" t="str">
        <f>'HVAC Deemed Table'!C791</f>
        <v>353800_2024_12_</v>
      </c>
      <c r="C81" s="846" t="str">
        <f>'HVAC Deemed Table'!G791</f>
        <v>Cooling Res</v>
      </c>
      <c r="D81" s="846" t="str">
        <f>'HVAC Deemed Table'!G792</f>
        <v>Heating Res</v>
      </c>
      <c r="E81" s="1307"/>
      <c r="F81" s="1307"/>
      <c r="G81" s="1307" t="str">
        <f>'HVAC Deemed Table'!E791</f>
        <v>ASHP-SEER17_ROF_SF</v>
      </c>
      <c r="H81" s="18" t="str">
        <f>'HVAC Deemed Table'!D791</f>
        <v>PAYS/SFIE</v>
      </c>
      <c r="I81" s="750">
        <f t="shared" si="93"/>
        <v>1936.8</v>
      </c>
      <c r="J81" s="750">
        <f t="shared" si="94"/>
        <v>0</v>
      </c>
      <c r="K81" s="189">
        <f>'HVAC Deemed Table'!F791</f>
        <v>363.52</v>
      </c>
      <c r="L81" s="189">
        <f>'HVAC Deemed Table'!F792</f>
        <v>1573.28</v>
      </c>
      <c r="M81" s="189"/>
      <c r="N81" s="189"/>
      <c r="O81" s="751">
        <f t="shared" si="95"/>
        <v>0.34440500000000002</v>
      </c>
      <c r="P81" s="751">
        <f t="shared" si="96"/>
        <v>0</v>
      </c>
      <c r="Q81" s="752">
        <f>'HVAC Deemed Table'!I791</f>
        <v>0.34440500000000002</v>
      </c>
      <c r="R81" s="752">
        <f>'HVAC Deemed Table'!I792</f>
        <v>0</v>
      </c>
      <c r="S81" s="752"/>
      <c r="T81" s="752"/>
      <c r="U81" s="753">
        <f t="shared" si="88"/>
        <v>0</v>
      </c>
      <c r="V81" s="753">
        <f t="shared" si="89"/>
        <v>0</v>
      </c>
      <c r="W81" s="753">
        <f t="shared" si="90"/>
        <v>0.34440500000000002</v>
      </c>
      <c r="X81" s="22">
        <f>'HVAC Deemed Table'!J791</f>
        <v>18</v>
      </c>
      <c r="Y81" s="22"/>
      <c r="Z81" s="22">
        <f t="shared" si="105"/>
        <v>18</v>
      </c>
      <c r="AA81" s="17">
        <f>'HVAC Deemed Table'!DG791</f>
        <v>2.8347654098905193</v>
      </c>
      <c r="AB81" s="246">
        <f>'HVAC Deemed Table'!K791</f>
        <v>630</v>
      </c>
      <c r="AC81" s="862">
        <f t="shared" si="106"/>
        <v>1785.9022082310271</v>
      </c>
      <c r="AD81" s="862">
        <f t="shared" si="91"/>
        <v>0</v>
      </c>
      <c r="AE81" s="195">
        <f>'HVAC Deemed Table'!DI791</f>
        <v>832.37679039742034</v>
      </c>
      <c r="AF81" s="195">
        <f>'HVAC Deemed Table'!DI792</f>
        <v>953.52541783360687</v>
      </c>
      <c r="AG81" s="195"/>
      <c r="AH81" s="195"/>
      <c r="AI81" s="866" t="e">
        <f t="shared" si="92"/>
        <v>#REF!</v>
      </c>
      <c r="AJ81" s="45">
        <f>'HVAC Deemed Table'!L791</f>
        <v>3.2119969039215692</v>
      </c>
      <c r="AK81" s="621"/>
      <c r="AL81" s="621"/>
      <c r="AX81" s="1284" t="str">
        <f t="shared" si="102"/>
        <v>ASHP-SEER17_ROF_SF</v>
      </c>
      <c r="AY81" s="1307"/>
      <c r="AZ81" s="1376" t="str">
        <f t="shared" si="103"/>
        <v>353800</v>
      </c>
      <c r="BA81" s="1258">
        <f>BA80</f>
        <v>1481.17</v>
      </c>
      <c r="BB81" s="1258">
        <f>BB80</f>
        <v>1957.95</v>
      </c>
      <c r="BC81" s="1258">
        <f>BC80</f>
        <v>365.7</v>
      </c>
      <c r="BD81" s="1258">
        <f>BD80</f>
        <v>1423.75</v>
      </c>
      <c r="BE81" s="1234"/>
      <c r="BF81" s="1250">
        <f>ROUND(BA81*'CP FACTORS'!$B$9,6)</f>
        <v>1.403287</v>
      </c>
      <c r="BG81" s="1251">
        <f>ROUND(BB81*'CP FACTORS'!$B$14,6)</f>
        <v>0</v>
      </c>
      <c r="BH81" s="1250">
        <f>ROUND(BC81*'CP FACTORS'!$B$9,6)</f>
        <v>0.34647099999999997</v>
      </c>
      <c r="BI81" s="1252">
        <f>ROUND(BD81*'CP FACTORS'!$B$14,6)</f>
        <v>0</v>
      </c>
      <c r="BJ81" s="1234"/>
      <c r="BK81" s="698">
        <f t="shared" si="97"/>
        <v>3439.12</v>
      </c>
      <c r="BL81" s="1271">
        <f t="shared" si="98"/>
        <v>1789.45</v>
      </c>
      <c r="BM81" s="1270">
        <f t="shared" si="99"/>
        <v>1.403287</v>
      </c>
      <c r="BN81" s="1269">
        <f t="shared" si="100"/>
        <v>0.34647099999999997</v>
      </c>
    </row>
    <row r="82" spans="1:66" x14ac:dyDescent="0.25">
      <c r="A82" s="49" t="str">
        <f t="shared" si="104"/>
        <v>353850</v>
      </c>
      <c r="B82" s="1371" t="str">
        <f>'HVAC Deemed Table'!C793</f>
        <v>353850_2024_12_</v>
      </c>
      <c r="C82" s="846" t="str">
        <f>'HVAC Deemed Table'!G793</f>
        <v>Cooling Res</v>
      </c>
      <c r="D82" s="846" t="str">
        <f>'HVAC Deemed Table'!G794</f>
        <v>Heating Res</v>
      </c>
      <c r="E82" s="846" t="str">
        <f>'HVAC Deemed Table'!G795</f>
        <v>Cooling Res ER2</v>
      </c>
      <c r="F82" s="846" t="str">
        <f>'HVAC Deemed Table'!G796</f>
        <v>Heating Res ER2</v>
      </c>
      <c r="G82" s="1307" t="str">
        <f>'HVAC Deemed Table'!E793</f>
        <v>ASHP-SEER18_ER1_SF</v>
      </c>
      <c r="H82" s="18" t="str">
        <f>'HVAC Deemed Table'!D793</f>
        <v>PAYS/SFIE</v>
      </c>
      <c r="I82" s="750">
        <f t="shared" si="93"/>
        <v>5309</v>
      </c>
      <c r="J82" s="750">
        <f t="shared" si="94"/>
        <v>2251.6800000000003</v>
      </c>
      <c r="K82" s="189">
        <f>'HVAC Deemed Table'!F793</f>
        <v>2592.9299999999998</v>
      </c>
      <c r="L82" s="189">
        <f>'HVAC Deemed Table'!F794</f>
        <v>2716.07</v>
      </c>
      <c r="M82" s="189">
        <f>'HVAC Deemed Table'!F795</f>
        <v>503.51</v>
      </c>
      <c r="N82" s="189">
        <f>'HVAC Deemed Table'!F796</f>
        <v>1748.17</v>
      </c>
      <c r="O82" s="751">
        <f t="shared" si="95"/>
        <v>2.4565890000000001</v>
      </c>
      <c r="P82" s="751">
        <f t="shared" si="96"/>
        <v>0.47703400000000001</v>
      </c>
      <c r="Q82" s="752">
        <f>'HVAC Deemed Table'!I793</f>
        <v>2.4565890000000001</v>
      </c>
      <c r="R82" s="752">
        <f>'HVAC Deemed Table'!I794</f>
        <v>0</v>
      </c>
      <c r="S82" s="752">
        <f>'HVAC Deemed Table'!I795</f>
        <v>0.47703400000000001</v>
      </c>
      <c r="T82" s="752">
        <f>'HVAC Deemed Table'!I796</f>
        <v>0</v>
      </c>
      <c r="U82" s="753">
        <f t="shared" si="88"/>
        <v>0</v>
      </c>
      <c r="V82" s="753">
        <f t="shared" si="89"/>
        <v>0</v>
      </c>
      <c r="W82" s="753">
        <f t="shared" si="90"/>
        <v>2.4565890000000001</v>
      </c>
      <c r="X82" s="22">
        <f>'HVAC Deemed Table'!J793</f>
        <v>6</v>
      </c>
      <c r="Y82" s="22">
        <f>'HVAC Deemed Table'!J795</f>
        <v>12</v>
      </c>
      <c r="Z82" s="22">
        <f t="shared" si="105"/>
        <v>18</v>
      </c>
      <c r="AA82" s="17">
        <f>'HVAC Deemed Table'!DG793</f>
        <v>5.344669872886727</v>
      </c>
      <c r="AB82" s="246">
        <f>'HVAC Deemed Table'!K793</f>
        <v>851.83158083659146</v>
      </c>
      <c r="AC82" s="862">
        <f t="shared" si="106"/>
        <v>3310.5568292044049</v>
      </c>
      <c r="AD82" s="862">
        <f t="shared" si="91"/>
        <v>1242.2017576664</v>
      </c>
      <c r="AE82" s="195">
        <f>'HVAC Deemed Table'!DI793</f>
        <v>2582.1644069945551</v>
      </c>
      <c r="AF82" s="195">
        <f>'HVAC Deemed Table'!DI794</f>
        <v>728.39242220985</v>
      </c>
      <c r="AG82" s="195">
        <f>'HVAC Deemed Table'!DI795</f>
        <v>651.50206317448169</v>
      </c>
      <c r="AH82" s="195">
        <f>'HVAC Deemed Table'!DI796</f>
        <v>590.69969449191831</v>
      </c>
      <c r="AI82" s="866" t="e">
        <f t="shared" si="92"/>
        <v>#REF!</v>
      </c>
      <c r="AJ82" s="45">
        <f>'HVAC Deemed Table'!L793</f>
        <v>2.8921256722608026</v>
      </c>
      <c r="AK82" s="621"/>
      <c r="AL82" s="621"/>
      <c r="AX82" s="1284" t="str">
        <f t="shared" si="102"/>
        <v>ASHP-SEER18_ER1_SF</v>
      </c>
      <c r="AY82" s="1307"/>
      <c r="AZ82" s="1376" t="str">
        <f t="shared" si="103"/>
        <v>353850</v>
      </c>
      <c r="BA82" s="1260">
        <f>ROUND((K82*$BC$3)+(K83*$BC$4),2)</f>
        <v>1767.26</v>
      </c>
      <c r="BB82" s="1260">
        <f>ROUND((L82*$BC$3)+(L83*$BC$4),2)</f>
        <v>2325.4899999999998</v>
      </c>
      <c r="BC82" s="1260">
        <f>ROUND((M82*$BC$3)+(K83*$BC$4),2)</f>
        <v>513.61</v>
      </c>
      <c r="BD82" s="1260">
        <f>ROUND((N82*$BC$3)+(L83*$BC$4),2)</f>
        <v>1744.75</v>
      </c>
      <c r="BE82" s="1234"/>
      <c r="BF82" s="1250">
        <f>ROUND(BA82*'CP FACTORS'!$B$9,6)</f>
        <v>1.674334</v>
      </c>
      <c r="BG82" s="1251">
        <f>ROUND(BB82*'CP FACTORS'!$B$14,6)</f>
        <v>0</v>
      </c>
      <c r="BH82" s="1250">
        <f>ROUND(BC82*'CP FACTORS'!$B$9,6)</f>
        <v>0.48660300000000001</v>
      </c>
      <c r="BI82" s="1252">
        <f>ROUND(BD82*'CP FACTORS'!$B$14,6)</f>
        <v>0</v>
      </c>
      <c r="BJ82" s="1234"/>
      <c r="BK82" s="698">
        <f t="shared" si="97"/>
        <v>4092.75</v>
      </c>
      <c r="BL82" s="1271">
        <f t="shared" si="98"/>
        <v>2258.36</v>
      </c>
      <c r="BM82" s="1270">
        <f t="shared" si="99"/>
        <v>1.674334</v>
      </c>
      <c r="BN82" s="1269">
        <f t="shared" si="100"/>
        <v>0.48660300000000001</v>
      </c>
    </row>
    <row r="83" spans="1:66" x14ac:dyDescent="0.25">
      <c r="A83" s="49" t="str">
        <f t="shared" si="104"/>
        <v>353950</v>
      </c>
      <c r="B83" s="1371" t="str">
        <f>'HVAC Deemed Table'!C797</f>
        <v>353950_2024_12_</v>
      </c>
      <c r="C83" s="846" t="str">
        <f>'HVAC Deemed Table'!G797</f>
        <v>Cooling Res</v>
      </c>
      <c r="D83" s="846" t="str">
        <f>'HVAC Deemed Table'!G798</f>
        <v>Heating Res</v>
      </c>
      <c r="E83" s="1307"/>
      <c r="F83" s="1307"/>
      <c r="G83" s="1307" t="str">
        <f>'HVAC Deemed Table'!E797</f>
        <v>ASHP-SEER18_ROF_SF</v>
      </c>
      <c r="H83" s="18" t="str">
        <f>'HVAC Deemed Table'!D797</f>
        <v>PAYS/SFIE</v>
      </c>
      <c r="I83" s="750">
        <f t="shared" si="93"/>
        <v>2268.37</v>
      </c>
      <c r="J83" s="750">
        <f t="shared" si="94"/>
        <v>0</v>
      </c>
      <c r="K83" s="189">
        <f>'HVAC Deemed Table'!F797</f>
        <v>528.75</v>
      </c>
      <c r="L83" s="189">
        <f>'HVAC Deemed Table'!F798</f>
        <v>1739.62</v>
      </c>
      <c r="M83" s="189"/>
      <c r="N83" s="189"/>
      <c r="O83" s="751">
        <f t="shared" si="95"/>
        <v>0.50094700000000003</v>
      </c>
      <c r="P83" s="751">
        <f t="shared" si="96"/>
        <v>0</v>
      </c>
      <c r="Q83" s="752">
        <f>'HVAC Deemed Table'!I797</f>
        <v>0.50094700000000003</v>
      </c>
      <c r="R83" s="752">
        <f>'HVAC Deemed Table'!I798</f>
        <v>0</v>
      </c>
      <c r="S83" s="752"/>
      <c r="T83" s="752"/>
      <c r="U83" s="753">
        <f t="shared" si="88"/>
        <v>0</v>
      </c>
      <c r="V83" s="753">
        <f t="shared" si="89"/>
        <v>0</v>
      </c>
      <c r="W83" s="753">
        <f t="shared" si="90"/>
        <v>0.50094700000000003</v>
      </c>
      <c r="X83" s="22">
        <f>'HVAC Deemed Table'!J797</f>
        <v>18</v>
      </c>
      <c r="Y83" s="22"/>
      <c r="Z83" s="22">
        <f t="shared" si="105"/>
        <v>18</v>
      </c>
      <c r="AA83" s="17">
        <f>'HVAC Deemed Table'!DG797</f>
        <v>2.6491873821324181</v>
      </c>
      <c r="AB83" s="246">
        <f>'HVAC Deemed Table'!K797</f>
        <v>855</v>
      </c>
      <c r="AC83" s="862">
        <f t="shared" si="106"/>
        <v>2265.0552117232173</v>
      </c>
      <c r="AD83" s="862">
        <f t="shared" si="91"/>
        <v>0</v>
      </c>
      <c r="AE83" s="195">
        <f>'HVAC Deemed Table'!DI797</f>
        <v>1210.7153056850684</v>
      </c>
      <c r="AF83" s="195">
        <f>'HVAC Deemed Table'!DI798</f>
        <v>1054.3399060381489</v>
      </c>
      <c r="AG83" s="195"/>
      <c r="AH83" s="195"/>
      <c r="AI83" s="866" t="e">
        <f t="shared" si="92"/>
        <v>#REF!</v>
      </c>
      <c r="AJ83" s="45">
        <f>'HVAC Deemed Table'!L797</f>
        <v>3.0020370366666667</v>
      </c>
      <c r="AK83" s="621"/>
      <c r="AL83" s="621"/>
      <c r="AX83" s="1284" t="str">
        <f t="shared" si="102"/>
        <v>ASHP-SEER18_ROF_SF</v>
      </c>
      <c r="AY83" s="1307"/>
      <c r="AZ83" s="1376" t="str">
        <f t="shared" si="103"/>
        <v>353950</v>
      </c>
      <c r="BA83" s="1258">
        <f>BA82</f>
        <v>1767.26</v>
      </c>
      <c r="BB83" s="1258">
        <f>BB82</f>
        <v>2325.4899999999998</v>
      </c>
      <c r="BC83" s="1258">
        <f>BC82</f>
        <v>513.61</v>
      </c>
      <c r="BD83" s="1258">
        <f>BD82</f>
        <v>1744.75</v>
      </c>
      <c r="BE83" s="1234"/>
      <c r="BF83" s="1250">
        <f>ROUND(BA83*'CP FACTORS'!$B$9,6)</f>
        <v>1.674334</v>
      </c>
      <c r="BG83" s="1251">
        <f>ROUND(BB83*'CP FACTORS'!$B$14,6)</f>
        <v>0</v>
      </c>
      <c r="BH83" s="1250">
        <f>ROUND(BC83*'CP FACTORS'!$B$9,6)</f>
        <v>0.48660300000000001</v>
      </c>
      <c r="BI83" s="1252">
        <f>ROUND(BD83*'CP FACTORS'!$B$14,6)</f>
        <v>0</v>
      </c>
      <c r="BJ83" s="1234"/>
      <c r="BK83" s="698">
        <f t="shared" si="97"/>
        <v>4092.75</v>
      </c>
      <c r="BL83" s="1271">
        <f t="shared" si="98"/>
        <v>2258.36</v>
      </c>
      <c r="BM83" s="1270">
        <f t="shared" si="99"/>
        <v>1.674334</v>
      </c>
      <c r="BN83" s="1269">
        <f t="shared" si="100"/>
        <v>0.48660300000000001</v>
      </c>
    </row>
    <row r="84" spans="1:66" x14ac:dyDescent="0.25">
      <c r="A84" s="49" t="str">
        <f t="shared" si="104"/>
        <v>354000</v>
      </c>
      <c r="B84" s="1371" t="str">
        <f>'HVAC Deemed Table'!C799</f>
        <v>354000_2024_12_</v>
      </c>
      <c r="C84" s="846" t="str">
        <f>'HVAC Deemed Table'!G799</f>
        <v>Cooling Res</v>
      </c>
      <c r="D84" s="846" t="str">
        <f>'HVAC Deemed Table'!G800</f>
        <v>Heating Res</v>
      </c>
      <c r="E84" s="846" t="str">
        <f>'HVAC Deemed Table'!G801</f>
        <v>Cooling Res ER2</v>
      </c>
      <c r="F84" s="846" t="str">
        <f>'HVAC Deemed Table'!G802</f>
        <v>Heating Res ER2</v>
      </c>
      <c r="G84" s="1307" t="str">
        <f>'HVAC Deemed Table'!E799</f>
        <v>ASHP-SEER19_ER1_SF</v>
      </c>
      <c r="H84" s="18" t="str">
        <f>'HVAC Deemed Table'!D799</f>
        <v>PAYS/SFIE</v>
      </c>
      <c r="I84" s="750">
        <f t="shared" si="93"/>
        <v>6138.72</v>
      </c>
      <c r="J84" s="750">
        <f t="shared" si="94"/>
        <v>2979.99</v>
      </c>
      <c r="K84" s="189">
        <f>'HVAC Deemed Table'!F799</f>
        <v>2563.17</v>
      </c>
      <c r="L84" s="189">
        <f>'HVAC Deemed Table'!F800</f>
        <v>3575.55</v>
      </c>
      <c r="M84" s="189">
        <f>'HVAC Deemed Table'!F801</f>
        <v>667.18</v>
      </c>
      <c r="N84" s="189">
        <f>'HVAC Deemed Table'!F802</f>
        <v>2312.81</v>
      </c>
      <c r="O84" s="751">
        <f t="shared" si="95"/>
        <v>2.4283939999999999</v>
      </c>
      <c r="P84" s="751">
        <f t="shared" si="96"/>
        <v>0.63209800000000005</v>
      </c>
      <c r="Q84" s="752">
        <f>'HVAC Deemed Table'!I799</f>
        <v>2.4283939999999999</v>
      </c>
      <c r="R84" s="752">
        <f>'HVAC Deemed Table'!I800</f>
        <v>0</v>
      </c>
      <c r="S84" s="752">
        <f>'HVAC Deemed Table'!I801</f>
        <v>0.63209800000000005</v>
      </c>
      <c r="T84" s="752">
        <f>'HVAC Deemed Table'!I802</f>
        <v>0</v>
      </c>
      <c r="U84" s="753">
        <f t="shared" si="88"/>
        <v>0</v>
      </c>
      <c r="V84" s="753">
        <f t="shared" si="89"/>
        <v>0</v>
      </c>
      <c r="W84" s="753">
        <f t="shared" si="90"/>
        <v>2.4283939999999999</v>
      </c>
      <c r="X84" s="22">
        <f>'HVAC Deemed Table'!J799</f>
        <v>6</v>
      </c>
      <c r="Y84" s="22">
        <f>'HVAC Deemed Table'!J801</f>
        <v>12</v>
      </c>
      <c r="Z84" s="22">
        <f t="shared" si="105"/>
        <v>18</v>
      </c>
      <c r="AA84" s="17">
        <f>'HVAC Deemed Table'!DG799</f>
        <v>4.7822089628938134</v>
      </c>
      <c r="AB84" s="246">
        <f>'HVAC Deemed Table'!K799</f>
        <v>1078.2009195105929</v>
      </c>
      <c r="AC84" s="862">
        <f t="shared" si="106"/>
        <v>3511.4147139952829</v>
      </c>
      <c r="AD84" s="862">
        <f t="shared" si="91"/>
        <v>1644.767387088626</v>
      </c>
      <c r="AE84" s="195">
        <f>'HVAC Deemed Table'!DI799</f>
        <v>2552.5279676181904</v>
      </c>
      <c r="AF84" s="195">
        <f>'HVAC Deemed Table'!DI800</f>
        <v>958.88674637709232</v>
      </c>
      <c r="AG84" s="195">
        <f>'HVAC Deemed Table'!DI801</f>
        <v>863.27808088965594</v>
      </c>
      <c r="AH84" s="195">
        <f>'HVAC Deemed Table'!DI802</f>
        <v>781.4893061989701</v>
      </c>
      <c r="AI84" s="866" t="e">
        <f t="shared" si="92"/>
        <v>#REF!</v>
      </c>
      <c r="AJ84" s="45">
        <f>'HVAC Deemed Table'!L799</f>
        <v>3.7731209149509803</v>
      </c>
      <c r="AK84" s="621"/>
      <c r="AL84" s="621"/>
      <c r="AX84" s="1284" t="str">
        <f t="shared" si="102"/>
        <v>ASHP-SEER19_ER1_SF</v>
      </c>
      <c r="AY84" s="1307"/>
      <c r="AZ84" s="1376" t="str">
        <f t="shared" si="103"/>
        <v>354000</v>
      </c>
      <c r="BA84" s="1260">
        <f>ROUND((K84*$BC$3)+(K85*$BC$4),2)</f>
        <v>1804.03</v>
      </c>
      <c r="BB84" s="1260">
        <f>ROUND((L84*$BC$3)+(L85*$BC$4),2)</f>
        <v>2886.01</v>
      </c>
      <c r="BC84" s="1260">
        <f>ROUND((M84*$BC$3)+(K85*$BC$4),2)</f>
        <v>666.44</v>
      </c>
      <c r="BD84" s="1260">
        <f>ROUND((N84*$BC$3)+(L85*$BC$4),2)</f>
        <v>2128.37</v>
      </c>
      <c r="BE84" s="1234"/>
      <c r="BF84" s="1250">
        <f>ROUND(BA84*'CP FACTORS'!$B$9,6)</f>
        <v>1.709171</v>
      </c>
      <c r="BG84" s="1251">
        <f>ROUND(BB84*'CP FACTORS'!$B$14,6)</f>
        <v>0</v>
      </c>
      <c r="BH84" s="1250">
        <f>ROUND(BC84*'CP FACTORS'!$B$9,6)</f>
        <v>0.63139699999999999</v>
      </c>
      <c r="BI84" s="1252">
        <f>ROUND(BD84*'CP FACTORS'!$B$14,6)</f>
        <v>0</v>
      </c>
      <c r="BJ84" s="1234"/>
      <c r="BK84" s="698">
        <f t="shared" si="97"/>
        <v>4690.04</v>
      </c>
      <c r="BL84" s="1271">
        <f t="shared" si="98"/>
        <v>2794.81</v>
      </c>
      <c r="BM84" s="1270">
        <f t="shared" si="99"/>
        <v>1.709171</v>
      </c>
      <c r="BN84" s="1269">
        <f t="shared" si="100"/>
        <v>0.63139699999999999</v>
      </c>
    </row>
    <row r="85" spans="1:66" s="39" customFormat="1" x14ac:dyDescent="0.25">
      <c r="A85" s="49" t="str">
        <f t="shared" si="104"/>
        <v>354050</v>
      </c>
      <c r="B85" s="1371" t="str">
        <f>'HVAC Deemed Table'!C803</f>
        <v>354050_2024_12_</v>
      </c>
      <c r="C85" s="846" t="str">
        <f>'HVAC Deemed Table'!G803</f>
        <v>Cooling Res</v>
      </c>
      <c r="D85" s="846" t="str">
        <f>'HVAC Deemed Table'!G804</f>
        <v>Heating Res</v>
      </c>
      <c r="E85" s="1307"/>
      <c r="F85" s="1307"/>
      <c r="G85" s="1307" t="str">
        <f>'HVAC Deemed Table'!E803</f>
        <v>ASHP-SEER19_ROF_SF</v>
      </c>
      <c r="H85" s="18" t="str">
        <f>'HVAC Deemed Table'!D803</f>
        <v>PAYS/SFIE</v>
      </c>
      <c r="I85" s="750">
        <f t="shared" si="93"/>
        <v>2517.0300000000002</v>
      </c>
      <c r="J85" s="750">
        <f t="shared" si="94"/>
        <v>0</v>
      </c>
      <c r="K85" s="189">
        <f>'HVAC Deemed Table'!F803</f>
        <v>665.33</v>
      </c>
      <c r="L85" s="189">
        <f>'HVAC Deemed Table'!F804</f>
        <v>1851.7</v>
      </c>
      <c r="M85" s="189"/>
      <c r="N85" s="189"/>
      <c r="O85" s="751">
        <f t="shared" si="95"/>
        <v>0.63034599999999996</v>
      </c>
      <c r="P85" s="751">
        <f t="shared" si="96"/>
        <v>0</v>
      </c>
      <c r="Q85" s="752">
        <f>'HVAC Deemed Table'!I803</f>
        <v>0.63034599999999996</v>
      </c>
      <c r="R85" s="752">
        <f>'HVAC Deemed Table'!I804</f>
        <v>0</v>
      </c>
      <c r="S85" s="752"/>
      <c r="T85" s="752"/>
      <c r="U85" s="753">
        <f t="shared" si="88"/>
        <v>0</v>
      </c>
      <c r="V85" s="753">
        <f t="shared" si="89"/>
        <v>0</v>
      </c>
      <c r="W85" s="753">
        <f t="shared" si="90"/>
        <v>0.63034599999999996</v>
      </c>
      <c r="X85" s="22">
        <f>'HVAC Deemed Table'!J803</f>
        <v>18</v>
      </c>
      <c r="Y85" s="22"/>
      <c r="Z85" s="22">
        <f t="shared" si="105"/>
        <v>18</v>
      </c>
      <c r="AA85" s="17">
        <f>'HVAC Deemed Table'!DG803</f>
        <v>2.4474752226128209</v>
      </c>
      <c r="AB85" s="246">
        <f>'HVAC Deemed Table'!K803</f>
        <v>1081</v>
      </c>
      <c r="AC85" s="862">
        <f t="shared" si="106"/>
        <v>2645.7207156444592</v>
      </c>
      <c r="AD85" s="862">
        <f t="shared" si="91"/>
        <v>0</v>
      </c>
      <c r="AE85" s="195">
        <f>'HVAC Deemed Table'!DI803</f>
        <v>1523.4519419980077</v>
      </c>
      <c r="AF85" s="195">
        <f>'HVAC Deemed Table'!DI804</f>
        <v>1122.2687736464518</v>
      </c>
      <c r="AG85" s="195"/>
      <c r="AH85" s="195"/>
      <c r="AI85" s="866" t="e">
        <f t="shared" si="92"/>
        <v>#REF!</v>
      </c>
      <c r="AJ85" s="45">
        <f>'HVAC Deemed Table'!L803</f>
        <v>2.9920329673076922</v>
      </c>
      <c r="AK85" s="621"/>
      <c r="AL85" s="621"/>
      <c r="AM85"/>
      <c r="AN85"/>
      <c r="AO85"/>
      <c r="AP85"/>
      <c r="AQ85"/>
      <c r="AR85"/>
      <c r="AS85"/>
      <c r="AT85"/>
      <c r="AU85"/>
      <c r="AV85"/>
      <c r="AW85"/>
      <c r="AX85" s="1284" t="str">
        <f t="shared" si="102"/>
        <v>ASHP-SEER19_ROF_SF</v>
      </c>
      <c r="AY85" s="1307"/>
      <c r="AZ85" s="1376" t="str">
        <f t="shared" si="103"/>
        <v>354050</v>
      </c>
      <c r="BA85" s="1258">
        <f>BA84</f>
        <v>1804.03</v>
      </c>
      <c r="BB85" s="1258">
        <f>BB84</f>
        <v>2886.01</v>
      </c>
      <c r="BC85" s="1258">
        <f>BC84</f>
        <v>666.44</v>
      </c>
      <c r="BD85" s="1258">
        <f>BD84</f>
        <v>2128.37</v>
      </c>
      <c r="BE85" s="1235"/>
      <c r="BF85" s="1250">
        <f>ROUND(BA85*'CP FACTORS'!$B$9,6)</f>
        <v>1.709171</v>
      </c>
      <c r="BG85" s="1251">
        <f>ROUND(BB85*'CP FACTORS'!$B$14,6)</f>
        <v>0</v>
      </c>
      <c r="BH85" s="1250">
        <f>ROUND(BC85*'CP FACTORS'!$B$9,6)</f>
        <v>0.63139699999999999</v>
      </c>
      <c r="BI85" s="1252">
        <f>ROUND(BD85*'CP FACTORS'!$B$14,6)</f>
        <v>0</v>
      </c>
      <c r="BJ85" s="1234"/>
      <c r="BK85" s="698">
        <f t="shared" si="97"/>
        <v>4690.04</v>
      </c>
      <c r="BL85" s="1271">
        <f t="shared" si="98"/>
        <v>2794.81</v>
      </c>
      <c r="BM85" s="1270">
        <f t="shared" si="99"/>
        <v>1.709171</v>
      </c>
      <c r="BN85" s="1269">
        <f t="shared" si="100"/>
        <v>0.63139699999999999</v>
      </c>
    </row>
    <row r="86" spans="1:66" x14ac:dyDescent="0.25">
      <c r="A86" s="49" t="str">
        <f t="shared" si="104"/>
        <v>354100</v>
      </c>
      <c r="B86" s="1371" t="str">
        <f>'HVAC Deemed Table'!C805</f>
        <v>354100_2024_12_</v>
      </c>
      <c r="C86" s="846" t="str">
        <f>'HVAC Deemed Table'!G805</f>
        <v>Cooling Res</v>
      </c>
      <c r="D86" s="846" t="str">
        <f>'HVAC Deemed Table'!G806</f>
        <v>Heating Res</v>
      </c>
      <c r="E86" s="846" t="str">
        <f>'HVAC Deemed Table'!G807</f>
        <v>Cooling Res ER2</v>
      </c>
      <c r="F86" s="846" t="str">
        <f>'HVAC Deemed Table'!G808</f>
        <v>Heating Res ER2</v>
      </c>
      <c r="G86" s="1307" t="str">
        <f>'HVAC Deemed Table'!E805</f>
        <v>ASHP-SEER17-Replace_CAC_ElectricHeat_ER1_SF</v>
      </c>
      <c r="H86" s="18" t="str">
        <f>'HVAC Deemed Table'!D805</f>
        <v>PAYS/SFIE</v>
      </c>
      <c r="I86" s="750">
        <f t="shared" si="93"/>
        <v>11188.03</v>
      </c>
      <c r="J86" s="750">
        <f t="shared" si="94"/>
        <v>9472.880000000001</v>
      </c>
      <c r="K86" s="189">
        <f>'HVAC Deemed Table'!F805</f>
        <v>2226.27</v>
      </c>
      <c r="L86" s="189">
        <f>'HVAC Deemed Table'!F806</f>
        <v>8961.76</v>
      </c>
      <c r="M86" s="189">
        <f>'HVAC Deemed Table'!F807</f>
        <v>511.12</v>
      </c>
      <c r="N86" s="189">
        <f>'HVAC Deemed Table'!F808</f>
        <v>8961.76</v>
      </c>
      <c r="O86" s="751">
        <f t="shared" si="95"/>
        <v>2.1092080000000002</v>
      </c>
      <c r="P86" s="751">
        <f t="shared" si="96"/>
        <v>0.48424400000000001</v>
      </c>
      <c r="Q86" s="752">
        <f>'HVAC Deemed Table'!I805</f>
        <v>2.1092080000000002</v>
      </c>
      <c r="R86" s="752">
        <f>'HVAC Deemed Table'!I806</f>
        <v>0</v>
      </c>
      <c r="S86" s="752">
        <f>'HVAC Deemed Table'!I807</f>
        <v>0.48424400000000001</v>
      </c>
      <c r="T86" s="752">
        <f>'HVAC Deemed Table'!I808</f>
        <v>0</v>
      </c>
      <c r="U86" s="753">
        <f t="shared" si="88"/>
        <v>0</v>
      </c>
      <c r="V86" s="753">
        <f t="shared" si="89"/>
        <v>0</v>
      </c>
      <c r="W86" s="753">
        <f t="shared" si="90"/>
        <v>2.1092080000000002</v>
      </c>
      <c r="X86" s="22">
        <f>'HVAC Deemed Table'!J805</f>
        <v>6</v>
      </c>
      <c r="Y86" s="22">
        <f>'HVAC Deemed Table'!J807</f>
        <v>12</v>
      </c>
      <c r="Z86" s="22">
        <f t="shared" si="105"/>
        <v>18</v>
      </c>
      <c r="AA86" s="17">
        <f>'HVAC Deemed Table'!DG805</f>
        <v>2.1960823510691041</v>
      </c>
      <c r="AB86" s="246">
        <f>'HVAC Deemed Table'!K805</f>
        <v>3783.9531661870506</v>
      </c>
      <c r="AC86" s="862">
        <f t="shared" si="106"/>
        <v>4620.3808816538876</v>
      </c>
      <c r="AD86" s="862">
        <f t="shared" si="91"/>
        <v>3689.4918838815511</v>
      </c>
      <c r="AE86" s="195">
        <f>'HVAC Deemed Table'!DI805</f>
        <v>2217.026743629704</v>
      </c>
      <c r="AF86" s="195">
        <f>'HVAC Deemed Table'!DI806</f>
        <v>2403.3541380241836</v>
      </c>
      <c r="AG86" s="195">
        <f>'HVAC Deemed Table'!DI807</f>
        <v>661.34880048011178</v>
      </c>
      <c r="AH86" s="195">
        <f>'HVAC Deemed Table'!DI808</f>
        <v>3028.1430834014391</v>
      </c>
      <c r="AI86" s="866" t="e">
        <f t="shared" si="92"/>
        <v>#REF!</v>
      </c>
      <c r="AJ86" s="45">
        <f>'HVAC Deemed Table'!L805</f>
        <v>2.6603692243864097</v>
      </c>
      <c r="AK86" s="621"/>
      <c r="AL86" s="621"/>
      <c r="AX86" s="1284" t="str">
        <f t="shared" si="102"/>
        <v>ASHP-SEER17-Replace_CAC_ElectricHeat_ER1_SF</v>
      </c>
      <c r="AY86" s="1307"/>
      <c r="AZ86" s="1376" t="str">
        <f t="shared" si="103"/>
        <v>354100</v>
      </c>
      <c r="BA86" s="1263">
        <f t="shared" ref="BA86:BD87" si="108">BA65</f>
        <v>1539.94</v>
      </c>
      <c r="BB86" s="1263">
        <f t="shared" si="108"/>
        <v>9694.92</v>
      </c>
      <c r="BC86" s="1263">
        <f t="shared" si="108"/>
        <v>510.85</v>
      </c>
      <c r="BD86" s="1263">
        <f t="shared" si="108"/>
        <v>9694.92</v>
      </c>
      <c r="BE86" s="1234"/>
      <c r="BF86" s="1250">
        <f>ROUND(BA86*'CP FACTORS'!$B$9,6)</f>
        <v>1.4589669999999999</v>
      </c>
      <c r="BG86" s="1251">
        <f>ROUND(BB86*'CP FACTORS'!$B$14,6)</f>
        <v>0</v>
      </c>
      <c r="BH86" s="1250">
        <f>ROUND(BC86*'CP FACTORS'!$B$9,6)</f>
        <v>0.483989</v>
      </c>
      <c r="BI86" s="1252">
        <f>ROUND(BD86*'CP FACTORS'!$B$14,6)</f>
        <v>0</v>
      </c>
      <c r="BJ86" s="1234"/>
      <c r="BK86" s="698">
        <f t="shared" si="97"/>
        <v>11234.86</v>
      </c>
      <c r="BL86" s="1271">
        <f t="shared" si="98"/>
        <v>10205.77</v>
      </c>
      <c r="BM86" s="1270">
        <f t="shared" si="99"/>
        <v>1.4589669999999999</v>
      </c>
      <c r="BN86" s="1269">
        <f t="shared" si="100"/>
        <v>0.483989</v>
      </c>
    </row>
    <row r="87" spans="1:66" x14ac:dyDescent="0.25">
      <c r="A87" s="49" t="str">
        <f t="shared" si="104"/>
        <v>354110</v>
      </c>
      <c r="B87" s="1371" t="str">
        <f>'HVAC Deemed Table'!C809</f>
        <v>354110_2024_12_</v>
      </c>
      <c r="C87" s="846" t="str">
        <f>'HVAC Deemed Table'!G809</f>
        <v>Cooling Res</v>
      </c>
      <c r="D87" s="846" t="str">
        <f>'HVAC Deemed Table'!G810</f>
        <v>Heating Res</v>
      </c>
      <c r="E87" s="846" t="str">
        <f>'HVAC Deemed Table'!G811</f>
        <v>Cooling Res ER2</v>
      </c>
      <c r="F87" s="846" t="str">
        <f>'HVAC Deemed Table'!G812</f>
        <v>Heating Res ER2</v>
      </c>
      <c r="G87" s="1307" t="str">
        <f>'HVAC Deemed Table'!E809</f>
        <v>ASHP-SEER17-Replace_CAC_NonElectricHeat_ER1_SF</v>
      </c>
      <c r="H87" s="18" t="str">
        <f>'HVAC Deemed Table'!D809</f>
        <v>PAYS</v>
      </c>
      <c r="I87" s="750">
        <f t="shared" si="93"/>
        <v>2226.27</v>
      </c>
      <c r="J87" s="750">
        <f t="shared" si="94"/>
        <v>511.12</v>
      </c>
      <c r="K87" s="189">
        <f>'HVAC Deemed Table'!F809</f>
        <v>2226.27</v>
      </c>
      <c r="L87" s="189">
        <f>'HVAC Deemed Table'!F810</f>
        <v>0</v>
      </c>
      <c r="M87" s="189">
        <f>'HVAC Deemed Table'!F811</f>
        <v>511.12</v>
      </c>
      <c r="N87" s="189">
        <f>'HVAC Deemed Table'!F812</f>
        <v>0</v>
      </c>
      <c r="O87" s="751">
        <f t="shared" si="95"/>
        <v>2.1092080000000002</v>
      </c>
      <c r="P87" s="751">
        <f t="shared" si="96"/>
        <v>0.48424400000000001</v>
      </c>
      <c r="Q87" s="752">
        <f>'HVAC Deemed Table'!I809</f>
        <v>2.1092080000000002</v>
      </c>
      <c r="R87" s="752">
        <f>'HVAC Deemed Table'!I810</f>
        <v>0</v>
      </c>
      <c r="S87" s="752">
        <f>'HVAC Deemed Table'!I811</f>
        <v>0.48424400000000001</v>
      </c>
      <c r="T87" s="752">
        <f>'HVAC Deemed Table'!I812</f>
        <v>0</v>
      </c>
      <c r="U87" s="753">
        <f t="shared" si="88"/>
        <v>0</v>
      </c>
      <c r="V87" s="753">
        <f t="shared" si="89"/>
        <v>0</v>
      </c>
      <c r="W87" s="753">
        <f t="shared" si="90"/>
        <v>2.1092080000000002</v>
      </c>
      <c r="X87" s="22">
        <f>'HVAC Deemed Table'!J809</f>
        <v>6</v>
      </c>
      <c r="Y87" s="22">
        <f>'HVAC Deemed Table'!J811</f>
        <v>12</v>
      </c>
      <c r="Z87" s="22">
        <f t="shared" si="105"/>
        <v>18</v>
      </c>
      <c r="AA87" s="17">
        <f>'HVAC Deemed Table'!DG809</f>
        <v>5.7413559520723849</v>
      </c>
      <c r="AB87" s="246">
        <f>'HVAC Deemed Table'!K809</f>
        <v>501.3407230169808</v>
      </c>
      <c r="AC87" s="862">
        <f t="shared" si="106"/>
        <v>2217.026743629704</v>
      </c>
      <c r="AD87" s="862">
        <f t="shared" si="91"/>
        <v>661.34880048011178</v>
      </c>
      <c r="AE87" s="195">
        <f>'HVAC Deemed Table'!DI809</f>
        <v>2217.026743629704</v>
      </c>
      <c r="AF87" s="195">
        <f>'HVAC Deemed Table'!DI810</f>
        <v>0</v>
      </c>
      <c r="AG87" s="195">
        <f>'HVAC Deemed Table'!DI811</f>
        <v>661.34880048011178</v>
      </c>
      <c r="AH87" s="195">
        <f>'HVAC Deemed Table'!DI812</f>
        <v>0</v>
      </c>
      <c r="AI87" s="866" t="e">
        <f t="shared" si="92"/>
        <v>#REF!</v>
      </c>
      <c r="AJ87" s="45">
        <f>'HVAC Deemed Table'!L809</f>
        <v>2.6603692243864097</v>
      </c>
      <c r="AK87" s="877"/>
      <c r="AL87" s="877"/>
      <c r="AX87" s="1284" t="str">
        <f t="shared" si="102"/>
        <v>ASHP-SEER17-Replace_CAC_NonElectricHeat_ER1_SF</v>
      </c>
      <c r="AY87" s="1307"/>
      <c r="AZ87" s="1376" t="str">
        <f t="shared" si="103"/>
        <v>354110</v>
      </c>
      <c r="BA87" s="1263">
        <f t="shared" si="108"/>
        <v>1539.94</v>
      </c>
      <c r="BB87" s="1263">
        <f t="shared" si="108"/>
        <v>0</v>
      </c>
      <c r="BC87" s="1263">
        <f t="shared" si="108"/>
        <v>510.85</v>
      </c>
      <c r="BD87" s="1263">
        <f t="shared" si="108"/>
        <v>0</v>
      </c>
      <c r="BE87" s="1234"/>
      <c r="BF87" s="1250">
        <f>ROUND(BA87*'CP FACTORS'!$B$9,6)</f>
        <v>1.4589669999999999</v>
      </c>
      <c r="BG87" s="1251">
        <f>ROUND(BB87*'CP FACTORS'!$B$14,6)</f>
        <v>0</v>
      </c>
      <c r="BH87" s="1250">
        <f>ROUND(BC87*'CP FACTORS'!$B$9,6)</f>
        <v>0.483989</v>
      </c>
      <c r="BI87" s="1252">
        <f>ROUND(BD87*'CP FACTORS'!$B$14,6)</f>
        <v>0</v>
      </c>
      <c r="BJ87" s="1234"/>
      <c r="BK87" s="698">
        <f t="shared" si="97"/>
        <v>1539.94</v>
      </c>
      <c r="BL87" s="1271">
        <f t="shared" si="98"/>
        <v>510.85</v>
      </c>
      <c r="BM87" s="1270">
        <f t="shared" si="99"/>
        <v>1.4589669999999999</v>
      </c>
      <c r="BN87" s="1269">
        <f t="shared" si="100"/>
        <v>0.483989</v>
      </c>
    </row>
    <row r="88" spans="1:66" s="39" customFormat="1" x14ac:dyDescent="0.25">
      <c r="A88" s="49" t="str">
        <f t="shared" si="104"/>
        <v>354150</v>
      </c>
      <c r="B88" s="1371" t="str">
        <f>'HVAC Deemed Table'!C813</f>
        <v>354150_2024_12_</v>
      </c>
      <c r="C88" s="846" t="str">
        <f>'HVAC Deemed Table'!G813</f>
        <v>Cooling Res</v>
      </c>
      <c r="D88" s="846" t="str">
        <f>'HVAC Deemed Table'!G814</f>
        <v>Heating Res</v>
      </c>
      <c r="E88" s="846" t="str">
        <f>'HVAC Deemed Table'!G815</f>
        <v>Cooling Res ER2</v>
      </c>
      <c r="F88" s="846" t="str">
        <f>'HVAC Deemed Table'!G816</f>
        <v>Heating Res ER2</v>
      </c>
      <c r="G88" s="1307" t="str">
        <f>'HVAC Deemed Table'!E813</f>
        <v>ASHP-SEER17-Replace_CAC_ElectricHeat_ER1_MF</v>
      </c>
      <c r="H88" s="18" t="str">
        <f>'HVAC Deemed Table'!D813</f>
        <v>MFIE</v>
      </c>
      <c r="I88" s="750">
        <f t="shared" si="93"/>
        <v>8046.25</v>
      </c>
      <c r="J88" s="750">
        <f t="shared" si="94"/>
        <v>7091.8499999999995</v>
      </c>
      <c r="K88" s="189">
        <f>'HVAC Deemed Table'!F813</f>
        <v>1286.47</v>
      </c>
      <c r="L88" s="189">
        <f>'HVAC Deemed Table'!F814</f>
        <v>6759.78</v>
      </c>
      <c r="M88" s="189">
        <f>'HVAC Deemed Table'!F815</f>
        <v>332.07</v>
      </c>
      <c r="N88" s="189">
        <f>'HVAC Deemed Table'!F816</f>
        <v>6759.78</v>
      </c>
      <c r="O88" s="751">
        <f t="shared" si="95"/>
        <v>1.218825</v>
      </c>
      <c r="P88" s="751">
        <f t="shared" si="96"/>
        <v>0.31460900000000003</v>
      </c>
      <c r="Q88" s="752">
        <f>'HVAC Deemed Table'!I813</f>
        <v>1.218825</v>
      </c>
      <c r="R88" s="752">
        <f>'HVAC Deemed Table'!I814</f>
        <v>0</v>
      </c>
      <c r="S88" s="752">
        <f>'HVAC Deemed Table'!I815</f>
        <v>0.31460900000000003</v>
      </c>
      <c r="T88" s="752">
        <f>'HVAC Deemed Table'!I816</f>
        <v>0</v>
      </c>
      <c r="U88" s="753">
        <f t="shared" si="88"/>
        <v>0</v>
      </c>
      <c r="V88" s="753">
        <f t="shared" si="89"/>
        <v>0</v>
      </c>
      <c r="W88" s="753">
        <f t="shared" si="90"/>
        <v>1.218825</v>
      </c>
      <c r="X88" s="22">
        <f>'HVAC Deemed Table'!J813</f>
        <v>6</v>
      </c>
      <c r="Y88" s="22">
        <f>'HVAC Deemed Table'!J815</f>
        <v>12</v>
      </c>
      <c r="Z88" s="22">
        <f t="shared" si="105"/>
        <v>18</v>
      </c>
      <c r="AA88" s="17">
        <f>'HVAC Deemed Table'!DG813</f>
        <v>1.709800527923629</v>
      </c>
      <c r="AB88" s="246">
        <f>'HVAC Deemed Table'!K813</f>
        <v>3396.7316315552043</v>
      </c>
      <c r="AC88" s="862">
        <f t="shared" si="106"/>
        <v>3093.9584623398027</v>
      </c>
      <c r="AD88" s="862">
        <f t="shared" si="91"/>
        <v>2713.7750745081748</v>
      </c>
      <c r="AE88" s="195">
        <f>'HVAC Deemed Table'!DI813</f>
        <v>1281.1287017645234</v>
      </c>
      <c r="AF88" s="195">
        <f>'HVAC Deemed Table'!DI814</f>
        <v>1812.8297605752794</v>
      </c>
      <c r="AG88" s="195">
        <f>'HVAC Deemed Table'!DI815</f>
        <v>429.67228082530659</v>
      </c>
      <c r="AH88" s="195">
        <f>'HVAC Deemed Table'!DI816</f>
        <v>2284.1027936828682</v>
      </c>
      <c r="AI88" s="866" t="e">
        <f t="shared" si="92"/>
        <v>#REF!</v>
      </c>
      <c r="AJ88" s="45">
        <f>'HVAC Deemed Table'!L813</f>
        <v>3.1</v>
      </c>
      <c r="AK88" s="621"/>
      <c r="AL88" s="621"/>
      <c r="AM88"/>
      <c r="AN88"/>
      <c r="AO88"/>
      <c r="AP88"/>
      <c r="AQ88"/>
      <c r="AR88"/>
      <c r="AS88"/>
      <c r="AT88"/>
      <c r="AU88"/>
      <c r="AV88"/>
      <c r="AW88"/>
      <c r="AX88" s="1284" t="str">
        <f t="shared" si="102"/>
        <v>ASHP-SEER17-Replace_CAC_ElectricHeat_ER1_MF</v>
      </c>
      <c r="AY88" s="1307"/>
      <c r="AZ88" s="1376" t="str">
        <f t="shared" si="103"/>
        <v>354150</v>
      </c>
      <c r="BA88" s="1263" t="e">
        <f>#REF!</f>
        <v>#REF!</v>
      </c>
      <c r="BB88" s="1263" t="e">
        <f>#REF!</f>
        <v>#REF!</v>
      </c>
      <c r="BC88" s="1263" t="e">
        <f>#REF!</f>
        <v>#REF!</v>
      </c>
      <c r="BD88" s="1263" t="e">
        <f>#REF!</f>
        <v>#REF!</v>
      </c>
      <c r="BE88" s="1235"/>
      <c r="BF88" s="1250" t="e">
        <f>ROUND(BA88*'CP FACTORS'!$B$9,6)</f>
        <v>#REF!</v>
      </c>
      <c r="BG88" s="1251" t="e">
        <f>ROUND(BB88*'CP FACTORS'!$B$14,6)</f>
        <v>#REF!</v>
      </c>
      <c r="BH88" s="1250" t="e">
        <f>ROUND(BC88*'CP FACTORS'!$B$9,6)</f>
        <v>#REF!</v>
      </c>
      <c r="BI88" s="1252" t="e">
        <f>ROUND(BD88*'CP FACTORS'!$B$14,6)</f>
        <v>#REF!</v>
      </c>
      <c r="BJ88" s="1234"/>
      <c r="BK88" s="698" t="e">
        <f t="shared" si="97"/>
        <v>#REF!</v>
      </c>
      <c r="BL88" s="1271" t="e">
        <f t="shared" si="98"/>
        <v>#REF!</v>
      </c>
      <c r="BM88" s="1270" t="e">
        <f t="shared" si="99"/>
        <v>#REF!</v>
      </c>
      <c r="BN88" s="1269" t="e">
        <f t="shared" si="100"/>
        <v>#REF!</v>
      </c>
    </row>
    <row r="89" spans="1:66" x14ac:dyDescent="0.25">
      <c r="A89" s="49" t="str">
        <f t="shared" si="104"/>
        <v>354200</v>
      </c>
      <c r="B89" s="1371" t="str">
        <f>'HVAC Deemed Table'!C817</f>
        <v>354200_2024_12_</v>
      </c>
      <c r="C89" s="846" t="str">
        <f>'HVAC Deemed Table'!G817</f>
        <v>Cooling Res</v>
      </c>
      <c r="D89" s="846" t="str">
        <f>'HVAC Deemed Table'!G818</f>
        <v>Heating Res</v>
      </c>
      <c r="E89" s="846" t="str">
        <f>'HVAC Deemed Table'!G819</f>
        <v>Cooling Res ER2</v>
      </c>
      <c r="F89" s="846" t="str">
        <f>'HVAC Deemed Table'!G820</f>
        <v>Heating Res ER2</v>
      </c>
      <c r="G89" s="1307" t="str">
        <f>'HVAC Deemed Table'!E817</f>
        <v>ASHP-SEER17_ER1_MF</v>
      </c>
      <c r="H89" s="18" t="str">
        <f>'HVAC Deemed Table'!D817</f>
        <v>MFIE</v>
      </c>
      <c r="I89" s="750">
        <f t="shared" si="93"/>
        <v>3168.23</v>
      </c>
      <c r="J89" s="750">
        <f t="shared" si="94"/>
        <v>1329.3300000000002</v>
      </c>
      <c r="K89" s="189">
        <f>'HVAC Deemed Table'!F817</f>
        <v>1369.47</v>
      </c>
      <c r="L89" s="189">
        <f>'HVAC Deemed Table'!F818</f>
        <v>1798.76</v>
      </c>
      <c r="M89" s="189">
        <f>'HVAC Deemed Table'!F819</f>
        <v>248.43</v>
      </c>
      <c r="N89" s="189">
        <f>'HVAC Deemed Table'!F820</f>
        <v>1080.9000000000001</v>
      </c>
      <c r="O89" s="751">
        <f t="shared" si="95"/>
        <v>1.297461</v>
      </c>
      <c r="P89" s="751">
        <f t="shared" si="96"/>
        <v>0.23536699999999999</v>
      </c>
      <c r="Q89" s="752">
        <f>'HVAC Deemed Table'!I817</f>
        <v>1.297461</v>
      </c>
      <c r="R89" s="752">
        <f>'HVAC Deemed Table'!I818</f>
        <v>0</v>
      </c>
      <c r="S89" s="752">
        <f>'HVAC Deemed Table'!I819</f>
        <v>0.23536699999999999</v>
      </c>
      <c r="T89" s="752">
        <f>'HVAC Deemed Table'!I820</f>
        <v>0</v>
      </c>
      <c r="U89" s="753">
        <f t="shared" si="88"/>
        <v>0</v>
      </c>
      <c r="V89" s="753">
        <f t="shared" si="89"/>
        <v>0</v>
      </c>
      <c r="W89" s="753">
        <f t="shared" si="90"/>
        <v>1.297461</v>
      </c>
      <c r="X89" s="22">
        <f>'HVAC Deemed Table'!J817</f>
        <v>6</v>
      </c>
      <c r="Y89" s="22">
        <f>'HVAC Deemed Table'!J819</f>
        <v>12</v>
      </c>
      <c r="Z89" s="22">
        <f t="shared" si="105"/>
        <v>18</v>
      </c>
      <c r="AA89" s="17">
        <f>'HVAC Deemed Table'!DG817</f>
        <v>4.0427449773274207</v>
      </c>
      <c r="AB89" s="246">
        <f>'HVAC Deemed Table'!K817</f>
        <v>626.51836415648631</v>
      </c>
      <c r="AC89" s="862">
        <f t="shared" si="106"/>
        <v>1846.1734112658287</v>
      </c>
      <c r="AD89" s="862">
        <f t="shared" si="91"/>
        <v>686.68055863119889</v>
      </c>
      <c r="AE89" s="195">
        <f>'HVAC Deemed Table'!DI817</f>
        <v>1363.7840938424229</v>
      </c>
      <c r="AF89" s="195">
        <f>'HVAC Deemed Table'!DI818</f>
        <v>482.38931742340571</v>
      </c>
      <c r="AG89" s="195">
        <f>'HVAC Deemed Table'!DI819</f>
        <v>321.44874491953783</v>
      </c>
      <c r="AH89" s="195">
        <f>'HVAC Deemed Table'!DI820</f>
        <v>365.23181371166106</v>
      </c>
      <c r="AI89" s="866" t="e">
        <f>#REF!</f>
        <v>#REF!</v>
      </c>
      <c r="AJ89" s="45">
        <f>'HVAC Deemed Table'!L817</f>
        <v>3.3</v>
      </c>
      <c r="AK89" s="621"/>
      <c r="AL89" s="621"/>
      <c r="AX89" s="1284" t="str">
        <f t="shared" si="102"/>
        <v>ASHP-SEER17_ER1_MF</v>
      </c>
      <c r="AY89" s="1307"/>
      <c r="AZ89" s="1376" t="str">
        <f t="shared" si="103"/>
        <v>354200</v>
      </c>
      <c r="BA89" s="1254">
        <f>ROUND((K89*$BC$3)+(K106*$BC$4),2)</f>
        <v>921.05</v>
      </c>
      <c r="BB89" s="1254">
        <f>ROUND((L89*$BC$3)+(L106*$BC$4),2)</f>
        <v>1561.25</v>
      </c>
      <c r="BC89" s="1254">
        <f>ROUND((M89*$BC$3)+(K106*$BC$4),2)</f>
        <v>248.43</v>
      </c>
      <c r="BD89" s="1254">
        <f>ROUND((N89*$BC$3)+(L106*$BC$4),2)</f>
        <v>1130.53</v>
      </c>
      <c r="BE89" s="1234"/>
      <c r="BF89" s="1250">
        <f>ROUND(BA89*'CP FACTORS'!$B$9,6)</f>
        <v>0.87261900000000003</v>
      </c>
      <c r="BG89" s="1251">
        <f>ROUND(BB89*'CP FACTORS'!$B$14,6)</f>
        <v>0</v>
      </c>
      <c r="BH89" s="1250">
        <f>ROUND(BC89*'CP FACTORS'!$B$9,6)</f>
        <v>0.23536699999999999</v>
      </c>
      <c r="BI89" s="1252">
        <f>ROUND(BD89*'CP FACTORS'!$B$14,6)</f>
        <v>0</v>
      </c>
      <c r="BJ89" s="1234"/>
      <c r="BK89" s="698">
        <f t="shared" si="97"/>
        <v>2482.3000000000002</v>
      </c>
      <c r="BL89" s="1271">
        <f t="shared" si="98"/>
        <v>1378.96</v>
      </c>
      <c r="BM89" s="1270">
        <f t="shared" si="99"/>
        <v>0.87261900000000003</v>
      </c>
      <c r="BN89" s="1269">
        <f t="shared" si="100"/>
        <v>0.23536699999999999</v>
      </c>
    </row>
    <row r="90" spans="1:66" x14ac:dyDescent="0.25">
      <c r="A90" s="49" t="str">
        <f t="shared" si="104"/>
        <v>354250</v>
      </c>
      <c r="B90" s="1371" t="str">
        <f>'HVAC Deemed Table'!C821</f>
        <v>354250_2024_12_</v>
      </c>
      <c r="C90" s="846" t="str">
        <f>'HVAC Deemed Table'!G821</f>
        <v>Cooling Res</v>
      </c>
      <c r="D90" s="846" t="str">
        <f>'HVAC Deemed Table'!G822</f>
        <v>Heating Res</v>
      </c>
      <c r="E90" s="846" t="str">
        <f>'HVAC Deemed Table'!G823</f>
        <v>Cooling Res ER2</v>
      </c>
      <c r="F90" s="846" t="str">
        <f>'HVAC Deemed Table'!G824</f>
        <v>Heating Res ER2</v>
      </c>
      <c r="G90" s="1307" t="str">
        <f>'HVAC Deemed Table'!E821</f>
        <v>ASHP-SEER18-Replace_CAC_ElectricHeat_ER1_SF</v>
      </c>
      <c r="H90" s="18" t="str">
        <f>'HVAC Deemed Table'!D821</f>
        <v>PAYS/SFIE</v>
      </c>
      <c r="I90" s="750">
        <f t="shared" si="93"/>
        <v>12644.15</v>
      </c>
      <c r="J90" s="750">
        <f t="shared" si="94"/>
        <v>10717.67</v>
      </c>
      <c r="K90" s="189">
        <f>'HVAC Deemed Table'!F821</f>
        <v>2592.9299999999998</v>
      </c>
      <c r="L90" s="189">
        <f>'HVAC Deemed Table'!F822</f>
        <v>10051.219999999999</v>
      </c>
      <c r="M90" s="189">
        <f>'HVAC Deemed Table'!F823</f>
        <v>666.45</v>
      </c>
      <c r="N90" s="189">
        <f>'HVAC Deemed Table'!F824</f>
        <v>10051.219999999999</v>
      </c>
      <c r="O90" s="751">
        <f t="shared" si="95"/>
        <v>2.4565890000000001</v>
      </c>
      <c r="P90" s="751">
        <f t="shared" si="96"/>
        <v>0.63140700000000005</v>
      </c>
      <c r="Q90" s="752">
        <f>'HVAC Deemed Table'!I821</f>
        <v>2.4565890000000001</v>
      </c>
      <c r="R90" s="752">
        <f>'HVAC Deemed Table'!I822</f>
        <v>0</v>
      </c>
      <c r="S90" s="752">
        <f>'HVAC Deemed Table'!I823</f>
        <v>0.63140700000000005</v>
      </c>
      <c r="T90" s="752">
        <f>'HVAC Deemed Table'!I824</f>
        <v>0</v>
      </c>
      <c r="U90" s="753">
        <f t="shared" si="88"/>
        <v>0</v>
      </c>
      <c r="V90" s="753">
        <f t="shared" si="89"/>
        <v>0</v>
      </c>
      <c r="W90" s="753">
        <f t="shared" si="90"/>
        <v>2.4565890000000001</v>
      </c>
      <c r="X90" s="22">
        <f>'HVAC Deemed Table'!J821</f>
        <v>6</v>
      </c>
      <c r="Y90" s="22">
        <f>'HVAC Deemed Table'!J823</f>
        <v>12</v>
      </c>
      <c r="Z90" s="22">
        <f t="shared" si="105"/>
        <v>18</v>
      </c>
      <c r="AA90" s="17">
        <f>'HVAC Deemed Table'!DG821</f>
        <v>2.2990051264589821</v>
      </c>
      <c r="AB90" s="246">
        <f>'HVAC Deemed Table'!K821</f>
        <v>4148.0070349116859</v>
      </c>
      <c r="AC90" s="862">
        <f t="shared" si="106"/>
        <v>5277.6886320565336</v>
      </c>
      <c r="AD90" s="862">
        <f t="shared" si="91"/>
        <v>4258.600805793355</v>
      </c>
      <c r="AE90" s="195">
        <f>'HVAC Deemed Table'!DI821</f>
        <v>2582.1644069945551</v>
      </c>
      <c r="AF90" s="195">
        <f>'HVAC Deemed Table'!DI822</f>
        <v>2695.5242250619781</v>
      </c>
      <c r="AG90" s="195">
        <f>'HVAC Deemed Table'!DI823</f>
        <v>862.33351870396484</v>
      </c>
      <c r="AH90" s="195">
        <f>'HVAC Deemed Table'!DI824</f>
        <v>3396.2672870893898</v>
      </c>
      <c r="AI90" s="866" t="e">
        <f>#REF!</f>
        <v>#REF!</v>
      </c>
      <c r="AJ90" s="45">
        <f>'HVAC Deemed Table'!L821</f>
        <v>2.8921256722608026</v>
      </c>
      <c r="AK90" s="621"/>
      <c r="AL90" s="621"/>
      <c r="AX90" s="1284" t="str">
        <f t="shared" si="102"/>
        <v>ASHP-SEER18-Replace_CAC_ElectricHeat_ER1_SF</v>
      </c>
      <c r="AY90" s="1307"/>
      <c r="AZ90" s="1376" t="str">
        <f t="shared" si="103"/>
        <v>354250</v>
      </c>
      <c r="BA90" s="1263">
        <f t="shared" ref="BA90:BD91" si="109">BA67</f>
        <v>1835.95</v>
      </c>
      <c r="BB90" s="1263">
        <f t="shared" si="109"/>
        <v>10174.02</v>
      </c>
      <c r="BC90" s="1263">
        <f t="shared" si="109"/>
        <v>680.07</v>
      </c>
      <c r="BD90" s="1263">
        <f t="shared" si="109"/>
        <v>10174.02</v>
      </c>
      <c r="BE90" s="1234"/>
      <c r="BF90" s="1250">
        <f>ROUND(BA90*'CP FACTORS'!$B$9,6)</f>
        <v>1.739412</v>
      </c>
      <c r="BG90" s="1251">
        <f>ROUND(BB90*'CP FACTORS'!$B$14,6)</f>
        <v>0</v>
      </c>
      <c r="BH90" s="1250">
        <f>ROUND(BC90*'CP FACTORS'!$B$9,6)</f>
        <v>0.64431099999999997</v>
      </c>
      <c r="BI90" s="1252">
        <f>ROUND(BD90*'CP FACTORS'!$B$14,6)</f>
        <v>0</v>
      </c>
      <c r="BJ90" s="1234"/>
      <c r="BK90" s="698">
        <f t="shared" si="97"/>
        <v>12009.970000000001</v>
      </c>
      <c r="BL90" s="1271">
        <f t="shared" si="98"/>
        <v>10854.09</v>
      </c>
      <c r="BM90" s="1270">
        <f t="shared" si="99"/>
        <v>1.739412</v>
      </c>
      <c r="BN90" s="1269">
        <f t="shared" si="100"/>
        <v>0.64431099999999997</v>
      </c>
    </row>
    <row r="91" spans="1:66" x14ac:dyDescent="0.25">
      <c r="A91" s="49" t="str">
        <f t="shared" si="104"/>
        <v>354260</v>
      </c>
      <c r="B91" s="1371" t="str">
        <f>'HVAC Deemed Table'!C825</f>
        <v>354260_2024_12_</v>
      </c>
      <c r="C91" s="846" t="str">
        <f>'HVAC Deemed Table'!G825</f>
        <v>Cooling Res</v>
      </c>
      <c r="D91" s="846" t="str">
        <f>'HVAC Deemed Table'!G826</f>
        <v>Heating Res</v>
      </c>
      <c r="E91" s="846" t="str">
        <f>'HVAC Deemed Table'!G827</f>
        <v>Cooling Res ER2</v>
      </c>
      <c r="F91" s="846" t="str">
        <f>'HVAC Deemed Table'!G828</f>
        <v>Heating Res ER2</v>
      </c>
      <c r="G91" s="1307" t="str">
        <f>'HVAC Deemed Table'!E825</f>
        <v>ASHP-SEER18-Replace_CAC_NonElectricHeat_ER1_SF</v>
      </c>
      <c r="H91" s="18" t="str">
        <f>'HVAC Deemed Table'!D825</f>
        <v>PAYS</v>
      </c>
      <c r="I91" s="750">
        <f t="shared" si="93"/>
        <v>2592.9299999999998</v>
      </c>
      <c r="J91" s="750">
        <f t="shared" si="94"/>
        <v>666.45</v>
      </c>
      <c r="K91" s="189">
        <f>'HVAC Deemed Table'!F825</f>
        <v>2592.9299999999998</v>
      </c>
      <c r="L91" s="189">
        <f>'HVAC Deemed Table'!F826</f>
        <v>0</v>
      </c>
      <c r="M91" s="189">
        <f>'HVAC Deemed Table'!F827</f>
        <v>666.45</v>
      </c>
      <c r="N91" s="189">
        <f>'HVAC Deemed Table'!F828</f>
        <v>0</v>
      </c>
      <c r="O91" s="751">
        <f t="shared" si="95"/>
        <v>2.4565890000000001</v>
      </c>
      <c r="P91" s="751">
        <f t="shared" si="96"/>
        <v>0.63140700000000005</v>
      </c>
      <c r="Q91" s="752">
        <f>'HVAC Deemed Table'!I825</f>
        <v>2.4565890000000001</v>
      </c>
      <c r="R91" s="752">
        <f>'HVAC Deemed Table'!I826</f>
        <v>0</v>
      </c>
      <c r="S91" s="752">
        <f>'HVAC Deemed Table'!I827</f>
        <v>0.63140700000000005</v>
      </c>
      <c r="T91" s="752">
        <f>'HVAC Deemed Table'!I828</f>
        <v>0</v>
      </c>
      <c r="U91" s="753">
        <f t="shared" si="88"/>
        <v>0</v>
      </c>
      <c r="V91" s="753">
        <f t="shared" si="89"/>
        <v>0</v>
      </c>
      <c r="W91" s="753">
        <f t="shared" si="90"/>
        <v>2.4565890000000001</v>
      </c>
      <c r="X91" s="22">
        <f>'HVAC Deemed Table'!J825</f>
        <v>6</v>
      </c>
      <c r="Y91" s="22">
        <f>'HVAC Deemed Table'!J827</f>
        <v>12</v>
      </c>
      <c r="Z91" s="22">
        <f t="shared" si="105"/>
        <v>18</v>
      </c>
      <c r="AA91" s="17">
        <f>'HVAC Deemed Table'!DG825</f>
        <v>5.9519341867931326</v>
      </c>
      <c r="AB91" s="246">
        <f>'HVAC Deemed Table'!K825</f>
        <v>578.71908821532099</v>
      </c>
      <c r="AC91" s="862">
        <f t="shared" si="106"/>
        <v>2582.1644069945551</v>
      </c>
      <c r="AD91" s="862">
        <f t="shared" si="91"/>
        <v>862.33351870396484</v>
      </c>
      <c r="AE91" s="195">
        <f>'HVAC Deemed Table'!DI825</f>
        <v>2582.1644069945551</v>
      </c>
      <c r="AF91" s="195">
        <f>'HVAC Deemed Table'!DI826</f>
        <v>0</v>
      </c>
      <c r="AG91" s="195">
        <f>'HVAC Deemed Table'!DI827</f>
        <v>862.33351870396484</v>
      </c>
      <c r="AH91" s="195">
        <f>'HVAC Deemed Table'!DI828</f>
        <v>0</v>
      </c>
      <c r="AI91" s="866" t="e">
        <f t="shared" si="92"/>
        <v>#REF!</v>
      </c>
      <c r="AJ91" s="45">
        <f>'HVAC Deemed Table'!L825</f>
        <v>2.8921256722608026</v>
      </c>
      <c r="AK91" s="877"/>
      <c r="AL91" s="877"/>
      <c r="AX91" s="1284" t="str">
        <f t="shared" si="102"/>
        <v>ASHP-SEER18-Replace_CAC_NonElectricHeat_ER1_SF</v>
      </c>
      <c r="AY91" s="1307"/>
      <c r="AZ91" s="1376" t="str">
        <f t="shared" si="103"/>
        <v>354260</v>
      </c>
      <c r="BA91" s="1263">
        <f t="shared" si="109"/>
        <v>1835.95</v>
      </c>
      <c r="BB91" s="1263">
        <f t="shared" si="109"/>
        <v>0</v>
      </c>
      <c r="BC91" s="1263">
        <f t="shared" si="109"/>
        <v>680.07</v>
      </c>
      <c r="BD91" s="1263">
        <f t="shared" si="109"/>
        <v>0</v>
      </c>
      <c r="BE91" s="1234"/>
      <c r="BF91" s="1250">
        <f>ROUND(BA91*'CP FACTORS'!$B$9,6)</f>
        <v>1.739412</v>
      </c>
      <c r="BG91" s="1251">
        <f>ROUND(BB91*'CP FACTORS'!$B$14,6)</f>
        <v>0</v>
      </c>
      <c r="BH91" s="1250">
        <f>ROUND(BC91*'CP FACTORS'!$B$9,6)</f>
        <v>0.64431099999999997</v>
      </c>
      <c r="BI91" s="1252">
        <f>ROUND(BD91*'CP FACTORS'!$B$14,6)</f>
        <v>0</v>
      </c>
      <c r="BJ91" s="1234"/>
      <c r="BK91" s="698">
        <f t="shared" si="97"/>
        <v>1835.95</v>
      </c>
      <c r="BL91" s="1271">
        <f t="shared" si="98"/>
        <v>680.07</v>
      </c>
      <c r="BM91" s="1270">
        <f t="shared" si="99"/>
        <v>1.739412</v>
      </c>
      <c r="BN91" s="1269">
        <f t="shared" si="100"/>
        <v>0.64431099999999997</v>
      </c>
    </row>
    <row r="92" spans="1:66" s="39" customFormat="1" x14ac:dyDescent="0.25">
      <c r="A92" s="49" t="str">
        <f t="shared" si="104"/>
        <v>354300</v>
      </c>
      <c r="B92" s="1371" t="str">
        <f>'HVAC Deemed Table'!C829</f>
        <v>354300_2024_12_</v>
      </c>
      <c r="C92" s="846" t="str">
        <f>'HVAC Deemed Table'!G829</f>
        <v>Cooling Res</v>
      </c>
      <c r="D92" s="846" t="str">
        <f>'HVAC Deemed Table'!G830</f>
        <v>Heating Res</v>
      </c>
      <c r="E92" s="846" t="str">
        <f>'HVAC Deemed Table'!G831</f>
        <v>Cooling Res ER2</v>
      </c>
      <c r="F92" s="846" t="str">
        <f>'HVAC Deemed Table'!G832</f>
        <v>Heating Res ER2</v>
      </c>
      <c r="G92" s="1307" t="str">
        <f>'HVAC Deemed Table'!E829</f>
        <v>ASHP-SEER18-Replace_CAC_ElectricHeat_ER1_MF</v>
      </c>
      <c r="H92" s="18" t="str">
        <f>'HVAC Deemed Table'!D829</f>
        <v>MFIE</v>
      </c>
      <c r="I92" s="750">
        <f t="shared" si="93"/>
        <v>7222.49</v>
      </c>
      <c r="J92" s="750">
        <f t="shared" si="94"/>
        <v>5502.2800000000007</v>
      </c>
      <c r="K92" s="189">
        <f>'HVAC Deemed Table'!F829</f>
        <v>2018.52</v>
      </c>
      <c r="L92" s="189">
        <f>'HVAC Deemed Table'!F830</f>
        <v>5203.97</v>
      </c>
      <c r="M92" s="189">
        <f>'HVAC Deemed Table'!F831</f>
        <v>298.31</v>
      </c>
      <c r="N92" s="189">
        <f>'HVAC Deemed Table'!F832</f>
        <v>5203.97</v>
      </c>
      <c r="O92" s="751">
        <f t="shared" si="95"/>
        <v>1.912382</v>
      </c>
      <c r="P92" s="751">
        <f t="shared" si="96"/>
        <v>0.28262399999999999</v>
      </c>
      <c r="Q92" s="752">
        <f>'HVAC Deemed Table'!I829</f>
        <v>1.912382</v>
      </c>
      <c r="R92" s="752">
        <f>'HVAC Deemed Table'!I830</f>
        <v>0</v>
      </c>
      <c r="S92" s="752">
        <f>'HVAC Deemed Table'!I831</f>
        <v>0.28262399999999999</v>
      </c>
      <c r="T92" s="752">
        <f>'HVAC Deemed Table'!I832</f>
        <v>0</v>
      </c>
      <c r="U92" s="753">
        <f t="shared" si="88"/>
        <v>0</v>
      </c>
      <c r="V92" s="753">
        <f t="shared" si="89"/>
        <v>0</v>
      </c>
      <c r="W92" s="753">
        <f t="shared" si="90"/>
        <v>1.912382</v>
      </c>
      <c r="X92" s="22">
        <f>'HVAC Deemed Table'!J829</f>
        <v>6</v>
      </c>
      <c r="Y92" s="22">
        <f>'HVAC Deemed Table'!J831</f>
        <v>12</v>
      </c>
      <c r="Z92" s="22">
        <f t="shared" si="105"/>
        <v>18</v>
      </c>
      <c r="AA92" s="17">
        <f>'HVAC Deemed Table'!DG829</f>
        <v>1.6753920018422845</v>
      </c>
      <c r="AB92" s="246">
        <f>'HVAC Deemed Table'!K829</f>
        <v>3312.7316315552043</v>
      </c>
      <c r="AC92" s="862">
        <f t="shared" si="106"/>
        <v>3405.7337866070266</v>
      </c>
      <c r="AD92" s="862">
        <f t="shared" si="91"/>
        <v>2144.3902931505045</v>
      </c>
      <c r="AE92" s="195">
        <f>'HVAC Deemed Table'!DI829</f>
        <v>2010.1393014106241</v>
      </c>
      <c r="AF92" s="195">
        <f>'HVAC Deemed Table'!DI830</f>
        <v>1395.5944851964025</v>
      </c>
      <c r="AG92" s="195">
        <f>'HVAC Deemed Table'!DI831</f>
        <v>385.98951453909484</v>
      </c>
      <c r="AH92" s="195">
        <f>'HVAC Deemed Table'!DI832</f>
        <v>1758.4007786114098</v>
      </c>
      <c r="AI92" s="866" t="e">
        <f t="shared" si="92"/>
        <v>#REF!</v>
      </c>
      <c r="AJ92" s="45">
        <f>'HVAC Deemed Table'!L829</f>
        <v>1.5</v>
      </c>
      <c r="AK92" s="621"/>
      <c r="AL92" s="621"/>
      <c r="AM92"/>
      <c r="AN92"/>
      <c r="AO92"/>
      <c r="AP92"/>
      <c r="AQ92"/>
      <c r="AR92"/>
      <c r="AS92"/>
      <c r="AT92"/>
      <c r="AU92"/>
      <c r="AV92"/>
      <c r="AW92"/>
      <c r="AX92" s="1284" t="str">
        <f t="shared" si="102"/>
        <v>ASHP-SEER18-Replace_CAC_ElectricHeat_ER1_MF</v>
      </c>
      <c r="AY92" s="1307"/>
      <c r="AZ92" s="1376" t="str">
        <f t="shared" si="103"/>
        <v>354300</v>
      </c>
      <c r="BA92" s="1263" t="e">
        <f>#REF!</f>
        <v>#REF!</v>
      </c>
      <c r="BB92" s="1263" t="e">
        <f>#REF!</f>
        <v>#REF!</v>
      </c>
      <c r="BC92" s="1263" t="e">
        <f>#REF!</f>
        <v>#REF!</v>
      </c>
      <c r="BD92" s="1263" t="e">
        <f>#REF!</f>
        <v>#REF!</v>
      </c>
      <c r="BE92" s="1235"/>
      <c r="BF92" s="1250" t="e">
        <f>ROUND(BA92*'CP FACTORS'!$B$9,6)</f>
        <v>#REF!</v>
      </c>
      <c r="BG92" s="1251" t="e">
        <f>ROUND(BB92*'CP FACTORS'!$B$14,6)</f>
        <v>#REF!</v>
      </c>
      <c r="BH92" s="1250" t="e">
        <f>ROUND(BC92*'CP FACTORS'!$B$9,6)</f>
        <v>#REF!</v>
      </c>
      <c r="BI92" s="1252" t="e">
        <f>ROUND(BD92*'CP FACTORS'!$B$14,6)</f>
        <v>#REF!</v>
      </c>
      <c r="BJ92" s="1234"/>
      <c r="BK92" s="698" t="e">
        <f t="shared" si="97"/>
        <v>#REF!</v>
      </c>
      <c r="BL92" s="1271" t="e">
        <f t="shared" si="98"/>
        <v>#REF!</v>
      </c>
      <c r="BM92" s="1270" t="e">
        <f t="shared" si="99"/>
        <v>#REF!</v>
      </c>
      <c r="BN92" s="1269" t="e">
        <f t="shared" si="100"/>
        <v>#REF!</v>
      </c>
    </row>
    <row r="93" spans="1:66" x14ac:dyDescent="0.25">
      <c r="A93" s="49" t="str">
        <f t="shared" si="104"/>
        <v>354350</v>
      </c>
      <c r="B93" s="1371" t="str">
        <f>'HVAC Deemed Table'!C833</f>
        <v>354350_2024_12_</v>
      </c>
      <c r="C93" s="846" t="str">
        <f>'HVAC Deemed Table'!G833</f>
        <v>Cooling Res</v>
      </c>
      <c r="D93" s="846" t="str">
        <f>'HVAC Deemed Table'!G834</f>
        <v>Heating Res</v>
      </c>
      <c r="E93" s="846" t="str">
        <f>'HVAC Deemed Table'!G835</f>
        <v>Cooling Res ER2</v>
      </c>
      <c r="F93" s="846" t="str">
        <f>'HVAC Deemed Table'!G836</f>
        <v>Heating Res ER2</v>
      </c>
      <c r="G93" s="1307" t="str">
        <f>'HVAC Deemed Table'!E833</f>
        <v>ASHP-SEER18_ER1_MF</v>
      </c>
      <c r="H93" s="18" t="str">
        <f>'HVAC Deemed Table'!D833</f>
        <v>MFIE</v>
      </c>
      <c r="I93" s="750">
        <f t="shared" si="93"/>
        <v>4797.4400000000005</v>
      </c>
      <c r="J93" s="750">
        <f t="shared" si="94"/>
        <v>1870.74</v>
      </c>
      <c r="K93" s="189">
        <f>'HVAC Deemed Table'!F833</f>
        <v>2464.77</v>
      </c>
      <c r="L93" s="189">
        <f>'HVAC Deemed Table'!F834</f>
        <v>2332.67</v>
      </c>
      <c r="M93" s="189">
        <f>'HVAC Deemed Table'!F835</f>
        <v>374.74</v>
      </c>
      <c r="N93" s="189">
        <f>'HVAC Deemed Table'!F836</f>
        <v>1496</v>
      </c>
      <c r="O93" s="751">
        <f t="shared" si="95"/>
        <v>2.3351679999999999</v>
      </c>
      <c r="P93" s="751">
        <f t="shared" si="96"/>
        <v>0.35503499999999999</v>
      </c>
      <c r="Q93" s="752">
        <f>'HVAC Deemed Table'!I833</f>
        <v>2.3351679999999999</v>
      </c>
      <c r="R93" s="752">
        <f>'HVAC Deemed Table'!I834</f>
        <v>0</v>
      </c>
      <c r="S93" s="752">
        <f>'HVAC Deemed Table'!I835</f>
        <v>0.35503499999999999</v>
      </c>
      <c r="T93" s="752">
        <f>'HVAC Deemed Table'!I836</f>
        <v>0</v>
      </c>
      <c r="U93" s="753">
        <f t="shared" si="88"/>
        <v>0</v>
      </c>
      <c r="V93" s="753">
        <f t="shared" si="89"/>
        <v>0</v>
      </c>
      <c r="W93" s="753">
        <f t="shared" si="90"/>
        <v>2.3351679999999999</v>
      </c>
      <c r="X93" s="22">
        <f>'HVAC Deemed Table'!J833</f>
        <v>6</v>
      </c>
      <c r="Y93" s="22">
        <f>'HVAC Deemed Table'!J835</f>
        <v>12</v>
      </c>
      <c r="Z93" s="22">
        <f t="shared" si="105"/>
        <v>18</v>
      </c>
      <c r="AA93" s="17">
        <f>'HVAC Deemed Table'!DG833</f>
        <v>4.7794321092849037</v>
      </c>
      <c r="AB93" s="246">
        <f>'HVAC Deemed Table'!K833</f>
        <v>851.66719041900797</v>
      </c>
      <c r="AC93" s="862">
        <f t="shared" si="106"/>
        <v>3080.1091810526987</v>
      </c>
      <c r="AD93" s="862">
        <f t="shared" si="91"/>
        <v>990.37633526036825</v>
      </c>
      <c r="AE93" s="195">
        <f>'HVAC Deemed Table'!DI833</f>
        <v>2454.5365148414999</v>
      </c>
      <c r="AF93" s="195">
        <f>'HVAC Deemed Table'!DI834</f>
        <v>625.57266621119879</v>
      </c>
      <c r="AG93" s="195">
        <f>'HVAC Deemed Table'!DI835</f>
        <v>484.88388146016024</v>
      </c>
      <c r="AH93" s="195">
        <f>'HVAC Deemed Table'!DI836</f>
        <v>505.49245380020807</v>
      </c>
      <c r="AI93" s="866" t="e">
        <f>#REF!</f>
        <v>#REF!</v>
      </c>
      <c r="AJ93" s="45">
        <f>'HVAC Deemed Table'!L833</f>
        <v>2.5</v>
      </c>
      <c r="AK93" s="621"/>
      <c r="AL93" s="621"/>
      <c r="AX93" s="1284" t="str">
        <f t="shared" si="102"/>
        <v>ASHP-SEER18_ER1_MF</v>
      </c>
      <c r="AY93" s="1307"/>
      <c r="AZ93" s="1376" t="str">
        <f t="shared" si="103"/>
        <v>354350</v>
      </c>
      <c r="BA93" s="1266">
        <f>ROUND((K93*$BC$3)+(K107*$BC$4),2)</f>
        <v>1607.47</v>
      </c>
      <c r="BB93" s="1266">
        <f>ROUND((L93*$BC$3)+(L107*$BC$4),2)</f>
        <v>1881.59</v>
      </c>
      <c r="BC93" s="1266">
        <f>ROUND((M93*$BC$3)+(K107*$BC$4),2)</f>
        <v>353.46</v>
      </c>
      <c r="BD93" s="1266">
        <f>ROUND((N93*$BC$3)+(L107*$BC$4),2)</f>
        <v>1379.59</v>
      </c>
      <c r="BE93" s="1234"/>
      <c r="BF93" s="1250">
        <f>ROUND(BA93*'CP FACTORS'!$B$9,6)</f>
        <v>1.5229459999999999</v>
      </c>
      <c r="BG93" s="1251">
        <f>ROUND(BB93*'CP FACTORS'!$B$14,6)</f>
        <v>0</v>
      </c>
      <c r="BH93" s="1250">
        <f>ROUND(BC93*'CP FACTORS'!$B$9,6)</f>
        <v>0.334874</v>
      </c>
      <c r="BI93" s="1252">
        <f>ROUND(BD93*'CP FACTORS'!$B$14,6)</f>
        <v>0</v>
      </c>
      <c r="BJ93" s="1234"/>
      <c r="BK93" s="698">
        <f t="shared" si="97"/>
        <v>3489.06</v>
      </c>
      <c r="BL93" s="1271">
        <f t="shared" si="98"/>
        <v>1733.05</v>
      </c>
      <c r="BM93" s="1270">
        <f t="shared" si="99"/>
        <v>1.5229459999999999</v>
      </c>
      <c r="BN93" s="1269">
        <f t="shared" si="100"/>
        <v>0.334874</v>
      </c>
    </row>
    <row r="94" spans="1:66" x14ac:dyDescent="0.25">
      <c r="A94" s="49" t="str">
        <f t="shared" si="104"/>
        <v>354400</v>
      </c>
      <c r="B94" s="1371" t="str">
        <f>'HVAC Deemed Table'!C837</f>
        <v>354400_2024_12_</v>
      </c>
      <c r="C94" s="846" t="str">
        <f>'HVAC Deemed Table'!G837</f>
        <v>Cooling Res</v>
      </c>
      <c r="D94" s="846" t="str">
        <f>'HVAC Deemed Table'!G838</f>
        <v>Heating Res</v>
      </c>
      <c r="E94" s="846" t="str">
        <f>'HVAC Deemed Table'!G839</f>
        <v>Cooling Res ER2</v>
      </c>
      <c r="F94" s="846" t="str">
        <f>'HVAC Deemed Table'!G840</f>
        <v>Heating Res ER2</v>
      </c>
      <c r="G94" s="1307" t="str">
        <f>'HVAC Deemed Table'!E837</f>
        <v>ASHP-SEER19-Replace_CAC_ElectricHeat_ER1_SF</v>
      </c>
      <c r="H94" s="18" t="str">
        <f>'HVAC Deemed Table'!D837</f>
        <v>PAYS/SFIE</v>
      </c>
      <c r="I94" s="750">
        <f t="shared" si="93"/>
        <v>15708.29</v>
      </c>
      <c r="J94" s="750">
        <f t="shared" si="94"/>
        <v>13988</v>
      </c>
      <c r="K94" s="189">
        <f>'HVAC Deemed Table'!F837</f>
        <v>2563.17</v>
      </c>
      <c r="L94" s="189">
        <f>'HVAC Deemed Table'!F838</f>
        <v>13145.12</v>
      </c>
      <c r="M94" s="189">
        <f>'HVAC Deemed Table'!F839</f>
        <v>842.88</v>
      </c>
      <c r="N94" s="189">
        <f>'HVAC Deemed Table'!F840</f>
        <v>13145.12</v>
      </c>
      <c r="O94" s="751">
        <f t="shared" si="95"/>
        <v>2.4283939999999999</v>
      </c>
      <c r="P94" s="751">
        <f t="shared" si="96"/>
        <v>0.79856000000000005</v>
      </c>
      <c r="Q94" s="752">
        <f>'HVAC Deemed Table'!I837</f>
        <v>2.4283939999999999</v>
      </c>
      <c r="R94" s="752">
        <f>'HVAC Deemed Table'!I838</f>
        <v>0</v>
      </c>
      <c r="S94" s="752">
        <f>'HVAC Deemed Table'!I839</f>
        <v>0.79856000000000005</v>
      </c>
      <c r="T94" s="752">
        <f>'HVAC Deemed Table'!I840</f>
        <v>0</v>
      </c>
      <c r="U94" s="753">
        <f t="shared" si="88"/>
        <v>0</v>
      </c>
      <c r="V94" s="753">
        <f t="shared" si="89"/>
        <v>0</v>
      </c>
      <c r="W94" s="753">
        <f t="shared" si="90"/>
        <v>2.4283939999999999</v>
      </c>
      <c r="X94" s="22">
        <f>'HVAC Deemed Table'!J837</f>
        <v>6</v>
      </c>
      <c r="Y94" s="22">
        <f>'HVAC Deemed Table'!J839</f>
        <v>12</v>
      </c>
      <c r="Z94" s="22">
        <f t="shared" si="105"/>
        <v>18</v>
      </c>
      <c r="AA94" s="17">
        <f>'HVAC Deemed Table'!DG837</f>
        <v>2.3681443479676405</v>
      </c>
      <c r="AB94" s="246">
        <f>'HVAC Deemed Table'!K837</f>
        <v>4902.6041805257928</v>
      </c>
      <c r="AC94" s="862">
        <f t="shared" si="106"/>
        <v>6077.7706149134156</v>
      </c>
      <c r="AD94" s="862">
        <f t="shared" si="91"/>
        <v>5532.3037655212665</v>
      </c>
      <c r="AE94" s="195">
        <f>'HVAC Deemed Table'!DI837</f>
        <v>2552.5279676181904</v>
      </c>
      <c r="AF94" s="195">
        <f>'HVAC Deemed Table'!DI838</f>
        <v>3525.2426472952257</v>
      </c>
      <c r="AG94" s="195">
        <f>'HVAC Deemed Table'!DI839</f>
        <v>1090.6199658567002</v>
      </c>
      <c r="AH94" s="195">
        <f>'HVAC Deemed Table'!DI840</f>
        <v>4441.6837996645663</v>
      </c>
      <c r="AI94" s="866" t="e">
        <f>#REF!</f>
        <v>#REF!</v>
      </c>
      <c r="AJ94" s="45">
        <f>'HVAC Deemed Table'!L837</f>
        <v>3.7731209149509803</v>
      </c>
      <c r="AK94" s="621"/>
      <c r="AL94" s="621"/>
      <c r="AX94" s="1284" t="str">
        <f t="shared" si="102"/>
        <v>ASHP-SEER19-Replace_CAC_ElectricHeat_ER1_SF</v>
      </c>
      <c r="AY94" s="1307"/>
      <c r="AZ94" s="1376" t="str">
        <f t="shared" si="103"/>
        <v>354400</v>
      </c>
      <c r="BA94" s="1267">
        <f t="shared" ref="BA94:BD95" si="110">BA69</f>
        <v>1873.15</v>
      </c>
      <c r="BB94" s="1267">
        <f t="shared" si="110"/>
        <v>12063.7</v>
      </c>
      <c r="BC94" s="1267">
        <f t="shared" si="110"/>
        <v>840.97</v>
      </c>
      <c r="BD94" s="1267">
        <f t="shared" si="110"/>
        <v>12063.7</v>
      </c>
      <c r="BE94" s="1234"/>
      <c r="BF94" s="1250">
        <f>ROUND(BA94*'CP FACTORS'!$B$9,6)</f>
        <v>1.774656</v>
      </c>
      <c r="BG94" s="1251">
        <f>ROUND(BB94*'CP FACTORS'!$B$14,6)</f>
        <v>0</v>
      </c>
      <c r="BH94" s="1250">
        <f>ROUND(BC94*'CP FACTORS'!$B$9,6)</f>
        <v>0.79674999999999996</v>
      </c>
      <c r="BI94" s="1252">
        <f>ROUND(BD94*'CP FACTORS'!$B$14,6)</f>
        <v>0</v>
      </c>
      <c r="BJ94" s="1234"/>
      <c r="BK94" s="698">
        <f t="shared" si="97"/>
        <v>13936.85</v>
      </c>
      <c r="BL94" s="1271">
        <f t="shared" si="98"/>
        <v>12904.67</v>
      </c>
      <c r="BM94" s="1270">
        <f t="shared" si="99"/>
        <v>1.774656</v>
      </c>
      <c r="BN94" s="1269">
        <f t="shared" si="100"/>
        <v>0.79674999999999996</v>
      </c>
    </row>
    <row r="95" spans="1:66" x14ac:dyDescent="0.25">
      <c r="A95" s="49" t="str">
        <f t="shared" si="104"/>
        <v>354410</v>
      </c>
      <c r="B95" s="1371" t="str">
        <f>'HVAC Deemed Table'!C841</f>
        <v>354410_2024_12_</v>
      </c>
      <c r="C95" s="846" t="str">
        <f>'HVAC Deemed Table'!G841</f>
        <v>Cooling Res</v>
      </c>
      <c r="D95" s="846" t="str">
        <f>'HVAC Deemed Table'!G842</f>
        <v>Heating Res</v>
      </c>
      <c r="E95" s="846" t="str">
        <f>'HVAC Deemed Table'!G843</f>
        <v>Cooling Res ER2</v>
      </c>
      <c r="F95" s="846" t="str">
        <f>'HVAC Deemed Table'!G844</f>
        <v>Heating Res ER2</v>
      </c>
      <c r="G95" s="1307" t="str">
        <f>'HVAC Deemed Table'!E841</f>
        <v>ASHP-SEER19-Replace_CAC_NonElectricHeat_ER1_SF</v>
      </c>
      <c r="H95" s="18" t="str">
        <f>'HVAC Deemed Table'!D841</f>
        <v>PAYS</v>
      </c>
      <c r="I95" s="750">
        <f t="shared" si="93"/>
        <v>2563.17</v>
      </c>
      <c r="J95" s="750">
        <f t="shared" si="94"/>
        <v>842.88</v>
      </c>
      <c r="K95" s="189">
        <f>'HVAC Deemed Table'!F841</f>
        <v>2563.17</v>
      </c>
      <c r="L95" s="189">
        <f>'HVAC Deemed Table'!F842</f>
        <v>0</v>
      </c>
      <c r="M95" s="189">
        <f>'HVAC Deemed Table'!F843</f>
        <v>842.88</v>
      </c>
      <c r="N95" s="189">
        <f>'HVAC Deemed Table'!F844</f>
        <v>0</v>
      </c>
      <c r="O95" s="751">
        <f t="shared" si="95"/>
        <v>2.4283939999999999</v>
      </c>
      <c r="P95" s="751">
        <f t="shared" si="96"/>
        <v>0.79856000000000005</v>
      </c>
      <c r="Q95" s="752">
        <f>'HVAC Deemed Table'!I841</f>
        <v>2.4283939999999999</v>
      </c>
      <c r="R95" s="752">
        <f>'HVAC Deemed Table'!I842</f>
        <v>0</v>
      </c>
      <c r="S95" s="752">
        <f>'HVAC Deemed Table'!I843</f>
        <v>0.79856000000000005</v>
      </c>
      <c r="T95" s="752">
        <f>'HVAC Deemed Table'!I844</f>
        <v>0</v>
      </c>
      <c r="U95" s="753">
        <f t="shared" si="88"/>
        <v>0</v>
      </c>
      <c r="V95" s="753">
        <f t="shared" si="89"/>
        <v>0</v>
      </c>
      <c r="W95" s="753">
        <f t="shared" si="90"/>
        <v>2.4283939999999999</v>
      </c>
      <c r="X95" s="22">
        <f>'HVAC Deemed Table'!J841</f>
        <v>6</v>
      </c>
      <c r="Y95" s="22">
        <f>'HVAC Deemed Table'!J843</f>
        <v>12</v>
      </c>
      <c r="Z95" s="22">
        <f t="shared" si="105"/>
        <v>18</v>
      </c>
      <c r="AA95" s="17">
        <f>'HVAC Deemed Table'!DG841</f>
        <v>6.6191392927894972</v>
      </c>
      <c r="AB95" s="246">
        <f>'HVAC Deemed Table'!K841</f>
        <v>550.39602164642804</v>
      </c>
      <c r="AC95" s="862">
        <f t="shared" si="106"/>
        <v>2552.5279676181904</v>
      </c>
      <c r="AD95" s="862">
        <f t="shared" si="91"/>
        <v>1090.6199658567002</v>
      </c>
      <c r="AE95" s="195">
        <f>'HVAC Deemed Table'!DI841</f>
        <v>2552.5279676181904</v>
      </c>
      <c r="AF95" s="195">
        <f>'HVAC Deemed Table'!DI842</f>
        <v>0</v>
      </c>
      <c r="AG95" s="195">
        <f>'HVAC Deemed Table'!DI843</f>
        <v>1090.6199658567002</v>
      </c>
      <c r="AH95" s="195">
        <f>'HVAC Deemed Table'!DI844</f>
        <v>0</v>
      </c>
      <c r="AI95" s="866" t="e">
        <f t="shared" si="92"/>
        <v>#REF!</v>
      </c>
      <c r="AJ95" s="45">
        <f>'HVAC Deemed Table'!L841</f>
        <v>3.6</v>
      </c>
      <c r="AK95" s="877"/>
      <c r="AL95" s="877"/>
      <c r="AX95" s="1284" t="str">
        <f t="shared" si="102"/>
        <v>ASHP-SEER19-Replace_CAC_NonElectricHeat_ER1_SF</v>
      </c>
      <c r="AY95" s="1307"/>
      <c r="AZ95" s="1376" t="str">
        <f t="shared" si="103"/>
        <v>354410</v>
      </c>
      <c r="BA95" s="1267">
        <f t="shared" si="110"/>
        <v>1873.15</v>
      </c>
      <c r="BB95" s="1267">
        <f t="shared" si="110"/>
        <v>0</v>
      </c>
      <c r="BC95" s="1267">
        <f t="shared" si="110"/>
        <v>840.97</v>
      </c>
      <c r="BD95" s="1267">
        <f t="shared" si="110"/>
        <v>0</v>
      </c>
      <c r="BE95" s="1234"/>
      <c r="BF95" s="1250">
        <f>ROUND(BA95*'CP FACTORS'!$B$9,6)</f>
        <v>1.774656</v>
      </c>
      <c r="BG95" s="1251">
        <f>ROUND(BB95*'CP FACTORS'!$B$14,6)</f>
        <v>0</v>
      </c>
      <c r="BH95" s="1250">
        <f>ROUND(BC95*'CP FACTORS'!$B$9,6)</f>
        <v>0.79674999999999996</v>
      </c>
      <c r="BI95" s="1252">
        <f>ROUND(BD95*'CP FACTORS'!$B$14,6)</f>
        <v>0</v>
      </c>
      <c r="BJ95" s="1234"/>
      <c r="BK95" s="698">
        <f t="shared" si="97"/>
        <v>1873.15</v>
      </c>
      <c r="BL95" s="1271">
        <f t="shared" si="98"/>
        <v>840.97</v>
      </c>
      <c r="BM95" s="1270">
        <f t="shared" si="99"/>
        <v>1.774656</v>
      </c>
      <c r="BN95" s="1269">
        <f t="shared" si="100"/>
        <v>0.79674999999999996</v>
      </c>
    </row>
    <row r="96" spans="1:66" s="39" customFormat="1" x14ac:dyDescent="0.25">
      <c r="A96" s="49" t="str">
        <f t="shared" si="104"/>
        <v>354450</v>
      </c>
      <c r="B96" s="1371" t="str">
        <f>'HVAC Deemed Table'!C845</f>
        <v>354450_2024_12_</v>
      </c>
      <c r="C96" s="846" t="str">
        <f>'HVAC Deemed Table'!G845</f>
        <v>Cooling Res</v>
      </c>
      <c r="D96" s="846" t="str">
        <f>'HVAC Deemed Table'!G846</f>
        <v>Heating Res</v>
      </c>
      <c r="E96" s="846" t="str">
        <f>'HVAC Deemed Table'!G847</f>
        <v>Cooling Res ER2</v>
      </c>
      <c r="F96" s="846" t="str">
        <f>'HVAC Deemed Table'!G848</f>
        <v>Heating Res ER2</v>
      </c>
      <c r="G96" s="1307" t="str">
        <f>'HVAC Deemed Table'!E845</f>
        <v>ASHP-SEER19-Replace_CAC_ElectricHeat_ER1_MF</v>
      </c>
      <c r="H96" s="18" t="str">
        <f>'HVAC Deemed Table'!D845</f>
        <v>MFIE</v>
      </c>
      <c r="I96" s="750">
        <f t="shared" si="93"/>
        <v>8176.36</v>
      </c>
      <c r="J96" s="750">
        <f t="shared" si="94"/>
        <v>7221.95</v>
      </c>
      <c r="K96" s="189">
        <f>'HVAC Deemed Table'!F845</f>
        <v>1416.58</v>
      </c>
      <c r="L96" s="189">
        <f>'HVAC Deemed Table'!F846</f>
        <v>6759.78</v>
      </c>
      <c r="M96" s="189">
        <f>'HVAC Deemed Table'!F847</f>
        <v>462.17</v>
      </c>
      <c r="N96" s="189">
        <f>'HVAC Deemed Table'!F848</f>
        <v>6759.78</v>
      </c>
      <c r="O96" s="751">
        <f t="shared" si="95"/>
        <v>1.3420939999999999</v>
      </c>
      <c r="P96" s="751">
        <f t="shared" si="96"/>
        <v>0.43786799999999998</v>
      </c>
      <c r="Q96" s="752">
        <f>'HVAC Deemed Table'!I845</f>
        <v>1.3420939999999999</v>
      </c>
      <c r="R96" s="752">
        <f>'HVAC Deemed Table'!I846</f>
        <v>0</v>
      </c>
      <c r="S96" s="752">
        <f>'HVAC Deemed Table'!I847</f>
        <v>0.43786799999999998</v>
      </c>
      <c r="T96" s="752">
        <f>'HVAC Deemed Table'!I848</f>
        <v>0</v>
      </c>
      <c r="U96" s="753">
        <f t="shared" si="88"/>
        <v>0</v>
      </c>
      <c r="V96" s="753">
        <f t="shared" si="89"/>
        <v>0</v>
      </c>
      <c r="W96" s="753">
        <f t="shared" si="90"/>
        <v>1.3420939999999999</v>
      </c>
      <c r="X96" s="22">
        <f>'HVAC Deemed Table'!J845</f>
        <v>6</v>
      </c>
      <c r="Y96" s="22">
        <f>'HVAC Deemed Table'!J847</f>
        <v>12</v>
      </c>
      <c r="Z96" s="22">
        <f t="shared" si="105"/>
        <v>18</v>
      </c>
      <c r="AA96" s="17">
        <f>'HVAC Deemed Table'!DG845</f>
        <v>1.5868160812204033</v>
      </c>
      <c r="AB96" s="246">
        <f>'HVAC Deemed Table'!K845</f>
        <v>3847.7316315552043</v>
      </c>
      <c r="AC96" s="862">
        <f t="shared" si="106"/>
        <v>3223.5282582826403</v>
      </c>
      <c r="AD96" s="862">
        <f t="shared" si="91"/>
        <v>2882.1141708895775</v>
      </c>
      <c r="AE96" s="195">
        <f>'HVAC Deemed Table'!DI845</f>
        <v>1410.6984977073607</v>
      </c>
      <c r="AF96" s="195">
        <f>'HVAC Deemed Table'!DI846</f>
        <v>1812.8297605752794</v>
      </c>
      <c r="AG96" s="195">
        <f>'HVAC Deemed Table'!DI847</f>
        <v>598.01137720670931</v>
      </c>
      <c r="AH96" s="195">
        <f>'HVAC Deemed Table'!DI848</f>
        <v>2284.1027936828682</v>
      </c>
      <c r="AI96" s="866" t="e">
        <f t="shared" si="92"/>
        <v>#REF!</v>
      </c>
      <c r="AJ96" s="45">
        <f>'HVAC Deemed Table'!L845</f>
        <v>3.1</v>
      </c>
      <c r="AK96" s="621"/>
      <c r="AL96" s="621"/>
      <c r="AM96"/>
      <c r="AN96"/>
      <c r="AO96"/>
      <c r="AP96"/>
      <c r="AQ96"/>
      <c r="AR96"/>
      <c r="AS96"/>
      <c r="AT96"/>
      <c r="AU96"/>
      <c r="AV96"/>
      <c r="AW96"/>
      <c r="AX96" s="1284" t="str">
        <f t="shared" si="102"/>
        <v>ASHP-SEER19-Replace_CAC_ElectricHeat_ER1_MF</v>
      </c>
      <c r="AY96" s="1307"/>
      <c r="AZ96" s="1376" t="str">
        <f t="shared" si="103"/>
        <v>354450</v>
      </c>
      <c r="BA96" s="1267" t="e">
        <f>#REF!</f>
        <v>#REF!</v>
      </c>
      <c r="BB96" s="1267" t="e">
        <f>#REF!</f>
        <v>#REF!</v>
      </c>
      <c r="BC96" s="1267" t="e">
        <f>#REF!</f>
        <v>#REF!</v>
      </c>
      <c r="BD96" s="1267" t="e">
        <f>#REF!</f>
        <v>#REF!</v>
      </c>
      <c r="BE96" s="1235"/>
      <c r="BF96" s="1250" t="e">
        <f>ROUND(BA96*'CP FACTORS'!$B$9,6)</f>
        <v>#REF!</v>
      </c>
      <c r="BG96" s="1251" t="e">
        <f>ROUND(BB96*'CP FACTORS'!$B$14,6)</f>
        <v>#REF!</v>
      </c>
      <c r="BH96" s="1250" t="e">
        <f>ROUND(BC96*'CP FACTORS'!$B$9,6)</f>
        <v>#REF!</v>
      </c>
      <c r="BI96" s="1252" t="e">
        <f>ROUND(BD96*'CP FACTORS'!$B$14,6)</f>
        <v>#REF!</v>
      </c>
      <c r="BJ96" s="1234"/>
      <c r="BK96" s="698" t="e">
        <f t="shared" si="97"/>
        <v>#REF!</v>
      </c>
      <c r="BL96" s="1271" t="e">
        <f t="shared" si="98"/>
        <v>#REF!</v>
      </c>
      <c r="BM96" s="1270" t="e">
        <f t="shared" si="99"/>
        <v>#REF!</v>
      </c>
      <c r="BN96" s="1269" t="e">
        <f t="shared" si="100"/>
        <v>#REF!</v>
      </c>
    </row>
    <row r="97" spans="1:66" x14ac:dyDescent="0.25">
      <c r="A97" s="49" t="str">
        <f t="shared" si="104"/>
        <v>354500</v>
      </c>
      <c r="B97" s="1371" t="str">
        <f>'HVAC Deemed Table'!C849</f>
        <v>354500_2024_12_</v>
      </c>
      <c r="C97" s="846" t="str">
        <f>'HVAC Deemed Table'!G849</f>
        <v>Cooling Res</v>
      </c>
      <c r="D97" s="846" t="str">
        <f>'HVAC Deemed Table'!G850</f>
        <v>Heating Res</v>
      </c>
      <c r="E97" s="846" t="str">
        <f>'HVAC Deemed Table'!G851</f>
        <v>Cooling Res ER2</v>
      </c>
      <c r="F97" s="846" t="str">
        <f>'HVAC Deemed Table'!G852</f>
        <v>Heating Res ER2</v>
      </c>
      <c r="G97" s="1307" t="str">
        <f>'HVAC Deemed Table'!E849</f>
        <v>ASHP-SEER19_ER1_MF</v>
      </c>
      <c r="H97" s="18" t="str">
        <f>'HVAC Deemed Table'!D849</f>
        <v>MFIE</v>
      </c>
      <c r="I97" s="750">
        <f t="shared" si="93"/>
        <v>3306.73</v>
      </c>
      <c r="J97" s="750">
        <f t="shared" si="94"/>
        <v>1467.8300000000002</v>
      </c>
      <c r="K97" s="189">
        <f>'HVAC Deemed Table'!F849</f>
        <v>1507.97</v>
      </c>
      <c r="L97" s="189">
        <f>'HVAC Deemed Table'!F850</f>
        <v>1798.76</v>
      </c>
      <c r="M97" s="189">
        <f>'HVAC Deemed Table'!F851</f>
        <v>386.93</v>
      </c>
      <c r="N97" s="189">
        <f>'HVAC Deemed Table'!F852</f>
        <v>1080.9000000000001</v>
      </c>
      <c r="O97" s="751">
        <f t="shared" si="95"/>
        <v>1.4286779999999999</v>
      </c>
      <c r="P97" s="751">
        <f t="shared" si="96"/>
        <v>0.36658400000000002</v>
      </c>
      <c r="Q97" s="752">
        <f>'HVAC Deemed Table'!I849</f>
        <v>1.4286779999999999</v>
      </c>
      <c r="R97" s="752">
        <f>'HVAC Deemed Table'!I850</f>
        <v>0</v>
      </c>
      <c r="S97" s="752">
        <f>'HVAC Deemed Table'!I851</f>
        <v>0.36658400000000002</v>
      </c>
      <c r="T97" s="752">
        <f>'HVAC Deemed Table'!I852</f>
        <v>0</v>
      </c>
      <c r="U97" s="753">
        <f t="shared" si="88"/>
        <v>0</v>
      </c>
      <c r="V97" s="753">
        <f t="shared" si="89"/>
        <v>0</v>
      </c>
      <c r="W97" s="753">
        <f t="shared" si="90"/>
        <v>1.4286779999999999</v>
      </c>
      <c r="X97" s="22">
        <f>'HVAC Deemed Table'!J849</f>
        <v>6</v>
      </c>
      <c r="Y97" s="22">
        <f>'HVAC Deemed Table'!J851</f>
        <v>12</v>
      </c>
      <c r="Z97" s="22">
        <f t="shared" si="105"/>
        <v>18</v>
      </c>
      <c r="AA97" s="17">
        <f>'HVAC Deemed Table'!DG849</f>
        <v>2.6449544224040511</v>
      </c>
      <c r="AB97" s="246">
        <f>'HVAC Deemed Table'!K849</f>
        <v>1077.5183641564863</v>
      </c>
      <c r="AC97" s="862">
        <f t="shared" si="106"/>
        <v>1984.0983727452153</v>
      </c>
      <c r="AD97" s="862">
        <f t="shared" si="91"/>
        <v>865.88858975206188</v>
      </c>
      <c r="AE97" s="195">
        <f>'HVAC Deemed Table'!DI849</f>
        <v>1501.7090553218095</v>
      </c>
      <c r="AF97" s="195">
        <f>'HVAC Deemed Table'!DI850</f>
        <v>482.38931742340571</v>
      </c>
      <c r="AG97" s="195">
        <f>'HVAC Deemed Table'!DI851</f>
        <v>500.65677604040081</v>
      </c>
      <c r="AH97" s="195">
        <f>'HVAC Deemed Table'!DI852</f>
        <v>365.23181371166106</v>
      </c>
      <c r="AI97" s="866" t="e">
        <f>#REF!</f>
        <v>#REF!</v>
      </c>
      <c r="AJ97" s="45">
        <f>'HVAC Deemed Table'!L849</f>
        <v>3.3</v>
      </c>
      <c r="AK97" s="621"/>
      <c r="AL97" s="621"/>
      <c r="AX97" s="1284" t="str">
        <f t="shared" si="102"/>
        <v>ASHP-SEER19_ER1_MF</v>
      </c>
      <c r="AY97" s="1307"/>
      <c r="AZ97" s="1376" t="str">
        <f t="shared" si="103"/>
        <v>354500</v>
      </c>
      <c r="BA97" s="1264">
        <f>ROUND((K97*$BC$3)+(K108*$BC$4),2)</f>
        <v>1059.55</v>
      </c>
      <c r="BB97" s="1264">
        <f>ROUND((L97*$BC$3)+(L108*$BC$4),2)</f>
        <v>1561.25</v>
      </c>
      <c r="BC97" s="1264">
        <f>ROUND((M97*$BC$3)+(K108*$BC$4),2)</f>
        <v>386.93</v>
      </c>
      <c r="BD97" s="1264">
        <f>ROUND((N97*$BC$3)+(L108*$BC$4),2)</f>
        <v>1130.53</v>
      </c>
      <c r="BE97" s="1234"/>
      <c r="BF97" s="1250">
        <f>ROUND(BA97*'CP FACTORS'!$B$9,6)</f>
        <v>1.0038370000000001</v>
      </c>
      <c r="BG97" s="1251">
        <f>ROUND(BB97*'CP FACTORS'!$B$14,6)</f>
        <v>0</v>
      </c>
      <c r="BH97" s="1250">
        <f>ROUND(BC97*'CP FACTORS'!$B$9,6)</f>
        <v>0.36658400000000002</v>
      </c>
      <c r="BI97" s="1252">
        <f>ROUND(BD97*'CP FACTORS'!$B$14,6)</f>
        <v>0</v>
      </c>
      <c r="BJ97" s="1234"/>
      <c r="BK97" s="698">
        <f t="shared" si="97"/>
        <v>2620.8000000000002</v>
      </c>
      <c r="BL97" s="1271">
        <f t="shared" si="98"/>
        <v>1517.46</v>
      </c>
      <c r="BM97" s="1270">
        <f t="shared" si="99"/>
        <v>1.0038370000000001</v>
      </c>
      <c r="BN97" s="1269">
        <f t="shared" si="100"/>
        <v>0.36658400000000002</v>
      </c>
    </row>
    <row r="98" spans="1:66" x14ac:dyDescent="0.25">
      <c r="A98" s="49" t="str">
        <f t="shared" si="104"/>
        <v>354550</v>
      </c>
      <c r="B98" s="1371" t="str">
        <f>'HVAC Deemed Table'!C853</f>
        <v>354550_2024_12_</v>
      </c>
      <c r="C98" s="846" t="str">
        <f>'HVAC Deemed Table'!G853</f>
        <v>Cooling Res</v>
      </c>
      <c r="D98" s="846" t="str">
        <f>'HVAC Deemed Table'!G854</f>
        <v>Heating Res</v>
      </c>
      <c r="E98" s="846" t="str">
        <f>'HVAC Deemed Table'!G855</f>
        <v>Cooling Res ER2</v>
      </c>
      <c r="F98" s="846" t="str">
        <f>'HVAC Deemed Table'!G856</f>
        <v>Heating Res ER2</v>
      </c>
      <c r="G98" s="1307" t="str">
        <f>'HVAC Deemed Table'!E853</f>
        <v>ASHP-SEER20_ER1_SF</v>
      </c>
      <c r="H98" s="18" t="str">
        <f>'HVAC Deemed Table'!D853</f>
        <v>PAYS/SFIE</v>
      </c>
      <c r="I98" s="750">
        <f t="shared" si="93"/>
        <v>4830.2299999999996</v>
      </c>
      <c r="J98" s="750">
        <f t="shared" si="94"/>
        <v>2322.62</v>
      </c>
      <c r="K98" s="189">
        <f>'HVAC Deemed Table'!F853</f>
        <v>2257.71</v>
      </c>
      <c r="L98" s="189">
        <f>'HVAC Deemed Table'!F854</f>
        <v>2572.52</v>
      </c>
      <c r="M98" s="189">
        <f>'HVAC Deemed Table'!F855</f>
        <v>614.66</v>
      </c>
      <c r="N98" s="189">
        <f>'HVAC Deemed Table'!F856</f>
        <v>1707.96</v>
      </c>
      <c r="O98" s="751">
        <f t="shared" si="95"/>
        <v>2.138995</v>
      </c>
      <c r="P98" s="751">
        <f t="shared" si="96"/>
        <v>0.58233999999999997</v>
      </c>
      <c r="Q98" s="752">
        <f>'HVAC Deemed Table'!I853</f>
        <v>2.138995</v>
      </c>
      <c r="R98" s="752">
        <f>'HVAC Deemed Table'!I854</f>
        <v>0</v>
      </c>
      <c r="S98" s="752">
        <f>'HVAC Deemed Table'!I855</f>
        <v>0.58233999999999997</v>
      </c>
      <c r="T98" s="752">
        <f>'HVAC Deemed Table'!I856</f>
        <v>0</v>
      </c>
      <c r="U98" s="753">
        <f t="shared" si="88"/>
        <v>0</v>
      </c>
      <c r="V98" s="753">
        <f t="shared" si="89"/>
        <v>0</v>
      </c>
      <c r="W98" s="753">
        <f t="shared" si="90"/>
        <v>2.138995</v>
      </c>
      <c r="X98" s="22">
        <f>'HVAC Deemed Table'!J853</f>
        <v>6</v>
      </c>
      <c r="Y98" s="22">
        <f>'HVAC Deemed Table'!J855</f>
        <v>12</v>
      </c>
      <c r="Z98" s="22">
        <f t="shared" si="105"/>
        <v>18</v>
      </c>
      <c r="AA98" s="17">
        <f>'HVAC Deemed Table'!DG853</f>
        <v>3.9998675502126111</v>
      </c>
      <c r="AB98" s="246">
        <f>'HVAC Deemed Table'!K853</f>
        <v>1077.7021397098724</v>
      </c>
      <c r="AC98" s="862">
        <f t="shared" si="106"/>
        <v>2938.2315617523227</v>
      </c>
      <c r="AD98" s="862">
        <f t="shared" si="91"/>
        <v>1372.4342556678944</v>
      </c>
      <c r="AE98" s="195">
        <f>'HVAC Deemed Table'!DI853</f>
        <v>2248.3362078095734</v>
      </c>
      <c r="AF98" s="195">
        <f>'HVAC Deemed Table'!DI854</f>
        <v>689.89535394274935</v>
      </c>
      <c r="AG98" s="195">
        <f>'HVAC Deemed Table'!DI855</f>
        <v>795.32136035198289</v>
      </c>
      <c r="AH98" s="195">
        <f>'HVAC Deemed Table'!DI856</f>
        <v>577.11289531591137</v>
      </c>
      <c r="AI98" s="866" t="e">
        <f>#REF!</f>
        <v>#REF!</v>
      </c>
      <c r="AJ98" s="45">
        <f>'HVAC Deemed Table'!L853</f>
        <v>2.5833656509695291</v>
      </c>
      <c r="AK98" s="621"/>
      <c r="AL98" s="621"/>
      <c r="AX98" s="1284" t="str">
        <f t="shared" si="102"/>
        <v>ASHP-SEER20_ER1_SF</v>
      </c>
      <c r="AY98" s="1307"/>
      <c r="AZ98" s="1376" t="str">
        <f t="shared" si="103"/>
        <v>354550</v>
      </c>
      <c r="BA98" s="1260">
        <f>ROUND((K98*$BC$3)+(K99*$BC$4),2)</f>
        <v>1621.81</v>
      </c>
      <c r="BB98" s="1260">
        <f>ROUND((L98*$BC$3)+(L99*$BC$4),2)</f>
        <v>2314.98</v>
      </c>
      <c r="BC98" s="1260">
        <f>ROUND((M98*$BC$3)+(K99*$BC$4),2)</f>
        <v>635.98</v>
      </c>
      <c r="BD98" s="1260">
        <f>(N98*$BC$3)+(L99*$BC$4)</f>
        <v>1796.248</v>
      </c>
      <c r="BE98" s="1234"/>
      <c r="BF98" s="1250">
        <f>ROUND(BA98*'CP FACTORS'!$B$9,6)</f>
        <v>1.536532</v>
      </c>
      <c r="BG98" s="1251">
        <f>ROUND(BB98*'CP FACTORS'!$B$14,6)</f>
        <v>0</v>
      </c>
      <c r="BH98" s="1250">
        <f>ROUND(BC98*'CP FACTORS'!$B$9,6)</f>
        <v>0.60253900000000005</v>
      </c>
      <c r="BI98" s="1252">
        <f>ROUND(BD98*'CP FACTORS'!$B$14,6)</f>
        <v>0</v>
      </c>
      <c r="BJ98" s="1234"/>
      <c r="BK98" s="698">
        <f t="shared" si="97"/>
        <v>3936.79</v>
      </c>
      <c r="BL98" s="1271">
        <f t="shared" si="98"/>
        <v>2432.2280000000001</v>
      </c>
      <c r="BM98" s="1270">
        <f t="shared" si="99"/>
        <v>1.536532</v>
      </c>
      <c r="BN98" s="1269">
        <f t="shared" si="100"/>
        <v>0.60253900000000005</v>
      </c>
    </row>
    <row r="99" spans="1:66" x14ac:dyDescent="0.25">
      <c r="A99" s="49" t="str">
        <f t="shared" si="104"/>
        <v>354600</v>
      </c>
      <c r="B99" s="1371" t="str">
        <f>'HVAC Deemed Table'!C857</f>
        <v>354600_2024_12_</v>
      </c>
      <c r="C99" s="846" t="str">
        <f>'HVAC Deemed Table'!G857</f>
        <v>Cooling Res</v>
      </c>
      <c r="D99" s="846" t="str">
        <f>'HVAC Deemed Table'!G858</f>
        <v>Heating Res</v>
      </c>
      <c r="E99" s="1307"/>
      <c r="F99" s="1307"/>
      <c r="G99" s="1307" t="str">
        <f>'HVAC Deemed Table'!E857</f>
        <v>ASHP-SEER20_ROF_SF</v>
      </c>
      <c r="H99" s="18" t="str">
        <f>'HVAC Deemed Table'!D857</f>
        <v>PAYS/SFIE</v>
      </c>
      <c r="I99" s="750">
        <f t="shared" si="93"/>
        <v>2596.65</v>
      </c>
      <c r="J99" s="750">
        <f t="shared" si="94"/>
        <v>0</v>
      </c>
      <c r="K99" s="189">
        <f>'HVAC Deemed Table'!F857</f>
        <v>667.97</v>
      </c>
      <c r="L99" s="189">
        <f>'HVAC Deemed Table'!F858</f>
        <v>1928.68</v>
      </c>
      <c r="M99" s="189"/>
      <c r="N99" s="189"/>
      <c r="O99" s="751">
        <f t="shared" si="95"/>
        <v>0.63284700000000005</v>
      </c>
      <c r="P99" s="751">
        <f t="shared" si="96"/>
        <v>0</v>
      </c>
      <c r="Q99" s="752">
        <f>'HVAC Deemed Table'!I857</f>
        <v>0.63284700000000005</v>
      </c>
      <c r="R99" s="752">
        <f>'HVAC Deemed Table'!I858</f>
        <v>0</v>
      </c>
      <c r="S99" s="752"/>
      <c r="T99" s="752"/>
      <c r="U99" s="753">
        <f t="shared" si="88"/>
        <v>0</v>
      </c>
      <c r="V99" s="753">
        <f t="shared" si="89"/>
        <v>0</v>
      </c>
      <c r="W99" s="753">
        <f t="shared" si="90"/>
        <v>0.63284700000000005</v>
      </c>
      <c r="X99" s="22">
        <f>'HVAC Deemed Table'!J857</f>
        <v>18</v>
      </c>
      <c r="Y99" s="22"/>
      <c r="Z99" s="22">
        <f t="shared" si="105"/>
        <v>18</v>
      </c>
      <c r="AA99" s="17">
        <f>'HVAC Deemed Table'!DG857</f>
        <v>2.4962269624491458</v>
      </c>
      <c r="AB99" s="246">
        <f>'HVAC Deemed Table'!K857</f>
        <v>1081</v>
      </c>
      <c r="AC99" s="862">
        <f t="shared" si="106"/>
        <v>2698.4213464075265</v>
      </c>
      <c r="AD99" s="862">
        <f t="shared" si="91"/>
        <v>0</v>
      </c>
      <c r="AE99" s="195">
        <f>'HVAC Deemed Table'!DI857</f>
        <v>1529.4969318930594</v>
      </c>
      <c r="AF99" s="195">
        <f>'HVAC Deemed Table'!DI858</f>
        <v>1168.9244145144671</v>
      </c>
      <c r="AG99" s="195"/>
      <c r="AH99" s="195"/>
      <c r="AI99" s="866" t="e">
        <f t="shared" ref="AI99:AI104" si="111">AI98</f>
        <v>#REF!</v>
      </c>
      <c r="AJ99" s="45">
        <f>'HVAC Deemed Table'!L857</f>
        <v>2.8870833333333334</v>
      </c>
      <c r="AK99" s="621"/>
      <c r="AL99" s="621"/>
      <c r="AX99" s="1284" t="str">
        <f t="shared" si="102"/>
        <v>ASHP-SEER20_ROF_SF</v>
      </c>
      <c r="AY99" s="1307"/>
      <c r="AZ99" s="1376" t="str">
        <f t="shared" si="103"/>
        <v>354600</v>
      </c>
      <c r="BA99" s="1260">
        <f>BA98</f>
        <v>1621.81</v>
      </c>
      <c r="BB99" s="1260">
        <f>BB98</f>
        <v>2314.98</v>
      </c>
      <c r="BC99" s="1260">
        <f>BC98</f>
        <v>635.98</v>
      </c>
      <c r="BD99" s="1260">
        <f>BD98</f>
        <v>1796.248</v>
      </c>
      <c r="BE99" s="1234"/>
      <c r="BF99" s="1250">
        <f>ROUND(BA99*'CP FACTORS'!$B$9,6)</f>
        <v>1.536532</v>
      </c>
      <c r="BG99" s="1251">
        <f>ROUND(BB99*'CP FACTORS'!$B$14,6)</f>
        <v>0</v>
      </c>
      <c r="BH99" s="1250">
        <f>ROUND(BC99*'CP FACTORS'!$B$9,6)</f>
        <v>0.60253900000000005</v>
      </c>
      <c r="BI99" s="1252">
        <f>ROUND(BD99*'CP FACTORS'!$B$14,6)</f>
        <v>0</v>
      </c>
      <c r="BJ99" s="1234"/>
      <c r="BK99" s="698">
        <f t="shared" si="97"/>
        <v>3936.79</v>
      </c>
      <c r="BL99" s="1271">
        <f t="shared" si="98"/>
        <v>2432.2280000000001</v>
      </c>
      <c r="BM99" s="1270">
        <f t="shared" si="99"/>
        <v>1.536532</v>
      </c>
      <c r="BN99" s="1269">
        <f t="shared" si="100"/>
        <v>0.60253900000000005</v>
      </c>
    </row>
    <row r="100" spans="1:66" s="39" customFormat="1" x14ac:dyDescent="0.25">
      <c r="A100" s="49" t="str">
        <f t="shared" si="104"/>
        <v>354650</v>
      </c>
      <c r="B100" s="1371" t="str">
        <f>'HVAC Deemed Table'!C859</f>
        <v>354650_2024_12_</v>
      </c>
      <c r="C100" s="846" t="str">
        <f>'HVAC Deemed Table'!G859</f>
        <v>Cooling Res</v>
      </c>
      <c r="D100" s="846" t="str">
        <f>'HVAC Deemed Table'!G860</f>
        <v>Heating Res</v>
      </c>
      <c r="E100" s="846" t="str">
        <f>'HVAC Deemed Table'!G861</f>
        <v>Cooling Res ER2</v>
      </c>
      <c r="F100" s="846" t="str">
        <f>'HVAC Deemed Table'!G862</f>
        <v>Heating Res ER2</v>
      </c>
      <c r="G100" s="1307" t="str">
        <f>'HVAC Deemed Table'!E859</f>
        <v>ASHP-SEER20-Replace_CAC_ElectricHeat_ER1_MF</v>
      </c>
      <c r="H100" s="18" t="str">
        <f>'HVAC Deemed Table'!D859</f>
        <v>MFIE</v>
      </c>
      <c r="I100" s="750">
        <f t="shared" si="93"/>
        <v>8231.66</v>
      </c>
      <c r="J100" s="750">
        <f t="shared" si="94"/>
        <v>2316.23</v>
      </c>
      <c r="K100" s="189">
        <f>'HVAC Deemed Table'!F859</f>
        <v>1471.88</v>
      </c>
      <c r="L100" s="189">
        <f>'HVAC Deemed Table'!F860</f>
        <v>6759.78</v>
      </c>
      <c r="M100" s="189">
        <f>'HVAC Deemed Table'!F861</f>
        <v>517.47</v>
      </c>
      <c r="N100" s="189">
        <f>'HVAC Deemed Table'!F862</f>
        <v>1798.76</v>
      </c>
      <c r="O100" s="751">
        <f t="shared" si="95"/>
        <v>1.3944859999999999</v>
      </c>
      <c r="P100" s="751">
        <f t="shared" si="96"/>
        <v>0.49025999999999997</v>
      </c>
      <c r="Q100" s="752">
        <f>'HVAC Deemed Table'!I859</f>
        <v>1.3944859999999999</v>
      </c>
      <c r="R100" s="752">
        <f>'HVAC Deemed Table'!I860</f>
        <v>0</v>
      </c>
      <c r="S100" s="752">
        <f>'HVAC Deemed Table'!I861</f>
        <v>0.49025999999999997</v>
      </c>
      <c r="T100" s="752">
        <f>'HVAC Deemed Table'!I862</f>
        <v>0</v>
      </c>
      <c r="U100" s="753">
        <f t="shared" ref="U100:U126" si="112">IFERROR(IF(V100+W100&gt;0,0,IF(Z100&gt;0,O100,0)),0)</f>
        <v>0</v>
      </c>
      <c r="V100" s="753">
        <f t="shared" ref="V100:V126" si="113">IF(W100&gt;0,0,IF(Z100&gt;9,O100,0))</f>
        <v>0</v>
      </c>
      <c r="W100" s="753">
        <f t="shared" ref="W100:W126" si="114">IF(Z100&gt;14,O100,0)</f>
        <v>1.3944859999999999</v>
      </c>
      <c r="X100" s="22">
        <f>'HVAC Deemed Table'!J859</f>
        <v>6</v>
      </c>
      <c r="Y100" s="22">
        <f>'HVAC Deemed Table'!J861</f>
        <v>12</v>
      </c>
      <c r="Z100" s="22">
        <f t="shared" si="105"/>
        <v>18</v>
      </c>
      <c r="AA100" s="17">
        <f>'HVAC Deemed Table'!DG859</f>
        <v>1.184063273198767</v>
      </c>
      <c r="AB100" s="246">
        <f>'HVAC Deemed Table'!K859</f>
        <v>3847.7316315552043</v>
      </c>
      <c r="AC100" s="862">
        <f t="shared" si="106"/>
        <v>3278.5986580646622</v>
      </c>
      <c r="AD100" s="862">
        <f t="shared" si="91"/>
        <v>1277.359051985025</v>
      </c>
      <c r="AE100" s="195">
        <f>'HVAC Deemed Table'!DI859</f>
        <v>1465.7688974893831</v>
      </c>
      <c r="AF100" s="195">
        <f>'HVAC Deemed Table'!DI860</f>
        <v>1812.8297605752794</v>
      </c>
      <c r="AG100" s="195">
        <f>'HVAC Deemed Table'!DI861</f>
        <v>669.56519757482283</v>
      </c>
      <c r="AH100" s="195">
        <f>'HVAC Deemed Table'!DI862</f>
        <v>607.79385441020202</v>
      </c>
      <c r="AI100" s="866" t="e">
        <f t="shared" si="111"/>
        <v>#REF!</v>
      </c>
      <c r="AJ100" s="45">
        <f>'HVAC Deemed Table'!L859</f>
        <v>3.1</v>
      </c>
      <c r="AK100" s="621"/>
      <c r="AL100" s="621"/>
      <c r="AM100"/>
      <c r="AN100"/>
      <c r="AO100"/>
      <c r="AP100"/>
      <c r="AQ100"/>
      <c r="AR100"/>
      <c r="AS100"/>
      <c r="AT100"/>
      <c r="AU100"/>
      <c r="AV100"/>
      <c r="AW100"/>
      <c r="AX100" s="1284" t="str">
        <f t="shared" si="102"/>
        <v>ASHP-SEER20-Replace_CAC_ElectricHeat_ER1_MF</v>
      </c>
      <c r="AY100" s="1307"/>
      <c r="AZ100" s="1376" t="str">
        <f t="shared" si="103"/>
        <v>354650</v>
      </c>
      <c r="BA100" s="1258" t="e">
        <f>#REF!</f>
        <v>#REF!</v>
      </c>
      <c r="BB100" s="1258" t="e">
        <f>#REF!</f>
        <v>#REF!</v>
      </c>
      <c r="BC100" s="1258" t="e">
        <f>#REF!</f>
        <v>#REF!</v>
      </c>
      <c r="BD100" s="1258" t="e">
        <f>#REF!</f>
        <v>#REF!</v>
      </c>
      <c r="BE100" s="1235"/>
      <c r="BF100" s="1250" t="e">
        <f>ROUND(BA100*'CP FACTORS'!$B$9,6)</f>
        <v>#REF!</v>
      </c>
      <c r="BG100" s="1251" t="e">
        <f>ROUND(BB100*'CP FACTORS'!$B$14,6)</f>
        <v>#REF!</v>
      </c>
      <c r="BH100" s="1250" t="e">
        <f>ROUND(BC100*'CP FACTORS'!$B$9,6)</f>
        <v>#REF!</v>
      </c>
      <c r="BI100" s="1252" t="e">
        <f>ROUND(BD100*'CP FACTORS'!$B$14,6)</f>
        <v>#REF!</v>
      </c>
      <c r="BJ100" s="1234"/>
      <c r="BK100" s="698" t="e">
        <f t="shared" si="97"/>
        <v>#REF!</v>
      </c>
      <c r="BL100" s="1271" t="e">
        <f t="shared" si="98"/>
        <v>#REF!</v>
      </c>
      <c r="BM100" s="1270" t="e">
        <f t="shared" si="99"/>
        <v>#REF!</v>
      </c>
      <c r="BN100" s="1269" t="e">
        <f t="shared" si="100"/>
        <v>#REF!</v>
      </c>
    </row>
    <row r="101" spans="1:66" x14ac:dyDescent="0.25">
      <c r="A101" s="49" t="str">
        <f t="shared" si="104"/>
        <v>354700</v>
      </c>
      <c r="B101" s="1371" t="str">
        <f>'HVAC Deemed Table'!C863</f>
        <v>354700_2024_12_</v>
      </c>
      <c r="C101" s="846" t="str">
        <f>'HVAC Deemed Table'!G863</f>
        <v>Cooling Res</v>
      </c>
      <c r="D101" s="846" t="str">
        <f>'HVAC Deemed Table'!G864</f>
        <v>Heating Res</v>
      </c>
      <c r="E101" s="846" t="str">
        <f>'HVAC Deemed Table'!G865</f>
        <v>Cooling Res ER2</v>
      </c>
      <c r="F101" s="846" t="str">
        <f>'HVAC Deemed Table'!G866</f>
        <v>Heating Res ER2</v>
      </c>
      <c r="G101" s="1307" t="str">
        <f>'HVAC Deemed Table'!E863</f>
        <v>ASHP-SEER20_ER1_MF</v>
      </c>
      <c r="H101" s="18" t="str">
        <f>'HVAC Deemed Table'!D863</f>
        <v>MFIE</v>
      </c>
      <c r="I101" s="750">
        <f t="shared" si="93"/>
        <v>3365.6</v>
      </c>
      <c r="J101" s="750">
        <f t="shared" si="94"/>
        <v>1526.7</v>
      </c>
      <c r="K101" s="189">
        <f>'HVAC Deemed Table'!F863</f>
        <v>1566.84</v>
      </c>
      <c r="L101" s="189">
        <f>'HVAC Deemed Table'!F864</f>
        <v>1798.76</v>
      </c>
      <c r="M101" s="189">
        <f>'HVAC Deemed Table'!F865</f>
        <v>445.8</v>
      </c>
      <c r="N101" s="189">
        <f>'HVAC Deemed Table'!F866</f>
        <v>1080.9000000000001</v>
      </c>
      <c r="O101" s="751">
        <f t="shared" si="95"/>
        <v>1.484453</v>
      </c>
      <c r="P101" s="751">
        <f t="shared" si="96"/>
        <v>0.42235899999999998</v>
      </c>
      <c r="Q101" s="752">
        <f>'HVAC Deemed Table'!I863</f>
        <v>1.484453</v>
      </c>
      <c r="R101" s="752">
        <f>'HVAC Deemed Table'!I864</f>
        <v>0</v>
      </c>
      <c r="S101" s="752">
        <f>'HVAC Deemed Table'!I865</f>
        <v>0.42235899999999998</v>
      </c>
      <c r="T101" s="752">
        <f>'HVAC Deemed Table'!I866</f>
        <v>0</v>
      </c>
      <c r="U101" s="753">
        <f t="shared" si="112"/>
        <v>0</v>
      </c>
      <c r="V101" s="753">
        <f t="shared" si="113"/>
        <v>0</v>
      </c>
      <c r="W101" s="753">
        <f t="shared" si="114"/>
        <v>1.484453</v>
      </c>
      <c r="X101" s="22">
        <f>'HVAC Deemed Table'!J863</f>
        <v>6</v>
      </c>
      <c r="Y101" s="22">
        <f>'HVAC Deemed Table'!J865</f>
        <v>12</v>
      </c>
      <c r="Z101" s="22">
        <f t="shared" si="105"/>
        <v>18</v>
      </c>
      <c r="AA101" s="17">
        <f>'HVAC Deemed Table'!DG863</f>
        <v>2.7700554875978467</v>
      </c>
      <c r="AB101" s="246">
        <f>'HVAC Deemed Table'!K863</f>
        <v>1077.5183641564863</v>
      </c>
      <c r="AC101" s="862">
        <f t="shared" si="106"/>
        <v>2042.7239502346843</v>
      </c>
      <c r="AD101" s="862">
        <f t="shared" ref="AD101:AD126" si="115">AG101+AH101</f>
        <v>942.06170738444598</v>
      </c>
      <c r="AE101" s="195">
        <f>'HVAC Deemed Table'!DI863</f>
        <v>1560.3346328112787</v>
      </c>
      <c r="AF101" s="195">
        <f>'HVAC Deemed Table'!DI864</f>
        <v>482.38931742340571</v>
      </c>
      <c r="AG101" s="195">
        <f>'HVAC Deemed Table'!DI865</f>
        <v>576.82989367278492</v>
      </c>
      <c r="AH101" s="195">
        <f>'HVAC Deemed Table'!DI866</f>
        <v>365.23181371166106</v>
      </c>
      <c r="AI101" s="866" t="e">
        <f>#REF!</f>
        <v>#REF!</v>
      </c>
      <c r="AJ101" s="45">
        <f>'HVAC Deemed Table'!L863</f>
        <v>3.3</v>
      </c>
      <c r="AK101" s="621"/>
      <c r="AL101" s="621"/>
      <c r="AX101" s="1284" t="str">
        <f t="shared" si="102"/>
        <v>ASHP-SEER20_ER1_MF</v>
      </c>
      <c r="AY101" s="1307"/>
      <c r="AZ101" s="1376" t="str">
        <f t="shared" si="103"/>
        <v>354700</v>
      </c>
      <c r="BA101" s="1254">
        <f>ROUND((K101*$BC$3)+(K109*$BC$4),2)</f>
        <v>1118.42</v>
      </c>
      <c r="BB101" s="1254">
        <f>ROUND((L101*$BC$3)+(L109*$BC$4),2)</f>
        <v>1561.25</v>
      </c>
      <c r="BC101" s="1254">
        <f>ROUND((M101*$BC$3)+(K109*$BC$4),2)</f>
        <v>445.8</v>
      </c>
      <c r="BD101" s="1254">
        <f>ROUND((N101*$BC$3)+(L109*$BC$4),2)</f>
        <v>1130.53</v>
      </c>
      <c r="BE101" s="1234"/>
      <c r="BF101" s="1250">
        <f>ROUND(BA101*'CP FACTORS'!$B$9,6)</f>
        <v>1.0596110000000001</v>
      </c>
      <c r="BG101" s="1251">
        <f>ROUND(BB101*'CP FACTORS'!$B$14,6)</f>
        <v>0</v>
      </c>
      <c r="BH101" s="1250">
        <f>ROUND(BC101*'CP FACTORS'!$B$9,6)</f>
        <v>0.42235899999999998</v>
      </c>
      <c r="BI101" s="1252">
        <f>ROUND(BD101*'CP FACTORS'!$B$14,6)</f>
        <v>0</v>
      </c>
      <c r="BJ101" s="1234"/>
      <c r="BK101" s="698">
        <f t="shared" ref="BK101:BK126" si="116">BA101+BB101</f>
        <v>2679.67</v>
      </c>
      <c r="BL101" s="1271">
        <f t="shared" ref="BL101:BL126" si="117">BC101+BD101</f>
        <v>1576.33</v>
      </c>
      <c r="BM101" s="1270">
        <f t="shared" ref="BM101:BM126" si="118">BF101+BG101</f>
        <v>1.0596110000000001</v>
      </c>
      <c r="BN101" s="1269">
        <f t="shared" ref="BN101:BN126" si="119">BH101+BI101</f>
        <v>0.42235899999999998</v>
      </c>
    </row>
    <row r="102" spans="1:66" x14ac:dyDescent="0.25">
      <c r="A102" s="49" t="str">
        <f t="shared" si="104"/>
        <v>354750</v>
      </c>
      <c r="B102" s="1371" t="str">
        <f>'HVAC Deemed Table'!C867</f>
        <v>354750_2024_12_</v>
      </c>
      <c r="C102" s="846" t="str">
        <f>'HVAC Deemed Table'!G867</f>
        <v>Cooling Res</v>
      </c>
      <c r="D102" s="846" t="str">
        <f>'HVAC Deemed Table'!G868</f>
        <v>Heating Res</v>
      </c>
      <c r="E102" s="846" t="str">
        <f>'HVAC Deemed Table'!G869</f>
        <v>Cooling Res ER2</v>
      </c>
      <c r="F102" s="846" t="str">
        <f>'HVAC Deemed Table'!G870</f>
        <v>Heating Res ER2</v>
      </c>
      <c r="G102" s="1307" t="str">
        <f>'HVAC Deemed Table'!E867</f>
        <v>ASHP-SEER21_ER1_SF</v>
      </c>
      <c r="H102" s="18" t="str">
        <f>'HVAC Deemed Table'!D867</f>
        <v>PAYS/SFIE</v>
      </c>
      <c r="I102" s="750">
        <f t="shared" si="93"/>
        <v>6039.68</v>
      </c>
      <c r="J102" s="750">
        <f t="shared" si="94"/>
        <v>3225.6000000000004</v>
      </c>
      <c r="K102" s="189">
        <f>'HVAC Deemed Table'!F867</f>
        <v>2498.89</v>
      </c>
      <c r="L102" s="189">
        <f>'HVAC Deemed Table'!F868</f>
        <v>3540.79</v>
      </c>
      <c r="M102" s="189">
        <f>'HVAC Deemed Table'!F869</f>
        <v>803.95</v>
      </c>
      <c r="N102" s="189">
        <f>'HVAC Deemed Table'!F870</f>
        <v>2421.65</v>
      </c>
      <c r="O102" s="751">
        <f t="shared" si="95"/>
        <v>2.3674940000000002</v>
      </c>
      <c r="P102" s="751">
        <f t="shared" si="96"/>
        <v>0.76167700000000005</v>
      </c>
      <c r="Q102" s="752">
        <f>'HVAC Deemed Table'!I867</f>
        <v>2.3674940000000002</v>
      </c>
      <c r="R102" s="752">
        <f>'HVAC Deemed Table'!I868</f>
        <v>0</v>
      </c>
      <c r="S102" s="752">
        <f>'HVAC Deemed Table'!I869</f>
        <v>0.76167700000000005</v>
      </c>
      <c r="T102" s="752">
        <f>'HVAC Deemed Table'!I870</f>
        <v>0</v>
      </c>
      <c r="U102" s="753">
        <f t="shared" si="112"/>
        <v>0</v>
      </c>
      <c r="V102" s="753">
        <f t="shared" si="113"/>
        <v>0</v>
      </c>
      <c r="W102" s="753">
        <f t="shared" si="114"/>
        <v>2.3674940000000002</v>
      </c>
      <c r="X102" s="22">
        <f>'HVAC Deemed Table'!J867</f>
        <v>6</v>
      </c>
      <c r="Y102" s="22">
        <f>'HVAC Deemed Table'!J869</f>
        <v>12</v>
      </c>
      <c r="Z102" s="22">
        <f t="shared" si="105"/>
        <v>18</v>
      </c>
      <c r="AA102" s="17">
        <f>'HVAC Deemed Table'!DG867</f>
        <v>4.9132558915014366</v>
      </c>
      <c r="AB102" s="246">
        <f>'HVAC Deemed Table'!K867</f>
        <v>1078.0210431568885</v>
      </c>
      <c r="AC102" s="862">
        <f t="shared" si="106"/>
        <v>3438.0797028415091</v>
      </c>
      <c r="AD102" s="862">
        <f t="shared" si="115"/>
        <v>1858.5135386115981</v>
      </c>
      <c r="AE102" s="195">
        <f>'HVAC Deemed Table'!DI867</f>
        <v>2488.5148519221975</v>
      </c>
      <c r="AF102" s="195">
        <f>'HVAC Deemed Table'!DI868</f>
        <v>949.56485091931154</v>
      </c>
      <c r="AG102" s="195">
        <f>'HVAC Deemed Table'!DI869</f>
        <v>1040.2476290225111</v>
      </c>
      <c r="AH102" s="195">
        <f>'HVAC Deemed Table'!DI870</f>
        <v>818.26590958908685</v>
      </c>
      <c r="AI102" s="866" t="e">
        <f>#REF!</f>
        <v>#REF!</v>
      </c>
      <c r="AJ102" s="45">
        <f>'HVAC Deemed Table'!L867</f>
        <v>3.3440561485431846</v>
      </c>
      <c r="AK102" s="621"/>
      <c r="AL102" s="621"/>
      <c r="AX102" s="1284" t="str">
        <f t="shared" si="102"/>
        <v>ASHP-SEER21_ER1_SF</v>
      </c>
      <c r="AY102" s="1307"/>
      <c r="AZ102" s="1376" t="str">
        <f t="shared" si="103"/>
        <v>354750</v>
      </c>
      <c r="BA102" s="1260">
        <f>ROUND((K102*$BC$3)+(K103*$BC$4),2)</f>
        <v>1827.33</v>
      </c>
      <c r="BB102" s="1260">
        <f>ROUND((L102*$BC$3)+(L103*$BC$4),2)</f>
        <v>3098.09</v>
      </c>
      <c r="BC102" s="1260">
        <f>ROUND((M102*$BC$3)+(K103*$BC$4),2)</f>
        <v>810.37</v>
      </c>
      <c r="BD102" s="1260">
        <f>(N102*$BC$3)+(L103*$BC$4)</f>
        <v>2426.61</v>
      </c>
      <c r="BE102" s="1234"/>
      <c r="BF102" s="1250">
        <f>ROUND(BA102*'CP FACTORS'!$B$9,6)</f>
        <v>1.7312460000000001</v>
      </c>
      <c r="BG102" s="1251">
        <f>ROUND(BB102*'CP FACTORS'!$B$14,6)</f>
        <v>0</v>
      </c>
      <c r="BH102" s="1250">
        <f>ROUND(BC102*'CP FACTORS'!$B$9,6)</f>
        <v>0.76775899999999997</v>
      </c>
      <c r="BI102" s="1252">
        <f>ROUND(BD102*'CP FACTORS'!$B$14,6)</f>
        <v>0</v>
      </c>
      <c r="BJ102" s="1234"/>
      <c r="BK102" s="698">
        <f t="shared" si="116"/>
        <v>4925.42</v>
      </c>
      <c r="BL102" s="1271">
        <f t="shared" si="117"/>
        <v>3236.98</v>
      </c>
      <c r="BM102" s="1270">
        <f t="shared" si="118"/>
        <v>1.7312460000000001</v>
      </c>
      <c r="BN102" s="1269">
        <f t="shared" si="119"/>
        <v>0.76775899999999997</v>
      </c>
    </row>
    <row r="103" spans="1:66" x14ac:dyDescent="0.25">
      <c r="A103" s="49" t="str">
        <f t="shared" si="104"/>
        <v>354800</v>
      </c>
      <c r="B103" s="1371" t="str">
        <f>'HVAC Deemed Table'!C871</f>
        <v>354800_2024_12_</v>
      </c>
      <c r="C103" s="846" t="str">
        <f>'HVAC Deemed Table'!G871</f>
        <v>Cooling Res</v>
      </c>
      <c r="D103" s="846" t="str">
        <f>'HVAC Deemed Table'!G872</f>
        <v>Heating Res</v>
      </c>
      <c r="E103" s="1307"/>
      <c r="F103" s="1307"/>
      <c r="G103" s="1307" t="str">
        <f>'HVAC Deemed Table'!E871</f>
        <v>ASHP-SEER21_ROF_SF</v>
      </c>
      <c r="H103" s="18" t="str">
        <f>'HVAC Deemed Table'!D871</f>
        <v>PAYS/SFIE</v>
      </c>
      <c r="I103" s="750">
        <f t="shared" ref="I103:I126" si="120">K103+L103</f>
        <v>3254.05</v>
      </c>
      <c r="J103" s="750">
        <f t="shared" ref="J103:J126" si="121">M103+N103</f>
        <v>0</v>
      </c>
      <c r="K103" s="189">
        <f>'HVAC Deemed Table'!F871</f>
        <v>820</v>
      </c>
      <c r="L103" s="189">
        <f>'HVAC Deemed Table'!F872</f>
        <v>2434.0500000000002</v>
      </c>
      <c r="M103" s="189"/>
      <c r="N103" s="189"/>
      <c r="O103" s="751">
        <f t="shared" ref="O103:O126" si="122">Q103+R103</f>
        <v>0.77688299999999999</v>
      </c>
      <c r="P103" s="751">
        <f t="shared" ref="P103:P126" si="123">S103+T103</f>
        <v>0</v>
      </c>
      <c r="Q103" s="752">
        <f>'HVAC Deemed Table'!I871</f>
        <v>0.77688299999999999</v>
      </c>
      <c r="R103" s="752">
        <f>'HVAC Deemed Table'!I872</f>
        <v>0</v>
      </c>
      <c r="S103" s="752"/>
      <c r="T103" s="752"/>
      <c r="U103" s="753">
        <f t="shared" si="112"/>
        <v>0</v>
      </c>
      <c r="V103" s="753">
        <f t="shared" si="113"/>
        <v>0</v>
      </c>
      <c r="W103" s="753">
        <f t="shared" si="114"/>
        <v>0.77688299999999999</v>
      </c>
      <c r="X103" s="22">
        <f>'HVAC Deemed Table'!J871</f>
        <v>18</v>
      </c>
      <c r="Y103" s="22"/>
      <c r="Z103" s="22">
        <f t="shared" si="105"/>
        <v>18</v>
      </c>
      <c r="AA103" s="17">
        <f>'HVAC Deemed Table'!DG871</f>
        <v>3.1015975504547115</v>
      </c>
      <c r="AB103" s="246">
        <f>'HVAC Deemed Table'!K871</f>
        <v>1081</v>
      </c>
      <c r="AC103" s="862">
        <f t="shared" si="106"/>
        <v>3352.8269520415433</v>
      </c>
      <c r="AD103" s="862">
        <f t="shared" si="115"/>
        <v>0</v>
      </c>
      <c r="AE103" s="195">
        <f>'HVAC Deemed Table'!DI871</f>
        <v>1877.6104977054488</v>
      </c>
      <c r="AF103" s="195">
        <f>'HVAC Deemed Table'!DI872</f>
        <v>1475.2164543360946</v>
      </c>
      <c r="AG103" s="195"/>
      <c r="AH103" s="195"/>
      <c r="AI103" s="866" t="e">
        <f t="shared" si="111"/>
        <v>#REF!</v>
      </c>
      <c r="AJ103" s="45">
        <f>'HVAC Deemed Table'!L871</f>
        <v>3.4699494950520831</v>
      </c>
      <c r="AK103" s="621"/>
      <c r="AL103" s="621"/>
      <c r="AX103" s="1284" t="str">
        <f t="shared" si="102"/>
        <v>ASHP-SEER21_ROF_SF</v>
      </c>
      <c r="AY103" s="1307"/>
      <c r="AZ103" s="1376" t="str">
        <f t="shared" si="103"/>
        <v>354800</v>
      </c>
      <c r="BA103" s="1260">
        <f>BA102</f>
        <v>1827.33</v>
      </c>
      <c r="BB103" s="1260">
        <f>BB102</f>
        <v>3098.09</v>
      </c>
      <c r="BC103" s="1260">
        <f>BC102</f>
        <v>810.37</v>
      </c>
      <c r="BD103" s="1260">
        <f>BD102</f>
        <v>2426.61</v>
      </c>
      <c r="BE103" s="1234"/>
      <c r="BF103" s="1250">
        <f>ROUND(BA103*'CP FACTORS'!$B$9,6)</f>
        <v>1.7312460000000001</v>
      </c>
      <c r="BG103" s="1251">
        <f>ROUND(BB103*'CP FACTORS'!$B$14,6)</f>
        <v>0</v>
      </c>
      <c r="BH103" s="1250">
        <f>ROUND(BC103*'CP FACTORS'!$B$9,6)</f>
        <v>0.76775899999999997</v>
      </c>
      <c r="BI103" s="1252">
        <f>ROUND(BD103*'CP FACTORS'!$B$14,6)</f>
        <v>0</v>
      </c>
      <c r="BJ103" s="1234"/>
      <c r="BK103" s="698">
        <f t="shared" si="116"/>
        <v>4925.42</v>
      </c>
      <c r="BL103" s="1271">
        <f t="shared" si="117"/>
        <v>3236.98</v>
      </c>
      <c r="BM103" s="1270">
        <f t="shared" si="118"/>
        <v>1.7312460000000001</v>
      </c>
      <c r="BN103" s="1269">
        <f t="shared" si="119"/>
        <v>0.76775899999999997</v>
      </c>
    </row>
    <row r="104" spans="1:66" s="39" customFormat="1" x14ac:dyDescent="0.25">
      <c r="A104" s="49" t="str">
        <f t="shared" si="104"/>
        <v>354850</v>
      </c>
      <c r="B104" s="1371" t="str">
        <f>'HVAC Deemed Table'!C873</f>
        <v>354850_2024_12_</v>
      </c>
      <c r="C104" s="846" t="str">
        <f>'HVAC Deemed Table'!G873</f>
        <v>Cooling Res</v>
      </c>
      <c r="D104" s="846" t="str">
        <f>'HVAC Deemed Table'!G874</f>
        <v>Heating Res</v>
      </c>
      <c r="E104" s="1307"/>
      <c r="F104" s="1307"/>
      <c r="G104" s="1307" t="str">
        <f>'HVAC Deemed Table'!E873</f>
        <v>ASHP-SEER21-Replace_CAC_ElectricHeat_ROF_MF</v>
      </c>
      <c r="H104" s="18" t="str">
        <f>'HVAC Deemed Table'!D873</f>
        <v>MFIE</v>
      </c>
      <c r="I104" s="750">
        <f t="shared" si="120"/>
        <v>6725.69</v>
      </c>
      <c r="J104" s="750">
        <f t="shared" si="121"/>
        <v>0</v>
      </c>
      <c r="K104" s="189">
        <f>'HVAC Deemed Table'!F873</f>
        <v>512.58000000000004</v>
      </c>
      <c r="L104" s="189">
        <f>'HVAC Deemed Table'!F874</f>
        <v>6213.11</v>
      </c>
      <c r="M104" s="189"/>
      <c r="N104" s="189"/>
      <c r="O104" s="751">
        <f t="shared" si="122"/>
        <v>0.485628</v>
      </c>
      <c r="P104" s="751">
        <f t="shared" si="123"/>
        <v>0</v>
      </c>
      <c r="Q104" s="752">
        <f>'HVAC Deemed Table'!I873</f>
        <v>0.485628</v>
      </c>
      <c r="R104" s="752">
        <f>'HVAC Deemed Table'!I874</f>
        <v>0</v>
      </c>
      <c r="S104" s="752"/>
      <c r="T104" s="752"/>
      <c r="U104" s="753">
        <f t="shared" si="112"/>
        <v>0</v>
      </c>
      <c r="V104" s="753">
        <f t="shared" si="113"/>
        <v>0</v>
      </c>
      <c r="W104" s="753">
        <f t="shared" si="114"/>
        <v>0.485628</v>
      </c>
      <c r="X104" s="22">
        <f>'HVAC Deemed Table'!J873</f>
        <v>18</v>
      </c>
      <c r="Y104" s="22"/>
      <c r="Z104" s="22">
        <f t="shared" si="105"/>
        <v>18</v>
      </c>
      <c r="AA104" s="17">
        <f>'HVAC Deemed Table'!DG873</f>
        <v>1.3389263665740025</v>
      </c>
      <c r="AB104" s="246">
        <f>'HVAC Deemed Table'!K873</f>
        <v>3689</v>
      </c>
      <c r="AC104" s="862">
        <f t="shared" si="106"/>
        <v>4939.2993662914951</v>
      </c>
      <c r="AD104" s="862">
        <f t="shared" si="115"/>
        <v>0</v>
      </c>
      <c r="AE104" s="195">
        <f>'HVAC Deemed Table'!DI873</f>
        <v>1173.6897425778768</v>
      </c>
      <c r="AF104" s="195">
        <f>'HVAC Deemed Table'!DI874</f>
        <v>3765.609623713618</v>
      </c>
      <c r="AG104" s="195"/>
      <c r="AH104" s="195"/>
      <c r="AI104" s="866" t="e">
        <f t="shared" si="111"/>
        <v>#REF!</v>
      </c>
      <c r="AJ104" s="45">
        <f>'HVAC Deemed Table'!L873</f>
        <v>2.8</v>
      </c>
      <c r="AK104" s="621"/>
      <c r="AL104" s="621"/>
      <c r="AM104"/>
      <c r="AN104"/>
      <c r="AO104"/>
      <c r="AP104"/>
      <c r="AQ104"/>
      <c r="AR104"/>
      <c r="AS104"/>
      <c r="AT104"/>
      <c r="AU104"/>
      <c r="AV104"/>
      <c r="AW104"/>
      <c r="AX104" s="1284" t="str">
        <f t="shared" si="102"/>
        <v>ASHP-SEER21-Replace_CAC_ElectricHeat_ROF_MF</v>
      </c>
      <c r="AY104" s="1307"/>
      <c r="AZ104" s="1376" t="str">
        <f t="shared" si="103"/>
        <v>354850</v>
      </c>
      <c r="BA104" s="1267">
        <f>BA77</f>
        <v>1118.18</v>
      </c>
      <c r="BB104" s="1267">
        <f>BB77</f>
        <v>6541.11</v>
      </c>
      <c r="BC104" s="1267">
        <f>BC77</f>
        <v>545.53</v>
      </c>
      <c r="BD104" s="1267">
        <f>BD77</f>
        <v>6541.11</v>
      </c>
      <c r="BE104" s="1235"/>
      <c r="BF104" s="1250">
        <f>ROUND(BA104*'CP FACTORS'!$B$9,6)</f>
        <v>1.0593840000000001</v>
      </c>
      <c r="BG104" s="1251">
        <f>ROUND(BB104*'CP FACTORS'!$B$14,6)</f>
        <v>0</v>
      </c>
      <c r="BH104" s="1250">
        <f>ROUND(BC104*'CP FACTORS'!$B$9,6)</f>
        <v>0.516845</v>
      </c>
      <c r="BI104" s="1252">
        <f>ROUND(BD104*'CP FACTORS'!$B$14,6)</f>
        <v>0</v>
      </c>
      <c r="BJ104" s="1234"/>
      <c r="BK104" s="698">
        <f t="shared" si="116"/>
        <v>7659.29</v>
      </c>
      <c r="BL104" s="1271">
        <f t="shared" si="117"/>
        <v>7086.6399999999994</v>
      </c>
      <c r="BM104" s="1270">
        <f t="shared" si="118"/>
        <v>1.0593840000000001</v>
      </c>
      <c r="BN104" s="1269">
        <f t="shared" si="119"/>
        <v>0.516845</v>
      </c>
    </row>
    <row r="105" spans="1:66" x14ac:dyDescent="0.25">
      <c r="A105" s="49" t="str">
        <f t="shared" si="104"/>
        <v>354900</v>
      </c>
      <c r="B105" s="1371" t="str">
        <f>'HVAC Deemed Table'!C875</f>
        <v>354900_2024_12_</v>
      </c>
      <c r="C105" s="846" t="str">
        <f>'HVAC Deemed Table'!G875</f>
        <v>Cooling Res</v>
      </c>
      <c r="D105" s="846" t="str">
        <f>'HVAC Deemed Table'!G876</f>
        <v>Heating Res</v>
      </c>
      <c r="E105" s="846" t="str">
        <f>'HVAC Deemed Table'!G877</f>
        <v>Cooling Res ER2</v>
      </c>
      <c r="F105" s="846" t="str">
        <f>'HVAC Deemed Table'!G878</f>
        <v>Heating Res ER2</v>
      </c>
      <c r="G105" s="1307" t="str">
        <f>'HVAC Deemed Table'!E875</f>
        <v>ASHP-SEER21_ER1_MF</v>
      </c>
      <c r="H105" s="18" t="str">
        <f>'HVAC Deemed Table'!D875</f>
        <v>MFIE</v>
      </c>
      <c r="I105" s="750">
        <f t="shared" si="120"/>
        <v>3418.8599999999997</v>
      </c>
      <c r="J105" s="750">
        <f t="shared" si="121"/>
        <v>1579.95</v>
      </c>
      <c r="K105" s="189">
        <f>'HVAC Deemed Table'!F875</f>
        <v>1620.1</v>
      </c>
      <c r="L105" s="189">
        <f>'HVAC Deemed Table'!F876</f>
        <v>1798.76</v>
      </c>
      <c r="M105" s="189">
        <f>'HVAC Deemed Table'!F877</f>
        <v>499.05</v>
      </c>
      <c r="N105" s="189">
        <f>'HVAC Deemed Table'!F878</f>
        <v>1080.9000000000001</v>
      </c>
      <c r="O105" s="751">
        <f t="shared" si="122"/>
        <v>1.5349120000000001</v>
      </c>
      <c r="P105" s="751">
        <f t="shared" si="123"/>
        <v>0.47280899999999998</v>
      </c>
      <c r="Q105" s="752">
        <f>'HVAC Deemed Table'!I875</f>
        <v>1.5349120000000001</v>
      </c>
      <c r="R105" s="752">
        <f>'HVAC Deemed Table'!I876</f>
        <v>0</v>
      </c>
      <c r="S105" s="752">
        <f>'HVAC Deemed Table'!I877</f>
        <v>0.47280899999999998</v>
      </c>
      <c r="T105" s="752">
        <f>'HVAC Deemed Table'!I878</f>
        <v>0</v>
      </c>
      <c r="U105" s="753">
        <f t="shared" si="112"/>
        <v>0</v>
      </c>
      <c r="V105" s="753">
        <f t="shared" si="113"/>
        <v>0</v>
      </c>
      <c r="W105" s="753">
        <f t="shared" si="114"/>
        <v>1.5349120000000001</v>
      </c>
      <c r="X105" s="22">
        <f>'HVAC Deemed Table'!J875</f>
        <v>6</v>
      </c>
      <c r="Y105" s="22">
        <f>'HVAC Deemed Table'!J877</f>
        <v>12</v>
      </c>
      <c r="Z105" s="22">
        <f t="shared" si="105"/>
        <v>18</v>
      </c>
      <c r="AA105" s="17">
        <f>'HVAC Deemed Table'!DG875</f>
        <v>2.8832230738248383</v>
      </c>
      <c r="AB105" s="246">
        <f>'HVAC Deemed Table'!K875</f>
        <v>1077.5183641564863</v>
      </c>
      <c r="AC105" s="862">
        <f t="shared" si="106"/>
        <v>2095.7628198981656</v>
      </c>
      <c r="AD105" s="862">
        <f t="shared" si="115"/>
        <v>1010.9629901078102</v>
      </c>
      <c r="AE105" s="195">
        <f>'HVAC Deemed Table'!DI875</f>
        <v>1613.3735024747598</v>
      </c>
      <c r="AF105" s="195">
        <f>'HVAC Deemed Table'!DI876</f>
        <v>482.38931742340571</v>
      </c>
      <c r="AG105" s="195">
        <f>'HVAC Deemed Table'!DI877</f>
        <v>645.73117639614918</v>
      </c>
      <c r="AH105" s="195">
        <f>'HVAC Deemed Table'!DI878</f>
        <v>365.23181371166106</v>
      </c>
      <c r="AI105" s="866" t="e">
        <f>#REF!</f>
        <v>#REF!</v>
      </c>
      <c r="AJ105" s="45">
        <f>'HVAC Deemed Table'!L875</f>
        <v>3.3</v>
      </c>
      <c r="AK105" s="621"/>
      <c r="AL105" s="621"/>
      <c r="AX105" s="1284" t="str">
        <f t="shared" si="102"/>
        <v>ASHP-SEER21_ER1_MF</v>
      </c>
      <c r="AY105" s="1307"/>
      <c r="AZ105" s="1376" t="str">
        <f t="shared" si="103"/>
        <v>354900</v>
      </c>
      <c r="BA105" s="1260">
        <f>ROUND((K105*$BC$3)+(K110*$BC$4),2)</f>
        <v>1171.68</v>
      </c>
      <c r="BB105" s="1260">
        <f>ROUND((L105*$BC$3)+(L110*$BC$4),2)</f>
        <v>1561.25</v>
      </c>
      <c r="BC105" s="1260">
        <f>ROUND((M105*$BC$3)+(K110*$BC$4),2)</f>
        <v>499.05</v>
      </c>
      <c r="BD105" s="1260">
        <f>ROUND((N105*$BC$3)+(L110*$BC$4),2)</f>
        <v>1130.53</v>
      </c>
      <c r="BE105" s="1234"/>
      <c r="BF105" s="1250">
        <f>ROUND(BA105*'CP FACTORS'!$B$9,6)</f>
        <v>1.110071</v>
      </c>
      <c r="BG105" s="1251">
        <f>ROUND(BB105*'CP FACTORS'!$B$14,6)</f>
        <v>0</v>
      </c>
      <c r="BH105" s="1250">
        <f>ROUND(BC105*'CP FACTORS'!$B$9,6)</f>
        <v>0.47280899999999998</v>
      </c>
      <c r="BI105" s="1252">
        <f>ROUND(BD105*'CP FACTORS'!$B$14,6)</f>
        <v>0</v>
      </c>
      <c r="BJ105" s="1234"/>
      <c r="BK105" s="698">
        <f t="shared" si="116"/>
        <v>2732.9300000000003</v>
      </c>
      <c r="BL105" s="1271">
        <f t="shared" si="117"/>
        <v>1629.58</v>
      </c>
      <c r="BM105" s="1270">
        <f t="shared" si="118"/>
        <v>1.110071</v>
      </c>
      <c r="BN105" s="1269">
        <f t="shared" si="119"/>
        <v>0.47280899999999998</v>
      </c>
    </row>
    <row r="106" spans="1:66" x14ac:dyDescent="0.25">
      <c r="A106" s="49" t="str">
        <f t="shared" si="104"/>
        <v>354950</v>
      </c>
      <c r="B106" s="1371" t="str">
        <f>'HVAC Deemed Table'!C879</f>
        <v>354950_2024_12_</v>
      </c>
      <c r="C106" s="846" t="str">
        <f>'HVAC Deemed Table'!G879</f>
        <v>Cooling Res</v>
      </c>
      <c r="D106" s="846" t="str">
        <f>'HVAC Deemed Table'!G880</f>
        <v>Heating Res</v>
      </c>
      <c r="E106" s="1307"/>
      <c r="F106" s="1307"/>
      <c r="G106" s="1307" t="str">
        <f>'HVAC Deemed Table'!E879</f>
        <v>ASHP-SEER17_ROF_MF</v>
      </c>
      <c r="H106" s="18" t="str">
        <f>'HVAC Deemed Table'!D879</f>
        <v>MFIE</v>
      </c>
      <c r="I106" s="750">
        <f t="shared" si="120"/>
        <v>1453.41</v>
      </c>
      <c r="J106" s="750">
        <f t="shared" si="121"/>
        <v>0</v>
      </c>
      <c r="K106" s="189">
        <f>'HVAC Deemed Table'!F879</f>
        <v>248.43</v>
      </c>
      <c r="L106" s="189">
        <f>'HVAC Deemed Table'!F880</f>
        <v>1204.98</v>
      </c>
      <c r="M106" s="189"/>
      <c r="N106" s="189"/>
      <c r="O106" s="751">
        <f t="shared" si="122"/>
        <v>0.23536699999999999</v>
      </c>
      <c r="P106" s="751">
        <f t="shared" si="123"/>
        <v>0</v>
      </c>
      <c r="Q106" s="752">
        <f>'HVAC Deemed Table'!I879</f>
        <v>0.23536699999999999</v>
      </c>
      <c r="R106" s="752">
        <f>'HVAC Deemed Table'!I880</f>
        <v>0</v>
      </c>
      <c r="S106" s="752"/>
      <c r="T106" s="752"/>
      <c r="U106" s="753">
        <f t="shared" si="112"/>
        <v>0</v>
      </c>
      <c r="V106" s="753">
        <f t="shared" si="113"/>
        <v>0</v>
      </c>
      <c r="W106" s="753">
        <f t="shared" si="114"/>
        <v>0.23536699999999999</v>
      </c>
      <c r="X106" s="22">
        <f>'HVAC Deemed Table'!J879</f>
        <v>18</v>
      </c>
      <c r="Y106" s="22"/>
      <c r="Z106" s="22">
        <f t="shared" si="105"/>
        <v>18</v>
      </c>
      <c r="AA106" s="17">
        <f>'HVAC Deemed Table'!DG879</f>
        <v>2.0621513389005171</v>
      </c>
      <c r="AB106" s="246">
        <f>'HVAC Deemed Table'!K879</f>
        <v>630</v>
      </c>
      <c r="AC106" s="862">
        <f t="shared" si="106"/>
        <v>1299.1553435073258</v>
      </c>
      <c r="AD106" s="862">
        <f t="shared" si="115"/>
        <v>0</v>
      </c>
      <c r="AE106" s="195">
        <f>'HVAC Deemed Table'!DI879</f>
        <v>568.8472877377618</v>
      </c>
      <c r="AF106" s="195">
        <f>'HVAC Deemed Table'!DI880</f>
        <v>730.30805576956402</v>
      </c>
      <c r="AG106" s="195"/>
      <c r="AH106" s="195"/>
      <c r="AI106" s="866" t="e">
        <f>#REF!</f>
        <v>#REF!</v>
      </c>
      <c r="AJ106" s="45">
        <f>'HVAC Deemed Table'!L879</f>
        <v>3.3</v>
      </c>
      <c r="AK106" s="621"/>
      <c r="AL106" s="621"/>
      <c r="AX106" s="1284" t="str">
        <f t="shared" si="102"/>
        <v>ASHP-SEER17_ROF_MF</v>
      </c>
      <c r="AY106" s="1307"/>
      <c r="AZ106" s="1376" t="str">
        <f t="shared" si="103"/>
        <v>354950</v>
      </c>
      <c r="BA106" s="1268">
        <f>BA89</f>
        <v>921.05</v>
      </c>
      <c r="BB106" s="1268">
        <f>BB89</f>
        <v>1561.25</v>
      </c>
      <c r="BC106" s="1268">
        <f>BC89</f>
        <v>248.43</v>
      </c>
      <c r="BD106" s="1268">
        <f>BD89</f>
        <v>1130.53</v>
      </c>
      <c r="BE106" s="1234"/>
      <c r="BF106" s="1250">
        <f>ROUND(BA106*'CP FACTORS'!$B$9,6)</f>
        <v>0.87261900000000003</v>
      </c>
      <c r="BG106" s="1251">
        <f>ROUND(BB106*'CP FACTORS'!$B$14,6)</f>
        <v>0</v>
      </c>
      <c r="BH106" s="1250">
        <f>ROUND(BC106*'CP FACTORS'!$B$9,6)</f>
        <v>0.23536699999999999</v>
      </c>
      <c r="BI106" s="1252">
        <f>ROUND(BD106*'CP FACTORS'!$B$14,6)</f>
        <v>0</v>
      </c>
      <c r="BJ106" s="1234"/>
      <c r="BK106" s="698">
        <f t="shared" si="116"/>
        <v>2482.3000000000002</v>
      </c>
      <c r="BL106" s="1271">
        <f t="shared" si="117"/>
        <v>1378.96</v>
      </c>
      <c r="BM106" s="1270">
        <f t="shared" si="118"/>
        <v>0.87261900000000003</v>
      </c>
      <c r="BN106" s="1269">
        <f t="shared" si="119"/>
        <v>0.23536699999999999</v>
      </c>
    </row>
    <row r="107" spans="1:66" x14ac:dyDescent="0.25">
      <c r="A107" s="49" t="str">
        <f t="shared" si="104"/>
        <v>355000</v>
      </c>
      <c r="B107" s="1371" t="str">
        <f>'HVAC Deemed Table'!C881</f>
        <v>355000_2024_12_</v>
      </c>
      <c r="C107" s="846" t="str">
        <f>'HVAC Deemed Table'!G881</f>
        <v>Cooling Res</v>
      </c>
      <c r="D107" s="846" t="str">
        <f>'HVAC Deemed Table'!G882</f>
        <v>Heating Res</v>
      </c>
      <c r="E107" s="1307"/>
      <c r="F107" s="1307"/>
      <c r="G107" s="1307" t="str">
        <f>'HVAC Deemed Table'!E881</f>
        <v>ASHP-SEER18_ROF_MF</v>
      </c>
      <c r="H107" s="18" t="str">
        <f>'HVAC Deemed Table'!D881</f>
        <v>MFIE</v>
      </c>
      <c r="I107" s="750">
        <f t="shared" si="120"/>
        <v>1526.51</v>
      </c>
      <c r="J107" s="750">
        <f t="shared" si="121"/>
        <v>0</v>
      </c>
      <c r="K107" s="189">
        <f>'HVAC Deemed Table'!F881</f>
        <v>321.52999999999997</v>
      </c>
      <c r="L107" s="189">
        <f>'HVAC Deemed Table'!F882</f>
        <v>1204.98</v>
      </c>
      <c r="M107" s="189"/>
      <c r="N107" s="189"/>
      <c r="O107" s="751">
        <f t="shared" si="122"/>
        <v>0.30462299999999998</v>
      </c>
      <c r="P107" s="751">
        <f t="shared" si="123"/>
        <v>0</v>
      </c>
      <c r="Q107" s="752">
        <f>'HVAC Deemed Table'!I881</f>
        <v>0.30462299999999998</v>
      </c>
      <c r="R107" s="752">
        <f>'HVAC Deemed Table'!I882</f>
        <v>0</v>
      </c>
      <c r="S107" s="752"/>
      <c r="T107" s="752"/>
      <c r="U107" s="753">
        <f t="shared" si="112"/>
        <v>0</v>
      </c>
      <c r="V107" s="753">
        <f t="shared" si="113"/>
        <v>0</v>
      </c>
      <c r="W107" s="753">
        <f t="shared" si="114"/>
        <v>0.30462299999999998</v>
      </c>
      <c r="X107" s="22">
        <f>'HVAC Deemed Table'!J881</f>
        <v>18</v>
      </c>
      <c r="Y107" s="22"/>
      <c r="Z107" s="22">
        <f t="shared" si="105"/>
        <v>18</v>
      </c>
      <c r="AA107" s="17">
        <f>'HVAC Deemed Table'!DG881</f>
        <v>1.7152484796152838</v>
      </c>
      <c r="AB107" s="246">
        <f>'HVAC Deemed Table'!K881</f>
        <v>855</v>
      </c>
      <c r="AC107" s="862">
        <f t="shared" si="106"/>
        <v>1466.5374500710677</v>
      </c>
      <c r="AD107" s="862">
        <f t="shared" si="115"/>
        <v>0</v>
      </c>
      <c r="AE107" s="195">
        <f>'HVAC Deemed Table'!DI881</f>
        <v>736.22939430150359</v>
      </c>
      <c r="AF107" s="195">
        <f>'HVAC Deemed Table'!DI882</f>
        <v>730.30805576956402</v>
      </c>
      <c r="AG107" s="195"/>
      <c r="AH107" s="195"/>
      <c r="AI107" s="866" t="e">
        <f>#REF!</f>
        <v>#REF!</v>
      </c>
      <c r="AJ107" s="45">
        <f>'HVAC Deemed Table'!L881</f>
        <v>3.3</v>
      </c>
      <c r="AK107" s="621"/>
      <c r="AL107" s="621"/>
      <c r="AX107" s="1284" t="str">
        <f t="shared" si="102"/>
        <v>ASHP-SEER18_ROF_MF</v>
      </c>
      <c r="AY107" s="1307"/>
      <c r="AZ107" s="1376" t="str">
        <f t="shared" si="103"/>
        <v>355000</v>
      </c>
      <c r="BA107" s="1262">
        <f>BA93</f>
        <v>1607.47</v>
      </c>
      <c r="BB107" s="1262">
        <f>BB93</f>
        <v>1881.59</v>
      </c>
      <c r="BC107" s="1262">
        <f>BC93</f>
        <v>353.46</v>
      </c>
      <c r="BD107" s="1262">
        <f>BD93</f>
        <v>1379.59</v>
      </c>
      <c r="BE107" s="1234"/>
      <c r="BF107" s="1250">
        <f>ROUND(BA107*'CP FACTORS'!$B$9,6)</f>
        <v>1.5229459999999999</v>
      </c>
      <c r="BG107" s="1251">
        <f>ROUND(BB107*'CP FACTORS'!$B$14,6)</f>
        <v>0</v>
      </c>
      <c r="BH107" s="1250">
        <f>ROUND(BC107*'CP FACTORS'!$B$9,6)</f>
        <v>0.334874</v>
      </c>
      <c r="BI107" s="1252">
        <f>ROUND(BD107*'CP FACTORS'!$B$14,6)</f>
        <v>0</v>
      </c>
      <c r="BJ107" s="1234"/>
      <c r="BK107" s="698">
        <f t="shared" si="116"/>
        <v>3489.06</v>
      </c>
      <c r="BL107" s="1271">
        <f t="shared" si="117"/>
        <v>1733.05</v>
      </c>
      <c r="BM107" s="1270">
        <f t="shared" si="118"/>
        <v>1.5229459999999999</v>
      </c>
      <c r="BN107" s="1269">
        <f t="shared" si="119"/>
        <v>0.334874</v>
      </c>
    </row>
    <row r="108" spans="1:66" x14ac:dyDescent="0.25">
      <c r="A108" s="49" t="str">
        <f t="shared" si="104"/>
        <v>355050</v>
      </c>
      <c r="B108" s="1371" t="str">
        <f>'HVAC Deemed Table'!C883</f>
        <v>355050_2024_12_</v>
      </c>
      <c r="C108" s="846" t="str">
        <f>'HVAC Deemed Table'!G883</f>
        <v>Cooling Res</v>
      </c>
      <c r="D108" s="846" t="str">
        <f>'HVAC Deemed Table'!G884</f>
        <v>Heating Res</v>
      </c>
      <c r="E108" s="1307"/>
      <c r="F108" s="1307"/>
      <c r="G108" s="1307" t="str">
        <f>'HVAC Deemed Table'!E883</f>
        <v>ASHP-SEER19_ROF_MF</v>
      </c>
      <c r="H108" s="18" t="str">
        <f>'HVAC Deemed Table'!D883</f>
        <v>MFIE</v>
      </c>
      <c r="I108" s="750">
        <f t="shared" si="120"/>
        <v>1591.91</v>
      </c>
      <c r="J108" s="750">
        <f t="shared" si="121"/>
        <v>0</v>
      </c>
      <c r="K108" s="189">
        <f>'HVAC Deemed Table'!F883</f>
        <v>386.93</v>
      </c>
      <c r="L108" s="189">
        <f>'HVAC Deemed Table'!F884</f>
        <v>1204.98</v>
      </c>
      <c r="M108" s="189"/>
      <c r="N108" s="189"/>
      <c r="O108" s="751">
        <f t="shared" si="122"/>
        <v>0.36658400000000002</v>
      </c>
      <c r="P108" s="751">
        <f t="shared" si="123"/>
        <v>0</v>
      </c>
      <c r="Q108" s="752">
        <f>'HVAC Deemed Table'!I883</f>
        <v>0.36658400000000002</v>
      </c>
      <c r="R108" s="752">
        <f>'HVAC Deemed Table'!I884</f>
        <v>0</v>
      </c>
      <c r="S108" s="752"/>
      <c r="T108" s="752"/>
      <c r="U108" s="753">
        <f t="shared" si="112"/>
        <v>0</v>
      </c>
      <c r="V108" s="753">
        <f t="shared" si="113"/>
        <v>0</v>
      </c>
      <c r="W108" s="753">
        <f t="shared" si="114"/>
        <v>0.36658400000000002</v>
      </c>
      <c r="X108" s="22">
        <f>'HVAC Deemed Table'!J883</f>
        <v>18</v>
      </c>
      <c r="Y108" s="22"/>
      <c r="Z108" s="22">
        <f t="shared" si="105"/>
        <v>18</v>
      </c>
      <c r="AA108" s="17">
        <f>'HVAC Deemed Table'!DG883</f>
        <v>1.4951788493132057</v>
      </c>
      <c r="AB108" s="246">
        <f>'HVAC Deemed Table'!K883</f>
        <v>1081</v>
      </c>
      <c r="AC108" s="862">
        <f t="shared" si="106"/>
        <v>1616.2883361075753</v>
      </c>
      <c r="AD108" s="862">
        <f t="shared" si="115"/>
        <v>0</v>
      </c>
      <c r="AE108" s="195">
        <f>'HVAC Deemed Table'!DI883</f>
        <v>885.98028033801131</v>
      </c>
      <c r="AF108" s="195">
        <f>'HVAC Deemed Table'!DI884</f>
        <v>730.30805576956402</v>
      </c>
      <c r="AG108" s="195"/>
      <c r="AH108" s="195"/>
      <c r="AI108" s="866" t="e">
        <f>#REF!</f>
        <v>#REF!</v>
      </c>
      <c r="AJ108" s="45">
        <f>'HVAC Deemed Table'!L883</f>
        <v>3.3</v>
      </c>
      <c r="AK108" s="621"/>
      <c r="AL108" s="621"/>
      <c r="AX108" s="1284" t="str">
        <f t="shared" si="102"/>
        <v>ASHP-SEER19_ROF_MF</v>
      </c>
      <c r="AY108" s="1307"/>
      <c r="AZ108" s="1376" t="str">
        <f t="shared" si="103"/>
        <v>355050</v>
      </c>
      <c r="BA108" s="1268">
        <f>BA97</f>
        <v>1059.55</v>
      </c>
      <c r="BB108" s="1268">
        <f>BB97</f>
        <v>1561.25</v>
      </c>
      <c r="BC108" s="1268">
        <f>BC97</f>
        <v>386.93</v>
      </c>
      <c r="BD108" s="1268">
        <f>BD97</f>
        <v>1130.53</v>
      </c>
      <c r="BE108" s="1234"/>
      <c r="BF108" s="1250">
        <f>ROUND(BA108*'CP FACTORS'!$B$9,6)</f>
        <v>1.0038370000000001</v>
      </c>
      <c r="BG108" s="1251">
        <f>ROUND(BB108*'CP FACTORS'!$B$14,6)</f>
        <v>0</v>
      </c>
      <c r="BH108" s="1250">
        <f>ROUND(BC108*'CP FACTORS'!$B$9,6)</f>
        <v>0.36658400000000002</v>
      </c>
      <c r="BI108" s="1252">
        <f>ROUND(BD108*'CP FACTORS'!$B$14,6)</f>
        <v>0</v>
      </c>
      <c r="BJ108" s="1234"/>
      <c r="BK108" s="698">
        <f t="shared" si="116"/>
        <v>2620.8000000000002</v>
      </c>
      <c r="BL108" s="1271">
        <f t="shared" si="117"/>
        <v>1517.46</v>
      </c>
      <c r="BM108" s="1270">
        <f t="shared" si="118"/>
        <v>1.0038370000000001</v>
      </c>
      <c r="BN108" s="1269">
        <f t="shared" si="119"/>
        <v>0.36658400000000002</v>
      </c>
    </row>
    <row r="109" spans="1:66" x14ac:dyDescent="0.25">
      <c r="A109" s="49" t="str">
        <f t="shared" si="104"/>
        <v>355100</v>
      </c>
      <c r="B109" s="1371" t="str">
        <f>'HVAC Deemed Table'!C885</f>
        <v>355100_2024_12_</v>
      </c>
      <c r="C109" s="846" t="str">
        <f>'HVAC Deemed Table'!G885</f>
        <v>Cooling Res</v>
      </c>
      <c r="D109" s="846" t="str">
        <f>'HVAC Deemed Table'!G886</f>
        <v>Heating Res</v>
      </c>
      <c r="E109" s="1307"/>
      <c r="F109" s="1307"/>
      <c r="G109" s="1307" t="str">
        <f>'HVAC Deemed Table'!E885</f>
        <v>ASHP-SEER20_ROF_MF</v>
      </c>
      <c r="H109" s="18" t="str">
        <f>'HVAC Deemed Table'!D885</f>
        <v>MFIE</v>
      </c>
      <c r="I109" s="750">
        <f t="shared" si="120"/>
        <v>1650.78</v>
      </c>
      <c r="J109" s="750">
        <f t="shared" si="121"/>
        <v>0</v>
      </c>
      <c r="K109" s="189">
        <f>'HVAC Deemed Table'!F885</f>
        <v>445.8</v>
      </c>
      <c r="L109" s="189">
        <f>'HVAC Deemed Table'!F886</f>
        <v>1204.98</v>
      </c>
      <c r="M109" s="189"/>
      <c r="N109" s="189"/>
      <c r="O109" s="751">
        <f t="shared" si="122"/>
        <v>0.42235899999999998</v>
      </c>
      <c r="P109" s="751">
        <f t="shared" si="123"/>
        <v>0</v>
      </c>
      <c r="Q109" s="752">
        <f>'HVAC Deemed Table'!I885</f>
        <v>0.42235899999999998</v>
      </c>
      <c r="R109" s="752">
        <f>'HVAC Deemed Table'!I886</f>
        <v>0</v>
      </c>
      <c r="S109" s="752"/>
      <c r="T109" s="752"/>
      <c r="U109" s="753">
        <f t="shared" si="112"/>
        <v>0</v>
      </c>
      <c r="V109" s="753">
        <f t="shared" si="113"/>
        <v>0</v>
      </c>
      <c r="W109" s="753">
        <f t="shared" si="114"/>
        <v>0.42235899999999998</v>
      </c>
      <c r="X109" s="22">
        <f>'HVAC Deemed Table'!J885</f>
        <v>18</v>
      </c>
      <c r="Y109" s="22"/>
      <c r="Z109" s="22">
        <f t="shared" si="105"/>
        <v>18</v>
      </c>
      <c r="AA109" s="17">
        <f>'HVAC Deemed Table'!DG885</f>
        <v>1.6198769946618212</v>
      </c>
      <c r="AB109" s="246">
        <f>'HVAC Deemed Table'!K885</f>
        <v>1081</v>
      </c>
      <c r="AC109" s="862">
        <f t="shared" si="106"/>
        <v>1751.0870312294287</v>
      </c>
      <c r="AD109" s="862">
        <f t="shared" si="115"/>
        <v>0</v>
      </c>
      <c r="AE109" s="195">
        <f>'HVAC Deemed Table'!DI885</f>
        <v>1020.7789754598648</v>
      </c>
      <c r="AF109" s="195">
        <f>'HVAC Deemed Table'!DI886</f>
        <v>730.30805576956402</v>
      </c>
      <c r="AG109" s="195"/>
      <c r="AH109" s="195"/>
      <c r="AI109" s="866" t="e">
        <f>#REF!</f>
        <v>#REF!</v>
      </c>
      <c r="AJ109" s="45">
        <f>'HVAC Deemed Table'!L885</f>
        <v>3.3</v>
      </c>
      <c r="AK109" s="621"/>
      <c r="AL109" s="621"/>
      <c r="AX109" s="1284" t="str">
        <f t="shared" ref="AX109:AX142" si="124">G109</f>
        <v>ASHP-SEER20_ROF_MF</v>
      </c>
      <c r="AY109" s="1307"/>
      <c r="AZ109" s="1376" t="str">
        <f t="shared" ref="AZ109:AZ142" si="125">A109</f>
        <v>355100</v>
      </c>
      <c r="BA109" s="1262">
        <f>BA101</f>
        <v>1118.42</v>
      </c>
      <c r="BB109" s="1262">
        <f>BB101</f>
        <v>1561.25</v>
      </c>
      <c r="BC109" s="1262">
        <f>BC101</f>
        <v>445.8</v>
      </c>
      <c r="BD109" s="1262">
        <f>BD101</f>
        <v>1130.53</v>
      </c>
      <c r="BE109" s="1234"/>
      <c r="BF109" s="1250">
        <f>ROUND(BA109*'CP FACTORS'!$B$9,6)</f>
        <v>1.0596110000000001</v>
      </c>
      <c r="BG109" s="1251">
        <f>ROUND(BB109*'CP FACTORS'!$B$14,6)</f>
        <v>0</v>
      </c>
      <c r="BH109" s="1250">
        <f>ROUND(BC109*'CP FACTORS'!$B$9,6)</f>
        <v>0.42235899999999998</v>
      </c>
      <c r="BI109" s="1252">
        <f>ROUND(BD109*'CP FACTORS'!$B$14,6)</f>
        <v>0</v>
      </c>
      <c r="BJ109" s="1234"/>
      <c r="BK109" s="698">
        <f t="shared" si="116"/>
        <v>2679.67</v>
      </c>
      <c r="BL109" s="1271">
        <f t="shared" si="117"/>
        <v>1576.33</v>
      </c>
      <c r="BM109" s="1270">
        <f t="shared" si="118"/>
        <v>1.0596110000000001</v>
      </c>
      <c r="BN109" s="1269">
        <f t="shared" si="119"/>
        <v>0.42235899999999998</v>
      </c>
    </row>
    <row r="110" spans="1:66" x14ac:dyDescent="0.25">
      <c r="A110" s="49" t="str">
        <f t="shared" si="104"/>
        <v>355150</v>
      </c>
      <c r="B110" s="1371" t="str">
        <f>'HVAC Deemed Table'!C887</f>
        <v>355150_2024_12_</v>
      </c>
      <c r="C110" s="846" t="str">
        <f>'HVAC Deemed Table'!G887</f>
        <v>Cooling Res</v>
      </c>
      <c r="D110" s="846" t="str">
        <f>'HVAC Deemed Table'!G888</f>
        <v>Heating Res</v>
      </c>
      <c r="E110" s="1307"/>
      <c r="F110" s="1307"/>
      <c r="G110" s="1307" t="str">
        <f>'HVAC Deemed Table'!E887</f>
        <v>ASHP-SEER21_ROF_MF</v>
      </c>
      <c r="H110" s="18" t="str">
        <f>'HVAC Deemed Table'!D887</f>
        <v>MFIE</v>
      </c>
      <c r="I110" s="750">
        <f t="shared" si="120"/>
        <v>1704.03</v>
      </c>
      <c r="J110" s="750">
        <f t="shared" si="121"/>
        <v>0</v>
      </c>
      <c r="K110" s="189">
        <f>'HVAC Deemed Table'!F887</f>
        <v>499.05</v>
      </c>
      <c r="L110" s="189">
        <f>'HVAC Deemed Table'!F888</f>
        <v>1204.98</v>
      </c>
      <c r="M110" s="189"/>
      <c r="N110" s="189"/>
      <c r="O110" s="751">
        <f t="shared" si="122"/>
        <v>0.47280899999999998</v>
      </c>
      <c r="P110" s="751">
        <f t="shared" si="123"/>
        <v>0</v>
      </c>
      <c r="Q110" s="752">
        <f>'HVAC Deemed Table'!I887</f>
        <v>0.47280899999999998</v>
      </c>
      <c r="R110" s="752">
        <f>'HVAC Deemed Table'!I888</f>
        <v>0</v>
      </c>
      <c r="S110" s="752"/>
      <c r="T110" s="752"/>
      <c r="U110" s="753">
        <f t="shared" si="112"/>
        <v>0</v>
      </c>
      <c r="V110" s="753">
        <f t="shared" si="113"/>
        <v>0</v>
      </c>
      <c r="W110" s="753">
        <f t="shared" si="114"/>
        <v>0.47280899999999998</v>
      </c>
      <c r="X110" s="22">
        <f>'HVAC Deemed Table'!J887</f>
        <v>18</v>
      </c>
      <c r="Y110" s="22"/>
      <c r="Z110" s="22">
        <f t="shared" si="105"/>
        <v>18</v>
      </c>
      <c r="AA110" s="17">
        <f>'HVAC Deemed Table'!DG887</f>
        <v>1.7326708835664208</v>
      </c>
      <c r="AB110" s="246">
        <f>'HVAC Deemed Table'!K887</f>
        <v>1081</v>
      </c>
      <c r="AC110" s="862">
        <f t="shared" si="106"/>
        <v>1873.017225135301</v>
      </c>
      <c r="AD110" s="862">
        <f t="shared" si="115"/>
        <v>0</v>
      </c>
      <c r="AE110" s="195">
        <f>'HVAC Deemed Table'!DI887</f>
        <v>1142.7091693657369</v>
      </c>
      <c r="AF110" s="195">
        <f>'HVAC Deemed Table'!DI888</f>
        <v>730.30805576956402</v>
      </c>
      <c r="AG110" s="195"/>
      <c r="AH110" s="195"/>
      <c r="AI110" s="866" t="e">
        <f>#REF!</f>
        <v>#REF!</v>
      </c>
      <c r="AJ110" s="45">
        <f>'HVAC Deemed Table'!L887</f>
        <v>3.3</v>
      </c>
      <c r="AK110" s="621"/>
      <c r="AL110" s="621"/>
      <c r="AX110" s="1284" t="str">
        <f t="shared" si="124"/>
        <v>ASHP-SEER21_ROF_MF</v>
      </c>
      <c r="AY110" s="1307"/>
      <c r="AZ110" s="1376" t="str">
        <f t="shared" si="125"/>
        <v>355150</v>
      </c>
      <c r="BA110" s="1268">
        <f>BA105</f>
        <v>1171.68</v>
      </c>
      <c r="BB110" s="1268">
        <f>BB105</f>
        <v>1561.25</v>
      </c>
      <c r="BC110" s="1268">
        <f>BC105</f>
        <v>499.05</v>
      </c>
      <c r="BD110" s="1268">
        <f>BD105</f>
        <v>1130.53</v>
      </c>
      <c r="BE110" s="1234"/>
      <c r="BF110" s="1250">
        <f>ROUND(BA110*'CP FACTORS'!$B$9,6)</f>
        <v>1.110071</v>
      </c>
      <c r="BG110" s="1251">
        <f>ROUND(BB110*'CP FACTORS'!$B$14,6)</f>
        <v>0</v>
      </c>
      <c r="BH110" s="1250">
        <f>ROUND(BC110*'CP FACTORS'!$B$9,6)</f>
        <v>0.47280899999999998</v>
      </c>
      <c r="BI110" s="1252">
        <f>ROUND(BD110*'CP FACTORS'!$B$14,6)</f>
        <v>0</v>
      </c>
      <c r="BJ110" s="1234"/>
      <c r="BK110" s="698">
        <f t="shared" si="116"/>
        <v>2732.9300000000003</v>
      </c>
      <c r="BL110" s="1271">
        <f t="shared" si="117"/>
        <v>1629.58</v>
      </c>
      <c r="BM110" s="1270">
        <f t="shared" si="118"/>
        <v>1.110071</v>
      </c>
      <c r="BN110" s="1269">
        <f t="shared" si="119"/>
        <v>0.47280899999999998</v>
      </c>
    </row>
    <row r="111" spans="1:66" s="39" customFormat="1" x14ac:dyDescent="0.25">
      <c r="A111" s="49" t="str">
        <f t="shared" ref="A111:A127" si="126">LEFT(B111,6)</f>
        <v>356200</v>
      </c>
      <c r="B111" s="1371" t="str">
        <f>'HVAC Deemed Table'!C2103</f>
        <v>356200_2024_12_</v>
      </c>
      <c r="C111" s="846" t="str">
        <f>'HVAC Deemed Table'!G2103</f>
        <v>Cooling Res</v>
      </c>
      <c r="D111" s="846" t="str">
        <f>'HVAC Deemed Table'!G2104</f>
        <v>Heating Res</v>
      </c>
      <c r="E111" s="1307" t="str">
        <f>'HVAC Deemed Table'!G2105</f>
        <v>Cooling Res ER2</v>
      </c>
      <c r="F111" s="1307" t="str">
        <f>'HVAC Deemed Table'!G2106</f>
        <v>Heating Res ER2</v>
      </c>
      <c r="G111" s="1371" t="str">
        <f>'HVAC Deemed Table'!E2103</f>
        <v>PTHP-SEER12-ER1_MF</v>
      </c>
      <c r="H111" s="18" t="str">
        <f>'HVAC Deemed Table'!D2103</f>
        <v>MFIE</v>
      </c>
      <c r="I111" s="1175">
        <f t="shared" si="120"/>
        <v>1689.45</v>
      </c>
      <c r="J111" s="1175">
        <f t="shared" si="121"/>
        <v>128.07999999999998</v>
      </c>
      <c r="K111" s="1176">
        <f>'HVAC Deemed Table'!F2103</f>
        <v>459.54</v>
      </c>
      <c r="L111" s="1176">
        <f>'HVAC Deemed Table'!F2104</f>
        <v>1229.9100000000001</v>
      </c>
      <c r="M111" s="1176">
        <f>'HVAC Deemed Table'!F2105</f>
        <v>16</v>
      </c>
      <c r="N111" s="1176">
        <f>'HVAC Deemed Table'!F2106</f>
        <v>112.08</v>
      </c>
      <c r="O111" s="1177">
        <f t="shared" si="122"/>
        <v>0.43537700000000001</v>
      </c>
      <c r="P111" s="1177">
        <f t="shared" si="123"/>
        <v>1.5159000000000001E-2</v>
      </c>
      <c r="Q111" s="752">
        <f>'HVAC Deemed Table'!I2103</f>
        <v>0.43537700000000001</v>
      </c>
      <c r="R111" s="752">
        <f>'HVAC Deemed Table'!I2104</f>
        <v>0</v>
      </c>
      <c r="S111" s="752">
        <f>'HVAC Deemed Table'!I2105</f>
        <v>1.5159000000000001E-2</v>
      </c>
      <c r="T111" s="752">
        <f>'HVAC Deemed Table'!I2106</f>
        <v>0</v>
      </c>
      <c r="U111" s="753">
        <f t="shared" si="112"/>
        <v>0</v>
      </c>
      <c r="V111" s="753">
        <f t="shared" si="113"/>
        <v>0</v>
      </c>
      <c r="W111" s="753">
        <f t="shared" si="114"/>
        <v>0.43537700000000001</v>
      </c>
      <c r="X111" s="22">
        <f>'HVAC Deemed Table'!J2103</f>
        <v>5</v>
      </c>
      <c r="Y111" s="22">
        <f>'HVAC Deemed Table'!J2105</f>
        <v>10</v>
      </c>
      <c r="Z111" s="22">
        <f t="shared" ref="Z111:Z127" si="127">Y111+X111</f>
        <v>15</v>
      </c>
      <c r="AA111" s="17">
        <f>'HVAC Deemed Table'!DG2103</f>
        <v>3.2268773695351931</v>
      </c>
      <c r="AB111" s="246">
        <f>'HVAC Deemed Table'!K2103</f>
        <v>224.93182686576984</v>
      </c>
      <c r="AC111" s="862">
        <f t="shared" ref="AC111:AC127" si="128">AE111+AF111</f>
        <v>672.05409374659007</v>
      </c>
      <c r="AD111" s="862">
        <f t="shared" si="115"/>
        <v>53.773328054770715</v>
      </c>
      <c r="AE111" s="195">
        <f>'HVAC Deemed Table'!DI2103</f>
        <v>390.45761855945153</v>
      </c>
      <c r="AF111" s="195">
        <f>'HVAC Deemed Table'!DI2104</f>
        <v>281.59647518713859</v>
      </c>
      <c r="AG111" s="195">
        <f>'HVAC Deemed Table'!DI2105</f>
        <v>18.922991283545176</v>
      </c>
      <c r="AH111" s="195">
        <f>'HVAC Deemed Table'!DI2106</f>
        <v>34.850336771225535</v>
      </c>
      <c r="AI111" s="866" t="e">
        <f>#REF!</f>
        <v>#REF!</v>
      </c>
      <c r="AJ111" s="46">
        <f>'HVAC Deemed Table'!L2103</f>
        <v>1.0111111111111111</v>
      </c>
      <c r="AK111" s="877"/>
      <c r="AL111" s="877"/>
      <c r="AM111"/>
      <c r="AN111"/>
      <c r="AO111"/>
      <c r="AP111"/>
      <c r="AQ111"/>
      <c r="AR111"/>
      <c r="AS111"/>
      <c r="AT111"/>
      <c r="AU111"/>
      <c r="AV111"/>
      <c r="AW111"/>
      <c r="AX111" s="1284" t="str">
        <f t="shared" si="124"/>
        <v>PTHP-SEER12-ER1_MF</v>
      </c>
      <c r="AY111" s="1307"/>
      <c r="AZ111" s="1376" t="str">
        <f t="shared" si="125"/>
        <v>356200</v>
      </c>
      <c r="BA111" s="1260">
        <f>ROUND((K111*$BC$3)+(K113*$BC$4),2)</f>
        <v>282.12</v>
      </c>
      <c r="BB111" s="1260">
        <f>ROUND((L111*$BC$3)+(L113*$BC$4),2)</f>
        <v>782.78</v>
      </c>
      <c r="BC111" s="1260">
        <f>ROUND((M111*$BC$3)+(K113*$BC$4),2)</f>
        <v>16</v>
      </c>
      <c r="BD111" s="1260">
        <f>ROUND((N111*$BC$3)+(L113*$BC$4),2)</f>
        <v>112.08</v>
      </c>
      <c r="BE111" s="1235"/>
      <c r="BF111" s="1250">
        <f>ROUND(BA111*'CP FACTORS'!$B$9,6)</f>
        <v>0.26728600000000002</v>
      </c>
      <c r="BG111" s="1251">
        <f>ROUND(BB111*'CP FACTORS'!$B$14,6)</f>
        <v>0</v>
      </c>
      <c r="BH111" s="1250">
        <f>ROUND(BC111*'CP FACTORS'!$B$9,6)</f>
        <v>1.5159000000000001E-2</v>
      </c>
      <c r="BI111" s="1252">
        <f>ROUND(BD111*'CP FACTORS'!$B$14,6)</f>
        <v>0</v>
      </c>
      <c r="BJ111" s="1234"/>
      <c r="BK111" s="698">
        <f t="shared" si="116"/>
        <v>1064.9000000000001</v>
      </c>
      <c r="BL111" s="1271">
        <f t="shared" si="117"/>
        <v>128.07999999999998</v>
      </c>
      <c r="BM111" s="1270">
        <f t="shared" si="118"/>
        <v>0.26728600000000002</v>
      </c>
      <c r="BN111" s="1269">
        <f t="shared" si="119"/>
        <v>1.5159000000000001E-2</v>
      </c>
    </row>
    <row r="112" spans="1:66" s="39" customFormat="1" x14ac:dyDescent="0.25">
      <c r="A112" s="49" t="str">
        <f t="shared" si="126"/>
        <v>356250</v>
      </c>
      <c r="B112" s="1371" t="str">
        <f>'HVAC Deemed Table'!C2107</f>
        <v>356250_2024_12_</v>
      </c>
      <c r="C112" s="846" t="str">
        <f>'HVAC Deemed Table'!G2107</f>
        <v>Cooling Res</v>
      </c>
      <c r="D112" s="846" t="str">
        <f>'HVAC Deemed Table'!G2108</f>
        <v>Heating Res</v>
      </c>
      <c r="E112" s="1307" t="str">
        <f>'HVAC Deemed Table'!G2109</f>
        <v>Cooling Res ER2</v>
      </c>
      <c r="F112" s="1307" t="str">
        <f>'HVAC Deemed Table'!G2110</f>
        <v>Heating Res ER2</v>
      </c>
      <c r="G112" s="1371" t="str">
        <f>'HVAC Deemed Table'!E2107</f>
        <v>PTHP-SEER12-Replace_PTAC_ElectricHeat_ER1_MF</v>
      </c>
      <c r="H112" s="18" t="str">
        <f>'HVAC Deemed Table'!D2107</f>
        <v>MFIE</v>
      </c>
      <c r="I112" s="1175">
        <f t="shared" si="120"/>
        <v>3133.38</v>
      </c>
      <c r="J112" s="1175">
        <f t="shared" si="121"/>
        <v>2626.79</v>
      </c>
      <c r="K112" s="1176">
        <f>'HVAC Deemed Table'!F2107</f>
        <v>522.59</v>
      </c>
      <c r="L112" s="1176">
        <f>'HVAC Deemed Table'!F2108</f>
        <v>2610.79</v>
      </c>
      <c r="M112" s="1176">
        <f>'HVAC Deemed Table'!F2109</f>
        <v>16</v>
      </c>
      <c r="N112" s="1176">
        <f>'HVAC Deemed Table'!F2110</f>
        <v>2610.79</v>
      </c>
      <c r="O112" s="1177">
        <f t="shared" si="122"/>
        <v>0.49511100000000002</v>
      </c>
      <c r="P112" s="1177">
        <f t="shared" si="123"/>
        <v>1.5159000000000001E-2</v>
      </c>
      <c r="Q112" s="752">
        <f>'HVAC Deemed Table'!I2107</f>
        <v>0.49511100000000002</v>
      </c>
      <c r="R112" s="752">
        <f>'HVAC Deemed Table'!I2108</f>
        <v>0</v>
      </c>
      <c r="S112" s="752">
        <f>'HVAC Deemed Table'!I2109</f>
        <v>1.5159000000000001E-2</v>
      </c>
      <c r="T112" s="752">
        <f>'HVAC Deemed Table'!I2110</f>
        <v>0</v>
      </c>
      <c r="U112" s="753">
        <f t="shared" si="112"/>
        <v>0</v>
      </c>
      <c r="V112" s="753">
        <f t="shared" si="113"/>
        <v>0</v>
      </c>
      <c r="W112" s="753">
        <f t="shared" si="114"/>
        <v>0.49511100000000002</v>
      </c>
      <c r="X112" s="22">
        <f>'HVAC Deemed Table'!J2107</f>
        <v>5</v>
      </c>
      <c r="Y112" s="22">
        <f>'HVAC Deemed Table'!J2109</f>
        <v>10</v>
      </c>
      <c r="Z112" s="22">
        <f t="shared" si="127"/>
        <v>15</v>
      </c>
      <c r="AA112" s="17">
        <f>'HVAC Deemed Table'!DG2107</f>
        <v>8.3248076685992256</v>
      </c>
      <c r="AB112" s="246">
        <f>'HVAC Deemed Table'!K2107</f>
        <v>224.93182686576984</v>
      </c>
      <c r="AC112" s="862">
        <f t="shared" si="128"/>
        <v>1041.7879338029836</v>
      </c>
      <c r="AD112" s="862">
        <f t="shared" si="115"/>
        <v>830.72626340121053</v>
      </c>
      <c r="AE112" s="195">
        <f>'HVAC Deemed Table'!DI2107</f>
        <v>444.02934865949379</v>
      </c>
      <c r="AF112" s="195">
        <f>'HVAC Deemed Table'!DI2108</f>
        <v>597.75858514348977</v>
      </c>
      <c r="AG112" s="195">
        <f>'HVAC Deemed Table'!DI2109</f>
        <v>18.922991283545176</v>
      </c>
      <c r="AH112" s="195">
        <f>'HVAC Deemed Table'!DI2110</f>
        <v>811.8032721176653</v>
      </c>
      <c r="AI112" s="866" t="e">
        <f>#REF!</f>
        <v>#REF!</v>
      </c>
      <c r="AJ112" s="46">
        <f>'HVAC Deemed Table'!L2107</f>
        <v>1.0111111111111111</v>
      </c>
      <c r="AK112" s="877"/>
      <c r="AL112" s="877"/>
      <c r="AM112"/>
      <c r="AN112"/>
      <c r="AO112"/>
      <c r="AP112"/>
      <c r="AQ112"/>
      <c r="AR112"/>
      <c r="AS112"/>
      <c r="AT112"/>
      <c r="AU112"/>
      <c r="AV112"/>
      <c r="AW112"/>
      <c r="AX112" s="1284" t="str">
        <f t="shared" si="124"/>
        <v>PTHP-SEER12-Replace_PTAC_ElectricHeat_ER1_MF</v>
      </c>
      <c r="AY112" s="1307"/>
      <c r="AZ112" s="1376" t="str">
        <f t="shared" si="125"/>
        <v>356250</v>
      </c>
      <c r="BA112" s="1259">
        <f>ROUND((K112*$BC$3)+(K114*$BC$4),2)</f>
        <v>319.95</v>
      </c>
      <c r="BB112" s="1259">
        <f>ROUND((L112*$BC$3)+(L114*$BC$4),2)</f>
        <v>2610.79</v>
      </c>
      <c r="BC112" s="1259">
        <f>ROUND((M112*$BC$3)+(K114*$BC$4),2)</f>
        <v>16</v>
      </c>
      <c r="BD112" s="1259">
        <f>ROUND((N112*$BC$3)+(L114*$BC$4),2)</f>
        <v>2610.79</v>
      </c>
      <c r="BE112" s="1235"/>
      <c r="BF112" s="1250">
        <f>ROUND(BA112*'CP FACTORS'!$B$9,6)</f>
        <v>0.30312600000000001</v>
      </c>
      <c r="BG112" s="1251">
        <f>ROUND(BB112*'CP FACTORS'!$B$14,6)</f>
        <v>0</v>
      </c>
      <c r="BH112" s="1250">
        <f>ROUND(BC112*'CP FACTORS'!$B$9,6)</f>
        <v>1.5159000000000001E-2</v>
      </c>
      <c r="BI112" s="1252">
        <f>ROUND(BD112*'CP FACTORS'!$B$14,6)</f>
        <v>0</v>
      </c>
      <c r="BJ112" s="1234"/>
      <c r="BK112" s="698">
        <f t="shared" si="116"/>
        <v>2930.74</v>
      </c>
      <c r="BL112" s="1271">
        <f t="shared" si="117"/>
        <v>2626.79</v>
      </c>
      <c r="BM112" s="1270">
        <f t="shared" si="118"/>
        <v>0.30312600000000001</v>
      </c>
      <c r="BN112" s="1269">
        <f t="shared" si="119"/>
        <v>1.5159000000000001E-2</v>
      </c>
    </row>
    <row r="113" spans="1:66" s="39" customFormat="1" x14ac:dyDescent="0.25">
      <c r="A113" s="49" t="str">
        <f>LEFT(B113,6)</f>
        <v>356300</v>
      </c>
      <c r="B113" s="1371" t="str">
        <f>'HVAC Deemed Table'!C2111</f>
        <v>356300_2024_12_</v>
      </c>
      <c r="C113" s="846" t="str">
        <f>'HVAC Deemed Table'!G2111</f>
        <v>Cooling Res</v>
      </c>
      <c r="D113" s="846" t="str">
        <f>'HVAC Deemed Table'!G2112</f>
        <v>Heating Res</v>
      </c>
      <c r="E113" s="1307"/>
      <c r="F113" s="1307"/>
      <c r="G113" s="1371" t="str">
        <f>'HVAC Deemed Table'!E2111</f>
        <v>PTHP-SEER12-ROF_MF</v>
      </c>
      <c r="H113" s="18" t="str">
        <f>'HVAC Deemed Table'!D2111</f>
        <v>MFIE</v>
      </c>
      <c r="I113" s="1175">
        <f>K113+L113</f>
        <v>128.07999999999998</v>
      </c>
      <c r="J113" s="1175">
        <f>M113+N113</f>
        <v>0</v>
      </c>
      <c r="K113" s="1176">
        <f>'HVAC Deemed Table'!F2111</f>
        <v>16</v>
      </c>
      <c r="L113" s="1176">
        <f>'HVAC Deemed Table'!F2112</f>
        <v>112.08</v>
      </c>
      <c r="M113" s="1217"/>
      <c r="N113" s="1217"/>
      <c r="O113" s="1177">
        <f>Q113+R113</f>
        <v>1.5159000000000001E-2</v>
      </c>
      <c r="P113" s="1177" t="e">
        <f>S113+T113</f>
        <v>#REF!</v>
      </c>
      <c r="Q113" s="752">
        <f>'HVAC Deemed Table'!I2111</f>
        <v>1.5159000000000001E-2</v>
      </c>
      <c r="R113" s="752">
        <f>'HVAC Deemed Table'!I2112</f>
        <v>0</v>
      </c>
      <c r="S113" s="752" t="e">
        <f>'HVAC Deemed Table'!#REF!</f>
        <v>#REF!</v>
      </c>
      <c r="T113" s="752" t="e">
        <f>'HVAC Deemed Table'!#REF!</f>
        <v>#REF!</v>
      </c>
      <c r="U113" s="753">
        <f t="shared" si="112"/>
        <v>0</v>
      </c>
      <c r="V113" s="753">
        <f t="shared" si="113"/>
        <v>0</v>
      </c>
      <c r="W113" s="753">
        <f t="shared" si="114"/>
        <v>1.5159000000000001E-2</v>
      </c>
      <c r="X113" s="22">
        <f>'HVAC Deemed Table'!J2111</f>
        <v>15</v>
      </c>
      <c r="Y113" s="22"/>
      <c r="Z113" s="22">
        <f>Y113+X113</f>
        <v>15</v>
      </c>
      <c r="AA113" s="17">
        <f>'HVAC Deemed Table'!DG2111</f>
        <v>1.0953674236290907</v>
      </c>
      <c r="AB113" s="246">
        <f>'HVAC Deemed Table'!K2111</f>
        <v>84.93</v>
      </c>
      <c r="AC113" s="862">
        <f>AE113+AF113</f>
        <v>93.029555288818685</v>
      </c>
      <c r="AD113" s="862" t="e">
        <f>AG113+AH113</f>
        <v>#REF!</v>
      </c>
      <c r="AE113" s="195">
        <f>'HVAC Deemed Table'!DI2111</f>
        <v>32.517720571422672</v>
      </c>
      <c r="AF113" s="195">
        <f>'HVAC Deemed Table'!DI2112</f>
        <v>60.511834717396013</v>
      </c>
      <c r="AG113" s="195" t="e">
        <f>'HVAC Deemed Table'!#REF!</f>
        <v>#REF!</v>
      </c>
      <c r="AH113" s="195" t="e">
        <f>'HVAC Deemed Table'!#REF!</f>
        <v>#REF!</v>
      </c>
      <c r="AI113" s="866" t="e">
        <f>#REF!</f>
        <v>#REF!</v>
      </c>
      <c r="AJ113" s="46">
        <f>'HVAC Deemed Table'!L2111</f>
        <v>1.0111111111111111</v>
      </c>
      <c r="AK113" s="877"/>
      <c r="AL113" s="877"/>
      <c r="AM113"/>
      <c r="AN113"/>
      <c r="AO113"/>
      <c r="AP113"/>
      <c r="AQ113"/>
      <c r="AR113"/>
      <c r="AS113"/>
      <c r="AT113"/>
      <c r="AU113"/>
      <c r="AV113"/>
      <c r="AW113"/>
      <c r="AX113" s="1284" t="str">
        <f t="shared" si="124"/>
        <v>PTHP-SEER12-ROF_MF</v>
      </c>
      <c r="AY113" s="1307"/>
      <c r="AZ113" s="1376" t="str">
        <f t="shared" si="125"/>
        <v>356300</v>
      </c>
      <c r="BA113" s="1268">
        <f t="shared" ref="BA113:BD114" si="129">BA111</f>
        <v>282.12</v>
      </c>
      <c r="BB113" s="1268">
        <f t="shared" si="129"/>
        <v>782.78</v>
      </c>
      <c r="BC113" s="1268">
        <f t="shared" si="129"/>
        <v>16</v>
      </c>
      <c r="BD113" s="1268">
        <f t="shared" si="129"/>
        <v>112.08</v>
      </c>
      <c r="BE113" s="1235"/>
      <c r="BF113" s="1250">
        <f>ROUND(BA113*'CP FACTORS'!$B$9,6)</f>
        <v>0.26728600000000002</v>
      </c>
      <c r="BG113" s="1251">
        <f>ROUND(BB113*'CP FACTORS'!$B$14,6)</f>
        <v>0</v>
      </c>
      <c r="BH113" s="1250">
        <f>ROUND(BC113*'CP FACTORS'!$B$9,6)</f>
        <v>1.5159000000000001E-2</v>
      </c>
      <c r="BI113" s="1252">
        <f>ROUND(BD113*'CP FACTORS'!$B$14,6)</f>
        <v>0</v>
      </c>
      <c r="BJ113" s="1234"/>
      <c r="BK113" s="698">
        <f t="shared" si="116"/>
        <v>1064.9000000000001</v>
      </c>
      <c r="BL113" s="1271">
        <f t="shared" si="117"/>
        <v>128.07999999999998</v>
      </c>
      <c r="BM113" s="1270">
        <f t="shared" si="118"/>
        <v>0.26728600000000002</v>
      </c>
      <c r="BN113" s="1269">
        <f t="shared" si="119"/>
        <v>1.5159000000000001E-2</v>
      </c>
    </row>
    <row r="114" spans="1:66" s="39" customFormat="1" x14ac:dyDescent="0.25">
      <c r="A114" s="49" t="str">
        <f t="shared" si="126"/>
        <v>356350</v>
      </c>
      <c r="B114" s="1371" t="str">
        <f>'HVAC Deemed Table'!C2113</f>
        <v>356350_2024_12_</v>
      </c>
      <c r="C114" s="846" t="str">
        <f>'HVAC Deemed Table'!G2113</f>
        <v>Cooling Res</v>
      </c>
      <c r="D114" s="846" t="str">
        <f>'HVAC Deemed Table'!G2114</f>
        <v>Heating Res</v>
      </c>
      <c r="E114" s="1307"/>
      <c r="F114" s="1307"/>
      <c r="G114" s="1371" t="str">
        <f>'HVAC Deemed Table'!E2113</f>
        <v>PTHP-SEER12-Replace_PTAC_ElectricHeat_ROF_MF</v>
      </c>
      <c r="H114" s="18" t="str">
        <f>'HVAC Deemed Table'!D2113</f>
        <v>MFIE</v>
      </c>
      <c r="I114" s="1175">
        <f t="shared" si="120"/>
        <v>2626.79</v>
      </c>
      <c r="J114" s="1175">
        <f t="shared" si="121"/>
        <v>0</v>
      </c>
      <c r="K114" s="1176">
        <f>'HVAC Deemed Table'!F2113</f>
        <v>16</v>
      </c>
      <c r="L114" s="1176">
        <f>'HVAC Deemed Table'!F2114</f>
        <v>2610.79</v>
      </c>
      <c r="M114" s="1176"/>
      <c r="N114" s="1176"/>
      <c r="O114" s="1177">
        <f t="shared" si="122"/>
        <v>1.5159000000000001E-2</v>
      </c>
      <c r="P114" s="1177">
        <f t="shared" si="123"/>
        <v>0</v>
      </c>
      <c r="Q114" s="752">
        <f>'HVAC Deemed Table'!I2113</f>
        <v>1.5159000000000001E-2</v>
      </c>
      <c r="R114" s="752">
        <f>'HVAC Deemed Table'!I2114</f>
        <v>0</v>
      </c>
      <c r="S114" s="752"/>
      <c r="T114" s="752"/>
      <c r="U114" s="753">
        <f t="shared" si="112"/>
        <v>0</v>
      </c>
      <c r="V114" s="753">
        <f t="shared" si="113"/>
        <v>0</v>
      </c>
      <c r="W114" s="753">
        <f t="shared" si="114"/>
        <v>1.5159000000000001E-2</v>
      </c>
      <c r="X114" s="22">
        <f>'HVAC Deemed Table'!J2113</f>
        <v>15</v>
      </c>
      <c r="Y114" s="22"/>
      <c r="Z114" s="22">
        <f t="shared" si="127"/>
        <v>15</v>
      </c>
      <c r="AA114" s="17">
        <f>'HVAC Deemed Table'!DG2113</f>
        <v>16.979625312993974</v>
      </c>
      <c r="AB114" s="246">
        <f>'HVAC Deemed Table'!K2113</f>
        <v>84.93</v>
      </c>
      <c r="AC114" s="862">
        <f t="shared" si="128"/>
        <v>1442.0795778325783</v>
      </c>
      <c r="AD114" s="862">
        <f t="shared" si="115"/>
        <v>0</v>
      </c>
      <c r="AE114" s="195">
        <f>'HVAC Deemed Table'!DI2113</f>
        <v>32.517720571422672</v>
      </c>
      <c r="AF114" s="195">
        <f>'HVAC Deemed Table'!DI2114</f>
        <v>1409.5618572611556</v>
      </c>
      <c r="AG114" s="195"/>
      <c r="AH114" s="195"/>
      <c r="AI114" s="866" t="e">
        <f>#REF!</f>
        <v>#REF!</v>
      </c>
      <c r="AJ114" s="46">
        <f>'HVAC Deemed Table'!L2113</f>
        <v>1.0111111111111111</v>
      </c>
      <c r="AK114" s="877"/>
      <c r="AL114" s="877"/>
      <c r="AM114"/>
      <c r="AN114"/>
      <c r="AO114"/>
      <c r="AP114"/>
      <c r="AQ114"/>
      <c r="AR114"/>
      <c r="AS114"/>
      <c r="AT114"/>
      <c r="AU114"/>
      <c r="AV114"/>
      <c r="AW114"/>
      <c r="AX114" s="1284" t="str">
        <f t="shared" si="124"/>
        <v>PTHP-SEER12-Replace_PTAC_ElectricHeat_ROF_MF</v>
      </c>
      <c r="AY114" s="1307"/>
      <c r="AZ114" s="1376" t="str">
        <f t="shared" si="125"/>
        <v>356350</v>
      </c>
      <c r="BA114" s="1262">
        <f t="shared" si="129"/>
        <v>319.95</v>
      </c>
      <c r="BB114" s="1262">
        <f t="shared" si="129"/>
        <v>2610.79</v>
      </c>
      <c r="BC114" s="1262">
        <f t="shared" si="129"/>
        <v>16</v>
      </c>
      <c r="BD114" s="1262">
        <f t="shared" si="129"/>
        <v>2610.79</v>
      </c>
      <c r="BE114" s="1235"/>
      <c r="BF114" s="1250">
        <f>ROUND(BA114*'CP FACTORS'!$B$9,6)</f>
        <v>0.30312600000000001</v>
      </c>
      <c r="BG114" s="1251">
        <f>ROUND(BB114*'CP FACTORS'!$B$14,6)</f>
        <v>0</v>
      </c>
      <c r="BH114" s="1250">
        <f>ROUND(BC114*'CP FACTORS'!$B$9,6)</f>
        <v>1.5159000000000001E-2</v>
      </c>
      <c r="BI114" s="1252">
        <f>ROUND(BD114*'CP FACTORS'!$B$14,6)</f>
        <v>0</v>
      </c>
      <c r="BJ114" s="1234"/>
      <c r="BK114" s="698">
        <f t="shared" si="116"/>
        <v>2930.74</v>
      </c>
      <c r="BL114" s="1271">
        <f t="shared" si="117"/>
        <v>2626.79</v>
      </c>
      <c r="BM114" s="1270">
        <f t="shared" si="118"/>
        <v>0.30312600000000001</v>
      </c>
      <c r="BN114" s="1269">
        <f t="shared" si="119"/>
        <v>1.5159000000000001E-2</v>
      </c>
    </row>
    <row r="115" spans="1:66" s="39" customFormat="1" x14ac:dyDescent="0.25">
      <c r="A115" s="49" t="str">
        <f t="shared" si="126"/>
        <v>356400</v>
      </c>
      <c r="B115" s="1371" t="str">
        <f>'HVAC Deemed Table'!C2115</f>
        <v>356400_2024_12_</v>
      </c>
      <c r="C115" s="846" t="str">
        <f>'HVAC Deemed Table'!G2115</f>
        <v>Cooling Res</v>
      </c>
      <c r="D115" s="846" t="str">
        <f>'HVAC Deemed Table'!G2116</f>
        <v>Heating Res</v>
      </c>
      <c r="E115" s="1307" t="str">
        <f>'HVAC Deemed Table'!G2117</f>
        <v>Cooling Res ER2</v>
      </c>
      <c r="F115" s="1307" t="str">
        <f>'HVAC Deemed Table'!G2118</f>
        <v>Heating Res ER2</v>
      </c>
      <c r="G115" s="1371" t="str">
        <f>'HVAC Deemed Table'!E2115</f>
        <v>PTHP-SEER13-ER1_MF</v>
      </c>
      <c r="H115" s="18" t="str">
        <f>'HVAC Deemed Table'!D2115</f>
        <v>MFIE</v>
      </c>
      <c r="I115" s="1175">
        <f t="shared" si="120"/>
        <v>1755.94</v>
      </c>
      <c r="J115" s="1175">
        <f t="shared" si="121"/>
        <v>194.57000000000002</v>
      </c>
      <c r="K115" s="1176">
        <f>'HVAC Deemed Table'!F2115</f>
        <v>507.53</v>
      </c>
      <c r="L115" s="1176">
        <f>'HVAC Deemed Table'!F2116</f>
        <v>1248.4100000000001</v>
      </c>
      <c r="M115" s="1176">
        <f>'HVAC Deemed Table'!F2117</f>
        <v>63.99</v>
      </c>
      <c r="N115" s="1176">
        <f>'HVAC Deemed Table'!F2118</f>
        <v>130.58000000000001</v>
      </c>
      <c r="O115" s="1177">
        <f t="shared" si="122"/>
        <v>0.48084300000000002</v>
      </c>
      <c r="P115" s="1177">
        <f t="shared" si="123"/>
        <v>6.0624999999999998E-2</v>
      </c>
      <c r="Q115" s="752">
        <f>'HVAC Deemed Table'!I2115</f>
        <v>0.48084300000000002</v>
      </c>
      <c r="R115" s="752">
        <f>'HVAC Deemed Table'!I2116</f>
        <v>0</v>
      </c>
      <c r="S115" s="752">
        <f>'HVAC Deemed Table'!I2117</f>
        <v>6.0624999999999998E-2</v>
      </c>
      <c r="T115" s="752">
        <f>'HVAC Deemed Table'!I2118</f>
        <v>0</v>
      </c>
      <c r="U115" s="753">
        <f t="shared" si="112"/>
        <v>0</v>
      </c>
      <c r="V115" s="753">
        <f t="shared" si="113"/>
        <v>0</v>
      </c>
      <c r="W115" s="753">
        <f t="shared" si="114"/>
        <v>0.48084300000000002</v>
      </c>
      <c r="X115" s="22">
        <f>'HVAC Deemed Table'!J2115</f>
        <v>5</v>
      </c>
      <c r="Y115" s="22">
        <f>'HVAC Deemed Table'!J2117</f>
        <v>10</v>
      </c>
      <c r="Z115" s="22">
        <f t="shared" si="127"/>
        <v>15</v>
      </c>
      <c r="AA115" s="17">
        <f>'HVAC Deemed Table'!DG2115</f>
        <v>3.7048931473641917</v>
      </c>
      <c r="AB115" s="246">
        <f>'HVAC Deemed Table'!K2115</f>
        <v>224.93182686576984</v>
      </c>
      <c r="AC115" s="862">
        <f t="shared" si="128"/>
        <v>717.06548897297716</v>
      </c>
      <c r="AD115" s="862">
        <f t="shared" si="115"/>
        <v>116.28289500612235</v>
      </c>
      <c r="AE115" s="195">
        <f>'HVAC Deemed Table'!DI2115</f>
        <v>431.23330971727904</v>
      </c>
      <c r="AF115" s="195">
        <f>'HVAC Deemed Table'!DI2116</f>
        <v>285.83217925569812</v>
      </c>
      <c r="AG115" s="195">
        <f>'HVAC Deemed Table'!DI2117</f>
        <v>75.680138264628496</v>
      </c>
      <c r="AH115" s="195">
        <f>'HVAC Deemed Table'!DI2118</f>
        <v>40.602756741493856</v>
      </c>
      <c r="AI115" s="866" t="e">
        <f>#REF!</f>
        <v>#REF!</v>
      </c>
      <c r="AJ115" s="46">
        <f>'HVAC Deemed Table'!L2115</f>
        <v>1.0111111111111111</v>
      </c>
      <c r="AK115" s="877"/>
      <c r="AL115" s="877"/>
      <c r="AM115"/>
      <c r="AN115"/>
      <c r="AO115"/>
      <c r="AP115"/>
      <c r="AQ115"/>
      <c r="AR115"/>
      <c r="AS115"/>
      <c r="AT115"/>
      <c r="AU115"/>
      <c r="AV115"/>
      <c r="AW115"/>
      <c r="AX115" s="1284" t="str">
        <f t="shared" si="124"/>
        <v>PTHP-SEER13-ER1_MF</v>
      </c>
      <c r="AY115" s="1307"/>
      <c r="AZ115" s="1376" t="str">
        <f t="shared" si="125"/>
        <v>356400</v>
      </c>
      <c r="BA115" s="1260">
        <f>ROUND((K115*$BC$3)+(K117*$BC$4),2)</f>
        <v>330.11</v>
      </c>
      <c r="BB115" s="1260">
        <f>ROUND((L115*$BC$3)+(L117*$BC$4),2)</f>
        <v>801.28</v>
      </c>
      <c r="BC115" s="1260">
        <f>ROUND((M115*$BC$3)+(K117*$BC$4),2)</f>
        <v>63.99</v>
      </c>
      <c r="BD115" s="1260">
        <f>ROUND((N115*$BC$3)+(L117*$BC$4),2)</f>
        <v>130.58000000000001</v>
      </c>
      <c r="BE115" s="1235"/>
      <c r="BF115" s="1250">
        <f>ROUND(BA115*'CP FACTORS'!$B$9,6)</f>
        <v>0.31275199999999997</v>
      </c>
      <c r="BG115" s="1251">
        <f>ROUND(BB115*'CP FACTORS'!$B$14,6)</f>
        <v>0</v>
      </c>
      <c r="BH115" s="1250">
        <f>ROUND(BC115*'CP FACTORS'!$B$9,6)</f>
        <v>6.0624999999999998E-2</v>
      </c>
      <c r="BI115" s="1252">
        <f>ROUND(BD115*'CP FACTORS'!$B$14,6)</f>
        <v>0</v>
      </c>
      <c r="BJ115" s="1234"/>
      <c r="BK115" s="698">
        <f t="shared" si="116"/>
        <v>1131.3899999999999</v>
      </c>
      <c r="BL115" s="1271">
        <f t="shared" si="117"/>
        <v>194.57000000000002</v>
      </c>
      <c r="BM115" s="1270">
        <f t="shared" si="118"/>
        <v>0.31275199999999997</v>
      </c>
      <c r="BN115" s="1269">
        <f t="shared" si="119"/>
        <v>6.0624999999999998E-2</v>
      </c>
    </row>
    <row r="116" spans="1:66" s="39" customFormat="1" x14ac:dyDescent="0.25">
      <c r="A116" s="49" t="str">
        <f t="shared" si="126"/>
        <v>356450</v>
      </c>
      <c r="B116" s="1371" t="str">
        <f>'HVAC Deemed Table'!C2119</f>
        <v>356450_2024_12_</v>
      </c>
      <c r="C116" s="846" t="str">
        <f>'HVAC Deemed Table'!G2119</f>
        <v>Cooling Res</v>
      </c>
      <c r="D116" s="846" t="str">
        <f>'HVAC Deemed Table'!G2120</f>
        <v>Heating Res</v>
      </c>
      <c r="E116" s="1307" t="str">
        <f>'HVAC Deemed Table'!G2121</f>
        <v>Cooling Res ER2</v>
      </c>
      <c r="F116" s="1307" t="str">
        <f>'HVAC Deemed Table'!G2122</f>
        <v>Heating Res ER2</v>
      </c>
      <c r="G116" s="1371" t="str">
        <f>'HVAC Deemed Table'!E2119</f>
        <v>PTHP-SEER13-Replace_PTAC_ElectricHeat_ER1_MF</v>
      </c>
      <c r="H116" s="18" t="str">
        <f>'HVAC Deemed Table'!D2119</f>
        <v>MFIE</v>
      </c>
      <c r="I116" s="1175">
        <f t="shared" si="120"/>
        <v>3199.87</v>
      </c>
      <c r="J116" s="1175">
        <f t="shared" si="121"/>
        <v>2693.2799999999997</v>
      </c>
      <c r="K116" s="1176">
        <f>'HVAC Deemed Table'!F2119</f>
        <v>570.58000000000004</v>
      </c>
      <c r="L116" s="1176">
        <f>'HVAC Deemed Table'!F2120</f>
        <v>2629.29</v>
      </c>
      <c r="M116" s="1176">
        <f>'HVAC Deemed Table'!F2121</f>
        <v>63.99</v>
      </c>
      <c r="N116" s="1176">
        <f>'HVAC Deemed Table'!F2122</f>
        <v>2629.29</v>
      </c>
      <c r="O116" s="1177">
        <f t="shared" si="122"/>
        <v>0.540578</v>
      </c>
      <c r="P116" s="1177">
        <f t="shared" si="123"/>
        <v>6.0624999999999998E-2</v>
      </c>
      <c r="Q116" s="752">
        <f>'HVAC Deemed Table'!I2119</f>
        <v>0.540578</v>
      </c>
      <c r="R116" s="752">
        <f>'HVAC Deemed Table'!I2120</f>
        <v>0</v>
      </c>
      <c r="S116" s="752">
        <f>'HVAC Deemed Table'!I2121</f>
        <v>6.0624999999999998E-2</v>
      </c>
      <c r="T116" s="752">
        <f>'HVAC Deemed Table'!I2122</f>
        <v>0</v>
      </c>
      <c r="U116" s="753">
        <f t="shared" si="112"/>
        <v>0</v>
      </c>
      <c r="V116" s="753">
        <f t="shared" si="113"/>
        <v>0</v>
      </c>
      <c r="W116" s="753">
        <f t="shared" si="114"/>
        <v>0.540578</v>
      </c>
      <c r="X116" s="22">
        <f>'HVAC Deemed Table'!J2119</f>
        <v>5</v>
      </c>
      <c r="Y116" s="22">
        <f>'HVAC Deemed Table'!J2121</f>
        <v>10</v>
      </c>
      <c r="Z116" s="22">
        <f t="shared" si="127"/>
        <v>15</v>
      </c>
      <c r="AA116" s="17">
        <f>'HVAC Deemed Table'!DG2119</f>
        <v>8.8028234464282242</v>
      </c>
      <c r="AB116" s="246">
        <f>'HVAC Deemed Table'!K2119</f>
        <v>224.93182686576984</v>
      </c>
      <c r="AC116" s="862">
        <f t="shared" si="128"/>
        <v>1086.7993290293707</v>
      </c>
      <c r="AD116" s="862">
        <f t="shared" si="115"/>
        <v>893.23583035256206</v>
      </c>
      <c r="AE116" s="195">
        <f>'HVAC Deemed Table'!DI2119</f>
        <v>484.80503981732136</v>
      </c>
      <c r="AF116" s="195">
        <f>'HVAC Deemed Table'!DI2120</f>
        <v>601.99428921204924</v>
      </c>
      <c r="AG116" s="195">
        <f>'HVAC Deemed Table'!DI2121</f>
        <v>75.680138264628496</v>
      </c>
      <c r="AH116" s="195">
        <f>'HVAC Deemed Table'!DI2122</f>
        <v>817.55569208793361</v>
      </c>
      <c r="AI116" s="866" t="e">
        <f>#REF!</f>
        <v>#REF!</v>
      </c>
      <c r="AJ116" s="46">
        <f>'HVAC Deemed Table'!L2119</f>
        <v>1.0111111111111111</v>
      </c>
      <c r="AK116" s="877"/>
      <c r="AL116" s="877"/>
      <c r="AM116"/>
      <c r="AN116"/>
      <c r="AO116"/>
      <c r="AP116"/>
      <c r="AQ116"/>
      <c r="AR116"/>
      <c r="AS116"/>
      <c r="AT116"/>
      <c r="AU116"/>
      <c r="AV116"/>
      <c r="AW116"/>
      <c r="AX116" s="1284" t="str">
        <f t="shared" si="124"/>
        <v>PTHP-SEER13-Replace_PTAC_ElectricHeat_ER1_MF</v>
      </c>
      <c r="AY116" s="1307"/>
      <c r="AZ116" s="1376" t="str">
        <f t="shared" si="125"/>
        <v>356450</v>
      </c>
      <c r="BA116" s="1259">
        <f>ROUND((K116*$BC$3)+(K118*$BC$4),2)</f>
        <v>367.94</v>
      </c>
      <c r="BB116" s="1259">
        <f>ROUND((L116*$BC$3)+(L118*$BC$4),2)</f>
        <v>2629.29</v>
      </c>
      <c r="BC116" s="1259">
        <f>ROUND((M116*$BC$3)+(K118*$BC$4),2)</f>
        <v>63.99</v>
      </c>
      <c r="BD116" s="1259">
        <f>ROUND((N116*$BC$3)+(L118*$BC$4),2)</f>
        <v>2629.29</v>
      </c>
      <c r="BE116" s="1235"/>
      <c r="BF116" s="1250">
        <f>ROUND(BA116*'CP FACTORS'!$B$9,6)</f>
        <v>0.34859299999999999</v>
      </c>
      <c r="BG116" s="1251">
        <f>ROUND(BB116*'CP FACTORS'!$B$14,6)</f>
        <v>0</v>
      </c>
      <c r="BH116" s="1250">
        <f>ROUND(BC116*'CP FACTORS'!$B$9,6)</f>
        <v>6.0624999999999998E-2</v>
      </c>
      <c r="BI116" s="1252">
        <f>ROUND(BD116*'CP FACTORS'!$B$14,6)</f>
        <v>0</v>
      </c>
      <c r="BJ116" s="1234"/>
      <c r="BK116" s="698">
        <f t="shared" si="116"/>
        <v>2997.23</v>
      </c>
      <c r="BL116" s="1271">
        <f t="shared" si="117"/>
        <v>2693.2799999999997</v>
      </c>
      <c r="BM116" s="1270">
        <f t="shared" si="118"/>
        <v>0.34859299999999999</v>
      </c>
      <c r="BN116" s="1269">
        <f t="shared" si="119"/>
        <v>6.0624999999999998E-2</v>
      </c>
    </row>
    <row r="117" spans="1:66" s="39" customFormat="1" x14ac:dyDescent="0.25">
      <c r="A117" s="49" t="str">
        <f>LEFT(B117,6)</f>
        <v>356500</v>
      </c>
      <c r="B117" s="1371" t="str">
        <f>'HVAC Deemed Table'!C2123</f>
        <v>356500_2024_12_</v>
      </c>
      <c r="C117" s="846" t="str">
        <f>'HVAC Deemed Table'!G2123</f>
        <v>Cooling Res</v>
      </c>
      <c r="D117" s="846" t="str">
        <f>'HVAC Deemed Table'!G2124</f>
        <v>Heating Res</v>
      </c>
      <c r="E117" s="1307"/>
      <c r="F117" s="1307"/>
      <c r="G117" s="1371" t="str">
        <f>'HVAC Deemed Table'!E2123</f>
        <v>PTHP-SEER13-ROF_MF</v>
      </c>
      <c r="H117" s="18" t="str">
        <f>'HVAC Deemed Table'!D2123</f>
        <v>MFIE</v>
      </c>
      <c r="I117" s="1175">
        <f>K117+L117</f>
        <v>194.57000000000002</v>
      </c>
      <c r="J117" s="1175">
        <f>M117+N117</f>
        <v>0</v>
      </c>
      <c r="K117" s="1176">
        <f>'HVAC Deemed Table'!F2123</f>
        <v>63.99</v>
      </c>
      <c r="L117" s="1176">
        <f>'HVAC Deemed Table'!F2124</f>
        <v>130.58000000000001</v>
      </c>
      <c r="M117" s="1217"/>
      <c r="N117" s="1217"/>
      <c r="O117" s="1177">
        <f>Q117+R117</f>
        <v>6.0624999999999998E-2</v>
      </c>
      <c r="P117" s="1177" t="e">
        <f>S117+T117</f>
        <v>#REF!</v>
      </c>
      <c r="Q117" s="752">
        <f>'HVAC Deemed Table'!I2123</f>
        <v>6.0624999999999998E-2</v>
      </c>
      <c r="R117" s="752">
        <f>'HVAC Deemed Table'!I2124</f>
        <v>0</v>
      </c>
      <c r="S117" s="752" t="e">
        <f>'HVAC Deemed Table'!#REF!</f>
        <v>#REF!</v>
      </c>
      <c r="T117" s="752" t="e">
        <f>'HVAC Deemed Table'!#REF!</f>
        <v>#REF!</v>
      </c>
      <c r="U117" s="753">
        <f t="shared" si="112"/>
        <v>0</v>
      </c>
      <c r="V117" s="753">
        <f t="shared" si="113"/>
        <v>0</v>
      </c>
      <c r="W117" s="753">
        <f t="shared" si="114"/>
        <v>6.0624999999999998E-2</v>
      </c>
      <c r="X117" s="22">
        <f>'HVAC Deemed Table'!J2123</f>
        <v>15</v>
      </c>
      <c r="Y117" s="22"/>
      <c r="Z117" s="22">
        <f>Y117+X117</f>
        <v>15</v>
      </c>
      <c r="AA117" s="17">
        <f>'HVAC Deemed Table'!DG2123</f>
        <v>2.3613625040216344</v>
      </c>
      <c r="AB117" s="246">
        <f>'HVAC Deemed Table'!K2123</f>
        <v>84.93</v>
      </c>
      <c r="AC117" s="862">
        <f>AE117+AF117</f>
        <v>200.55051746655744</v>
      </c>
      <c r="AD117" s="862" t="e">
        <f>AG117+AH117</f>
        <v>#REF!</v>
      </c>
      <c r="AE117" s="195">
        <f>'HVAC Deemed Table'!DI2123</f>
        <v>130.05055871033355</v>
      </c>
      <c r="AF117" s="195">
        <f>'HVAC Deemed Table'!DI2124</f>
        <v>70.499958756223876</v>
      </c>
      <c r="AG117" s="195" t="e">
        <f>'HVAC Deemed Table'!#REF!</f>
        <v>#REF!</v>
      </c>
      <c r="AH117" s="195" t="e">
        <f>'HVAC Deemed Table'!#REF!</f>
        <v>#REF!</v>
      </c>
      <c r="AI117" s="866" t="e">
        <f>#REF!</f>
        <v>#REF!</v>
      </c>
      <c r="AJ117" s="46">
        <f>'HVAC Deemed Table'!L2123</f>
        <v>1.0111111111111111</v>
      </c>
      <c r="AK117" s="877"/>
      <c r="AL117" s="877"/>
      <c r="AM117"/>
      <c r="AN117"/>
      <c r="AO117"/>
      <c r="AP117"/>
      <c r="AQ117"/>
      <c r="AR117"/>
      <c r="AS117"/>
      <c r="AT117"/>
      <c r="AU117"/>
      <c r="AV117"/>
      <c r="AW117"/>
      <c r="AX117" s="1284" t="str">
        <f t="shared" si="124"/>
        <v>PTHP-SEER13-ROF_MF</v>
      </c>
      <c r="AY117" s="1307"/>
      <c r="AZ117" s="1376" t="str">
        <f t="shared" si="125"/>
        <v>356500</v>
      </c>
      <c r="BA117" s="1268">
        <f t="shared" ref="BA117:BD118" si="130">BA115</f>
        <v>330.11</v>
      </c>
      <c r="BB117" s="1268">
        <f t="shared" si="130"/>
        <v>801.28</v>
      </c>
      <c r="BC117" s="1268">
        <f t="shared" si="130"/>
        <v>63.99</v>
      </c>
      <c r="BD117" s="1268">
        <f t="shared" si="130"/>
        <v>130.58000000000001</v>
      </c>
      <c r="BE117" s="1235"/>
      <c r="BF117" s="1250">
        <f>ROUND(BA117*'CP FACTORS'!$B$9,6)</f>
        <v>0.31275199999999997</v>
      </c>
      <c r="BG117" s="1251">
        <f>ROUND(BB117*'CP FACTORS'!$B$14,6)</f>
        <v>0</v>
      </c>
      <c r="BH117" s="1250">
        <f>ROUND(BC117*'CP FACTORS'!$B$9,6)</f>
        <v>6.0624999999999998E-2</v>
      </c>
      <c r="BI117" s="1252">
        <f>ROUND(BD117*'CP FACTORS'!$B$14,6)</f>
        <v>0</v>
      </c>
      <c r="BJ117" s="1234"/>
      <c r="BK117" s="698">
        <f t="shared" si="116"/>
        <v>1131.3899999999999</v>
      </c>
      <c r="BL117" s="1271">
        <f t="shared" si="117"/>
        <v>194.57000000000002</v>
      </c>
      <c r="BM117" s="1270">
        <f t="shared" si="118"/>
        <v>0.31275199999999997</v>
      </c>
      <c r="BN117" s="1269">
        <f t="shared" si="119"/>
        <v>6.0624999999999998E-2</v>
      </c>
    </row>
    <row r="118" spans="1:66" s="39" customFormat="1" x14ac:dyDescent="0.25">
      <c r="A118" s="49" t="str">
        <f t="shared" si="126"/>
        <v>356550</v>
      </c>
      <c r="B118" s="1371" t="str">
        <f>'HVAC Deemed Table'!C2125</f>
        <v>356550_2024_12_</v>
      </c>
      <c r="C118" s="846" t="str">
        <f>'HVAC Deemed Table'!G2125</f>
        <v>Cooling Res</v>
      </c>
      <c r="D118" s="846" t="str">
        <f>'HVAC Deemed Table'!G2126</f>
        <v>Heating Res</v>
      </c>
      <c r="E118" s="1307"/>
      <c r="F118" s="1307"/>
      <c r="G118" s="1371" t="str">
        <f>'HVAC Deemed Table'!E2125</f>
        <v>PTHP-SEER13-Replace_PTAC_ElectricHeat_ROF_MF</v>
      </c>
      <c r="H118" s="18" t="str">
        <f>'HVAC Deemed Table'!D2125</f>
        <v>MFIE</v>
      </c>
      <c r="I118" s="1175">
        <f t="shared" si="120"/>
        <v>2693.2799999999997</v>
      </c>
      <c r="J118" s="1175">
        <f t="shared" si="121"/>
        <v>0</v>
      </c>
      <c r="K118" s="1176">
        <f>'HVAC Deemed Table'!F2125</f>
        <v>63.99</v>
      </c>
      <c r="L118" s="1176">
        <f>'HVAC Deemed Table'!F2126</f>
        <v>2629.29</v>
      </c>
      <c r="M118" s="1176"/>
      <c r="N118" s="1176"/>
      <c r="O118" s="1177">
        <f t="shared" si="122"/>
        <v>6.0624999999999998E-2</v>
      </c>
      <c r="P118" s="1177">
        <f t="shared" si="123"/>
        <v>0</v>
      </c>
      <c r="Q118" s="752">
        <f>'HVAC Deemed Table'!I2125</f>
        <v>6.0624999999999998E-2</v>
      </c>
      <c r="R118" s="752">
        <f>'HVAC Deemed Table'!I2126</f>
        <v>0</v>
      </c>
      <c r="S118" s="752"/>
      <c r="T118" s="752"/>
      <c r="U118" s="753">
        <f t="shared" si="112"/>
        <v>0</v>
      </c>
      <c r="V118" s="753">
        <f t="shared" si="113"/>
        <v>0</v>
      </c>
      <c r="W118" s="753">
        <f t="shared" si="114"/>
        <v>6.0624999999999998E-2</v>
      </c>
      <c r="X118" s="22">
        <f>'HVAC Deemed Table'!J2125</f>
        <v>15</v>
      </c>
      <c r="Y118" s="22"/>
      <c r="Z118" s="22">
        <f t="shared" si="127"/>
        <v>15</v>
      </c>
      <c r="AA118" s="17">
        <f>'HVAC Deemed Table'!DG2125</f>
        <v>18.245620393386517</v>
      </c>
      <c r="AB118" s="246">
        <f>'HVAC Deemed Table'!K2125</f>
        <v>84.93</v>
      </c>
      <c r="AC118" s="862">
        <f t="shared" si="128"/>
        <v>1549.600540010317</v>
      </c>
      <c r="AD118" s="862">
        <f t="shared" si="115"/>
        <v>0</v>
      </c>
      <c r="AE118" s="195">
        <f>'HVAC Deemed Table'!DI2125</f>
        <v>130.05055871033355</v>
      </c>
      <c r="AF118" s="195">
        <f>'HVAC Deemed Table'!DI2126</f>
        <v>1419.5499812999835</v>
      </c>
      <c r="AG118" s="195"/>
      <c r="AH118" s="195"/>
      <c r="AI118" s="866" t="e">
        <f>#REF!</f>
        <v>#REF!</v>
      </c>
      <c r="AJ118" s="46">
        <f>'HVAC Deemed Table'!L2125</f>
        <v>1.0111111111111111</v>
      </c>
      <c r="AK118" s="877"/>
      <c r="AL118" s="877"/>
      <c r="AM118"/>
      <c r="AN118"/>
      <c r="AO118"/>
      <c r="AP118"/>
      <c r="AQ118"/>
      <c r="AR118"/>
      <c r="AS118"/>
      <c r="AT118"/>
      <c r="AU118"/>
      <c r="AV118"/>
      <c r="AW118"/>
      <c r="AX118" s="1284" t="str">
        <f t="shared" si="124"/>
        <v>PTHP-SEER13-Replace_PTAC_ElectricHeat_ROF_MF</v>
      </c>
      <c r="AY118" s="1307"/>
      <c r="AZ118" s="1376" t="str">
        <f t="shared" si="125"/>
        <v>356550</v>
      </c>
      <c r="BA118" s="1262">
        <f t="shared" si="130"/>
        <v>367.94</v>
      </c>
      <c r="BB118" s="1262">
        <f t="shared" si="130"/>
        <v>2629.29</v>
      </c>
      <c r="BC118" s="1262">
        <f t="shared" si="130"/>
        <v>63.99</v>
      </c>
      <c r="BD118" s="1262">
        <f t="shared" si="130"/>
        <v>2629.29</v>
      </c>
      <c r="BE118" s="1235"/>
      <c r="BF118" s="1250">
        <f>ROUND(BA118*'CP FACTORS'!$B$9,6)</f>
        <v>0.34859299999999999</v>
      </c>
      <c r="BG118" s="1251">
        <f>ROUND(BB118*'CP FACTORS'!$B$14,6)</f>
        <v>0</v>
      </c>
      <c r="BH118" s="1250">
        <f>ROUND(BC118*'CP FACTORS'!$B$9,6)</f>
        <v>6.0624999999999998E-2</v>
      </c>
      <c r="BI118" s="1252">
        <f>ROUND(BD118*'CP FACTORS'!$B$14,6)</f>
        <v>0</v>
      </c>
      <c r="BJ118" s="1234"/>
      <c r="BK118" s="698">
        <f t="shared" si="116"/>
        <v>2997.23</v>
      </c>
      <c r="BL118" s="1271">
        <f t="shared" si="117"/>
        <v>2693.2799999999997</v>
      </c>
      <c r="BM118" s="1270">
        <f t="shared" si="118"/>
        <v>0.34859299999999999</v>
      </c>
      <c r="BN118" s="1269">
        <f t="shared" si="119"/>
        <v>6.0624999999999998E-2</v>
      </c>
    </row>
    <row r="119" spans="1:66" s="39" customFormat="1" x14ac:dyDescent="0.25">
      <c r="A119" s="49" t="str">
        <f t="shared" si="126"/>
        <v>356600</v>
      </c>
      <c r="B119" s="1371" t="str">
        <f>'HVAC Deemed Table'!C2127</f>
        <v>356600_2024_12_</v>
      </c>
      <c r="C119" s="846" t="str">
        <f>'HVAC Deemed Table'!G2127</f>
        <v>Cooling Res</v>
      </c>
      <c r="D119" s="846" t="str">
        <f>'HVAC Deemed Table'!G2128</f>
        <v>Heating Res</v>
      </c>
      <c r="E119" s="1307" t="str">
        <f>'HVAC Deemed Table'!G2129</f>
        <v>Cooling Res ER2</v>
      </c>
      <c r="F119" s="1307" t="str">
        <f>'HVAC Deemed Table'!G2130</f>
        <v>Heating Res ER2</v>
      </c>
      <c r="G119" s="1371" t="str">
        <f>'HVAC Deemed Table'!E2127</f>
        <v>PTHP-SEER14-ER1_MF</v>
      </c>
      <c r="H119" s="18" t="str">
        <f>'HVAC Deemed Table'!D2127</f>
        <v>MFIE</v>
      </c>
      <c r="I119" s="1175">
        <f t="shared" si="120"/>
        <v>1837.33</v>
      </c>
      <c r="J119" s="1175">
        <f t="shared" si="121"/>
        <v>275.96000000000004</v>
      </c>
      <c r="K119" s="1176">
        <f>'HVAC Deemed Table'!F2127</f>
        <v>548.66</v>
      </c>
      <c r="L119" s="1176">
        <f>'HVAC Deemed Table'!F2128</f>
        <v>1288.67</v>
      </c>
      <c r="M119" s="1176">
        <f>'HVAC Deemed Table'!F2129</f>
        <v>105.12</v>
      </c>
      <c r="N119" s="1176">
        <f>'HVAC Deemed Table'!F2130</f>
        <v>170.84</v>
      </c>
      <c r="O119" s="1177">
        <f t="shared" si="122"/>
        <v>0.51980999999999999</v>
      </c>
      <c r="P119" s="1177">
        <f t="shared" si="123"/>
        <v>9.9593000000000001E-2</v>
      </c>
      <c r="Q119" s="752">
        <f>'HVAC Deemed Table'!I2127</f>
        <v>0.51980999999999999</v>
      </c>
      <c r="R119" s="752">
        <f>'HVAC Deemed Table'!I2128</f>
        <v>0</v>
      </c>
      <c r="S119" s="752">
        <f>'HVAC Deemed Table'!I2129</f>
        <v>9.9593000000000001E-2</v>
      </c>
      <c r="T119" s="752">
        <f>'HVAC Deemed Table'!I2130</f>
        <v>0</v>
      </c>
      <c r="U119" s="753">
        <f t="shared" si="112"/>
        <v>0</v>
      </c>
      <c r="V119" s="753">
        <f t="shared" si="113"/>
        <v>0</v>
      </c>
      <c r="W119" s="753">
        <f t="shared" si="114"/>
        <v>0.51980999999999999</v>
      </c>
      <c r="X119" s="22">
        <f>'HVAC Deemed Table'!J2127</f>
        <v>5</v>
      </c>
      <c r="Y119" s="22">
        <f>'HVAC Deemed Table'!J2129</f>
        <v>10</v>
      </c>
      <c r="Z119" s="22">
        <f t="shared" si="127"/>
        <v>15</v>
      </c>
      <c r="AA119" s="17">
        <f>'HVAC Deemed Table'!DG2127</f>
        <v>4.1731558401739761</v>
      </c>
      <c r="AB119" s="246">
        <f>'HVAC Deemed Table'!K2127</f>
        <v>224.93182686576984</v>
      </c>
      <c r="AC119" s="862">
        <f t="shared" si="128"/>
        <v>761.23024782971947</v>
      </c>
      <c r="AD119" s="862">
        <f t="shared" si="115"/>
        <v>177.44531909616956</v>
      </c>
      <c r="AE119" s="195">
        <f>'HVAC Deemed Table'!DI2127</f>
        <v>466.18026069292915</v>
      </c>
      <c r="AF119" s="195">
        <f>'HVAC Deemed Table'!DI2128</f>
        <v>295.04998713679038</v>
      </c>
      <c r="AG119" s="195">
        <f>'HVAC Deemed Table'!DI2129</f>
        <v>124.32405273289181</v>
      </c>
      <c r="AH119" s="195">
        <f>'HVAC Deemed Table'!DI2130</f>
        <v>53.121266363277755</v>
      </c>
      <c r="AI119" s="866" t="e">
        <f>#REF!</f>
        <v>#REF!</v>
      </c>
      <c r="AJ119" s="46">
        <f>'HVAC Deemed Table'!L2127</f>
        <v>1.0111111111111111</v>
      </c>
      <c r="AK119" s="877"/>
      <c r="AL119" s="877"/>
      <c r="AM119"/>
      <c r="AN119"/>
      <c r="AO119"/>
      <c r="AP119"/>
      <c r="AQ119"/>
      <c r="AR119"/>
      <c r="AS119"/>
      <c r="AT119"/>
      <c r="AU119"/>
      <c r="AV119"/>
      <c r="AW119"/>
      <c r="AX119" s="1284" t="str">
        <f t="shared" si="124"/>
        <v>PTHP-SEER14-ER1_MF</v>
      </c>
      <c r="AY119" s="1307"/>
      <c r="AZ119" s="1376" t="str">
        <f t="shared" si="125"/>
        <v>356600</v>
      </c>
      <c r="BA119" s="1260">
        <f>ROUND((K119*$BC$3)+(K121*$BC$4),2)</f>
        <v>371.24</v>
      </c>
      <c r="BB119" s="1260">
        <f>ROUND((L119*$BC$3)+(L121*$BC$4),2)</f>
        <v>841.54</v>
      </c>
      <c r="BC119" s="1260">
        <f>ROUND((M119*$BC$3)+(K121*$BC$4),2)</f>
        <v>105.12</v>
      </c>
      <c r="BD119" s="1260">
        <f>ROUND((N119*$BC$3)+(L121*$BC$4),2)</f>
        <v>170.84</v>
      </c>
      <c r="BE119" s="1235"/>
      <c r="BF119" s="1250">
        <f>ROUND(BA119*'CP FACTORS'!$B$9,6)</f>
        <v>0.351719</v>
      </c>
      <c r="BG119" s="1251">
        <f>ROUND(BB119*'CP FACTORS'!$B$14,6)</f>
        <v>0</v>
      </c>
      <c r="BH119" s="1250">
        <f>ROUND(BC119*'CP FACTORS'!$B$9,6)</f>
        <v>9.9593000000000001E-2</v>
      </c>
      <c r="BI119" s="1252">
        <f>ROUND(BD119*'CP FACTORS'!$B$14,6)</f>
        <v>0</v>
      </c>
      <c r="BJ119" s="1234"/>
      <c r="BK119" s="698">
        <f t="shared" si="116"/>
        <v>1212.78</v>
      </c>
      <c r="BL119" s="1271">
        <f t="shared" si="117"/>
        <v>275.96000000000004</v>
      </c>
      <c r="BM119" s="1270">
        <f t="shared" si="118"/>
        <v>0.351719</v>
      </c>
      <c r="BN119" s="1269">
        <f t="shared" si="119"/>
        <v>9.9593000000000001E-2</v>
      </c>
    </row>
    <row r="120" spans="1:66" s="39" customFormat="1" x14ac:dyDescent="0.25">
      <c r="A120" s="49" t="str">
        <f t="shared" si="126"/>
        <v>356650</v>
      </c>
      <c r="B120" s="1371" t="str">
        <f>'HVAC Deemed Table'!C2131</f>
        <v>356650_2024_12_</v>
      </c>
      <c r="C120" s="846" t="str">
        <f>'HVAC Deemed Table'!G2131</f>
        <v>Cooling Res</v>
      </c>
      <c r="D120" s="846" t="str">
        <f>'HVAC Deemed Table'!G2132</f>
        <v>Heating Res</v>
      </c>
      <c r="E120" s="1307" t="str">
        <f>'HVAC Deemed Table'!G2133</f>
        <v>Cooling Res ER2</v>
      </c>
      <c r="F120" s="1307" t="str">
        <f>'HVAC Deemed Table'!G2134</f>
        <v>Heating Res ER2</v>
      </c>
      <c r="G120" s="1371" t="str">
        <f>'HVAC Deemed Table'!E2131</f>
        <v>PTHP-SEER14-Replace_PTAC_ElectricHeat_ER1_MF</v>
      </c>
      <c r="H120" s="18" t="str">
        <f>'HVAC Deemed Table'!D2131</f>
        <v>MFIE</v>
      </c>
      <c r="I120" s="1175">
        <f t="shared" si="120"/>
        <v>3281.26</v>
      </c>
      <c r="J120" s="1175">
        <f t="shared" si="121"/>
        <v>2774.67</v>
      </c>
      <c r="K120" s="1176">
        <f>'HVAC Deemed Table'!F2131</f>
        <v>611.71</v>
      </c>
      <c r="L120" s="1176">
        <f>'HVAC Deemed Table'!F2132</f>
        <v>2669.55</v>
      </c>
      <c r="M120" s="1176">
        <f>'HVAC Deemed Table'!F2133</f>
        <v>105.12</v>
      </c>
      <c r="N120" s="1176">
        <f>'HVAC Deemed Table'!F2134</f>
        <v>2669.55</v>
      </c>
      <c r="O120" s="1177">
        <f t="shared" si="122"/>
        <v>0.57954499999999998</v>
      </c>
      <c r="P120" s="1177">
        <f t="shared" si="123"/>
        <v>9.9593000000000001E-2</v>
      </c>
      <c r="Q120" s="752">
        <f>'HVAC Deemed Table'!I2131</f>
        <v>0.57954499999999998</v>
      </c>
      <c r="R120" s="752">
        <f>'HVAC Deemed Table'!I2132</f>
        <v>0</v>
      </c>
      <c r="S120" s="752">
        <f>'HVAC Deemed Table'!I2133</f>
        <v>9.9593000000000001E-2</v>
      </c>
      <c r="T120" s="752">
        <f>'HVAC Deemed Table'!I2134</f>
        <v>0</v>
      </c>
      <c r="U120" s="753">
        <f t="shared" si="112"/>
        <v>0</v>
      </c>
      <c r="V120" s="753">
        <f t="shared" si="113"/>
        <v>0</v>
      </c>
      <c r="W120" s="753">
        <f t="shared" si="114"/>
        <v>0.57954499999999998</v>
      </c>
      <c r="X120" s="22">
        <f>'HVAC Deemed Table'!J2131</f>
        <v>5</v>
      </c>
      <c r="Y120" s="22">
        <f>'HVAC Deemed Table'!J2133</f>
        <v>10</v>
      </c>
      <c r="Z120" s="22">
        <f t="shared" si="127"/>
        <v>15</v>
      </c>
      <c r="AA120" s="17">
        <f>'HVAC Deemed Table'!DG2131</f>
        <v>9.2710861392380099</v>
      </c>
      <c r="AB120" s="246">
        <f>'HVAC Deemed Table'!K2131</f>
        <v>224.93182686576984</v>
      </c>
      <c r="AC120" s="862">
        <f t="shared" si="128"/>
        <v>1130.964087886113</v>
      </c>
      <c r="AD120" s="862">
        <f t="shared" si="115"/>
        <v>954.3982544426093</v>
      </c>
      <c r="AE120" s="195">
        <f>'HVAC Deemed Table'!DI2131</f>
        <v>519.75199079297147</v>
      </c>
      <c r="AF120" s="195">
        <f>'HVAC Deemed Table'!DI2132</f>
        <v>611.21209709314155</v>
      </c>
      <c r="AG120" s="195">
        <f>'HVAC Deemed Table'!DI2133</f>
        <v>124.32405273289181</v>
      </c>
      <c r="AH120" s="195">
        <f>'HVAC Deemed Table'!DI2134</f>
        <v>830.0742017097175</v>
      </c>
      <c r="AI120" s="866" t="e">
        <f>#REF!</f>
        <v>#REF!</v>
      </c>
      <c r="AJ120" s="46">
        <f>'HVAC Deemed Table'!L2131</f>
        <v>1.0111111111111111</v>
      </c>
      <c r="AK120" s="877"/>
      <c r="AL120" s="877"/>
      <c r="AM120"/>
      <c r="AN120"/>
      <c r="AO120"/>
      <c r="AP120"/>
      <c r="AQ120"/>
      <c r="AR120"/>
      <c r="AS120"/>
      <c r="AT120"/>
      <c r="AU120"/>
      <c r="AV120"/>
      <c r="AW120"/>
      <c r="AX120" s="1284" t="str">
        <f t="shared" si="124"/>
        <v>PTHP-SEER14-Replace_PTAC_ElectricHeat_ER1_MF</v>
      </c>
      <c r="AY120" s="1307"/>
      <c r="AZ120" s="1376" t="str">
        <f t="shared" si="125"/>
        <v>356650</v>
      </c>
      <c r="BA120" s="1259">
        <f>ROUND((K120*$BC$3)+(K122*$BC$4),2)</f>
        <v>409.07</v>
      </c>
      <c r="BB120" s="1259">
        <f>ROUND((L120*$BC$3)+(L122*$BC$4),2)</f>
        <v>2669.55</v>
      </c>
      <c r="BC120" s="1259">
        <f>ROUND((M120*$BC$3)+(K122*$BC$4),2)</f>
        <v>105.12</v>
      </c>
      <c r="BD120" s="1259">
        <f>ROUND((N120*$BC$3)+(L122*$BC$4),2)</f>
        <v>2669.55</v>
      </c>
      <c r="BE120" s="1235"/>
      <c r="BF120" s="1250">
        <f>ROUND(BA120*'CP FACTORS'!$B$9,6)</f>
        <v>0.38756000000000002</v>
      </c>
      <c r="BG120" s="1251">
        <f>ROUND(BB120*'CP FACTORS'!$B$14,6)</f>
        <v>0</v>
      </c>
      <c r="BH120" s="1250">
        <f>ROUND(BC120*'CP FACTORS'!$B$9,6)</f>
        <v>9.9593000000000001E-2</v>
      </c>
      <c r="BI120" s="1252">
        <f>ROUND(BD120*'CP FACTORS'!$B$14,6)</f>
        <v>0</v>
      </c>
      <c r="BJ120" s="1234"/>
      <c r="BK120" s="698">
        <f t="shared" si="116"/>
        <v>3078.6200000000003</v>
      </c>
      <c r="BL120" s="1271">
        <f t="shared" si="117"/>
        <v>2774.67</v>
      </c>
      <c r="BM120" s="1270">
        <f t="shared" si="118"/>
        <v>0.38756000000000002</v>
      </c>
      <c r="BN120" s="1269">
        <f t="shared" si="119"/>
        <v>9.9593000000000001E-2</v>
      </c>
    </row>
    <row r="121" spans="1:66" s="39" customFormat="1" x14ac:dyDescent="0.25">
      <c r="A121" s="49" t="str">
        <f>LEFT(B121,6)</f>
        <v>356700</v>
      </c>
      <c r="B121" s="1371" t="str">
        <f>'HVAC Deemed Table'!C2135</f>
        <v>356700_2024_12_</v>
      </c>
      <c r="C121" s="846" t="str">
        <f>'HVAC Deemed Table'!G2135</f>
        <v>Cooling Res</v>
      </c>
      <c r="D121" s="846" t="str">
        <f>'HVAC Deemed Table'!G2136</f>
        <v>Heating Res</v>
      </c>
      <c r="E121" s="1307"/>
      <c r="F121" s="1307"/>
      <c r="G121" s="1371" t="str">
        <f>'HVAC Deemed Table'!E2135</f>
        <v>PTHP-SEER14-ROF_MF</v>
      </c>
      <c r="H121" s="18" t="str">
        <f>'HVAC Deemed Table'!D2135</f>
        <v>MFIE</v>
      </c>
      <c r="I121" s="1175">
        <f>K121+L121</f>
        <v>275.96000000000004</v>
      </c>
      <c r="J121" s="1175">
        <f>M121+N121</f>
        <v>0</v>
      </c>
      <c r="K121" s="1176">
        <f>'HVAC Deemed Table'!F2135</f>
        <v>105.12</v>
      </c>
      <c r="L121" s="1176">
        <f>'HVAC Deemed Table'!F2136</f>
        <v>170.84</v>
      </c>
      <c r="M121" s="1217"/>
      <c r="N121" s="1217"/>
      <c r="O121" s="1177">
        <f>Q121+R121</f>
        <v>9.9593000000000001E-2</v>
      </c>
      <c r="P121" s="1177" t="e">
        <f>S121+T121</f>
        <v>#REF!</v>
      </c>
      <c r="Q121" s="752">
        <f>'HVAC Deemed Table'!I2135</f>
        <v>9.9593000000000001E-2</v>
      </c>
      <c r="R121" s="752">
        <f>'HVAC Deemed Table'!I2136</f>
        <v>0</v>
      </c>
      <c r="S121" s="752" t="e">
        <f>'HVAC Deemed Table'!#REF!</f>
        <v>#REF!</v>
      </c>
      <c r="T121" s="752" t="e">
        <f>'HVAC Deemed Table'!#REF!</f>
        <v>#REF!</v>
      </c>
      <c r="U121" s="753">
        <f t="shared" si="112"/>
        <v>0</v>
      </c>
      <c r="V121" s="753">
        <f t="shared" si="113"/>
        <v>0</v>
      </c>
      <c r="W121" s="753">
        <f t="shared" si="114"/>
        <v>9.9593000000000001E-2</v>
      </c>
      <c r="X121" s="22">
        <f>'HVAC Deemed Table'!J2135</f>
        <v>15</v>
      </c>
      <c r="Y121" s="22"/>
      <c r="Z121" s="22">
        <f>Y121+X121</f>
        <v>15</v>
      </c>
      <c r="AA121" s="17">
        <f>'HVAC Deemed Table'!DG2135</f>
        <v>3.6015271448645594</v>
      </c>
      <c r="AB121" s="246">
        <f>'HVAC Deemed Table'!K2135</f>
        <v>84.93</v>
      </c>
      <c r="AC121" s="862">
        <f>AE121+AF121</f>
        <v>305.87770041334704</v>
      </c>
      <c r="AD121" s="862" t="e">
        <f>AG121+AH121</f>
        <v>#REF!</v>
      </c>
      <c r="AE121" s="195">
        <f>'HVAC Deemed Table'!DI2135</f>
        <v>213.64142415424695</v>
      </c>
      <c r="AF121" s="195">
        <f>'HVAC Deemed Table'!DI2136</f>
        <v>92.236276259100066</v>
      </c>
      <c r="AG121" s="195" t="e">
        <f>'HVAC Deemed Table'!#REF!</f>
        <v>#REF!</v>
      </c>
      <c r="AH121" s="195" t="e">
        <f>'HVAC Deemed Table'!#REF!</f>
        <v>#REF!</v>
      </c>
      <c r="AI121" s="866" t="e">
        <f>#REF!</f>
        <v>#REF!</v>
      </c>
      <c r="AJ121" s="46">
        <f>'HVAC Deemed Table'!L2135</f>
        <v>1.0111111111111111</v>
      </c>
      <c r="AK121" s="877"/>
      <c r="AL121" s="877"/>
      <c r="AM121"/>
      <c r="AN121"/>
      <c r="AO121"/>
      <c r="AP121"/>
      <c r="AQ121"/>
      <c r="AR121"/>
      <c r="AS121"/>
      <c r="AT121"/>
      <c r="AU121"/>
      <c r="AV121"/>
      <c r="AW121"/>
      <c r="AX121" s="1284" t="str">
        <f t="shared" si="124"/>
        <v>PTHP-SEER14-ROF_MF</v>
      </c>
      <c r="AY121" s="1307"/>
      <c r="AZ121" s="1376" t="str">
        <f t="shared" si="125"/>
        <v>356700</v>
      </c>
      <c r="BA121" s="1268">
        <f t="shared" ref="BA121:BD122" si="131">BA119</f>
        <v>371.24</v>
      </c>
      <c r="BB121" s="1268">
        <f t="shared" si="131"/>
        <v>841.54</v>
      </c>
      <c r="BC121" s="1268">
        <f t="shared" si="131"/>
        <v>105.12</v>
      </c>
      <c r="BD121" s="1268">
        <f t="shared" si="131"/>
        <v>170.84</v>
      </c>
      <c r="BE121" s="1235"/>
      <c r="BF121" s="1250">
        <f>ROUND(BA121*'CP FACTORS'!$B$9,6)</f>
        <v>0.351719</v>
      </c>
      <c r="BG121" s="1251">
        <f>ROUND(BB121*'CP FACTORS'!$B$14,6)</f>
        <v>0</v>
      </c>
      <c r="BH121" s="1250">
        <f>ROUND(BC121*'CP FACTORS'!$B$9,6)</f>
        <v>9.9593000000000001E-2</v>
      </c>
      <c r="BI121" s="1252">
        <f>ROUND(BD121*'CP FACTORS'!$B$14,6)</f>
        <v>0</v>
      </c>
      <c r="BJ121" s="1234"/>
      <c r="BK121" s="698">
        <f t="shared" si="116"/>
        <v>1212.78</v>
      </c>
      <c r="BL121" s="1271">
        <f t="shared" si="117"/>
        <v>275.96000000000004</v>
      </c>
      <c r="BM121" s="1270">
        <f t="shared" si="118"/>
        <v>0.351719</v>
      </c>
      <c r="BN121" s="1269">
        <f t="shared" si="119"/>
        <v>9.9593000000000001E-2</v>
      </c>
    </row>
    <row r="122" spans="1:66" s="39" customFormat="1" x14ac:dyDescent="0.25">
      <c r="A122" s="49" t="str">
        <f t="shared" si="126"/>
        <v>356750</v>
      </c>
      <c r="B122" s="1371" t="str">
        <f>'HVAC Deemed Table'!C2137</f>
        <v>356750_2024_12_</v>
      </c>
      <c r="C122" s="846" t="str">
        <f>'HVAC Deemed Table'!G2137</f>
        <v>Cooling Res</v>
      </c>
      <c r="D122" s="846" t="str">
        <f>'HVAC Deemed Table'!G2138</f>
        <v>Heating Res</v>
      </c>
      <c r="E122" s="1307"/>
      <c r="F122" s="1307"/>
      <c r="G122" s="1371" t="str">
        <f>'HVAC Deemed Table'!E2137</f>
        <v>PTHP-SEER14-Replace_PTAC_ElectricHeat_ROF_MF</v>
      </c>
      <c r="H122" s="18" t="str">
        <f>'HVAC Deemed Table'!D2137</f>
        <v>MFIE</v>
      </c>
      <c r="I122" s="1175">
        <f t="shared" si="120"/>
        <v>2774.67</v>
      </c>
      <c r="J122" s="1175">
        <f t="shared" si="121"/>
        <v>0</v>
      </c>
      <c r="K122" s="1176">
        <f>'HVAC Deemed Table'!F2137</f>
        <v>105.12</v>
      </c>
      <c r="L122" s="1176">
        <f>'HVAC Deemed Table'!F2138</f>
        <v>2669.55</v>
      </c>
      <c r="M122" s="1176"/>
      <c r="N122" s="1176"/>
      <c r="O122" s="1177">
        <f t="shared" si="122"/>
        <v>9.9593000000000001E-2</v>
      </c>
      <c r="P122" s="1177">
        <f t="shared" si="123"/>
        <v>0</v>
      </c>
      <c r="Q122" s="752">
        <f>'HVAC Deemed Table'!I2137</f>
        <v>9.9593000000000001E-2</v>
      </c>
      <c r="R122" s="752">
        <f>'HVAC Deemed Table'!I2138</f>
        <v>0</v>
      </c>
      <c r="S122" s="752"/>
      <c r="T122" s="752"/>
      <c r="U122" s="753">
        <f t="shared" si="112"/>
        <v>0</v>
      </c>
      <c r="V122" s="753">
        <f t="shared" si="113"/>
        <v>0</v>
      </c>
      <c r="W122" s="753">
        <f t="shared" si="114"/>
        <v>9.9593000000000001E-2</v>
      </c>
      <c r="X122" s="22">
        <f>'HVAC Deemed Table'!J2137</f>
        <v>15</v>
      </c>
      <c r="Y122" s="22"/>
      <c r="Z122" s="22">
        <f t="shared" si="127"/>
        <v>15</v>
      </c>
      <c r="AA122" s="17">
        <f>'HVAC Deemed Table'!DG2137</f>
        <v>19.485785034229444</v>
      </c>
      <c r="AB122" s="246">
        <f>'HVAC Deemed Table'!K2137</f>
        <v>84.93</v>
      </c>
      <c r="AC122" s="862">
        <f t="shared" si="128"/>
        <v>1654.9277229571069</v>
      </c>
      <c r="AD122" s="862">
        <f t="shared" si="115"/>
        <v>0</v>
      </c>
      <c r="AE122" s="195">
        <f>'HVAC Deemed Table'!DI2137</f>
        <v>213.64142415424695</v>
      </c>
      <c r="AF122" s="195">
        <f>'HVAC Deemed Table'!DI2138</f>
        <v>1441.2862988028598</v>
      </c>
      <c r="AG122" s="195"/>
      <c r="AH122" s="195"/>
      <c r="AI122" s="866" t="e">
        <f>#REF!</f>
        <v>#REF!</v>
      </c>
      <c r="AJ122" s="46">
        <f>'HVAC Deemed Table'!L2137</f>
        <v>1.0111111111111111</v>
      </c>
      <c r="AK122" s="877"/>
      <c r="AL122" s="877"/>
      <c r="AM122"/>
      <c r="AN122"/>
      <c r="AO122"/>
      <c r="AP122"/>
      <c r="AQ122"/>
      <c r="AR122"/>
      <c r="AS122"/>
      <c r="AT122"/>
      <c r="AU122"/>
      <c r="AV122"/>
      <c r="AW122"/>
      <c r="AX122" s="1284" t="str">
        <f t="shared" si="124"/>
        <v>PTHP-SEER14-Replace_PTAC_ElectricHeat_ROF_MF</v>
      </c>
      <c r="AY122" s="1307"/>
      <c r="AZ122" s="1376" t="str">
        <f t="shared" si="125"/>
        <v>356750</v>
      </c>
      <c r="BA122" s="1262">
        <f t="shared" si="131"/>
        <v>409.07</v>
      </c>
      <c r="BB122" s="1262">
        <f t="shared" si="131"/>
        <v>2669.55</v>
      </c>
      <c r="BC122" s="1262">
        <f t="shared" si="131"/>
        <v>105.12</v>
      </c>
      <c r="BD122" s="1262">
        <f t="shared" si="131"/>
        <v>2669.55</v>
      </c>
      <c r="BE122" s="1235"/>
      <c r="BF122" s="1250">
        <f>ROUND(BA122*'CP FACTORS'!$B$9,6)</f>
        <v>0.38756000000000002</v>
      </c>
      <c r="BG122" s="1251">
        <f>ROUND(BB122*'CP FACTORS'!$B$14,6)</f>
        <v>0</v>
      </c>
      <c r="BH122" s="1250">
        <f>ROUND(BC122*'CP FACTORS'!$B$9,6)</f>
        <v>9.9593000000000001E-2</v>
      </c>
      <c r="BI122" s="1252">
        <f>ROUND(BD122*'CP FACTORS'!$B$14,6)</f>
        <v>0</v>
      </c>
      <c r="BJ122" s="1234"/>
      <c r="BK122" s="698">
        <f t="shared" si="116"/>
        <v>3078.6200000000003</v>
      </c>
      <c r="BL122" s="1271">
        <f t="shared" si="117"/>
        <v>2774.67</v>
      </c>
      <c r="BM122" s="1270">
        <f t="shared" si="118"/>
        <v>0.38756000000000002</v>
      </c>
      <c r="BN122" s="1269">
        <f t="shared" si="119"/>
        <v>9.9593000000000001E-2</v>
      </c>
    </row>
    <row r="123" spans="1:66" s="39" customFormat="1" x14ac:dyDescent="0.25">
      <c r="A123" s="49" t="str">
        <f t="shared" si="126"/>
        <v>356800</v>
      </c>
      <c r="B123" s="1371" t="str">
        <f>'HVAC Deemed Table'!C2139</f>
        <v>356800_2024_12_</v>
      </c>
      <c r="C123" s="846" t="str">
        <f>'HVAC Deemed Table'!G2139</f>
        <v>Cooling Res</v>
      </c>
      <c r="D123" s="846" t="str">
        <f>'HVAC Deemed Table'!G2140</f>
        <v>Heating Res</v>
      </c>
      <c r="E123" s="1307" t="str">
        <f>'HVAC Deemed Table'!G2141</f>
        <v>Cooling Res ER2</v>
      </c>
      <c r="F123" s="1307" t="str">
        <f>'HVAC Deemed Table'!G2142</f>
        <v>Heating Res ER2</v>
      </c>
      <c r="G123" s="1371" t="str">
        <f>'HVAC Deemed Table'!E2139</f>
        <v>PTHP-SEER15-ER1_MF</v>
      </c>
      <c r="H123" s="18" t="str">
        <f>'HVAC Deemed Table'!D2139</f>
        <v>MFIE</v>
      </c>
      <c r="I123" s="1175">
        <f t="shared" si="120"/>
        <v>1912.6599999999999</v>
      </c>
      <c r="J123" s="1175">
        <f t="shared" si="121"/>
        <v>351.29</v>
      </c>
      <c r="K123" s="1176">
        <f>'HVAC Deemed Table'!F2139</f>
        <v>584.30999999999995</v>
      </c>
      <c r="L123" s="1176">
        <f>'HVAC Deemed Table'!F2140</f>
        <v>1328.35</v>
      </c>
      <c r="M123" s="1176">
        <f>'HVAC Deemed Table'!F2141</f>
        <v>140.77000000000001</v>
      </c>
      <c r="N123" s="1176">
        <f>'HVAC Deemed Table'!F2142</f>
        <v>210.52</v>
      </c>
      <c r="O123" s="1177">
        <f t="shared" si="122"/>
        <v>0.55358600000000002</v>
      </c>
      <c r="P123" s="1177">
        <f t="shared" si="123"/>
        <v>0.13336799999999999</v>
      </c>
      <c r="Q123" s="752">
        <f>'HVAC Deemed Table'!I2139</f>
        <v>0.55358600000000002</v>
      </c>
      <c r="R123" s="752">
        <f>'HVAC Deemed Table'!I2140</f>
        <v>0</v>
      </c>
      <c r="S123" s="752">
        <f>'HVAC Deemed Table'!I2141</f>
        <v>0.13336799999999999</v>
      </c>
      <c r="T123" s="752">
        <f>'HVAC Deemed Table'!I2142</f>
        <v>0</v>
      </c>
      <c r="U123" s="753">
        <f t="shared" si="112"/>
        <v>0</v>
      </c>
      <c r="V123" s="753">
        <f t="shared" si="113"/>
        <v>0</v>
      </c>
      <c r="W123" s="753">
        <f t="shared" si="114"/>
        <v>0.55358600000000002</v>
      </c>
      <c r="X123" s="22">
        <f>'HVAC Deemed Table'!J2139</f>
        <v>5</v>
      </c>
      <c r="Y123" s="22">
        <f>'HVAC Deemed Table'!J2141</f>
        <v>10</v>
      </c>
      <c r="Z123" s="22">
        <f t="shared" si="127"/>
        <v>15</v>
      </c>
      <c r="AA123" s="17">
        <f>'HVAC Deemed Table'!DG2139</f>
        <v>4.5905121733042673</v>
      </c>
      <c r="AB123" s="246">
        <f>'HVAC Deemed Table'!K2139</f>
        <v>224.93182686576984</v>
      </c>
      <c r="AC123" s="862">
        <f t="shared" si="128"/>
        <v>800.60601685889003</v>
      </c>
      <c r="AD123" s="862">
        <f t="shared" si="115"/>
        <v>231.94627253199417</v>
      </c>
      <c r="AE123" s="195">
        <f>'HVAC Deemed Table'!DI2139</f>
        <v>496.47101688748114</v>
      </c>
      <c r="AF123" s="195">
        <f>'HVAC Deemed Table'!DI2140</f>
        <v>304.13499997140889</v>
      </c>
      <c r="AG123" s="195">
        <f>'HVAC Deemed Table'!DI2141</f>
        <v>166.48684268654091</v>
      </c>
      <c r="AH123" s="195">
        <f>'HVAC Deemed Table'!DI2142</f>
        <v>65.459429845453258</v>
      </c>
      <c r="AI123" s="866" t="e">
        <f>#REF!</f>
        <v>#REF!</v>
      </c>
      <c r="AJ123" s="46">
        <f>'HVAC Deemed Table'!L2139</f>
        <v>1.0111111111111111</v>
      </c>
      <c r="AK123" s="877"/>
      <c r="AL123" s="877"/>
      <c r="AM123"/>
      <c r="AN123"/>
      <c r="AO123"/>
      <c r="AP123"/>
      <c r="AQ123"/>
      <c r="AR123"/>
      <c r="AS123"/>
      <c r="AT123"/>
      <c r="AU123"/>
      <c r="AV123"/>
      <c r="AW123"/>
      <c r="AX123" s="1284" t="str">
        <f t="shared" si="124"/>
        <v>PTHP-SEER15-ER1_MF</v>
      </c>
      <c r="AY123" s="1307"/>
      <c r="AZ123" s="1376" t="str">
        <f t="shared" si="125"/>
        <v>356800</v>
      </c>
      <c r="BA123" s="1260">
        <f>ROUND((K123*$BC$3)+(K125*$BC$4),2)</f>
        <v>406.89</v>
      </c>
      <c r="BB123" s="1260">
        <f>ROUND((L123*$BC$3)+(L125*$BC$4),2)</f>
        <v>881.22</v>
      </c>
      <c r="BC123" s="1260">
        <f>ROUND((M123*$BC$3)+(K125*$BC$4),2)</f>
        <v>140.77000000000001</v>
      </c>
      <c r="BD123" s="1260">
        <f>ROUND((N123*$BC$3)+(L125*$BC$4),2)</f>
        <v>210.52</v>
      </c>
      <c r="BE123" s="1235"/>
      <c r="BF123" s="1250">
        <f>ROUND(BA123*'CP FACTORS'!$B$9,6)</f>
        <v>0.38549499999999998</v>
      </c>
      <c r="BG123" s="1251">
        <f>ROUND(BB123*'CP FACTORS'!$B$14,6)</f>
        <v>0</v>
      </c>
      <c r="BH123" s="1250">
        <f>ROUND(BC123*'CP FACTORS'!$B$9,6)</f>
        <v>0.13336799999999999</v>
      </c>
      <c r="BI123" s="1252">
        <f>ROUND(BD123*'CP FACTORS'!$B$14,6)</f>
        <v>0</v>
      </c>
      <c r="BJ123" s="1234"/>
      <c r="BK123" s="698">
        <f t="shared" si="116"/>
        <v>1288.1100000000001</v>
      </c>
      <c r="BL123" s="1271">
        <f t="shared" si="117"/>
        <v>351.29</v>
      </c>
      <c r="BM123" s="1270">
        <f t="shared" si="118"/>
        <v>0.38549499999999998</v>
      </c>
      <c r="BN123" s="1269">
        <f t="shared" si="119"/>
        <v>0.13336799999999999</v>
      </c>
    </row>
    <row r="124" spans="1:66" s="39" customFormat="1" x14ac:dyDescent="0.25">
      <c r="A124" s="49" t="str">
        <f t="shared" si="126"/>
        <v>356850</v>
      </c>
      <c r="B124" s="1371" t="str">
        <f>'HVAC Deemed Table'!C2143</f>
        <v>356850_2024_12_</v>
      </c>
      <c r="C124" s="846" t="str">
        <f>'HVAC Deemed Table'!G2143</f>
        <v>Cooling Res</v>
      </c>
      <c r="D124" s="846" t="str">
        <f>'HVAC Deemed Table'!G2144</f>
        <v>Heating Res</v>
      </c>
      <c r="E124" s="1307" t="str">
        <f>'HVAC Deemed Table'!G2145</f>
        <v>Cooling Res ER2</v>
      </c>
      <c r="F124" s="1307" t="str">
        <f>'HVAC Deemed Table'!G2146</f>
        <v>Heating Res ER2</v>
      </c>
      <c r="G124" s="1371" t="str">
        <f>'HVAC Deemed Table'!E2143</f>
        <v>PTHP-SEER15-Replace_PTAC_ElectricHeat_ER1_MF</v>
      </c>
      <c r="H124" s="18" t="str">
        <f>'HVAC Deemed Table'!D2143</f>
        <v>MFIE</v>
      </c>
      <c r="I124" s="1175">
        <f t="shared" si="120"/>
        <v>3356.59</v>
      </c>
      <c r="J124" s="1175">
        <f t="shared" si="121"/>
        <v>2850</v>
      </c>
      <c r="K124" s="1176">
        <f>'HVAC Deemed Table'!F2143</f>
        <v>647.36</v>
      </c>
      <c r="L124" s="1176">
        <f>'HVAC Deemed Table'!F2144</f>
        <v>2709.23</v>
      </c>
      <c r="M124" s="1176">
        <f>'HVAC Deemed Table'!F2145</f>
        <v>140.77000000000001</v>
      </c>
      <c r="N124" s="1176">
        <f>'HVAC Deemed Table'!F2146</f>
        <v>2709.23</v>
      </c>
      <c r="O124" s="1177">
        <f t="shared" si="122"/>
        <v>0.61332100000000001</v>
      </c>
      <c r="P124" s="1177">
        <f t="shared" si="123"/>
        <v>0.13336799999999999</v>
      </c>
      <c r="Q124" s="752">
        <f>'HVAC Deemed Table'!I2143</f>
        <v>0.61332100000000001</v>
      </c>
      <c r="R124" s="752">
        <f>'HVAC Deemed Table'!I2144</f>
        <v>0</v>
      </c>
      <c r="S124" s="752">
        <f>'HVAC Deemed Table'!I2145</f>
        <v>0.13336799999999999</v>
      </c>
      <c r="T124" s="752">
        <f>'HVAC Deemed Table'!I2146</f>
        <v>0</v>
      </c>
      <c r="U124" s="753">
        <f t="shared" si="112"/>
        <v>0</v>
      </c>
      <c r="V124" s="753">
        <f t="shared" si="113"/>
        <v>0</v>
      </c>
      <c r="W124" s="753">
        <f t="shared" si="114"/>
        <v>0.61332100000000001</v>
      </c>
      <c r="X124" s="22">
        <f>'HVAC Deemed Table'!J2143</f>
        <v>5</v>
      </c>
      <c r="Y124" s="22">
        <f>'HVAC Deemed Table'!J2145</f>
        <v>10</v>
      </c>
      <c r="Z124" s="22">
        <f t="shared" si="127"/>
        <v>15</v>
      </c>
      <c r="AA124" s="17">
        <f>'HVAC Deemed Table'!DG2143</f>
        <v>9.6884424723683011</v>
      </c>
      <c r="AB124" s="246">
        <f>'HVAC Deemed Table'!K2143</f>
        <v>224.93182686576984</v>
      </c>
      <c r="AC124" s="862">
        <f t="shared" si="128"/>
        <v>1170.3398569152837</v>
      </c>
      <c r="AD124" s="862">
        <f t="shared" si="115"/>
        <v>1008.8992078784338</v>
      </c>
      <c r="AE124" s="195">
        <f>'HVAC Deemed Table'!DI2143</f>
        <v>550.04274698752351</v>
      </c>
      <c r="AF124" s="195">
        <f>'HVAC Deemed Table'!DI2144</f>
        <v>620.29710992776006</v>
      </c>
      <c r="AG124" s="195">
        <f>'HVAC Deemed Table'!DI2145</f>
        <v>166.48684268654091</v>
      </c>
      <c r="AH124" s="195">
        <f>'HVAC Deemed Table'!DI2146</f>
        <v>842.41236519189295</v>
      </c>
      <c r="AI124" s="866" t="e">
        <f>#REF!</f>
        <v>#REF!</v>
      </c>
      <c r="AJ124" s="46">
        <f>'HVAC Deemed Table'!L2143</f>
        <v>1.0111111111111111</v>
      </c>
      <c r="AK124" s="877"/>
      <c r="AL124" s="877"/>
      <c r="AM124"/>
      <c r="AN124"/>
      <c r="AO124"/>
      <c r="AP124"/>
      <c r="AQ124"/>
      <c r="AR124"/>
      <c r="AS124"/>
      <c r="AT124"/>
      <c r="AU124"/>
      <c r="AV124"/>
      <c r="AW124"/>
      <c r="AX124" s="1284" t="str">
        <f t="shared" si="124"/>
        <v>PTHP-SEER15-Replace_PTAC_ElectricHeat_ER1_MF</v>
      </c>
      <c r="AY124" s="1307"/>
      <c r="AZ124" s="1376" t="str">
        <f t="shared" si="125"/>
        <v>356850</v>
      </c>
      <c r="BA124" s="1259">
        <f>ROUND((K124*$BC$3)+(K126*$BC$4),2)</f>
        <v>444.72</v>
      </c>
      <c r="BB124" s="1259">
        <f>ROUND((L124*$BC$3)+(L126*$BC$4),2)</f>
        <v>2709.23</v>
      </c>
      <c r="BC124" s="1259">
        <f>ROUND((M124*$BC$3)+(K126*$BC$4),2)</f>
        <v>140.77000000000001</v>
      </c>
      <c r="BD124" s="1259">
        <f>ROUND((N124*$BC$3)+(L126*$BC$4),2)</f>
        <v>2709.23</v>
      </c>
      <c r="BE124" s="1235"/>
      <c r="BF124" s="1250">
        <f>ROUND(BA124*'CP FACTORS'!$B$9,6)</f>
        <v>0.42133599999999999</v>
      </c>
      <c r="BG124" s="1251">
        <f>ROUND(BB124*'CP FACTORS'!$B$14,6)</f>
        <v>0</v>
      </c>
      <c r="BH124" s="1250">
        <f>ROUND(BC124*'CP FACTORS'!$B$9,6)</f>
        <v>0.13336799999999999</v>
      </c>
      <c r="BI124" s="1252">
        <f>ROUND(BD124*'CP FACTORS'!$B$14,6)</f>
        <v>0</v>
      </c>
      <c r="BJ124" s="1234"/>
      <c r="BK124" s="698">
        <f t="shared" si="116"/>
        <v>3153.95</v>
      </c>
      <c r="BL124" s="1271">
        <f t="shared" si="117"/>
        <v>2850</v>
      </c>
      <c r="BM124" s="1270">
        <f t="shared" si="118"/>
        <v>0.42133599999999999</v>
      </c>
      <c r="BN124" s="1269">
        <f t="shared" si="119"/>
        <v>0.13336799999999999</v>
      </c>
    </row>
    <row r="125" spans="1:66" s="39" customFormat="1" x14ac:dyDescent="0.25">
      <c r="A125" s="49" t="str">
        <f>LEFT(B125,6)</f>
        <v>356900</v>
      </c>
      <c r="B125" s="1371" t="str">
        <f>'HVAC Deemed Table'!C2147</f>
        <v>356900_2024_12_</v>
      </c>
      <c r="C125" s="846" t="str">
        <f>'HVAC Deemed Table'!G2147</f>
        <v>Cooling Res</v>
      </c>
      <c r="D125" s="846" t="str">
        <f>'HVAC Deemed Table'!G2148</f>
        <v>Heating Res</v>
      </c>
      <c r="E125" s="1307"/>
      <c r="F125" s="1307"/>
      <c r="G125" s="1371" t="str">
        <f>'HVAC Deemed Table'!E2147</f>
        <v>PTHP-SEER15-ROF_MF</v>
      </c>
      <c r="H125" s="18" t="str">
        <f>'HVAC Deemed Table'!D2147</f>
        <v>MFIE</v>
      </c>
      <c r="I125" s="1175">
        <f>K125+L125</f>
        <v>351.29</v>
      </c>
      <c r="J125" s="1175">
        <f>M125+N125</f>
        <v>0</v>
      </c>
      <c r="K125" s="1176">
        <f>'HVAC Deemed Table'!F2147</f>
        <v>140.77000000000001</v>
      </c>
      <c r="L125" s="1176">
        <f>'HVAC Deemed Table'!F2148</f>
        <v>210.52</v>
      </c>
      <c r="M125" s="1217"/>
      <c r="N125" s="1217"/>
      <c r="O125" s="1177">
        <f>Q125+R125</f>
        <v>0.13336799999999999</v>
      </c>
      <c r="P125" s="1177" t="e">
        <f>S125+T125</f>
        <v>#REF!</v>
      </c>
      <c r="Q125" s="752">
        <f>'HVAC Deemed Table'!I2147</f>
        <v>0.13336799999999999</v>
      </c>
      <c r="R125" s="752">
        <f>'HVAC Deemed Table'!I2148</f>
        <v>0</v>
      </c>
      <c r="S125" s="752" t="e">
        <f>'HVAC Deemed Table'!#REF!</f>
        <v>#REF!</v>
      </c>
      <c r="T125" s="752" t="e">
        <f>'HVAC Deemed Table'!#REF!</f>
        <v>#REF!</v>
      </c>
      <c r="U125" s="753">
        <f t="shared" si="112"/>
        <v>0</v>
      </c>
      <c r="V125" s="753">
        <f t="shared" si="113"/>
        <v>0</v>
      </c>
      <c r="W125" s="753">
        <f t="shared" si="114"/>
        <v>0.13336799999999999</v>
      </c>
      <c r="X125" s="22">
        <f>'HVAC Deemed Table'!J2147</f>
        <v>15</v>
      </c>
      <c r="Y125" s="22"/>
      <c r="Z125" s="22">
        <f>Y125+X125</f>
        <v>15</v>
      </c>
      <c r="AA125" s="17">
        <f>'HVAC Deemed Table'!DG2147</f>
        <v>4.706869455767599</v>
      </c>
      <c r="AB125" s="246">
        <f>'HVAC Deemed Table'!K2147</f>
        <v>84.93</v>
      </c>
      <c r="AC125" s="862">
        <f>AE125+AF125</f>
        <v>399.75442287834221</v>
      </c>
      <c r="AD125" s="862" t="e">
        <f>AG125+AH125</f>
        <v>#REF!</v>
      </c>
      <c r="AE125" s="195">
        <f>'HVAC Deemed Table'!DI2147</f>
        <v>286.09497030244813</v>
      </c>
      <c r="AF125" s="195">
        <f>'HVAC Deemed Table'!DI2148</f>
        <v>113.65945257589408</v>
      </c>
      <c r="AG125" s="195" t="e">
        <f>'HVAC Deemed Table'!#REF!</f>
        <v>#REF!</v>
      </c>
      <c r="AH125" s="195" t="e">
        <f>'HVAC Deemed Table'!#REF!</f>
        <v>#REF!</v>
      </c>
      <c r="AI125" s="866" t="e">
        <f>#REF!</f>
        <v>#REF!</v>
      </c>
      <c r="AJ125" s="46">
        <f>'HVAC Deemed Table'!L2147</f>
        <v>1.0111111111111111</v>
      </c>
      <c r="AK125" s="877"/>
      <c r="AL125" s="877"/>
      <c r="AM125"/>
      <c r="AN125"/>
      <c r="AO125"/>
      <c r="AP125"/>
      <c r="AQ125"/>
      <c r="AR125"/>
      <c r="AS125"/>
      <c r="AT125"/>
      <c r="AU125"/>
      <c r="AV125"/>
      <c r="AW125"/>
      <c r="AX125" s="1284" t="str">
        <f t="shared" si="124"/>
        <v>PTHP-SEER15-ROF_MF</v>
      </c>
      <c r="AY125" s="1307"/>
      <c r="AZ125" s="1376" t="str">
        <f t="shared" si="125"/>
        <v>356900</v>
      </c>
      <c r="BA125" s="1268">
        <f t="shared" ref="BA125:BD126" si="132">BA123</f>
        <v>406.89</v>
      </c>
      <c r="BB125" s="1268">
        <f t="shared" si="132"/>
        <v>881.22</v>
      </c>
      <c r="BC125" s="1268">
        <f t="shared" si="132"/>
        <v>140.77000000000001</v>
      </c>
      <c r="BD125" s="1268">
        <f t="shared" si="132"/>
        <v>210.52</v>
      </c>
      <c r="BE125" s="1235"/>
      <c r="BF125" s="1250">
        <f>ROUND(BA125*'CP FACTORS'!$B$9,6)</f>
        <v>0.38549499999999998</v>
      </c>
      <c r="BG125" s="1251">
        <f>ROUND(BB125*'CP FACTORS'!$B$14,6)</f>
        <v>0</v>
      </c>
      <c r="BH125" s="1250">
        <f>ROUND(BC125*'CP FACTORS'!$B$9,6)</f>
        <v>0.13336799999999999</v>
      </c>
      <c r="BI125" s="1252">
        <f>ROUND(BD125*'CP FACTORS'!$B$14,6)</f>
        <v>0</v>
      </c>
      <c r="BJ125" s="1234"/>
      <c r="BK125" s="698">
        <f t="shared" si="116"/>
        <v>1288.1100000000001</v>
      </c>
      <c r="BL125" s="1271">
        <f t="shared" si="117"/>
        <v>351.29</v>
      </c>
      <c r="BM125" s="1270">
        <f t="shared" si="118"/>
        <v>0.38549499999999998</v>
      </c>
      <c r="BN125" s="1269">
        <f t="shared" si="119"/>
        <v>0.13336799999999999</v>
      </c>
    </row>
    <row r="126" spans="1:66" s="39" customFormat="1" x14ac:dyDescent="0.25">
      <c r="A126" s="49" t="str">
        <f t="shared" si="126"/>
        <v>356950</v>
      </c>
      <c r="B126" s="1371" t="str">
        <f>'HVAC Deemed Table'!C2149</f>
        <v>356950_2024_12_</v>
      </c>
      <c r="C126" s="846" t="str">
        <f>'HVAC Deemed Table'!G2149</f>
        <v>Cooling Res</v>
      </c>
      <c r="D126" s="846" t="str">
        <f>'HVAC Deemed Table'!G2150</f>
        <v>Heating Res</v>
      </c>
      <c r="E126" s="1307"/>
      <c r="F126" s="1307"/>
      <c r="G126" s="1371" t="str">
        <f>'HVAC Deemed Table'!E2149</f>
        <v>PTHP-SEER15-Replace_PTAC_ElectricHeat_ROF_MF</v>
      </c>
      <c r="H126" s="18" t="str">
        <f>'HVAC Deemed Table'!D2149</f>
        <v>MFIE</v>
      </c>
      <c r="I126" s="1175">
        <f t="shared" si="120"/>
        <v>2850</v>
      </c>
      <c r="J126" s="1175">
        <f t="shared" si="121"/>
        <v>0</v>
      </c>
      <c r="K126" s="1176">
        <f>'HVAC Deemed Table'!F2149</f>
        <v>140.77000000000001</v>
      </c>
      <c r="L126" s="1176">
        <f>'HVAC Deemed Table'!F2150</f>
        <v>2709.23</v>
      </c>
      <c r="M126" s="1176"/>
      <c r="N126" s="1176"/>
      <c r="O126" s="1177">
        <f t="shared" si="122"/>
        <v>0.13336799999999999</v>
      </c>
      <c r="P126" s="1177">
        <f t="shared" si="123"/>
        <v>0</v>
      </c>
      <c r="Q126" s="752">
        <f>'HVAC Deemed Table'!I2149</f>
        <v>0.13336799999999999</v>
      </c>
      <c r="R126" s="752">
        <f>'HVAC Deemed Table'!I2150</f>
        <v>0</v>
      </c>
      <c r="S126" s="752"/>
      <c r="T126" s="752"/>
      <c r="U126" s="753">
        <f t="shared" si="112"/>
        <v>0</v>
      </c>
      <c r="V126" s="753">
        <f t="shared" si="113"/>
        <v>0</v>
      </c>
      <c r="W126" s="753">
        <f t="shared" si="114"/>
        <v>0.13336799999999999</v>
      </c>
      <c r="X126" s="22">
        <f>'HVAC Deemed Table'!J2149</f>
        <v>15</v>
      </c>
      <c r="Y126" s="22"/>
      <c r="Z126" s="22">
        <f t="shared" si="127"/>
        <v>15</v>
      </c>
      <c r="AA126" s="17">
        <f>'HVAC Deemed Table'!DG2149</f>
        <v>20.591127345132485</v>
      </c>
      <c r="AB126" s="246">
        <f>'HVAC Deemed Table'!K2149</f>
        <v>84.93</v>
      </c>
      <c r="AC126" s="862">
        <f t="shared" si="128"/>
        <v>1748.8044454221022</v>
      </c>
      <c r="AD126" s="862">
        <f t="shared" si="115"/>
        <v>0</v>
      </c>
      <c r="AE126" s="195">
        <f>'HVAC Deemed Table'!DI2149</f>
        <v>286.09497030244813</v>
      </c>
      <c r="AF126" s="195">
        <f>'HVAC Deemed Table'!DI2150</f>
        <v>1462.7094751196539</v>
      </c>
      <c r="AG126" s="195"/>
      <c r="AH126" s="195"/>
      <c r="AI126" s="866" t="e">
        <f>#REF!</f>
        <v>#REF!</v>
      </c>
      <c r="AJ126" s="46">
        <f>'HVAC Deemed Table'!L2149</f>
        <v>1.0111111111111111</v>
      </c>
      <c r="AK126" s="877"/>
      <c r="AL126" s="877"/>
      <c r="AM126"/>
      <c r="AN126"/>
      <c r="AO126"/>
      <c r="AP126"/>
      <c r="AQ126"/>
      <c r="AR126"/>
      <c r="AS126"/>
      <c r="AT126"/>
      <c r="AU126"/>
      <c r="AV126"/>
      <c r="AW126"/>
      <c r="AX126" s="1284" t="str">
        <f t="shared" si="124"/>
        <v>PTHP-SEER15-Replace_PTAC_ElectricHeat_ROF_MF</v>
      </c>
      <c r="AY126" s="1307"/>
      <c r="AZ126" s="1376" t="str">
        <f t="shared" si="125"/>
        <v>356950</v>
      </c>
      <c r="BA126" s="1262">
        <f t="shared" si="132"/>
        <v>444.72</v>
      </c>
      <c r="BB126" s="1262">
        <f t="shared" si="132"/>
        <v>2709.23</v>
      </c>
      <c r="BC126" s="1262">
        <f t="shared" si="132"/>
        <v>140.77000000000001</v>
      </c>
      <c r="BD126" s="1262">
        <f t="shared" si="132"/>
        <v>2709.23</v>
      </c>
      <c r="BE126" s="1235"/>
      <c r="BF126" s="1250">
        <f>ROUND(BA126*'CP FACTORS'!$B$9,6)</f>
        <v>0.42133599999999999</v>
      </c>
      <c r="BG126" s="1251">
        <f>ROUND(BB126*'CP FACTORS'!$B$14,6)</f>
        <v>0</v>
      </c>
      <c r="BH126" s="1250">
        <f>ROUND(BC126*'CP FACTORS'!$B$9,6)</f>
        <v>0.13336799999999999</v>
      </c>
      <c r="BI126" s="1252">
        <f>ROUND(BD126*'CP FACTORS'!$B$14,6)</f>
        <v>0</v>
      </c>
      <c r="BJ126" s="1234"/>
      <c r="BK126" s="698">
        <f t="shared" si="116"/>
        <v>3153.95</v>
      </c>
      <c r="BL126" s="1271">
        <f t="shared" si="117"/>
        <v>2850</v>
      </c>
      <c r="BM126" s="1270">
        <f t="shared" si="118"/>
        <v>0.42133599999999999</v>
      </c>
      <c r="BN126" s="1269">
        <f t="shared" si="119"/>
        <v>0.13336799999999999</v>
      </c>
    </row>
    <row r="127" spans="1:66" x14ac:dyDescent="0.25">
      <c r="A127" s="49" t="str">
        <f t="shared" si="126"/>
        <v>400150</v>
      </c>
      <c r="B127" s="1371" t="str">
        <f>'Income Eligible Deemed Table'!C7</f>
        <v>400150_2024_12_</v>
      </c>
      <c r="C127" s="846" t="str">
        <f>'Income Eligible Deemed Table'!G7</f>
        <v>Cooling RES</v>
      </c>
      <c r="D127" s="1307"/>
      <c r="E127" s="1307"/>
      <c r="F127" s="1307"/>
      <c r="G127" s="1307" t="str">
        <f>'Income Eligible Deemed Table'!E7</f>
        <v>AC Tune-up / Refrigerant charge SF</v>
      </c>
      <c r="H127" s="18" t="str">
        <f>'Income Eligible Deemed Table'!D7</f>
        <v>SFIE</v>
      </c>
      <c r="I127" s="750">
        <f t="shared" ref="I127:I129" si="133">K127+L127</f>
        <v>591.36</v>
      </c>
      <c r="J127" s="750">
        <f t="shared" ref="J127:J170" si="134">M127+N127</f>
        <v>0</v>
      </c>
      <c r="K127" s="189">
        <f>'Income Eligible Deemed Table'!F7</f>
        <v>591.36</v>
      </c>
      <c r="L127" s="189"/>
      <c r="M127" s="189"/>
      <c r="N127" s="189"/>
      <c r="O127" s="751">
        <f t="shared" ref="O127:O129" si="135">Q127+R127</f>
        <v>0.56026500000000001</v>
      </c>
      <c r="P127" s="751">
        <f t="shared" ref="P127:P168" si="136">S127+T127</f>
        <v>0</v>
      </c>
      <c r="Q127" s="752">
        <f>'Income Eligible Deemed Table'!I7</f>
        <v>0.56026500000000001</v>
      </c>
      <c r="R127" s="752"/>
      <c r="S127" s="752"/>
      <c r="T127" s="752"/>
      <c r="U127" s="753">
        <f t="shared" ref="U127:U172" si="137">IFERROR(IF(V127+W127&gt;0,0,IF(Z127&gt;0,O127,0)),0)</f>
        <v>0.56026500000000001</v>
      </c>
      <c r="V127" s="753">
        <f t="shared" ref="V127:V172" si="138">IF(W127&gt;0,0,IF(Z127&gt;9,O127,0))</f>
        <v>0</v>
      </c>
      <c r="W127" s="753">
        <f t="shared" ref="W127:W172" si="139">IF(Z127&gt;14,O127,0)</f>
        <v>0</v>
      </c>
      <c r="X127" s="22">
        <f>'Income Eligible Deemed Table'!J7</f>
        <v>2</v>
      </c>
      <c r="Y127" s="22"/>
      <c r="Z127" s="22">
        <f t="shared" si="127"/>
        <v>2</v>
      </c>
      <c r="AA127" s="17">
        <f>'Income Eligible Deemed Table'!DG7</f>
        <v>2.7298468751364671</v>
      </c>
      <c r="AB127" s="246">
        <f>'Income Eligible Deemed Table'!K7</f>
        <v>81</v>
      </c>
      <c r="AC127" s="861">
        <f t="shared" si="128"/>
        <v>221.11759688605383</v>
      </c>
      <c r="AD127" s="861">
        <f t="shared" ref="AD127:AD164" si="140">AG127+AH127</f>
        <v>0</v>
      </c>
      <c r="AE127" s="592">
        <f>'Income Eligible Deemed Table'!DI7</f>
        <v>221.11759688605383</v>
      </c>
      <c r="AF127" s="195"/>
      <c r="AG127" s="195"/>
      <c r="AH127" s="195"/>
      <c r="AI127" s="1371" t="str">
        <f>'Income Eligible Deemed Table'!L7</f>
        <v>per measure</v>
      </c>
      <c r="AJ127" s="68"/>
      <c r="AX127" s="1284" t="str">
        <f t="shared" si="124"/>
        <v>AC Tune-up / Refrigerant charge SF</v>
      </c>
      <c r="AY127" s="1307"/>
      <c r="AZ127" s="1376" t="str">
        <f t="shared" si="125"/>
        <v>400150</v>
      </c>
      <c r="BA127" s="1229" t="s">
        <v>2158</v>
      </c>
      <c r="BB127" s="1229" t="s">
        <v>2158</v>
      </c>
      <c r="BC127" s="1229" t="s">
        <v>2158</v>
      </c>
      <c r="BD127" s="1229" t="s">
        <v>2158</v>
      </c>
      <c r="BE127" s="1234"/>
      <c r="BF127" s="1229" t="s">
        <v>2158</v>
      </c>
      <c r="BG127" s="1229" t="s">
        <v>2158</v>
      </c>
      <c r="BH127" s="1229" t="s">
        <v>2158</v>
      </c>
      <c r="BI127" s="1230" t="s">
        <v>2158</v>
      </c>
      <c r="BJ127" s="1234"/>
      <c r="BK127" s="1229" t="s">
        <v>2158</v>
      </c>
      <c r="BL127" s="1230" t="s">
        <v>2158</v>
      </c>
      <c r="BM127" s="1229" t="s">
        <v>2158</v>
      </c>
      <c r="BN127" s="1230" t="s">
        <v>2158</v>
      </c>
    </row>
    <row r="128" spans="1:66" s="39" customFormat="1" x14ac:dyDescent="0.25">
      <c r="A128" s="49" t="str">
        <f t="shared" ref="A128:A185" si="141">LEFT(B128,6)</f>
        <v>400410</v>
      </c>
      <c r="B128" s="1371" t="str">
        <f>'Income Eligible Deemed Table'!C8</f>
        <v>400410_2024_12_</v>
      </c>
      <c r="C128" s="846" t="str">
        <f>'Income Eligible Deemed Table'!G8</f>
        <v>Cooling RES</v>
      </c>
      <c r="D128" s="1307"/>
      <c r="E128" s="1307"/>
      <c r="F128" s="1307"/>
      <c r="G128" s="1307" t="str">
        <f>'Income Eligible Deemed Table'!E8</f>
        <v>AC Tune-up / Packaged Service SF</v>
      </c>
      <c r="H128" s="18" t="str">
        <f>'Income Eligible Deemed Table'!D8</f>
        <v>SFIE</v>
      </c>
      <c r="I128" s="750">
        <f t="shared" si="133"/>
        <v>368.11</v>
      </c>
      <c r="J128" s="750">
        <f t="shared" si="134"/>
        <v>0</v>
      </c>
      <c r="K128" s="189">
        <f>'Income Eligible Deemed Table'!F8</f>
        <v>368.11</v>
      </c>
      <c r="L128" s="189"/>
      <c r="M128" s="189"/>
      <c r="N128" s="189"/>
      <c r="O128" s="751">
        <f t="shared" si="135"/>
        <v>0.34875400000000001</v>
      </c>
      <c r="P128" s="751">
        <f t="shared" si="136"/>
        <v>0</v>
      </c>
      <c r="Q128" s="752">
        <f>'Income Eligible Deemed Table'!I8</f>
        <v>0.34875400000000001</v>
      </c>
      <c r="R128" s="752"/>
      <c r="S128" s="752"/>
      <c r="T128" s="752"/>
      <c r="U128" s="753">
        <f t="shared" si="137"/>
        <v>0.34875400000000001</v>
      </c>
      <c r="V128" s="753">
        <f t="shared" si="138"/>
        <v>0</v>
      </c>
      <c r="W128" s="753">
        <f t="shared" si="139"/>
        <v>0</v>
      </c>
      <c r="X128" s="22">
        <f>'Income Eligible Deemed Table'!J8</f>
        <v>2</v>
      </c>
      <c r="Y128" s="22"/>
      <c r="Z128" s="22">
        <f t="shared" ref="Z128:Z185" si="142">Y128+X128</f>
        <v>2</v>
      </c>
      <c r="AA128" s="17">
        <f>'Income Eligible Deemed Table'!DG8</f>
        <v>0.744007387366595</v>
      </c>
      <c r="AB128" s="246">
        <f>'Income Eligible Deemed Table'!K8</f>
        <v>185</v>
      </c>
      <c r="AC128" s="861">
        <f t="shared" ref="AC128:AC185" si="143">AE128+AF128</f>
        <v>137.64136666282008</v>
      </c>
      <c r="AD128" s="861">
        <f t="shared" si="140"/>
        <v>0</v>
      </c>
      <c r="AE128" s="592">
        <f>'Income Eligible Deemed Table'!DI8</f>
        <v>137.64136666282008</v>
      </c>
      <c r="AF128" s="195"/>
      <c r="AG128" s="195"/>
      <c r="AH128" s="195"/>
      <c r="AI128" s="1371" t="str">
        <f>'Income Eligible Deemed Table'!L8</f>
        <v>per measure</v>
      </c>
      <c r="AJ128" s="656"/>
      <c r="AM128"/>
      <c r="AN128"/>
      <c r="AO128"/>
      <c r="AP128"/>
      <c r="AQ128"/>
      <c r="AR128"/>
      <c r="AS128"/>
      <c r="AT128"/>
      <c r="AU128"/>
      <c r="AV128"/>
      <c r="AW128"/>
      <c r="AX128" s="1284" t="str">
        <f t="shared" si="124"/>
        <v>AC Tune-up / Packaged Service SF</v>
      </c>
      <c r="AY128" s="1307"/>
      <c r="AZ128" s="1376" t="str">
        <f t="shared" si="125"/>
        <v>400410</v>
      </c>
      <c r="BA128" s="1229" t="s">
        <v>2158</v>
      </c>
      <c r="BB128" s="1229" t="s">
        <v>2158</v>
      </c>
      <c r="BC128" s="1229" t="s">
        <v>2158</v>
      </c>
      <c r="BD128" s="1229" t="s">
        <v>2158</v>
      </c>
      <c r="BE128" s="1235"/>
      <c r="BF128" s="1229" t="s">
        <v>2158</v>
      </c>
      <c r="BG128" s="1229" t="s">
        <v>2158</v>
      </c>
      <c r="BH128" s="1229" t="s">
        <v>2158</v>
      </c>
      <c r="BI128" s="1230" t="s">
        <v>2158</v>
      </c>
      <c r="BJ128" s="1234"/>
      <c r="BK128" s="1229" t="s">
        <v>2158</v>
      </c>
      <c r="BL128" s="1230" t="s">
        <v>2158</v>
      </c>
      <c r="BM128" s="1229" t="s">
        <v>2158</v>
      </c>
      <c r="BN128" s="1230" t="s">
        <v>2158</v>
      </c>
    </row>
    <row r="129" spans="1:66" x14ac:dyDescent="0.25">
      <c r="A129" s="49" t="str">
        <f t="shared" si="141"/>
        <v>400411</v>
      </c>
      <c r="B129" s="1371" t="str">
        <f>'Income Eligible Deemed Table'!C9</f>
        <v>400411_2024_12_</v>
      </c>
      <c r="C129" s="846" t="str">
        <f>'Income Eligible Deemed Table'!G9</f>
        <v>Cooling RES</v>
      </c>
      <c r="D129" s="1307"/>
      <c r="E129" s="1307"/>
      <c r="F129" s="1307"/>
      <c r="G129" s="1307" t="str">
        <f>'Income Eligible Deemed Table'!E9</f>
        <v>AC Tune-up / Packaged Service MF</v>
      </c>
      <c r="H129" s="18" t="str">
        <f>'Income Eligible Deemed Table'!D9</f>
        <v>MFIE</v>
      </c>
      <c r="I129" s="750">
        <f t="shared" si="133"/>
        <v>239.27</v>
      </c>
      <c r="J129" s="750">
        <f t="shared" si="134"/>
        <v>0</v>
      </c>
      <c r="K129" s="189">
        <f>'Income Eligible Deemed Table'!F9</f>
        <v>239.27</v>
      </c>
      <c r="L129" s="189"/>
      <c r="M129" s="189"/>
      <c r="N129" s="189"/>
      <c r="O129" s="751">
        <f t="shared" si="135"/>
        <v>0.226689</v>
      </c>
      <c r="P129" s="751">
        <f t="shared" si="136"/>
        <v>0</v>
      </c>
      <c r="Q129" s="752">
        <f>'Income Eligible Deemed Table'!I9</f>
        <v>0.226689</v>
      </c>
      <c r="R129" s="752"/>
      <c r="S129" s="752"/>
      <c r="T129" s="752"/>
      <c r="U129" s="753">
        <f t="shared" si="137"/>
        <v>0.226689</v>
      </c>
      <c r="V129" s="753">
        <f t="shared" si="138"/>
        <v>0</v>
      </c>
      <c r="W129" s="753">
        <f t="shared" si="139"/>
        <v>0</v>
      </c>
      <c r="X129" s="22">
        <f>'Income Eligible Deemed Table'!J9</f>
        <v>2</v>
      </c>
      <c r="Y129" s="22"/>
      <c r="Z129" s="22">
        <f t="shared" si="142"/>
        <v>2</v>
      </c>
      <c r="AA129" s="17">
        <f>'Income Eligible Deemed Table'!DG9</f>
        <v>0.48360177005570398</v>
      </c>
      <c r="AB129" s="246">
        <f>'Income Eligible Deemed Table'!K9</f>
        <v>185</v>
      </c>
      <c r="AC129" s="861">
        <f t="shared" si="143"/>
        <v>89.466327460305237</v>
      </c>
      <c r="AD129" s="861">
        <f t="shared" si="140"/>
        <v>0</v>
      </c>
      <c r="AE129" s="592">
        <f>'Income Eligible Deemed Table'!DI9</f>
        <v>89.466327460305237</v>
      </c>
      <c r="AF129" s="195"/>
      <c r="AG129" s="195"/>
      <c r="AH129" s="195"/>
      <c r="AI129" s="1371" t="str">
        <f>'Income Eligible Deemed Table'!L9</f>
        <v>per measure</v>
      </c>
      <c r="AJ129" s="656"/>
      <c r="AK129" s="39"/>
      <c r="AL129" s="39"/>
      <c r="AX129" s="1284" t="str">
        <f t="shared" si="124"/>
        <v>AC Tune-up / Packaged Service MF</v>
      </c>
      <c r="AY129" s="1307"/>
      <c r="AZ129" s="1376" t="str">
        <f t="shared" si="125"/>
        <v>400411</v>
      </c>
      <c r="BA129" s="1229" t="s">
        <v>2158</v>
      </c>
      <c r="BB129" s="1229" t="s">
        <v>2158</v>
      </c>
      <c r="BC129" s="1229" t="s">
        <v>2158</v>
      </c>
      <c r="BD129" s="1229" t="s">
        <v>2158</v>
      </c>
      <c r="BE129" s="1234"/>
      <c r="BF129" s="1229" t="s">
        <v>2158</v>
      </c>
      <c r="BG129" s="1229" t="s">
        <v>2158</v>
      </c>
      <c r="BH129" s="1229" t="s">
        <v>2158</v>
      </c>
      <c r="BI129" s="1230" t="s">
        <v>2158</v>
      </c>
      <c r="BJ129" s="1234"/>
      <c r="BK129" s="1229" t="s">
        <v>2158</v>
      </c>
      <c r="BL129" s="1230" t="s">
        <v>2158</v>
      </c>
      <c r="BM129" s="1229" t="s">
        <v>2158</v>
      </c>
      <c r="BN129" s="1230" t="s">
        <v>2158</v>
      </c>
    </row>
    <row r="130" spans="1:66" x14ac:dyDescent="0.25">
      <c r="A130" s="49" t="str">
        <f t="shared" si="141"/>
        <v>400450</v>
      </c>
      <c r="B130" s="1371" t="str">
        <f>'Income Eligible Deemed Table'!C33</f>
        <v>400450_2024_12_</v>
      </c>
      <c r="C130" s="1307" t="str">
        <f>'Income Eligible Deemed Table'!G33</f>
        <v>Building Shell RES</v>
      </c>
      <c r="D130" s="1307"/>
      <c r="E130" s="1307"/>
      <c r="F130" s="1307"/>
      <c r="G130" s="1307" t="str">
        <f>'Income Eligible Deemed Table'!E33</f>
        <v>Air Sealing (Infiltration reduction) - 30% MF IE DI electric furnace base</v>
      </c>
      <c r="H130" s="18" t="str">
        <f>'Income Eligible Deemed Table'!D33</f>
        <v>MFIE</v>
      </c>
      <c r="I130" s="750">
        <f>'Income Eligible Deemed Table'!F33</f>
        <v>0.33</v>
      </c>
      <c r="J130" s="750">
        <f t="shared" si="134"/>
        <v>0</v>
      </c>
      <c r="K130" s="847"/>
      <c r="L130" s="847"/>
      <c r="M130" s="189"/>
      <c r="N130" s="189"/>
      <c r="O130" s="751">
        <f>'Income Eligible Deemed Table'!K33</f>
        <v>1.54E-4</v>
      </c>
      <c r="P130" s="751">
        <f t="shared" si="136"/>
        <v>0</v>
      </c>
      <c r="Q130" s="848"/>
      <c r="R130" s="848"/>
      <c r="S130" s="752"/>
      <c r="T130" s="752"/>
      <c r="U130" s="753">
        <f t="shared" si="137"/>
        <v>0</v>
      </c>
      <c r="V130" s="753">
        <f t="shared" si="138"/>
        <v>0</v>
      </c>
      <c r="W130" s="753">
        <f t="shared" si="139"/>
        <v>1.54E-4</v>
      </c>
      <c r="X130" s="22">
        <f>'Income Eligible Deemed Table'!L33</f>
        <v>20</v>
      </c>
      <c r="Y130" s="22"/>
      <c r="Z130" s="22">
        <f t="shared" si="142"/>
        <v>20</v>
      </c>
      <c r="AA130" s="17">
        <f>'Income Eligible Deemed Table'!DG33</f>
        <v>4.1870160967152685</v>
      </c>
      <c r="AB130" s="246">
        <f>'Income Eligible Deemed Table'!M33</f>
        <v>0.12</v>
      </c>
      <c r="AC130" s="861">
        <f t="shared" si="143"/>
        <v>0.50244193160583217</v>
      </c>
      <c r="AD130" s="861">
        <f t="shared" si="140"/>
        <v>0</v>
      </c>
      <c r="AE130" s="592">
        <f>'Income Eligible Deemed Table'!DI33</f>
        <v>0.50244193160583217</v>
      </c>
      <c r="AF130" s="195"/>
      <c r="AG130" s="195"/>
      <c r="AH130" s="195"/>
      <c r="AI130" s="866" t="str">
        <f>'Income Eligible Deemed Table'!N32</f>
        <v>Units (sq. ft)</v>
      </c>
      <c r="AJ130" s="68"/>
      <c r="AX130" s="1284" t="str">
        <f t="shared" si="124"/>
        <v>Air Sealing (Infiltration reduction) - 30% MF IE DI electric furnace base</v>
      </c>
      <c r="AY130" s="1307"/>
      <c r="AZ130" s="1376" t="str">
        <f t="shared" si="125"/>
        <v>400450</v>
      </c>
      <c r="BA130" s="1229" t="s">
        <v>2158</v>
      </c>
      <c r="BB130" s="1229" t="s">
        <v>2158</v>
      </c>
      <c r="BC130" s="1229" t="s">
        <v>2158</v>
      </c>
      <c r="BD130" s="1229" t="s">
        <v>2158</v>
      </c>
      <c r="BE130" s="1234"/>
      <c r="BF130" s="1229" t="s">
        <v>2158</v>
      </c>
      <c r="BG130" s="1229" t="s">
        <v>2158</v>
      </c>
      <c r="BH130" s="1229" t="s">
        <v>2158</v>
      </c>
      <c r="BI130" s="1230" t="s">
        <v>2158</v>
      </c>
      <c r="BJ130" s="1234"/>
      <c r="BK130" s="1229" t="s">
        <v>2158</v>
      </c>
      <c r="BL130" s="1230" t="s">
        <v>2158</v>
      </c>
      <c r="BM130" s="1229" t="s">
        <v>2158</v>
      </c>
      <c r="BN130" s="1230" t="s">
        <v>2158</v>
      </c>
    </row>
    <row r="131" spans="1:66" x14ac:dyDescent="0.25">
      <c r="A131" s="49" t="str">
        <f t="shared" si="141"/>
        <v>400500</v>
      </c>
      <c r="B131" s="1371" t="str">
        <f>'Income Eligible Deemed Table'!C34</f>
        <v>400500_2024_12_</v>
      </c>
      <c r="C131" s="1307" t="str">
        <f>'Income Eligible Deemed Table'!G34</f>
        <v>Building Shell RES</v>
      </c>
      <c r="D131" s="1307"/>
      <c r="E131" s="1307"/>
      <c r="F131" s="1307"/>
      <c r="G131" s="1307" t="str">
        <f>'Income Eligible Deemed Table'!E34</f>
        <v>Air Sealing (Infiltration reduction) - 30% MF IE DI heat pump base</v>
      </c>
      <c r="H131" s="18"/>
      <c r="I131" s="750">
        <f>'Income Eligible Deemed Table'!F34</f>
        <v>0.25</v>
      </c>
      <c r="J131" s="750">
        <f t="shared" si="134"/>
        <v>0</v>
      </c>
      <c r="K131" s="847"/>
      <c r="L131" s="847"/>
      <c r="M131" s="189"/>
      <c r="N131" s="189"/>
      <c r="O131" s="751">
        <f>'Income Eligible Deemed Table'!K34</f>
        <v>1.17E-4</v>
      </c>
      <c r="P131" s="751">
        <f t="shared" si="136"/>
        <v>0</v>
      </c>
      <c r="Q131" s="848"/>
      <c r="R131" s="848"/>
      <c r="S131" s="752"/>
      <c r="T131" s="752"/>
      <c r="U131" s="753">
        <f t="shared" si="137"/>
        <v>0</v>
      </c>
      <c r="V131" s="753">
        <f t="shared" si="138"/>
        <v>0</v>
      </c>
      <c r="W131" s="753">
        <f t="shared" si="139"/>
        <v>1.17E-4</v>
      </c>
      <c r="X131" s="22">
        <f>'Income Eligible Deemed Table'!L34</f>
        <v>20</v>
      </c>
      <c r="Y131" s="22"/>
      <c r="Z131" s="22">
        <f t="shared" si="142"/>
        <v>20</v>
      </c>
      <c r="AA131" s="17">
        <f>'Income Eligible Deemed Table'!DG34</f>
        <v>3.1719818914509608</v>
      </c>
      <c r="AB131" s="246">
        <f>'Income Eligible Deemed Table'!M34</f>
        <v>0.12</v>
      </c>
      <c r="AC131" s="861">
        <f t="shared" si="143"/>
        <v>0.3806378269741153</v>
      </c>
      <c r="AD131" s="861">
        <f t="shared" si="140"/>
        <v>0</v>
      </c>
      <c r="AE131" s="592">
        <f>'Income Eligible Deemed Table'!DI34</f>
        <v>0.3806378269741153</v>
      </c>
      <c r="AF131" s="195"/>
      <c r="AG131" s="195"/>
      <c r="AH131" s="195"/>
      <c r="AI131" s="866" t="str">
        <f t="shared" ref="AI131:AI138" si="144">AI130</f>
        <v>Units (sq. ft)</v>
      </c>
      <c r="AJ131" s="68"/>
      <c r="AX131" s="1284" t="str">
        <f t="shared" si="124"/>
        <v>Air Sealing (Infiltration reduction) - 30% MF IE DI heat pump base</v>
      </c>
      <c r="AY131" s="1307"/>
      <c r="AZ131" s="1376" t="str">
        <f t="shared" si="125"/>
        <v>400500</v>
      </c>
      <c r="BA131" s="1229" t="s">
        <v>2158</v>
      </c>
      <c r="BB131" s="1229" t="s">
        <v>2158</v>
      </c>
      <c r="BC131" s="1229" t="s">
        <v>2158</v>
      </c>
      <c r="BD131" s="1229" t="s">
        <v>2158</v>
      </c>
      <c r="BE131" s="1234"/>
      <c r="BF131" s="1229" t="s">
        <v>2158</v>
      </c>
      <c r="BG131" s="1229" t="s">
        <v>2158</v>
      </c>
      <c r="BH131" s="1229" t="s">
        <v>2158</v>
      </c>
      <c r="BI131" s="1230" t="s">
        <v>2158</v>
      </c>
      <c r="BJ131" s="1234"/>
      <c r="BK131" s="1229" t="s">
        <v>2158</v>
      </c>
      <c r="BL131" s="1230" t="s">
        <v>2158</v>
      </c>
      <c r="BM131" s="1229" t="s">
        <v>2158</v>
      </c>
      <c r="BN131" s="1230" t="s">
        <v>2158</v>
      </c>
    </row>
    <row r="132" spans="1:66" s="39" customFormat="1" x14ac:dyDescent="0.25">
      <c r="A132" s="49" t="str">
        <f t="shared" si="141"/>
        <v>400501</v>
      </c>
      <c r="B132" s="1371" t="str">
        <f>'Income Eligible Deemed Table'!C35</f>
        <v>400501_2022_12_</v>
      </c>
      <c r="C132" s="1307" t="str">
        <f>'Income Eligible Deemed Table'!G35</f>
        <v>Building Shell RES</v>
      </c>
      <c r="D132" s="1307"/>
      <c r="E132" s="1307"/>
      <c r="F132" s="1307"/>
      <c r="G132" s="1307" t="str">
        <f>'Income Eligible Deemed Table'!E35</f>
        <v>Air Sealing (Infiltration reduction) - 30% MF IE DI gas furnace base</v>
      </c>
      <c r="H132" s="18"/>
      <c r="I132" s="750">
        <f>'Income Eligible Deemed Table'!F35</f>
        <v>0.05</v>
      </c>
      <c r="J132" s="750">
        <f>M132+N132</f>
        <v>0</v>
      </c>
      <c r="K132" s="847"/>
      <c r="L132" s="847"/>
      <c r="M132" s="189"/>
      <c r="N132" s="189"/>
      <c r="O132" s="751">
        <f>'Income Eligible Deemed Table'!K35</f>
        <v>2.3E-5</v>
      </c>
      <c r="P132" s="751">
        <f>S132+T132</f>
        <v>0</v>
      </c>
      <c r="Q132" s="848"/>
      <c r="R132" s="848"/>
      <c r="S132" s="752"/>
      <c r="T132" s="752"/>
      <c r="U132" s="753">
        <f t="shared" si="137"/>
        <v>0</v>
      </c>
      <c r="V132" s="753">
        <f t="shared" si="138"/>
        <v>0</v>
      </c>
      <c r="W132" s="753">
        <f t="shared" si="139"/>
        <v>2.3E-5</v>
      </c>
      <c r="X132" s="22">
        <f>'Income Eligible Deemed Table'!L35</f>
        <v>20</v>
      </c>
      <c r="Y132" s="22"/>
      <c r="Z132" s="22">
        <f>Y132+X132</f>
        <v>20</v>
      </c>
      <c r="AA132" s="17">
        <f>'Income Eligible Deemed Table'!DG35</f>
        <v>0.63439637829019224</v>
      </c>
      <c r="AB132" s="246">
        <f>'Income Eligible Deemed Table'!M35</f>
        <v>0.12</v>
      </c>
      <c r="AC132" s="861">
        <f>AE132+AF132</f>
        <v>7.6127565394823071E-2</v>
      </c>
      <c r="AD132" s="861">
        <f>AG132+AH132</f>
        <v>0</v>
      </c>
      <c r="AE132" s="592">
        <f>'Income Eligible Deemed Table'!DI35</f>
        <v>7.6127565394823071E-2</v>
      </c>
      <c r="AF132" s="195"/>
      <c r="AG132" s="195"/>
      <c r="AH132" s="195"/>
      <c r="AI132" s="866" t="str">
        <f>AI131</f>
        <v>Units (sq. ft)</v>
      </c>
      <c r="AJ132" s="656"/>
      <c r="AM132"/>
      <c r="AN132"/>
      <c r="AO132"/>
      <c r="AP132"/>
      <c r="AQ132"/>
      <c r="AR132"/>
      <c r="AS132"/>
      <c r="AT132"/>
      <c r="AU132"/>
      <c r="AV132"/>
      <c r="AW132"/>
      <c r="AX132" s="1284" t="str">
        <f t="shared" si="124"/>
        <v>Air Sealing (Infiltration reduction) - 30% MF IE DI gas furnace base</v>
      </c>
      <c r="AY132" s="1307"/>
      <c r="AZ132" s="1376" t="str">
        <f t="shared" si="125"/>
        <v>400501</v>
      </c>
      <c r="BA132" s="1229" t="s">
        <v>2158</v>
      </c>
      <c r="BB132" s="1229" t="s">
        <v>2158</v>
      </c>
      <c r="BC132" s="1229" t="s">
        <v>2158</v>
      </c>
      <c r="BD132" s="1229" t="s">
        <v>2158</v>
      </c>
      <c r="BE132" s="1235"/>
      <c r="BF132" s="1229" t="s">
        <v>2158</v>
      </c>
      <c r="BG132" s="1229" t="s">
        <v>2158</v>
      </c>
      <c r="BH132" s="1229" t="s">
        <v>2158</v>
      </c>
      <c r="BI132" s="1230" t="s">
        <v>2158</v>
      </c>
      <c r="BJ132" s="1234"/>
      <c r="BK132" s="1229" t="s">
        <v>2158</v>
      </c>
      <c r="BL132" s="1230" t="s">
        <v>2158</v>
      </c>
      <c r="BM132" s="1229" t="s">
        <v>2158</v>
      </c>
      <c r="BN132" s="1230" t="s">
        <v>2158</v>
      </c>
    </row>
    <row r="133" spans="1:66" x14ac:dyDescent="0.25">
      <c r="A133" s="49" t="str">
        <f t="shared" si="141"/>
        <v>400550</v>
      </c>
      <c r="B133" s="1371" t="str">
        <f>'Income Eligible Deemed Table'!C36</f>
        <v>400550_2024_12_</v>
      </c>
      <c r="C133" s="1307" t="str">
        <f>'Income Eligible Deemed Table'!G36</f>
        <v>Building Shell RES</v>
      </c>
      <c r="D133" s="1307"/>
      <c r="E133" s="1307"/>
      <c r="F133" s="1307"/>
      <c r="G133" s="1307" t="str">
        <f>'Income Eligible Deemed Table'!E36</f>
        <v>Air Sealing (Infiltration reduction) - 30% SF IE DI electric furnace base</v>
      </c>
      <c r="H133" s="18"/>
      <c r="I133" s="750">
        <f>'Income Eligible Deemed Table'!F36</f>
        <v>0.36</v>
      </c>
      <c r="J133" s="750">
        <f t="shared" si="134"/>
        <v>0</v>
      </c>
      <c r="K133" s="847"/>
      <c r="L133" s="847"/>
      <c r="M133" s="189"/>
      <c r="N133" s="189"/>
      <c r="O133" s="751">
        <f>'Income Eligible Deemed Table'!K36</f>
        <v>1.6799999999999999E-4</v>
      </c>
      <c r="P133" s="751">
        <f t="shared" si="136"/>
        <v>0</v>
      </c>
      <c r="Q133" s="848"/>
      <c r="R133" s="848"/>
      <c r="S133" s="752"/>
      <c r="T133" s="752"/>
      <c r="U133" s="753">
        <f t="shared" si="137"/>
        <v>0</v>
      </c>
      <c r="V133" s="753">
        <f t="shared" si="138"/>
        <v>0</v>
      </c>
      <c r="W133" s="753">
        <f t="shared" si="139"/>
        <v>1.6799999999999999E-4</v>
      </c>
      <c r="X133" s="22">
        <f>'Income Eligible Deemed Table'!L36</f>
        <v>20</v>
      </c>
      <c r="Y133" s="22"/>
      <c r="Z133" s="22">
        <f t="shared" si="142"/>
        <v>20</v>
      </c>
      <c r="AA133" s="17">
        <f>'Income Eligible Deemed Table'!DG36</f>
        <v>4.5676539236893836</v>
      </c>
      <c r="AB133" s="246">
        <f>'Income Eligible Deemed Table'!M36</f>
        <v>0.12</v>
      </c>
      <c r="AC133" s="861">
        <f t="shared" si="143"/>
        <v>0.54811847084272602</v>
      </c>
      <c r="AD133" s="861">
        <f t="shared" si="140"/>
        <v>0</v>
      </c>
      <c r="AE133" s="592">
        <f>'Income Eligible Deemed Table'!DI36</f>
        <v>0.54811847084272602</v>
      </c>
      <c r="AF133" s="195"/>
      <c r="AG133" s="195"/>
      <c r="AH133" s="195"/>
      <c r="AI133" s="866" t="str">
        <f>AI131</f>
        <v>Units (sq. ft)</v>
      </c>
      <c r="AJ133" s="68"/>
      <c r="AX133" s="1284" t="str">
        <f t="shared" si="124"/>
        <v>Air Sealing (Infiltration reduction) - 30% SF IE DI electric furnace base</v>
      </c>
      <c r="AY133" s="1307"/>
      <c r="AZ133" s="1376" t="str">
        <f t="shared" si="125"/>
        <v>400550</v>
      </c>
      <c r="BA133" s="1229" t="s">
        <v>2158</v>
      </c>
      <c r="BB133" s="1229" t="s">
        <v>2158</v>
      </c>
      <c r="BC133" s="1229" t="s">
        <v>2158</v>
      </c>
      <c r="BD133" s="1229" t="s">
        <v>2158</v>
      </c>
      <c r="BE133" s="1234"/>
      <c r="BF133" s="1229" t="s">
        <v>2158</v>
      </c>
      <c r="BG133" s="1229" t="s">
        <v>2158</v>
      </c>
      <c r="BH133" s="1229" t="s">
        <v>2158</v>
      </c>
      <c r="BI133" s="1230" t="s">
        <v>2158</v>
      </c>
      <c r="BJ133" s="1234"/>
      <c r="BK133" s="1229" t="s">
        <v>2158</v>
      </c>
      <c r="BL133" s="1230" t="s">
        <v>2158</v>
      </c>
      <c r="BM133" s="1229" t="s">
        <v>2158</v>
      </c>
      <c r="BN133" s="1230" t="s">
        <v>2158</v>
      </c>
    </row>
    <row r="134" spans="1:66" x14ac:dyDescent="0.25">
      <c r="A134" s="49" t="str">
        <f t="shared" si="141"/>
        <v>400551</v>
      </c>
      <c r="B134" s="1371" t="str">
        <f>'Income Eligible Deemed Table'!C37</f>
        <v>400551_2024_12_</v>
      </c>
      <c r="C134" s="1307" t="str">
        <f>'Income Eligible Deemed Table'!G37</f>
        <v>Building Shell RES</v>
      </c>
      <c r="D134" s="1307"/>
      <c r="E134" s="1307"/>
      <c r="F134" s="1307"/>
      <c r="G134" s="1307" t="str">
        <f>'Income Eligible Deemed Table'!E37</f>
        <v>Air Sealing (Infiltration reduction) - 30% SF IE DI Gas furnace base</v>
      </c>
      <c r="H134" s="18"/>
      <c r="I134" s="750">
        <f>'Income Eligible Deemed Table'!F37</f>
        <v>0.06</v>
      </c>
      <c r="J134" s="750">
        <f t="shared" si="134"/>
        <v>0</v>
      </c>
      <c r="K134" s="847"/>
      <c r="L134" s="847"/>
      <c r="M134" s="189"/>
      <c r="N134" s="189"/>
      <c r="O134" s="751">
        <f>'Income Eligible Deemed Table'!K37</f>
        <v>2.8E-5</v>
      </c>
      <c r="P134" s="751">
        <f t="shared" si="136"/>
        <v>0</v>
      </c>
      <c r="Q134" s="848"/>
      <c r="R134" s="848"/>
      <c r="S134" s="752"/>
      <c r="T134" s="752"/>
      <c r="U134" s="753">
        <f t="shared" si="137"/>
        <v>0</v>
      </c>
      <c r="V134" s="753">
        <f t="shared" si="138"/>
        <v>0</v>
      </c>
      <c r="W134" s="753">
        <f t="shared" si="139"/>
        <v>2.8E-5</v>
      </c>
      <c r="X134" s="22">
        <f>'Income Eligible Deemed Table'!L37</f>
        <v>20</v>
      </c>
      <c r="Y134" s="22"/>
      <c r="Z134" s="22">
        <f t="shared" si="142"/>
        <v>20</v>
      </c>
      <c r="AA134" s="17">
        <f>'Income Eligible Deemed Table'!DG37</f>
        <v>0.7612756539482306</v>
      </c>
      <c r="AB134" s="246">
        <f>'Income Eligible Deemed Table'!M37</f>
        <v>0.12</v>
      </c>
      <c r="AC134" s="861">
        <f t="shared" si="143"/>
        <v>9.1353078473787666E-2</v>
      </c>
      <c r="AD134" s="861">
        <f t="shared" si="140"/>
        <v>0</v>
      </c>
      <c r="AE134" s="592">
        <f>'Income Eligible Deemed Table'!DI37</f>
        <v>9.1353078473787666E-2</v>
      </c>
      <c r="AF134" s="195"/>
      <c r="AG134" s="195"/>
      <c r="AH134" s="195"/>
      <c r="AI134" s="866" t="str">
        <f t="shared" si="144"/>
        <v>Units (sq. ft)</v>
      </c>
      <c r="AJ134" s="68"/>
      <c r="AX134" s="1284" t="str">
        <f t="shared" si="124"/>
        <v>Air Sealing (Infiltration reduction) - 30% SF IE DI Gas furnace base</v>
      </c>
      <c r="AY134" s="1307"/>
      <c r="AZ134" s="1376" t="str">
        <f t="shared" si="125"/>
        <v>400551</v>
      </c>
      <c r="BA134" s="1229" t="s">
        <v>2158</v>
      </c>
      <c r="BB134" s="1229" t="s">
        <v>2158</v>
      </c>
      <c r="BC134" s="1229" t="s">
        <v>2158</v>
      </c>
      <c r="BD134" s="1229" t="s">
        <v>2158</v>
      </c>
      <c r="BE134" s="1234"/>
      <c r="BF134" s="1229" t="s">
        <v>2158</v>
      </c>
      <c r="BG134" s="1229" t="s">
        <v>2158</v>
      </c>
      <c r="BH134" s="1229" t="s">
        <v>2158</v>
      </c>
      <c r="BI134" s="1230" t="s">
        <v>2158</v>
      </c>
      <c r="BJ134" s="1234"/>
      <c r="BK134" s="1229" t="s">
        <v>2158</v>
      </c>
      <c r="BL134" s="1230" t="s">
        <v>2158</v>
      </c>
      <c r="BM134" s="1229" t="s">
        <v>2158</v>
      </c>
      <c r="BN134" s="1230" t="s">
        <v>2158</v>
      </c>
    </row>
    <row r="135" spans="1:66" x14ac:dyDescent="0.25">
      <c r="A135" s="49" t="str">
        <f t="shared" si="141"/>
        <v>400600</v>
      </c>
      <c r="B135" s="1371" t="str">
        <f>'Income Eligible Deemed Table'!C38</f>
        <v>400600_2024_12_</v>
      </c>
      <c r="C135" s="1307" t="str">
        <f>'Income Eligible Deemed Table'!G38</f>
        <v>Building Shell RES</v>
      </c>
      <c r="D135" s="1307"/>
      <c r="E135" s="1307"/>
      <c r="F135" s="1307"/>
      <c r="G135" s="1307" t="str">
        <f>'Income Eligible Deemed Table'!E38</f>
        <v>Air Sealing (Infiltration reduction) - 30% SF IE DI heat pump base</v>
      </c>
      <c r="H135" s="18"/>
      <c r="I135" s="750">
        <f>'Income Eligible Deemed Table'!F38</f>
        <v>0.31</v>
      </c>
      <c r="J135" s="750">
        <f t="shared" si="134"/>
        <v>0</v>
      </c>
      <c r="K135" s="847"/>
      <c r="L135" s="847"/>
      <c r="M135" s="189"/>
      <c r="N135" s="189"/>
      <c r="O135" s="751">
        <f>'Income Eligible Deemed Table'!K38</f>
        <v>1.44E-4</v>
      </c>
      <c r="P135" s="751">
        <f t="shared" si="136"/>
        <v>0</v>
      </c>
      <c r="Q135" s="848"/>
      <c r="R135" s="848"/>
      <c r="S135" s="752"/>
      <c r="T135" s="752"/>
      <c r="U135" s="753">
        <f t="shared" si="137"/>
        <v>0</v>
      </c>
      <c r="V135" s="753">
        <f t="shared" si="138"/>
        <v>0</v>
      </c>
      <c r="W135" s="753">
        <f t="shared" si="139"/>
        <v>1.44E-4</v>
      </c>
      <c r="X135" s="22">
        <f>'Income Eligible Deemed Table'!L38</f>
        <v>20</v>
      </c>
      <c r="Y135" s="22"/>
      <c r="Z135" s="22">
        <f t="shared" si="142"/>
        <v>20</v>
      </c>
      <c r="AA135" s="17">
        <f>'Income Eligible Deemed Table'!DG38</f>
        <v>3.9332575453991914</v>
      </c>
      <c r="AB135" s="246">
        <f>'Income Eligible Deemed Table'!M38</f>
        <v>0.12</v>
      </c>
      <c r="AC135" s="861">
        <f t="shared" si="143"/>
        <v>0.47199090544790295</v>
      </c>
      <c r="AD135" s="861">
        <f t="shared" si="140"/>
        <v>0</v>
      </c>
      <c r="AE135" s="592">
        <f>'Income Eligible Deemed Table'!DI38</f>
        <v>0.47199090544790295</v>
      </c>
      <c r="AF135" s="195"/>
      <c r="AG135" s="195"/>
      <c r="AH135" s="195"/>
      <c r="AI135" s="866" t="str">
        <f t="shared" si="144"/>
        <v>Units (sq. ft)</v>
      </c>
      <c r="AJ135" s="68"/>
      <c r="AX135" s="1284" t="str">
        <f t="shared" si="124"/>
        <v>Air Sealing (Infiltration reduction) - 30% SF IE DI heat pump base</v>
      </c>
      <c r="AY135" s="1307"/>
      <c r="AZ135" s="1376" t="str">
        <f t="shared" si="125"/>
        <v>400600</v>
      </c>
      <c r="BA135" s="1229" t="s">
        <v>2158</v>
      </c>
      <c r="BB135" s="1229" t="s">
        <v>2158</v>
      </c>
      <c r="BC135" s="1229" t="s">
        <v>2158</v>
      </c>
      <c r="BD135" s="1229" t="s">
        <v>2158</v>
      </c>
      <c r="BE135" s="1234"/>
      <c r="BF135" s="1229" t="s">
        <v>2158</v>
      </c>
      <c r="BG135" s="1229" t="s">
        <v>2158</v>
      </c>
      <c r="BH135" s="1229" t="s">
        <v>2158</v>
      </c>
      <c r="BI135" s="1230" t="s">
        <v>2158</v>
      </c>
      <c r="BJ135" s="1234"/>
      <c r="BK135" s="1229" t="s">
        <v>2158</v>
      </c>
      <c r="BL135" s="1230" t="s">
        <v>2158</v>
      </c>
      <c r="BM135" s="1229" t="s">
        <v>2158</v>
      </c>
      <c r="BN135" s="1230" t="s">
        <v>2158</v>
      </c>
    </row>
    <row r="136" spans="1:66" x14ac:dyDescent="0.25">
      <c r="A136" s="49" t="str">
        <f t="shared" si="141"/>
        <v>400650</v>
      </c>
      <c r="B136" s="1371" t="str">
        <f>'Income Eligible Deemed Table'!C39</f>
        <v>400650_2024_12_</v>
      </c>
      <c r="C136" s="1307" t="str">
        <f>'Income Eligible Deemed Table'!G39</f>
        <v>Building Shell RES</v>
      </c>
      <c r="D136" s="1307"/>
      <c r="E136" s="1307"/>
      <c r="F136" s="1307"/>
      <c r="G136" s="1307" t="str">
        <f>'Income Eligible Deemed Table'!E39</f>
        <v>MH Adjusted Air Sealing (Infiltration reduction) - 30% SF IE DI electric furnace base</v>
      </c>
      <c r="H136" s="18"/>
      <c r="I136" s="750">
        <f>'Income Eligible Deemed Table'!F39</f>
        <v>0.48</v>
      </c>
      <c r="J136" s="750">
        <f t="shared" si="134"/>
        <v>0</v>
      </c>
      <c r="K136" s="847"/>
      <c r="L136" s="847"/>
      <c r="M136" s="189"/>
      <c r="N136" s="189"/>
      <c r="O136" s="751">
        <f>'Income Eligible Deemed Table'!K39</f>
        <v>2.24E-4</v>
      </c>
      <c r="P136" s="751">
        <f t="shared" si="136"/>
        <v>0</v>
      </c>
      <c r="Q136" s="848"/>
      <c r="R136" s="848"/>
      <c r="S136" s="752"/>
      <c r="T136" s="752"/>
      <c r="U136" s="753">
        <f t="shared" si="137"/>
        <v>0</v>
      </c>
      <c r="V136" s="753">
        <f t="shared" si="138"/>
        <v>0</v>
      </c>
      <c r="W136" s="753">
        <f t="shared" si="139"/>
        <v>2.24E-4</v>
      </c>
      <c r="X136" s="22">
        <f>'Income Eligible Deemed Table'!L39</f>
        <v>20</v>
      </c>
      <c r="Y136" s="22"/>
      <c r="Z136" s="22">
        <f t="shared" si="142"/>
        <v>20</v>
      </c>
      <c r="AA136" s="17">
        <f>'Income Eligible Deemed Table'!DG39</f>
        <v>6.0902052315858448</v>
      </c>
      <c r="AB136" s="246">
        <f>'Income Eligible Deemed Table'!M39</f>
        <v>0.12</v>
      </c>
      <c r="AC136" s="861">
        <f t="shared" si="143"/>
        <v>0.73082462779030133</v>
      </c>
      <c r="AD136" s="861">
        <f t="shared" si="140"/>
        <v>0</v>
      </c>
      <c r="AE136" s="592">
        <f>'Income Eligible Deemed Table'!DI39</f>
        <v>0.73082462779030133</v>
      </c>
      <c r="AF136" s="195"/>
      <c r="AG136" s="195"/>
      <c r="AH136" s="195"/>
      <c r="AI136" s="866" t="str">
        <f t="shared" si="144"/>
        <v>Units (sq. ft)</v>
      </c>
      <c r="AJ136" s="68"/>
      <c r="AX136" s="1284" t="str">
        <f t="shared" si="124"/>
        <v>MH Adjusted Air Sealing (Infiltration reduction) - 30% SF IE DI electric furnace base</v>
      </c>
      <c r="AY136" s="1307"/>
      <c r="AZ136" s="1376" t="str">
        <f t="shared" si="125"/>
        <v>400650</v>
      </c>
      <c r="BA136" s="1229" t="s">
        <v>2158</v>
      </c>
      <c r="BB136" s="1229" t="s">
        <v>2158</v>
      </c>
      <c r="BC136" s="1229" t="s">
        <v>2158</v>
      </c>
      <c r="BD136" s="1229" t="s">
        <v>2158</v>
      </c>
      <c r="BE136" s="1234"/>
      <c r="BF136" s="1229" t="s">
        <v>2158</v>
      </c>
      <c r="BG136" s="1229" t="s">
        <v>2158</v>
      </c>
      <c r="BH136" s="1229" t="s">
        <v>2158</v>
      </c>
      <c r="BI136" s="1230" t="s">
        <v>2158</v>
      </c>
      <c r="BJ136" s="1234"/>
      <c r="BK136" s="1229" t="s">
        <v>2158</v>
      </c>
      <c r="BL136" s="1230" t="s">
        <v>2158</v>
      </c>
      <c r="BM136" s="1229" t="s">
        <v>2158</v>
      </c>
      <c r="BN136" s="1230" t="s">
        <v>2158</v>
      </c>
    </row>
    <row r="137" spans="1:66" x14ac:dyDescent="0.25">
      <c r="A137" s="49" t="str">
        <f t="shared" si="141"/>
        <v>400651</v>
      </c>
      <c r="B137" s="1371" t="str">
        <f>'Income Eligible Deemed Table'!C40</f>
        <v>400651_2024_12_</v>
      </c>
      <c r="C137" s="1307" t="str">
        <f>'Income Eligible Deemed Table'!G40</f>
        <v>Building Shell RES</v>
      </c>
      <c r="D137" s="1307"/>
      <c r="E137" s="1307"/>
      <c r="F137" s="1307"/>
      <c r="G137" s="1307" t="str">
        <f>'Income Eligible Deemed Table'!E40</f>
        <v>MH Adjusted Air Sealing (Infiltration reduction) - 30% SF IE DI heat pump base</v>
      </c>
      <c r="H137" s="18"/>
      <c r="I137" s="750">
        <f>'Income Eligible Deemed Table'!F40</f>
        <v>0.45</v>
      </c>
      <c r="J137" s="750">
        <f t="shared" si="134"/>
        <v>0</v>
      </c>
      <c r="K137" s="847"/>
      <c r="L137" s="847"/>
      <c r="M137" s="189"/>
      <c r="N137" s="189"/>
      <c r="O137" s="751">
        <f>'Income Eligible Deemed Table'!K40</f>
        <v>2.1000000000000001E-4</v>
      </c>
      <c r="P137" s="751">
        <f t="shared" si="136"/>
        <v>0</v>
      </c>
      <c r="Q137" s="848"/>
      <c r="R137" s="848"/>
      <c r="S137" s="752"/>
      <c r="T137" s="752"/>
      <c r="U137" s="753">
        <f t="shared" si="137"/>
        <v>0</v>
      </c>
      <c r="V137" s="753">
        <f t="shared" si="138"/>
        <v>0</v>
      </c>
      <c r="W137" s="753">
        <f t="shared" si="139"/>
        <v>2.1000000000000001E-4</v>
      </c>
      <c r="X137" s="22">
        <f>'Income Eligible Deemed Table'!L40</f>
        <v>20</v>
      </c>
      <c r="Y137" s="22"/>
      <c r="Z137" s="22">
        <f t="shared" si="142"/>
        <v>20</v>
      </c>
      <c r="AA137" s="17">
        <f>'Income Eligible Deemed Table'!DG40</f>
        <v>5.7095674046117297</v>
      </c>
      <c r="AB137" s="246">
        <f>'Income Eligible Deemed Table'!M40</f>
        <v>0.12</v>
      </c>
      <c r="AC137" s="861">
        <f t="shared" si="143"/>
        <v>0.68514808855340759</v>
      </c>
      <c r="AD137" s="861">
        <f t="shared" si="140"/>
        <v>0</v>
      </c>
      <c r="AE137" s="592">
        <f>'Income Eligible Deemed Table'!DI40</f>
        <v>0.68514808855340759</v>
      </c>
      <c r="AF137" s="195"/>
      <c r="AG137" s="195"/>
      <c r="AH137" s="195"/>
      <c r="AI137" s="866" t="str">
        <f t="shared" si="144"/>
        <v>Units (sq. ft)</v>
      </c>
      <c r="AJ137" s="68"/>
      <c r="AX137" s="1284" t="str">
        <f t="shared" si="124"/>
        <v>MH Adjusted Air Sealing (Infiltration reduction) - 30% SF IE DI heat pump base</v>
      </c>
      <c r="AY137" s="1307"/>
      <c r="AZ137" s="1376" t="str">
        <f t="shared" si="125"/>
        <v>400651</v>
      </c>
      <c r="BA137" s="1229" t="s">
        <v>2158</v>
      </c>
      <c r="BB137" s="1229" t="s">
        <v>2158</v>
      </c>
      <c r="BC137" s="1229" t="s">
        <v>2158</v>
      </c>
      <c r="BD137" s="1229" t="s">
        <v>2158</v>
      </c>
      <c r="BE137" s="1234"/>
      <c r="BF137" s="1229" t="s">
        <v>2158</v>
      </c>
      <c r="BG137" s="1229" t="s">
        <v>2158</v>
      </c>
      <c r="BH137" s="1229" t="s">
        <v>2158</v>
      </c>
      <c r="BI137" s="1230" t="s">
        <v>2158</v>
      </c>
      <c r="BJ137" s="1234"/>
      <c r="BK137" s="1229" t="s">
        <v>2158</v>
      </c>
      <c r="BL137" s="1230" t="s">
        <v>2158</v>
      </c>
      <c r="BM137" s="1229" t="s">
        <v>2158</v>
      </c>
      <c r="BN137" s="1230" t="s">
        <v>2158</v>
      </c>
    </row>
    <row r="138" spans="1:66" x14ac:dyDescent="0.25">
      <c r="A138" s="49" t="str">
        <f t="shared" si="141"/>
        <v>400652</v>
      </c>
      <c r="B138" s="1371" t="str">
        <f>'Income Eligible Deemed Table'!C41</f>
        <v>400652_2024_12_</v>
      </c>
      <c r="C138" s="1307" t="str">
        <f>'Income Eligible Deemed Table'!G41</f>
        <v>Building Shell RES</v>
      </c>
      <c r="D138" s="1307"/>
      <c r="E138" s="1307"/>
      <c r="F138" s="1307"/>
      <c r="G138" s="1307" t="str">
        <f>'Income Eligible Deemed Table'!E41</f>
        <v>MH Adjusted Air Sealing (Infiltration reduction) - 30% SF IE DI gas furnace base</v>
      </c>
      <c r="H138" s="18"/>
      <c r="I138" s="750">
        <f>'Income Eligible Deemed Table'!F41</f>
        <v>0.08</v>
      </c>
      <c r="J138" s="750">
        <f t="shared" si="134"/>
        <v>0</v>
      </c>
      <c r="K138" s="847"/>
      <c r="L138" s="847"/>
      <c r="M138" s="189"/>
      <c r="N138" s="189"/>
      <c r="O138" s="751">
        <f>'Income Eligible Deemed Table'!K41</f>
        <v>3.6999999999999998E-5</v>
      </c>
      <c r="P138" s="751">
        <f t="shared" si="136"/>
        <v>0</v>
      </c>
      <c r="Q138" s="848"/>
      <c r="R138" s="848"/>
      <c r="S138" s="752"/>
      <c r="T138" s="752"/>
      <c r="U138" s="753">
        <f t="shared" si="137"/>
        <v>0</v>
      </c>
      <c r="V138" s="753">
        <f t="shared" si="138"/>
        <v>0</v>
      </c>
      <c r="W138" s="753">
        <f t="shared" si="139"/>
        <v>3.6999999999999998E-5</v>
      </c>
      <c r="X138" s="22">
        <f>'Income Eligible Deemed Table'!L41</f>
        <v>20</v>
      </c>
      <c r="Y138" s="22"/>
      <c r="Z138" s="22">
        <f t="shared" si="142"/>
        <v>20</v>
      </c>
      <c r="AA138" s="17">
        <f>'Income Eligible Deemed Table'!DG41</f>
        <v>1.0150342052643075</v>
      </c>
      <c r="AB138" s="246">
        <f>'Income Eligible Deemed Table'!M41</f>
        <v>0.12</v>
      </c>
      <c r="AC138" s="861">
        <f t="shared" si="143"/>
        <v>0.1218041046317169</v>
      </c>
      <c r="AD138" s="861">
        <f t="shared" si="140"/>
        <v>0</v>
      </c>
      <c r="AE138" s="592">
        <f>'Income Eligible Deemed Table'!DI41</f>
        <v>0.1218041046317169</v>
      </c>
      <c r="AF138" s="195"/>
      <c r="AG138" s="195"/>
      <c r="AH138" s="195"/>
      <c r="AI138" s="866" t="str">
        <f t="shared" si="144"/>
        <v>Units (sq. ft)</v>
      </c>
      <c r="AJ138" s="68"/>
      <c r="AX138" s="1284" t="str">
        <f t="shared" si="124"/>
        <v>MH Adjusted Air Sealing (Infiltration reduction) - 30% SF IE DI gas furnace base</v>
      </c>
      <c r="AY138" s="1307"/>
      <c r="AZ138" s="1376" t="str">
        <f t="shared" si="125"/>
        <v>400652</v>
      </c>
      <c r="BA138" s="1229" t="s">
        <v>2158</v>
      </c>
      <c r="BB138" s="1229" t="s">
        <v>2158</v>
      </c>
      <c r="BC138" s="1229" t="s">
        <v>2158</v>
      </c>
      <c r="BD138" s="1229" t="s">
        <v>2158</v>
      </c>
      <c r="BE138" s="1234"/>
      <c r="BF138" s="1229" t="s">
        <v>2158</v>
      </c>
      <c r="BG138" s="1229" t="s">
        <v>2158</v>
      </c>
      <c r="BH138" s="1229" t="s">
        <v>2158</v>
      </c>
      <c r="BI138" s="1230" t="s">
        <v>2158</v>
      </c>
      <c r="BJ138" s="1234"/>
      <c r="BK138" s="1229" t="s">
        <v>2158</v>
      </c>
      <c r="BL138" s="1230" t="s">
        <v>2158</v>
      </c>
      <c r="BM138" s="1229" t="s">
        <v>2158</v>
      </c>
      <c r="BN138" s="1230" t="s">
        <v>2158</v>
      </c>
    </row>
    <row r="139" spans="1:66" x14ac:dyDescent="0.25">
      <c r="A139" s="49" t="str">
        <f t="shared" si="141"/>
        <v>400700</v>
      </c>
      <c r="B139" s="1371" t="str">
        <f>'Income Eligible Deemed Table'!C101</f>
        <v>400700_2024_12_</v>
      </c>
      <c r="C139" s="1307" t="str">
        <f>'Income Eligible Deemed Table'!G101</f>
        <v>Building Shell RES</v>
      </c>
      <c r="D139" s="1307"/>
      <c r="E139" s="1307"/>
      <c r="F139" s="1307"/>
      <c r="G139" s="1307" t="str">
        <f>'Income Eligible Deemed Table'!E101</f>
        <v>Ceiling Insulation R11-R49 MF IE DI electric furnace base</v>
      </c>
      <c r="H139" s="18" t="str">
        <f>'Income Eligible Deemed Table'!D101</f>
        <v>MFIE</v>
      </c>
      <c r="I139" s="750">
        <f>'Income Eligible Deemed Table'!F101</f>
        <v>0.91</v>
      </c>
      <c r="J139" s="750">
        <f t="shared" si="134"/>
        <v>0</v>
      </c>
      <c r="K139" s="847"/>
      <c r="L139" s="847"/>
      <c r="M139" s="189"/>
      <c r="N139" s="189"/>
      <c r="O139" s="751">
        <f>'Income Eligible Deemed Table'!K101</f>
        <v>4.2400000000000001E-4</v>
      </c>
      <c r="P139" s="751">
        <f t="shared" si="136"/>
        <v>0</v>
      </c>
      <c r="Q139" s="848"/>
      <c r="R139" s="848"/>
      <c r="S139" s="752"/>
      <c r="T139" s="752"/>
      <c r="U139" s="753">
        <f t="shared" si="137"/>
        <v>0</v>
      </c>
      <c r="V139" s="753">
        <f t="shared" si="138"/>
        <v>0</v>
      </c>
      <c r="W139" s="753">
        <f t="shared" si="139"/>
        <v>4.2400000000000001E-4</v>
      </c>
      <c r="X139" s="22">
        <f>'Income Eligible Deemed Table'!L101</f>
        <v>30</v>
      </c>
      <c r="Y139" s="22"/>
      <c r="Z139" s="22">
        <f t="shared" si="142"/>
        <v>30</v>
      </c>
      <c r="AA139" s="17">
        <f>'Income Eligible Deemed Table'!DG101</f>
        <v>0.80448693981771968</v>
      </c>
      <c r="AB139" s="246">
        <f>'Income Eligible Deemed Table'!M101</f>
        <v>2.1249043458397576</v>
      </c>
      <c r="AC139" s="861">
        <f t="shared" si="143"/>
        <v>1.70945779459</v>
      </c>
      <c r="AD139" s="861">
        <f t="shared" si="140"/>
        <v>0</v>
      </c>
      <c r="AE139" s="592">
        <f>'Income Eligible Deemed Table'!DI101</f>
        <v>1.70945779459</v>
      </c>
      <c r="AF139" s="195"/>
      <c r="AG139" s="195"/>
      <c r="AH139" s="195"/>
      <c r="AI139" s="867" t="str">
        <f>'Income Eligible Deemed Table'!N100</f>
        <v>Units - area of ceiling/attic (ft2)</v>
      </c>
      <c r="AJ139" s="68"/>
      <c r="AX139" s="1284" t="str">
        <f t="shared" si="124"/>
        <v>Ceiling Insulation R11-R49 MF IE DI electric furnace base</v>
      </c>
      <c r="AY139" s="1307"/>
      <c r="AZ139" s="1376" t="str">
        <f t="shared" si="125"/>
        <v>400700</v>
      </c>
      <c r="BA139" s="1229" t="s">
        <v>2158</v>
      </c>
      <c r="BB139" s="1229" t="s">
        <v>2158</v>
      </c>
      <c r="BC139" s="1229" t="s">
        <v>2158</v>
      </c>
      <c r="BD139" s="1229" t="s">
        <v>2158</v>
      </c>
      <c r="BE139" s="1234"/>
      <c r="BF139" s="1229" t="s">
        <v>2158</v>
      </c>
      <c r="BG139" s="1229" t="s">
        <v>2158</v>
      </c>
      <c r="BH139" s="1229" t="s">
        <v>2158</v>
      </c>
      <c r="BI139" s="1230" t="s">
        <v>2158</v>
      </c>
      <c r="BJ139" s="1234"/>
      <c r="BK139" s="1229" t="s">
        <v>2158</v>
      </c>
      <c r="BL139" s="1230" t="s">
        <v>2158</v>
      </c>
      <c r="BM139" s="1229" t="s">
        <v>2158</v>
      </c>
      <c r="BN139" s="1230" t="s">
        <v>2158</v>
      </c>
    </row>
    <row r="140" spans="1:66" x14ac:dyDescent="0.25">
      <c r="A140" s="49" t="str">
        <f t="shared" si="141"/>
        <v>400750</v>
      </c>
      <c r="B140" s="1371" t="str">
        <f>'Income Eligible Deemed Table'!C102</f>
        <v>400750_2024_12_</v>
      </c>
      <c r="C140" s="1307" t="str">
        <f>'Income Eligible Deemed Table'!G102</f>
        <v>Building Shell RES</v>
      </c>
      <c r="D140" s="1307"/>
      <c r="E140" s="1307"/>
      <c r="F140" s="1307"/>
      <c r="G140" s="1307" t="str">
        <f>'Income Eligible Deemed Table'!E102</f>
        <v>Ceiling Insulation R11-R49 MF IE DI heat pump base</v>
      </c>
      <c r="H140" s="18" t="str">
        <f>'Income Eligible Deemed Table'!D102</f>
        <v>MFIE</v>
      </c>
      <c r="I140" s="750">
        <f>'Income Eligible Deemed Table'!F102</f>
        <v>0.61</v>
      </c>
      <c r="J140" s="750">
        <f t="shared" si="134"/>
        <v>0</v>
      </c>
      <c r="K140" s="847"/>
      <c r="L140" s="847"/>
      <c r="M140" s="189"/>
      <c r="N140" s="189"/>
      <c r="O140" s="751">
        <f>'Income Eligible Deemed Table'!K102</f>
        <v>2.8400000000000002E-4</v>
      </c>
      <c r="P140" s="751">
        <f t="shared" si="136"/>
        <v>0</v>
      </c>
      <c r="Q140" s="848"/>
      <c r="R140" s="848"/>
      <c r="S140" s="752"/>
      <c r="T140" s="752"/>
      <c r="U140" s="753">
        <f t="shared" si="137"/>
        <v>0</v>
      </c>
      <c r="V140" s="753">
        <f t="shared" si="138"/>
        <v>0</v>
      </c>
      <c r="W140" s="753">
        <f t="shared" si="139"/>
        <v>2.8400000000000002E-4</v>
      </c>
      <c r="X140" s="22">
        <f>'Income Eligible Deemed Table'!L102</f>
        <v>30</v>
      </c>
      <c r="Y140" s="22"/>
      <c r="Z140" s="22">
        <f t="shared" si="142"/>
        <v>30</v>
      </c>
      <c r="AA140" s="17">
        <f>'Income Eligible Deemed Table'!DG102</f>
        <v>0.53927146515253732</v>
      </c>
      <c r="AB140" s="246">
        <f>'Income Eligible Deemed Table'!M102</f>
        <v>2.1249043458397576</v>
      </c>
      <c r="AC140" s="861">
        <f t="shared" si="143"/>
        <v>1.14590027989</v>
      </c>
      <c r="AD140" s="861">
        <f t="shared" si="140"/>
        <v>0</v>
      </c>
      <c r="AE140" s="592">
        <f>'Income Eligible Deemed Table'!DI102</f>
        <v>1.14590027989</v>
      </c>
      <c r="AF140" s="195"/>
      <c r="AG140" s="195"/>
      <c r="AH140" s="195"/>
      <c r="AI140" s="867" t="str">
        <f t="shared" ref="AI140:AI168" si="145">AI139</f>
        <v>Units - area of ceiling/attic (ft2)</v>
      </c>
      <c r="AJ140" s="68"/>
      <c r="AX140" s="1284" t="str">
        <f t="shared" si="124"/>
        <v>Ceiling Insulation R11-R49 MF IE DI heat pump base</v>
      </c>
      <c r="AY140" s="1307"/>
      <c r="AZ140" s="1376" t="str">
        <f t="shared" si="125"/>
        <v>400750</v>
      </c>
      <c r="BA140" s="1229" t="s">
        <v>2158</v>
      </c>
      <c r="BB140" s="1229" t="s">
        <v>2158</v>
      </c>
      <c r="BC140" s="1229" t="s">
        <v>2158</v>
      </c>
      <c r="BD140" s="1229" t="s">
        <v>2158</v>
      </c>
      <c r="BE140" s="1234"/>
      <c r="BF140" s="1229" t="s">
        <v>2158</v>
      </c>
      <c r="BG140" s="1229" t="s">
        <v>2158</v>
      </c>
      <c r="BH140" s="1229" t="s">
        <v>2158</v>
      </c>
      <c r="BI140" s="1230" t="s">
        <v>2158</v>
      </c>
      <c r="BJ140" s="1234"/>
      <c r="BK140" s="1229" t="s">
        <v>2158</v>
      </c>
      <c r="BL140" s="1230" t="s">
        <v>2158</v>
      </c>
      <c r="BM140" s="1229" t="s">
        <v>2158</v>
      </c>
      <c r="BN140" s="1230" t="s">
        <v>2158</v>
      </c>
    </row>
    <row r="141" spans="1:66" x14ac:dyDescent="0.25">
      <c r="A141" s="49" t="str">
        <f t="shared" si="141"/>
        <v>400800</v>
      </c>
      <c r="B141" s="1371" t="str">
        <f>'Income Eligible Deemed Table'!C103</f>
        <v>400800_2024_12_</v>
      </c>
      <c r="C141" s="1307" t="str">
        <f>'Income Eligible Deemed Table'!G103</f>
        <v>Building Shell RES</v>
      </c>
      <c r="D141" s="1307"/>
      <c r="E141" s="1307"/>
      <c r="F141" s="1307"/>
      <c r="G141" s="1307" t="str">
        <f>'Income Eligible Deemed Table'!E103</f>
        <v>Ceiling Insulation R11-R49 MF IE DI gas heat electric cool base</v>
      </c>
      <c r="H141" s="18" t="str">
        <f>'Income Eligible Deemed Table'!D103</f>
        <v>MFIE</v>
      </c>
      <c r="I141" s="750">
        <f>'Income Eligible Deemed Table'!F103</f>
        <v>0.14000000000000001</v>
      </c>
      <c r="J141" s="750">
        <f t="shared" si="134"/>
        <v>0</v>
      </c>
      <c r="K141" s="847"/>
      <c r="L141" s="847"/>
      <c r="M141" s="189"/>
      <c r="N141" s="189"/>
      <c r="O141" s="751">
        <f>'Income Eligible Deemed Table'!K103</f>
        <v>6.4999999999999994E-5</v>
      </c>
      <c r="P141" s="751">
        <f t="shared" si="136"/>
        <v>0</v>
      </c>
      <c r="Q141" s="848"/>
      <c r="R141" s="848"/>
      <c r="S141" s="752"/>
      <c r="T141" s="752"/>
      <c r="U141" s="753">
        <f t="shared" si="137"/>
        <v>0</v>
      </c>
      <c r="V141" s="753">
        <f t="shared" si="138"/>
        <v>0</v>
      </c>
      <c r="W141" s="753">
        <f t="shared" si="139"/>
        <v>6.4999999999999994E-5</v>
      </c>
      <c r="X141" s="22">
        <f>'Income Eligible Deemed Table'!L103</f>
        <v>30</v>
      </c>
      <c r="Y141" s="22"/>
      <c r="Z141" s="22">
        <f t="shared" si="142"/>
        <v>30</v>
      </c>
      <c r="AA141" s="17">
        <f>'Income Eligible Deemed Table'!DG103</f>
        <v>0.12376722151041843</v>
      </c>
      <c r="AB141" s="246">
        <f>'Income Eligible Deemed Table'!M103</f>
        <v>2.1249043458397576</v>
      </c>
      <c r="AC141" s="861">
        <f t="shared" si="143"/>
        <v>0.26299350686000006</v>
      </c>
      <c r="AD141" s="861">
        <f t="shared" si="140"/>
        <v>0</v>
      </c>
      <c r="AE141" s="592">
        <f>'Income Eligible Deemed Table'!DI103</f>
        <v>0.26299350686000006</v>
      </c>
      <c r="AF141" s="195"/>
      <c r="AG141" s="195"/>
      <c r="AH141" s="195"/>
      <c r="AI141" s="867" t="str">
        <f t="shared" si="145"/>
        <v>Units - area of ceiling/attic (ft2)</v>
      </c>
      <c r="AJ141" s="68"/>
      <c r="AX141" s="1284" t="str">
        <f t="shared" si="124"/>
        <v>Ceiling Insulation R11-R49 MF IE DI gas heat electric cool base</v>
      </c>
      <c r="AY141" s="1307"/>
      <c r="AZ141" s="1376" t="str">
        <f t="shared" si="125"/>
        <v>400800</v>
      </c>
      <c r="BA141" s="1229" t="s">
        <v>2158</v>
      </c>
      <c r="BB141" s="1229" t="s">
        <v>2158</v>
      </c>
      <c r="BC141" s="1229" t="s">
        <v>2158</v>
      </c>
      <c r="BD141" s="1229" t="s">
        <v>2158</v>
      </c>
      <c r="BE141" s="1234"/>
      <c r="BF141" s="1229" t="s">
        <v>2158</v>
      </c>
      <c r="BG141" s="1229" t="s">
        <v>2158</v>
      </c>
      <c r="BH141" s="1229" t="s">
        <v>2158</v>
      </c>
      <c r="BI141" s="1230" t="s">
        <v>2158</v>
      </c>
      <c r="BJ141" s="1234"/>
      <c r="BK141" s="1229" t="s">
        <v>2158</v>
      </c>
      <c r="BL141" s="1230" t="s">
        <v>2158</v>
      </c>
      <c r="BM141" s="1229" t="s">
        <v>2158</v>
      </c>
      <c r="BN141" s="1230" t="s">
        <v>2158</v>
      </c>
    </row>
    <row r="142" spans="1:66" x14ac:dyDescent="0.25">
      <c r="A142" s="49" t="str">
        <f t="shared" si="141"/>
        <v>400850</v>
      </c>
      <c r="B142" s="1371" t="str">
        <f>'Income Eligible Deemed Table'!C104</f>
        <v>400850_2024_12_</v>
      </c>
      <c r="C142" s="1307" t="str">
        <f>'Income Eligible Deemed Table'!G104</f>
        <v>Building Shell RES</v>
      </c>
      <c r="D142" s="1307"/>
      <c r="E142" s="1307"/>
      <c r="F142" s="1307"/>
      <c r="G142" s="1307" t="str">
        <f>'Income Eligible Deemed Table'!E104</f>
        <v>Ceiling Insulation R11-R49 SF IE DI electric furnace base</v>
      </c>
      <c r="H142" s="18" t="str">
        <f>'Income Eligible Deemed Table'!D104</f>
        <v>PAYS</v>
      </c>
      <c r="I142" s="750">
        <f>'Income Eligible Deemed Table'!F104</f>
        <v>0.91</v>
      </c>
      <c r="J142" s="750">
        <f t="shared" si="134"/>
        <v>0</v>
      </c>
      <c r="K142" s="847"/>
      <c r="L142" s="847"/>
      <c r="M142" s="189"/>
      <c r="N142" s="189"/>
      <c r="O142" s="751">
        <f>'Income Eligible Deemed Table'!K104</f>
        <v>4.2400000000000001E-4</v>
      </c>
      <c r="P142" s="751">
        <f t="shared" si="136"/>
        <v>0</v>
      </c>
      <c r="Q142" s="848"/>
      <c r="R142" s="848"/>
      <c r="S142" s="752"/>
      <c r="T142" s="752"/>
      <c r="U142" s="753">
        <f t="shared" si="137"/>
        <v>0</v>
      </c>
      <c r="V142" s="753">
        <f t="shared" si="138"/>
        <v>0</v>
      </c>
      <c r="W142" s="753">
        <f t="shared" si="139"/>
        <v>4.2400000000000001E-4</v>
      </c>
      <c r="X142" s="22">
        <f>'Income Eligible Deemed Table'!L104</f>
        <v>30</v>
      </c>
      <c r="Y142" s="22"/>
      <c r="Z142" s="22">
        <f t="shared" si="142"/>
        <v>30</v>
      </c>
      <c r="AA142" s="17">
        <f>'Income Eligible Deemed Table'!DG104</f>
        <v>0.80448585878687395</v>
      </c>
      <c r="AB142" s="246">
        <f>'Income Eligible Deemed Table'!M104</f>
        <v>2.1249072011878249</v>
      </c>
      <c r="AC142" s="861">
        <f t="shared" si="143"/>
        <v>1.70945779459</v>
      </c>
      <c r="AD142" s="861">
        <f t="shared" si="140"/>
        <v>0</v>
      </c>
      <c r="AE142" s="592">
        <f>'Income Eligible Deemed Table'!DI104</f>
        <v>1.70945779459</v>
      </c>
      <c r="AF142" s="195"/>
      <c r="AG142" s="195"/>
      <c r="AH142" s="195"/>
      <c r="AI142" s="867" t="str">
        <f t="shared" si="145"/>
        <v>Units - area of ceiling/attic (ft2)</v>
      </c>
      <c r="AJ142" s="68"/>
      <c r="AX142" s="1284" t="str">
        <f t="shared" si="124"/>
        <v>Ceiling Insulation R11-R49 SF IE DI electric furnace base</v>
      </c>
      <c r="AY142" s="1307"/>
      <c r="AZ142" s="1376" t="str">
        <f t="shared" si="125"/>
        <v>400850</v>
      </c>
      <c r="BA142" s="1229" t="s">
        <v>2158</v>
      </c>
      <c r="BB142" s="1229" t="s">
        <v>2158</v>
      </c>
      <c r="BC142" s="1229" t="s">
        <v>2158</v>
      </c>
      <c r="BD142" s="1229" t="s">
        <v>2158</v>
      </c>
      <c r="BE142" s="1234"/>
      <c r="BF142" s="1229" t="s">
        <v>2158</v>
      </c>
      <c r="BG142" s="1229" t="s">
        <v>2158</v>
      </c>
      <c r="BH142" s="1229" t="s">
        <v>2158</v>
      </c>
      <c r="BI142" s="1230" t="s">
        <v>2158</v>
      </c>
      <c r="BJ142" s="1234"/>
      <c r="BK142" s="1229" t="s">
        <v>2158</v>
      </c>
      <c r="BL142" s="1230" t="s">
        <v>2158</v>
      </c>
      <c r="BM142" s="1229" t="s">
        <v>2158</v>
      </c>
      <c r="BN142" s="1230" t="s">
        <v>2158</v>
      </c>
    </row>
    <row r="143" spans="1:66" x14ac:dyDescent="0.25">
      <c r="A143" s="49" t="str">
        <f t="shared" si="141"/>
        <v>400900</v>
      </c>
      <c r="B143" s="1371" t="str">
        <f>'Income Eligible Deemed Table'!C105</f>
        <v>400900_2024_12_</v>
      </c>
      <c r="C143" s="1307" t="str">
        <f>'Income Eligible Deemed Table'!G105</f>
        <v>Building Shell RES</v>
      </c>
      <c r="D143" s="1307"/>
      <c r="E143" s="1307"/>
      <c r="F143" s="1307"/>
      <c r="G143" s="1307" t="str">
        <f>'Income Eligible Deemed Table'!E105</f>
        <v>Ceiling Insulation R11-R49 SF IE DI heat pump base</v>
      </c>
      <c r="H143" s="18" t="str">
        <f>'Income Eligible Deemed Table'!D105</f>
        <v>PAYS</v>
      </c>
      <c r="I143" s="750">
        <f>'Income Eligible Deemed Table'!F105</f>
        <v>0.61</v>
      </c>
      <c r="J143" s="750">
        <f t="shared" si="134"/>
        <v>0</v>
      </c>
      <c r="K143" s="847"/>
      <c r="L143" s="847"/>
      <c r="M143" s="189"/>
      <c r="N143" s="189"/>
      <c r="O143" s="751">
        <f>'Income Eligible Deemed Table'!K105</f>
        <v>2.8400000000000002E-4</v>
      </c>
      <c r="P143" s="751">
        <f t="shared" si="136"/>
        <v>0</v>
      </c>
      <c r="Q143" s="848"/>
      <c r="R143" s="848"/>
      <c r="S143" s="752"/>
      <c r="T143" s="752"/>
      <c r="U143" s="753">
        <f t="shared" si="137"/>
        <v>0</v>
      </c>
      <c r="V143" s="753">
        <f t="shared" si="138"/>
        <v>0</v>
      </c>
      <c r="W143" s="753">
        <f t="shared" si="139"/>
        <v>2.8400000000000002E-4</v>
      </c>
      <c r="X143" s="22">
        <f>'Income Eligible Deemed Table'!L105</f>
        <v>30</v>
      </c>
      <c r="Y143" s="22"/>
      <c r="Z143" s="22">
        <f t="shared" si="142"/>
        <v>30</v>
      </c>
      <c r="AA143" s="17">
        <f>'Income Eligible Deemed Table'!DG105</f>
        <v>0.53927074050548685</v>
      </c>
      <c r="AB143" s="246">
        <f>'Income Eligible Deemed Table'!M105</f>
        <v>2.1249072011878249</v>
      </c>
      <c r="AC143" s="861">
        <f t="shared" si="143"/>
        <v>1.14590027989</v>
      </c>
      <c r="AD143" s="861">
        <f t="shared" si="140"/>
        <v>0</v>
      </c>
      <c r="AE143" s="592">
        <f>'Income Eligible Deemed Table'!DI105</f>
        <v>1.14590027989</v>
      </c>
      <c r="AF143" s="195"/>
      <c r="AG143" s="195"/>
      <c r="AH143" s="195"/>
      <c r="AI143" s="867" t="str">
        <f t="shared" si="145"/>
        <v>Units - area of ceiling/attic (ft2)</v>
      </c>
      <c r="AJ143" s="68"/>
      <c r="AX143" s="1284" t="str">
        <f t="shared" ref="AX143:AX187" si="146">G143</f>
        <v>Ceiling Insulation R11-R49 SF IE DI heat pump base</v>
      </c>
      <c r="AY143" s="1307"/>
      <c r="AZ143" s="1376" t="str">
        <f t="shared" ref="AZ143:AZ187" si="147">A143</f>
        <v>400900</v>
      </c>
      <c r="BA143" s="1229" t="s">
        <v>2158</v>
      </c>
      <c r="BB143" s="1229" t="s">
        <v>2158</v>
      </c>
      <c r="BC143" s="1229" t="s">
        <v>2158</v>
      </c>
      <c r="BD143" s="1229" t="s">
        <v>2158</v>
      </c>
      <c r="BE143" s="1234"/>
      <c r="BF143" s="1229" t="s">
        <v>2158</v>
      </c>
      <c r="BG143" s="1229" t="s">
        <v>2158</v>
      </c>
      <c r="BH143" s="1229" t="s">
        <v>2158</v>
      </c>
      <c r="BI143" s="1230" t="s">
        <v>2158</v>
      </c>
      <c r="BJ143" s="1234"/>
      <c r="BK143" s="1229" t="s">
        <v>2158</v>
      </c>
      <c r="BL143" s="1230" t="s">
        <v>2158</v>
      </c>
      <c r="BM143" s="1229" t="s">
        <v>2158</v>
      </c>
      <c r="BN143" s="1230" t="s">
        <v>2158</v>
      </c>
    </row>
    <row r="144" spans="1:66" x14ac:dyDescent="0.25">
      <c r="A144" s="49" t="str">
        <f t="shared" si="141"/>
        <v>400950</v>
      </c>
      <c r="B144" s="1371" t="str">
        <f>'Income Eligible Deemed Table'!C106</f>
        <v>400950_2024_12_</v>
      </c>
      <c r="C144" s="1307" t="str">
        <f>'Income Eligible Deemed Table'!G106</f>
        <v>Building Shell RES</v>
      </c>
      <c r="D144" s="1307"/>
      <c r="E144" s="1307"/>
      <c r="F144" s="1307"/>
      <c r="G144" s="1307" t="str">
        <f>'Income Eligible Deemed Table'!E106</f>
        <v>Ceiling Insulation R11-R49 SF IE DI gas heat electric cool base</v>
      </c>
      <c r="H144" s="18" t="str">
        <f>'Income Eligible Deemed Table'!D106</f>
        <v>PAYS</v>
      </c>
      <c r="I144" s="750">
        <f>'Income Eligible Deemed Table'!F106</f>
        <v>0.14000000000000001</v>
      </c>
      <c r="J144" s="750">
        <f t="shared" si="134"/>
        <v>0</v>
      </c>
      <c r="K144" s="847"/>
      <c r="L144" s="847"/>
      <c r="M144" s="189"/>
      <c r="N144" s="189"/>
      <c r="O144" s="751">
        <f>'Income Eligible Deemed Table'!K106</f>
        <v>6.4999999999999994E-5</v>
      </c>
      <c r="P144" s="751">
        <f t="shared" si="136"/>
        <v>0</v>
      </c>
      <c r="Q144" s="848"/>
      <c r="R144" s="848"/>
      <c r="S144" s="752"/>
      <c r="T144" s="752"/>
      <c r="U144" s="753">
        <f t="shared" si="137"/>
        <v>0</v>
      </c>
      <c r="V144" s="753">
        <f t="shared" si="138"/>
        <v>0</v>
      </c>
      <c r="W144" s="753">
        <f t="shared" si="139"/>
        <v>6.4999999999999994E-5</v>
      </c>
      <c r="X144" s="22">
        <f>'Income Eligible Deemed Table'!L106</f>
        <v>30</v>
      </c>
      <c r="Y144" s="22"/>
      <c r="Z144" s="22">
        <f t="shared" si="142"/>
        <v>30</v>
      </c>
      <c r="AA144" s="17">
        <f>'Income Eligible Deemed Table'!DG106</f>
        <v>0.12376705519798063</v>
      </c>
      <c r="AB144" s="246">
        <f>'Income Eligible Deemed Table'!M106</f>
        <v>2.1249072011878249</v>
      </c>
      <c r="AC144" s="861">
        <f t="shared" si="143"/>
        <v>0.26299350686000006</v>
      </c>
      <c r="AD144" s="861">
        <f t="shared" si="140"/>
        <v>0</v>
      </c>
      <c r="AE144" s="592">
        <f>'Income Eligible Deemed Table'!DI106</f>
        <v>0.26299350686000006</v>
      </c>
      <c r="AF144" s="195"/>
      <c r="AG144" s="195"/>
      <c r="AH144" s="195"/>
      <c r="AI144" s="867" t="str">
        <f t="shared" si="145"/>
        <v>Units - area of ceiling/attic (ft2)</v>
      </c>
      <c r="AJ144" s="68"/>
      <c r="AX144" s="1284" t="str">
        <f t="shared" si="146"/>
        <v>Ceiling Insulation R11-R49 SF IE DI gas heat electric cool base</v>
      </c>
      <c r="AY144" s="1307"/>
      <c r="AZ144" s="1376" t="str">
        <f t="shared" si="147"/>
        <v>400950</v>
      </c>
      <c r="BA144" s="1229" t="s">
        <v>2158</v>
      </c>
      <c r="BB144" s="1229" t="s">
        <v>2158</v>
      </c>
      <c r="BC144" s="1229" t="s">
        <v>2158</v>
      </c>
      <c r="BD144" s="1229" t="s">
        <v>2158</v>
      </c>
      <c r="BE144" s="1234"/>
      <c r="BF144" s="1229" t="s">
        <v>2158</v>
      </c>
      <c r="BG144" s="1229" t="s">
        <v>2158</v>
      </c>
      <c r="BH144" s="1229" t="s">
        <v>2158</v>
      </c>
      <c r="BI144" s="1230" t="s">
        <v>2158</v>
      </c>
      <c r="BJ144" s="1234"/>
      <c r="BK144" s="1229" t="s">
        <v>2158</v>
      </c>
      <c r="BL144" s="1230" t="s">
        <v>2158</v>
      </c>
      <c r="BM144" s="1229" t="s">
        <v>2158</v>
      </c>
      <c r="BN144" s="1230" t="s">
        <v>2158</v>
      </c>
    </row>
    <row r="145" spans="1:66" x14ac:dyDescent="0.25">
      <c r="A145" s="49" t="str">
        <f t="shared" si="141"/>
        <v>401000</v>
      </c>
      <c r="B145" s="1371" t="str">
        <f>'Income Eligible Deemed Table'!C107</f>
        <v>401000_2024_12_</v>
      </c>
      <c r="C145" s="1307" t="str">
        <f>'Income Eligible Deemed Table'!G107</f>
        <v>Building Shell RES</v>
      </c>
      <c r="D145" s="1307"/>
      <c r="E145" s="1307"/>
      <c r="F145" s="1307"/>
      <c r="G145" s="1307" t="str">
        <f>'Income Eligible Deemed Table'!E107</f>
        <v>Ceiling Insulation R5-R30 MF IE DI electric furnace base</v>
      </c>
      <c r="H145" s="18" t="str">
        <f>'Income Eligible Deemed Table'!D107</f>
        <v>MFIE</v>
      </c>
      <c r="I145" s="750">
        <f>'Income Eligible Deemed Table'!F107</f>
        <v>1.49</v>
      </c>
      <c r="J145" s="750">
        <f t="shared" si="134"/>
        <v>0</v>
      </c>
      <c r="K145" s="847"/>
      <c r="L145" s="847"/>
      <c r="M145" s="189"/>
      <c r="N145" s="189"/>
      <c r="O145" s="751">
        <f>'Income Eligible Deemed Table'!K107</f>
        <v>6.9399999999999996E-4</v>
      </c>
      <c r="P145" s="751">
        <f t="shared" si="136"/>
        <v>0</v>
      </c>
      <c r="Q145" s="848"/>
      <c r="R145" s="848"/>
      <c r="S145" s="752"/>
      <c r="T145" s="752"/>
      <c r="U145" s="753">
        <f t="shared" si="137"/>
        <v>0</v>
      </c>
      <c r="V145" s="753">
        <f t="shared" si="138"/>
        <v>0</v>
      </c>
      <c r="W145" s="753">
        <f t="shared" si="139"/>
        <v>6.9399999999999996E-4</v>
      </c>
      <c r="X145" s="22">
        <f>'Income Eligible Deemed Table'!L107</f>
        <v>30</v>
      </c>
      <c r="Y145" s="22"/>
      <c r="Z145" s="22">
        <f t="shared" si="142"/>
        <v>30</v>
      </c>
      <c r="AA145" s="17">
        <f>'Income Eligible Deemed Table'!DG107</f>
        <v>2.4064805420157493</v>
      </c>
      <c r="AB145" s="246">
        <f>'Income Eligible Deemed Table'!M107</f>
        <v>1.1631103074141049</v>
      </c>
      <c r="AC145" s="861">
        <f t="shared" si="143"/>
        <v>2.7990023230099998</v>
      </c>
      <c r="AD145" s="861">
        <f t="shared" si="140"/>
        <v>0</v>
      </c>
      <c r="AE145" s="592">
        <f>'Income Eligible Deemed Table'!DI107</f>
        <v>2.7990023230099998</v>
      </c>
      <c r="AF145" s="195"/>
      <c r="AG145" s="195"/>
      <c r="AH145" s="195"/>
      <c r="AI145" s="867" t="str">
        <f t="shared" si="145"/>
        <v>Units - area of ceiling/attic (ft2)</v>
      </c>
      <c r="AJ145" s="68"/>
      <c r="AX145" s="1284" t="str">
        <f t="shared" si="146"/>
        <v>Ceiling Insulation R5-R30 MF IE DI electric furnace base</v>
      </c>
      <c r="AY145" s="1307"/>
      <c r="AZ145" s="1376" t="str">
        <f t="shared" si="147"/>
        <v>401000</v>
      </c>
      <c r="BA145" s="1229" t="s">
        <v>2158</v>
      </c>
      <c r="BB145" s="1229" t="s">
        <v>2158</v>
      </c>
      <c r="BC145" s="1229" t="s">
        <v>2158</v>
      </c>
      <c r="BD145" s="1229" t="s">
        <v>2158</v>
      </c>
      <c r="BE145" s="1234"/>
      <c r="BF145" s="1229" t="s">
        <v>2158</v>
      </c>
      <c r="BG145" s="1229" t="s">
        <v>2158</v>
      </c>
      <c r="BH145" s="1229" t="s">
        <v>2158</v>
      </c>
      <c r="BI145" s="1230" t="s">
        <v>2158</v>
      </c>
      <c r="BJ145" s="1234"/>
      <c r="BK145" s="1229" t="s">
        <v>2158</v>
      </c>
      <c r="BL145" s="1230" t="s">
        <v>2158</v>
      </c>
      <c r="BM145" s="1229" t="s">
        <v>2158</v>
      </c>
      <c r="BN145" s="1230" t="s">
        <v>2158</v>
      </c>
    </row>
    <row r="146" spans="1:66" x14ac:dyDescent="0.25">
      <c r="A146" s="49" t="str">
        <f t="shared" si="141"/>
        <v>401050</v>
      </c>
      <c r="B146" s="1371" t="str">
        <f>'Income Eligible Deemed Table'!C108</f>
        <v>401050_2024_12_</v>
      </c>
      <c r="C146" s="1307" t="str">
        <f>'Income Eligible Deemed Table'!G108</f>
        <v>Building Shell RES</v>
      </c>
      <c r="D146" s="1307"/>
      <c r="E146" s="1307"/>
      <c r="F146" s="1307"/>
      <c r="G146" s="1307" t="str">
        <f>'Income Eligible Deemed Table'!E108</f>
        <v>Ceiling Insulation R5-R30 MF IE DI heat pump base</v>
      </c>
      <c r="H146" s="18" t="str">
        <f>'Income Eligible Deemed Table'!D108</f>
        <v>MFIE</v>
      </c>
      <c r="I146" s="750">
        <f>'Income Eligible Deemed Table'!F108</f>
        <v>1</v>
      </c>
      <c r="J146" s="750">
        <f t="shared" si="134"/>
        <v>0</v>
      </c>
      <c r="K146" s="847"/>
      <c r="L146" s="847"/>
      <c r="M146" s="189"/>
      <c r="N146" s="189"/>
      <c r="O146" s="751">
        <f>'Income Eligible Deemed Table'!K108</f>
        <v>4.66E-4</v>
      </c>
      <c r="P146" s="751">
        <f t="shared" si="136"/>
        <v>0</v>
      </c>
      <c r="Q146" s="848"/>
      <c r="R146" s="848"/>
      <c r="S146" s="752"/>
      <c r="T146" s="752"/>
      <c r="U146" s="753">
        <f t="shared" si="137"/>
        <v>0</v>
      </c>
      <c r="V146" s="753">
        <f t="shared" si="138"/>
        <v>0</v>
      </c>
      <c r="W146" s="753">
        <f t="shared" si="139"/>
        <v>4.66E-4</v>
      </c>
      <c r="X146" s="22">
        <f>'Income Eligible Deemed Table'!L108</f>
        <v>30</v>
      </c>
      <c r="Y146" s="22"/>
      <c r="Z146" s="22">
        <f t="shared" si="142"/>
        <v>30</v>
      </c>
      <c r="AA146" s="17">
        <f>'Income Eligible Deemed Table'!DG108</f>
        <v>1.6150876120911069</v>
      </c>
      <c r="AB146" s="246">
        <f>'Income Eligible Deemed Table'!M108</f>
        <v>1.1631103074141049</v>
      </c>
      <c r="AC146" s="861">
        <f t="shared" si="143"/>
        <v>1.8785250490000001</v>
      </c>
      <c r="AD146" s="861">
        <f t="shared" si="140"/>
        <v>0</v>
      </c>
      <c r="AE146" s="592">
        <f>'Income Eligible Deemed Table'!DI108</f>
        <v>1.8785250490000001</v>
      </c>
      <c r="AF146" s="195"/>
      <c r="AG146" s="195"/>
      <c r="AH146" s="195"/>
      <c r="AI146" s="867" t="str">
        <f t="shared" si="145"/>
        <v>Units - area of ceiling/attic (ft2)</v>
      </c>
      <c r="AJ146" s="68"/>
      <c r="AX146" s="1284" t="str">
        <f t="shared" si="146"/>
        <v>Ceiling Insulation R5-R30 MF IE DI heat pump base</v>
      </c>
      <c r="AY146" s="1307"/>
      <c r="AZ146" s="1376" t="str">
        <f t="shared" si="147"/>
        <v>401050</v>
      </c>
      <c r="BA146" s="1229" t="s">
        <v>2158</v>
      </c>
      <c r="BB146" s="1229" t="s">
        <v>2158</v>
      </c>
      <c r="BC146" s="1229" t="s">
        <v>2158</v>
      </c>
      <c r="BD146" s="1229" t="s">
        <v>2158</v>
      </c>
      <c r="BE146" s="1234"/>
      <c r="BF146" s="1229" t="s">
        <v>2158</v>
      </c>
      <c r="BG146" s="1229" t="s">
        <v>2158</v>
      </c>
      <c r="BH146" s="1229" t="s">
        <v>2158</v>
      </c>
      <c r="BI146" s="1230" t="s">
        <v>2158</v>
      </c>
      <c r="BJ146" s="1234"/>
      <c r="BK146" s="1229" t="s">
        <v>2158</v>
      </c>
      <c r="BL146" s="1230" t="s">
        <v>2158</v>
      </c>
      <c r="BM146" s="1229" t="s">
        <v>2158</v>
      </c>
      <c r="BN146" s="1230" t="s">
        <v>2158</v>
      </c>
    </row>
    <row r="147" spans="1:66" x14ac:dyDescent="0.25">
      <c r="A147" s="49" t="str">
        <f t="shared" si="141"/>
        <v>401100</v>
      </c>
      <c r="B147" s="1371" t="str">
        <f>'Income Eligible Deemed Table'!C109</f>
        <v>401100_2024_12_</v>
      </c>
      <c r="C147" s="1307" t="str">
        <f>'Income Eligible Deemed Table'!G109</f>
        <v>Building Shell RES</v>
      </c>
      <c r="D147" s="1307"/>
      <c r="E147" s="1307"/>
      <c r="F147" s="1307"/>
      <c r="G147" s="1307" t="str">
        <f>'Income Eligible Deemed Table'!E109</f>
        <v>Ceiling Insulation R5-R30 MF IE DI gas heat electric cool base</v>
      </c>
      <c r="H147" s="18" t="str">
        <f>'Income Eligible Deemed Table'!D109</f>
        <v>MFIE</v>
      </c>
      <c r="I147" s="750">
        <f>'Income Eligible Deemed Table'!F109</f>
        <v>0.22</v>
      </c>
      <c r="J147" s="750">
        <f t="shared" si="134"/>
        <v>0</v>
      </c>
      <c r="K147" s="847"/>
      <c r="L147" s="847"/>
      <c r="M147" s="189"/>
      <c r="N147" s="189"/>
      <c r="O147" s="751">
        <f>'Income Eligible Deemed Table'!K109</f>
        <v>1.03E-4</v>
      </c>
      <c r="P147" s="751">
        <f t="shared" si="136"/>
        <v>0</v>
      </c>
      <c r="Q147" s="848"/>
      <c r="R147" s="848"/>
      <c r="S147" s="752"/>
      <c r="T147" s="752"/>
      <c r="U147" s="753">
        <f t="shared" si="137"/>
        <v>0</v>
      </c>
      <c r="V147" s="753">
        <f t="shared" si="138"/>
        <v>0</v>
      </c>
      <c r="W147" s="753">
        <f t="shared" si="139"/>
        <v>1.03E-4</v>
      </c>
      <c r="X147" s="22">
        <f>'Income Eligible Deemed Table'!L109</f>
        <v>30</v>
      </c>
      <c r="Y147" s="22"/>
      <c r="Z147" s="22">
        <f t="shared" si="142"/>
        <v>30</v>
      </c>
      <c r="AA147" s="17">
        <f>'Income Eligible Deemed Table'!DG109</f>
        <v>0.35531927466004354</v>
      </c>
      <c r="AB147" s="246">
        <f>'Income Eligible Deemed Table'!M109</f>
        <v>1.1631103074141049</v>
      </c>
      <c r="AC147" s="861">
        <f t="shared" si="143"/>
        <v>0.41327551078000002</v>
      </c>
      <c r="AD147" s="861">
        <f t="shared" si="140"/>
        <v>0</v>
      </c>
      <c r="AE147" s="592">
        <f>'Income Eligible Deemed Table'!DI109</f>
        <v>0.41327551078000002</v>
      </c>
      <c r="AF147" s="195"/>
      <c r="AG147" s="195"/>
      <c r="AH147" s="195"/>
      <c r="AI147" s="867" t="str">
        <f t="shared" si="145"/>
        <v>Units - area of ceiling/attic (ft2)</v>
      </c>
      <c r="AJ147" s="68"/>
      <c r="AX147" s="1284" t="str">
        <f t="shared" si="146"/>
        <v>Ceiling Insulation R5-R30 MF IE DI gas heat electric cool base</v>
      </c>
      <c r="AY147" s="1307"/>
      <c r="AZ147" s="1376" t="str">
        <f t="shared" si="147"/>
        <v>401100</v>
      </c>
      <c r="BA147" s="1229" t="s">
        <v>2158</v>
      </c>
      <c r="BB147" s="1229" t="s">
        <v>2158</v>
      </c>
      <c r="BC147" s="1229" t="s">
        <v>2158</v>
      </c>
      <c r="BD147" s="1229" t="s">
        <v>2158</v>
      </c>
      <c r="BE147" s="1234"/>
      <c r="BF147" s="1229" t="s">
        <v>2158</v>
      </c>
      <c r="BG147" s="1229" t="s">
        <v>2158</v>
      </c>
      <c r="BH147" s="1229" t="s">
        <v>2158</v>
      </c>
      <c r="BI147" s="1230" t="s">
        <v>2158</v>
      </c>
      <c r="BJ147" s="1234"/>
      <c r="BK147" s="1229" t="s">
        <v>2158</v>
      </c>
      <c r="BL147" s="1230" t="s">
        <v>2158</v>
      </c>
      <c r="BM147" s="1229" t="s">
        <v>2158</v>
      </c>
      <c r="BN147" s="1230" t="s">
        <v>2158</v>
      </c>
    </row>
    <row r="148" spans="1:66" x14ac:dyDescent="0.25">
      <c r="A148" s="49" t="str">
        <f t="shared" si="141"/>
        <v>401150</v>
      </c>
      <c r="B148" s="1371" t="str">
        <f>'Income Eligible Deemed Table'!C110</f>
        <v>401150_2024_12_</v>
      </c>
      <c r="C148" s="1307" t="str">
        <f>'Income Eligible Deemed Table'!G110</f>
        <v>Building Shell RES</v>
      </c>
      <c r="D148" s="1307"/>
      <c r="E148" s="1307"/>
      <c r="F148" s="1307"/>
      <c r="G148" s="1307" t="str">
        <f>'Income Eligible Deemed Table'!E110</f>
        <v>Ceiling Insulation R5-R30 SF IE DI electric furnace base</v>
      </c>
      <c r="H148" s="18" t="str">
        <f>'Income Eligible Deemed Table'!D110</f>
        <v>PAYS</v>
      </c>
      <c r="I148" s="750">
        <f>'Income Eligible Deemed Table'!F110</f>
        <v>1.49</v>
      </c>
      <c r="J148" s="750">
        <f t="shared" si="134"/>
        <v>0</v>
      </c>
      <c r="K148" s="847"/>
      <c r="L148" s="847"/>
      <c r="M148" s="189"/>
      <c r="N148" s="189"/>
      <c r="O148" s="751">
        <f>'Income Eligible Deemed Table'!K110</f>
        <v>6.9399999999999996E-4</v>
      </c>
      <c r="P148" s="751">
        <f t="shared" si="136"/>
        <v>0</v>
      </c>
      <c r="Q148" s="848"/>
      <c r="R148" s="848"/>
      <c r="S148" s="752"/>
      <c r="T148" s="752"/>
      <c r="U148" s="753">
        <f t="shared" si="137"/>
        <v>0</v>
      </c>
      <c r="V148" s="753">
        <f t="shared" si="138"/>
        <v>0</v>
      </c>
      <c r="W148" s="753">
        <f t="shared" si="139"/>
        <v>6.9399999999999996E-4</v>
      </c>
      <c r="X148" s="22">
        <f>'Income Eligible Deemed Table'!L110</f>
        <v>30</v>
      </c>
      <c r="Y148" s="22"/>
      <c r="Z148" s="22">
        <f t="shared" si="142"/>
        <v>30</v>
      </c>
      <c r="AA148" s="17">
        <f>'Income Eligible Deemed Table'!DG110</f>
        <v>2.4064992492549382</v>
      </c>
      <c r="AB148" s="246">
        <f>'Income Eligible Deemed Table'!M110</f>
        <v>1.1631012658227848</v>
      </c>
      <c r="AC148" s="861">
        <f t="shared" si="143"/>
        <v>2.7990023230099998</v>
      </c>
      <c r="AD148" s="861">
        <f t="shared" si="140"/>
        <v>0</v>
      </c>
      <c r="AE148" s="592">
        <f>'Income Eligible Deemed Table'!DI110</f>
        <v>2.7990023230099998</v>
      </c>
      <c r="AF148" s="195"/>
      <c r="AG148" s="195"/>
      <c r="AH148" s="195"/>
      <c r="AI148" s="867" t="str">
        <f t="shared" si="145"/>
        <v>Units - area of ceiling/attic (ft2)</v>
      </c>
      <c r="AJ148" s="68"/>
      <c r="AX148" s="1284" t="str">
        <f t="shared" si="146"/>
        <v>Ceiling Insulation R5-R30 SF IE DI electric furnace base</v>
      </c>
      <c r="AY148" s="1307"/>
      <c r="AZ148" s="1376" t="str">
        <f t="shared" si="147"/>
        <v>401150</v>
      </c>
      <c r="BA148" s="1229" t="s">
        <v>2158</v>
      </c>
      <c r="BB148" s="1229" t="s">
        <v>2158</v>
      </c>
      <c r="BC148" s="1229" t="s">
        <v>2158</v>
      </c>
      <c r="BD148" s="1229" t="s">
        <v>2158</v>
      </c>
      <c r="BE148" s="1234"/>
      <c r="BF148" s="1229" t="s">
        <v>2158</v>
      </c>
      <c r="BG148" s="1229" t="s">
        <v>2158</v>
      </c>
      <c r="BH148" s="1229" t="s">
        <v>2158</v>
      </c>
      <c r="BI148" s="1230" t="s">
        <v>2158</v>
      </c>
      <c r="BJ148" s="1234"/>
      <c r="BK148" s="1229" t="s">
        <v>2158</v>
      </c>
      <c r="BL148" s="1230" t="s">
        <v>2158</v>
      </c>
      <c r="BM148" s="1229" t="s">
        <v>2158</v>
      </c>
      <c r="BN148" s="1230" t="s">
        <v>2158</v>
      </c>
    </row>
    <row r="149" spans="1:66" x14ac:dyDescent="0.25">
      <c r="A149" s="49" t="str">
        <f t="shared" si="141"/>
        <v>401200</v>
      </c>
      <c r="B149" s="1371" t="str">
        <f>'Income Eligible Deemed Table'!C111</f>
        <v>401200_2024_12_</v>
      </c>
      <c r="C149" s="1307" t="str">
        <f>'Income Eligible Deemed Table'!G111</f>
        <v>Building Shell RES</v>
      </c>
      <c r="D149" s="1307"/>
      <c r="E149" s="1307"/>
      <c r="F149" s="1307"/>
      <c r="G149" s="1307" t="str">
        <f>'Income Eligible Deemed Table'!E111</f>
        <v>Ceiling Insulation R5-R30 SF IE DI heat pump base</v>
      </c>
      <c r="H149" s="18" t="str">
        <f>'Income Eligible Deemed Table'!D111</f>
        <v>PAYS</v>
      </c>
      <c r="I149" s="750">
        <f>'Income Eligible Deemed Table'!F111</f>
        <v>1</v>
      </c>
      <c r="J149" s="750">
        <f t="shared" si="134"/>
        <v>0</v>
      </c>
      <c r="K149" s="847"/>
      <c r="L149" s="847"/>
      <c r="M149" s="189"/>
      <c r="N149" s="189"/>
      <c r="O149" s="751">
        <f>'Income Eligible Deemed Table'!K111</f>
        <v>4.66E-4</v>
      </c>
      <c r="P149" s="751">
        <f t="shared" si="136"/>
        <v>0</v>
      </c>
      <c r="Q149" s="848"/>
      <c r="R149" s="848"/>
      <c r="S149" s="752"/>
      <c r="T149" s="752"/>
      <c r="U149" s="753">
        <f t="shared" si="137"/>
        <v>0</v>
      </c>
      <c r="V149" s="753">
        <f t="shared" si="138"/>
        <v>0</v>
      </c>
      <c r="W149" s="753">
        <f t="shared" si="139"/>
        <v>4.66E-4</v>
      </c>
      <c r="X149" s="22">
        <f>'Income Eligible Deemed Table'!L111</f>
        <v>30</v>
      </c>
      <c r="Y149" s="22"/>
      <c r="Z149" s="22">
        <f t="shared" si="142"/>
        <v>30</v>
      </c>
      <c r="AA149" s="17">
        <f>'Income Eligible Deemed Table'!DG111</f>
        <v>1.6151001672851935</v>
      </c>
      <c r="AB149" s="246">
        <f>'Income Eligible Deemed Table'!M111</f>
        <v>1.1631012658227848</v>
      </c>
      <c r="AC149" s="861">
        <f t="shared" si="143"/>
        <v>1.8785250490000001</v>
      </c>
      <c r="AD149" s="861">
        <f t="shared" si="140"/>
        <v>0</v>
      </c>
      <c r="AE149" s="592">
        <f>'Income Eligible Deemed Table'!DI111</f>
        <v>1.8785250490000001</v>
      </c>
      <c r="AF149" s="195"/>
      <c r="AG149" s="195"/>
      <c r="AH149" s="195"/>
      <c r="AI149" s="867" t="str">
        <f t="shared" si="145"/>
        <v>Units - area of ceiling/attic (ft2)</v>
      </c>
      <c r="AJ149" s="68"/>
      <c r="AX149" s="1284" t="str">
        <f t="shared" si="146"/>
        <v>Ceiling Insulation R5-R30 SF IE DI heat pump base</v>
      </c>
      <c r="AY149" s="1307"/>
      <c r="AZ149" s="1376" t="str">
        <f t="shared" si="147"/>
        <v>401200</v>
      </c>
      <c r="BA149" s="1229" t="s">
        <v>2158</v>
      </c>
      <c r="BB149" s="1229" t="s">
        <v>2158</v>
      </c>
      <c r="BC149" s="1229" t="s">
        <v>2158</v>
      </c>
      <c r="BD149" s="1229" t="s">
        <v>2158</v>
      </c>
      <c r="BE149" s="1234"/>
      <c r="BF149" s="1229" t="s">
        <v>2158</v>
      </c>
      <c r="BG149" s="1229" t="s">
        <v>2158</v>
      </c>
      <c r="BH149" s="1229" t="s">
        <v>2158</v>
      </c>
      <c r="BI149" s="1230" t="s">
        <v>2158</v>
      </c>
      <c r="BJ149" s="1234"/>
      <c r="BK149" s="1229" t="s">
        <v>2158</v>
      </c>
      <c r="BL149" s="1230" t="s">
        <v>2158</v>
      </c>
      <c r="BM149" s="1229" t="s">
        <v>2158</v>
      </c>
      <c r="BN149" s="1230" t="s">
        <v>2158</v>
      </c>
    </row>
    <row r="150" spans="1:66" x14ac:dyDescent="0.25">
      <c r="A150" s="49" t="str">
        <f t="shared" si="141"/>
        <v>401250</v>
      </c>
      <c r="B150" s="1371" t="str">
        <f>'Income Eligible Deemed Table'!C112</f>
        <v>401250_2024_12_</v>
      </c>
      <c r="C150" s="1307" t="str">
        <f>'Income Eligible Deemed Table'!G112</f>
        <v>Building Shell RES</v>
      </c>
      <c r="D150" s="1307"/>
      <c r="E150" s="1307"/>
      <c r="F150" s="1307"/>
      <c r="G150" s="1307" t="str">
        <f>'Income Eligible Deemed Table'!E112</f>
        <v>Ceiling Insulation R5-R30 SF IE DI gas heat electric cool base</v>
      </c>
      <c r="H150" s="18" t="str">
        <f>'Income Eligible Deemed Table'!D112</f>
        <v>PAYS</v>
      </c>
      <c r="I150" s="750">
        <f>'Income Eligible Deemed Table'!F112</f>
        <v>0.22</v>
      </c>
      <c r="J150" s="750">
        <f t="shared" si="134"/>
        <v>0</v>
      </c>
      <c r="K150" s="847"/>
      <c r="L150" s="847"/>
      <c r="M150" s="189"/>
      <c r="N150" s="189"/>
      <c r="O150" s="751">
        <f>'Income Eligible Deemed Table'!K112</f>
        <v>1.03E-4</v>
      </c>
      <c r="P150" s="751">
        <f t="shared" si="136"/>
        <v>0</v>
      </c>
      <c r="Q150" s="848"/>
      <c r="R150" s="848"/>
      <c r="S150" s="752"/>
      <c r="T150" s="752"/>
      <c r="U150" s="753">
        <f t="shared" si="137"/>
        <v>0</v>
      </c>
      <c r="V150" s="753">
        <f t="shared" si="138"/>
        <v>0</v>
      </c>
      <c r="W150" s="753">
        <f t="shared" si="139"/>
        <v>1.03E-4</v>
      </c>
      <c r="X150" s="22">
        <f>'Income Eligible Deemed Table'!L112</f>
        <v>30</v>
      </c>
      <c r="Y150" s="22"/>
      <c r="Z150" s="22">
        <f t="shared" si="142"/>
        <v>30</v>
      </c>
      <c r="AA150" s="17">
        <f>'Income Eligible Deemed Table'!DG112</f>
        <v>0.35532203680274255</v>
      </c>
      <c r="AB150" s="246">
        <f>'Income Eligible Deemed Table'!M112</f>
        <v>1.1631012658227848</v>
      </c>
      <c r="AC150" s="861">
        <f t="shared" si="143"/>
        <v>0.41327551078000002</v>
      </c>
      <c r="AD150" s="861">
        <f t="shared" si="140"/>
        <v>0</v>
      </c>
      <c r="AE150" s="592">
        <f>'Income Eligible Deemed Table'!DI112</f>
        <v>0.41327551078000002</v>
      </c>
      <c r="AF150" s="195"/>
      <c r="AG150" s="195"/>
      <c r="AH150" s="195"/>
      <c r="AI150" s="867" t="str">
        <f t="shared" si="145"/>
        <v>Units - area of ceiling/attic (ft2)</v>
      </c>
      <c r="AJ150" s="68"/>
      <c r="AX150" s="1284" t="str">
        <f t="shared" si="146"/>
        <v>Ceiling Insulation R5-R30 SF IE DI gas heat electric cool base</v>
      </c>
      <c r="AY150" s="1307"/>
      <c r="AZ150" s="1376" t="str">
        <f t="shared" si="147"/>
        <v>401250</v>
      </c>
      <c r="BA150" s="1229" t="s">
        <v>2158</v>
      </c>
      <c r="BB150" s="1229" t="s">
        <v>2158</v>
      </c>
      <c r="BC150" s="1229" t="s">
        <v>2158</v>
      </c>
      <c r="BD150" s="1229" t="s">
        <v>2158</v>
      </c>
      <c r="BE150" s="1234"/>
      <c r="BF150" s="1229" t="s">
        <v>2158</v>
      </c>
      <c r="BG150" s="1229" t="s">
        <v>2158</v>
      </c>
      <c r="BH150" s="1229" t="s">
        <v>2158</v>
      </c>
      <c r="BI150" s="1230" t="s">
        <v>2158</v>
      </c>
      <c r="BJ150" s="1234"/>
      <c r="BK150" s="1229" t="s">
        <v>2158</v>
      </c>
      <c r="BL150" s="1230" t="s">
        <v>2158</v>
      </c>
      <c r="BM150" s="1229" t="s">
        <v>2158</v>
      </c>
      <c r="BN150" s="1230" t="s">
        <v>2158</v>
      </c>
    </row>
    <row r="151" spans="1:66" x14ac:dyDescent="0.25">
      <c r="A151" s="49" t="str">
        <f t="shared" si="141"/>
        <v>401300</v>
      </c>
      <c r="B151" s="1371" t="str">
        <f>'Income Eligible Deemed Table'!C113</f>
        <v>401300_2024_12_</v>
      </c>
      <c r="C151" s="1307" t="str">
        <f>'Income Eligible Deemed Table'!G113</f>
        <v>Building Shell RES</v>
      </c>
      <c r="D151" s="1307"/>
      <c r="E151" s="1307"/>
      <c r="F151" s="1307"/>
      <c r="G151" s="1307" t="str">
        <f>'Income Eligible Deemed Table'!E113</f>
        <v>Ceiling Insulation R5-R38 MF IE DI electric furnace base</v>
      </c>
      <c r="H151" s="18" t="str">
        <f>'Income Eligible Deemed Table'!D113</f>
        <v>MFIE</v>
      </c>
      <c r="I151" s="750">
        <f>'Income Eligible Deemed Table'!F113</f>
        <v>1.6</v>
      </c>
      <c r="J151" s="750">
        <f t="shared" si="134"/>
        <v>0</v>
      </c>
      <c r="K151" s="847"/>
      <c r="L151" s="847"/>
      <c r="M151" s="189"/>
      <c r="N151" s="189"/>
      <c r="O151" s="751">
        <f>'Income Eligible Deemed Table'!K113</f>
        <v>7.4600000000000003E-4</v>
      </c>
      <c r="P151" s="751">
        <f t="shared" si="136"/>
        <v>0</v>
      </c>
      <c r="Q151" s="848"/>
      <c r="R151" s="848"/>
      <c r="S151" s="752"/>
      <c r="T151" s="752"/>
      <c r="U151" s="753">
        <f t="shared" si="137"/>
        <v>0</v>
      </c>
      <c r="V151" s="753">
        <f t="shared" si="138"/>
        <v>0</v>
      </c>
      <c r="W151" s="753">
        <f t="shared" si="139"/>
        <v>7.4600000000000003E-4</v>
      </c>
      <c r="X151" s="22">
        <f>'Income Eligible Deemed Table'!L113</f>
        <v>30</v>
      </c>
      <c r="Y151" s="22"/>
      <c r="Z151" s="22">
        <f t="shared" si="142"/>
        <v>30</v>
      </c>
      <c r="AA151" s="17">
        <f>'Income Eligible Deemed Table'!DG113</f>
        <v>1.7879641310399339</v>
      </c>
      <c r="AB151" s="246">
        <f>'Income Eligible Deemed Table'!M113</f>
        <v>1.6810404785088331</v>
      </c>
      <c r="AC151" s="861">
        <f t="shared" si="143"/>
        <v>3.0056400784000004</v>
      </c>
      <c r="AD151" s="861">
        <f t="shared" si="140"/>
        <v>0</v>
      </c>
      <c r="AE151" s="592">
        <f>'Income Eligible Deemed Table'!DI113</f>
        <v>3.0056400784000004</v>
      </c>
      <c r="AF151" s="195"/>
      <c r="AG151" s="195"/>
      <c r="AH151" s="195"/>
      <c r="AI151" s="867" t="str">
        <f t="shared" si="145"/>
        <v>Units - area of ceiling/attic (ft2)</v>
      </c>
      <c r="AJ151" s="68"/>
      <c r="AX151" s="1284" t="str">
        <f t="shared" si="146"/>
        <v>Ceiling Insulation R5-R38 MF IE DI electric furnace base</v>
      </c>
      <c r="AY151" s="1307"/>
      <c r="AZ151" s="1376" t="str">
        <f t="shared" si="147"/>
        <v>401300</v>
      </c>
      <c r="BA151" s="1229" t="s">
        <v>2158</v>
      </c>
      <c r="BB151" s="1229" t="s">
        <v>2158</v>
      </c>
      <c r="BC151" s="1229" t="s">
        <v>2158</v>
      </c>
      <c r="BD151" s="1229" t="s">
        <v>2158</v>
      </c>
      <c r="BE151" s="1234"/>
      <c r="BF151" s="1229" t="s">
        <v>2158</v>
      </c>
      <c r="BG151" s="1229" t="s">
        <v>2158</v>
      </c>
      <c r="BH151" s="1229" t="s">
        <v>2158</v>
      </c>
      <c r="BI151" s="1230" t="s">
        <v>2158</v>
      </c>
      <c r="BJ151" s="1234"/>
      <c r="BK151" s="1229" t="s">
        <v>2158</v>
      </c>
      <c r="BL151" s="1230" t="s">
        <v>2158</v>
      </c>
      <c r="BM151" s="1229" t="s">
        <v>2158</v>
      </c>
      <c r="BN151" s="1230" t="s">
        <v>2158</v>
      </c>
    </row>
    <row r="152" spans="1:66" x14ac:dyDescent="0.25">
      <c r="A152" s="49" t="str">
        <f t="shared" si="141"/>
        <v>401350</v>
      </c>
      <c r="B152" s="1371" t="str">
        <f>'Income Eligible Deemed Table'!C114</f>
        <v>401350_2024_12_</v>
      </c>
      <c r="C152" s="1307" t="str">
        <f>'Income Eligible Deemed Table'!G114</f>
        <v>Building Shell RES</v>
      </c>
      <c r="D152" s="1307"/>
      <c r="E152" s="1307"/>
      <c r="F152" s="1307"/>
      <c r="G152" s="1307" t="str">
        <f>'Income Eligible Deemed Table'!E114</f>
        <v>Ceiling Insulation R5-R38 MF IE DI heat pump base</v>
      </c>
      <c r="H152" s="18" t="str">
        <f>'Income Eligible Deemed Table'!D114</f>
        <v>MFIE</v>
      </c>
      <c r="I152" s="750">
        <f>'Income Eligible Deemed Table'!F114</f>
        <v>1.07</v>
      </c>
      <c r="J152" s="750">
        <f t="shared" si="134"/>
        <v>0</v>
      </c>
      <c r="K152" s="847"/>
      <c r="L152" s="847"/>
      <c r="M152" s="189"/>
      <c r="N152" s="189"/>
      <c r="O152" s="751">
        <f>'Income Eligible Deemed Table'!K114</f>
        <v>4.9899999999999999E-4</v>
      </c>
      <c r="P152" s="751">
        <f t="shared" si="136"/>
        <v>0</v>
      </c>
      <c r="Q152" s="848"/>
      <c r="R152" s="848"/>
      <c r="S152" s="752"/>
      <c r="T152" s="752"/>
      <c r="U152" s="753">
        <f t="shared" si="137"/>
        <v>0</v>
      </c>
      <c r="V152" s="753">
        <f t="shared" si="138"/>
        <v>0</v>
      </c>
      <c r="W152" s="753">
        <f t="shared" si="139"/>
        <v>4.9899999999999999E-4</v>
      </c>
      <c r="X152" s="22">
        <f>'Income Eligible Deemed Table'!L114</f>
        <v>30</v>
      </c>
      <c r="Y152" s="22"/>
      <c r="Z152" s="22">
        <f t="shared" si="142"/>
        <v>30</v>
      </c>
      <c r="AA152" s="17">
        <f>'Income Eligible Deemed Table'!DG114</f>
        <v>1.1957010126329557</v>
      </c>
      <c r="AB152" s="246">
        <f>'Income Eligible Deemed Table'!M114</f>
        <v>1.6810404785088331</v>
      </c>
      <c r="AC152" s="861">
        <f t="shared" si="143"/>
        <v>2.0100218024300003</v>
      </c>
      <c r="AD152" s="861">
        <f t="shared" si="140"/>
        <v>0</v>
      </c>
      <c r="AE152" s="592">
        <f>'Income Eligible Deemed Table'!DI114</f>
        <v>2.0100218024300003</v>
      </c>
      <c r="AF152" s="195"/>
      <c r="AG152" s="195"/>
      <c r="AH152" s="195"/>
      <c r="AI152" s="867" t="str">
        <f t="shared" si="145"/>
        <v>Units - area of ceiling/attic (ft2)</v>
      </c>
      <c r="AJ152" s="68"/>
      <c r="AX152" s="1284" t="str">
        <f t="shared" si="146"/>
        <v>Ceiling Insulation R5-R38 MF IE DI heat pump base</v>
      </c>
      <c r="AY152" s="1307"/>
      <c r="AZ152" s="1376" t="str">
        <f t="shared" si="147"/>
        <v>401350</v>
      </c>
      <c r="BA152" s="1229" t="s">
        <v>2158</v>
      </c>
      <c r="BB152" s="1229" t="s">
        <v>2158</v>
      </c>
      <c r="BC152" s="1229" t="s">
        <v>2158</v>
      </c>
      <c r="BD152" s="1229" t="s">
        <v>2158</v>
      </c>
      <c r="BE152" s="1234"/>
      <c r="BF152" s="1229" t="s">
        <v>2158</v>
      </c>
      <c r="BG152" s="1229" t="s">
        <v>2158</v>
      </c>
      <c r="BH152" s="1229" t="s">
        <v>2158</v>
      </c>
      <c r="BI152" s="1230" t="s">
        <v>2158</v>
      </c>
      <c r="BJ152" s="1234"/>
      <c r="BK152" s="1229" t="s">
        <v>2158</v>
      </c>
      <c r="BL152" s="1230" t="s">
        <v>2158</v>
      </c>
      <c r="BM152" s="1229" t="s">
        <v>2158</v>
      </c>
      <c r="BN152" s="1230" t="s">
        <v>2158</v>
      </c>
    </row>
    <row r="153" spans="1:66" x14ac:dyDescent="0.25">
      <c r="A153" s="49" t="str">
        <f t="shared" si="141"/>
        <v>401400</v>
      </c>
      <c r="B153" s="1371" t="str">
        <f>'Income Eligible Deemed Table'!C115</f>
        <v>401400_2024_12_</v>
      </c>
      <c r="C153" s="1307" t="str">
        <f>'Income Eligible Deemed Table'!G115</f>
        <v>Building Shell RES</v>
      </c>
      <c r="D153" s="1307"/>
      <c r="E153" s="1307"/>
      <c r="F153" s="1307"/>
      <c r="G153" s="1307" t="str">
        <f>'Income Eligible Deemed Table'!E115</f>
        <v>Ceiling Insulation R5-R38 MF IE DI gas heat electric cool base</v>
      </c>
      <c r="H153" s="18" t="str">
        <f>'Income Eligible Deemed Table'!D115</f>
        <v>MFIE</v>
      </c>
      <c r="I153" s="750">
        <f>'Income Eligible Deemed Table'!F115</f>
        <v>0.24</v>
      </c>
      <c r="J153" s="750">
        <f t="shared" si="134"/>
        <v>0</v>
      </c>
      <c r="K153" s="847"/>
      <c r="L153" s="847"/>
      <c r="M153" s="189"/>
      <c r="N153" s="189"/>
      <c r="O153" s="751">
        <f>'Income Eligible Deemed Table'!K115</f>
        <v>1.12E-4</v>
      </c>
      <c r="P153" s="751">
        <f t="shared" si="136"/>
        <v>0</v>
      </c>
      <c r="Q153" s="848"/>
      <c r="R153" s="848"/>
      <c r="S153" s="752"/>
      <c r="T153" s="752"/>
      <c r="U153" s="753">
        <f t="shared" si="137"/>
        <v>0</v>
      </c>
      <c r="V153" s="753">
        <f t="shared" si="138"/>
        <v>0</v>
      </c>
      <c r="W153" s="753">
        <f t="shared" si="139"/>
        <v>1.12E-4</v>
      </c>
      <c r="X153" s="22">
        <f>'Income Eligible Deemed Table'!L115</f>
        <v>30</v>
      </c>
      <c r="Y153" s="22"/>
      <c r="Z153" s="22">
        <f t="shared" si="142"/>
        <v>30</v>
      </c>
      <c r="AA153" s="17">
        <f>'Income Eligible Deemed Table'!DG115</f>
        <v>0.26819461965599006</v>
      </c>
      <c r="AB153" s="246">
        <f>'Income Eligible Deemed Table'!M115</f>
        <v>1.6810404785088331</v>
      </c>
      <c r="AC153" s="861">
        <f t="shared" si="143"/>
        <v>0.45084601176</v>
      </c>
      <c r="AD153" s="861">
        <f t="shared" si="140"/>
        <v>0</v>
      </c>
      <c r="AE153" s="592">
        <f>'Income Eligible Deemed Table'!DI115</f>
        <v>0.45084601176</v>
      </c>
      <c r="AF153" s="195"/>
      <c r="AG153" s="195"/>
      <c r="AH153" s="195"/>
      <c r="AI153" s="867" t="str">
        <f t="shared" si="145"/>
        <v>Units - area of ceiling/attic (ft2)</v>
      </c>
      <c r="AJ153" s="68"/>
      <c r="AX153" s="1284" t="str">
        <f t="shared" si="146"/>
        <v>Ceiling Insulation R5-R38 MF IE DI gas heat electric cool base</v>
      </c>
      <c r="AY153" s="1307"/>
      <c r="AZ153" s="1376" t="str">
        <f t="shared" si="147"/>
        <v>401400</v>
      </c>
      <c r="BA153" s="1229" t="s">
        <v>2158</v>
      </c>
      <c r="BB153" s="1229" t="s">
        <v>2158</v>
      </c>
      <c r="BC153" s="1229" t="s">
        <v>2158</v>
      </c>
      <c r="BD153" s="1229" t="s">
        <v>2158</v>
      </c>
      <c r="BE153" s="1234"/>
      <c r="BF153" s="1229" t="s">
        <v>2158</v>
      </c>
      <c r="BG153" s="1229" t="s">
        <v>2158</v>
      </c>
      <c r="BH153" s="1229" t="s">
        <v>2158</v>
      </c>
      <c r="BI153" s="1230" t="s">
        <v>2158</v>
      </c>
      <c r="BJ153" s="1234"/>
      <c r="BK153" s="1229" t="s">
        <v>2158</v>
      </c>
      <c r="BL153" s="1230" t="s">
        <v>2158</v>
      </c>
      <c r="BM153" s="1229" t="s">
        <v>2158</v>
      </c>
      <c r="BN153" s="1230" t="s">
        <v>2158</v>
      </c>
    </row>
    <row r="154" spans="1:66" x14ac:dyDescent="0.25">
      <c r="A154" s="49" t="str">
        <f t="shared" si="141"/>
        <v>401450</v>
      </c>
      <c r="B154" s="1371" t="str">
        <f>'Income Eligible Deemed Table'!C116</f>
        <v>401450_2024_12_</v>
      </c>
      <c r="C154" s="1307" t="str">
        <f>'Income Eligible Deemed Table'!G116</f>
        <v>Building Shell RES</v>
      </c>
      <c r="D154" s="1307"/>
      <c r="E154" s="1307"/>
      <c r="F154" s="1307"/>
      <c r="G154" s="1307" t="str">
        <f>'Income Eligible Deemed Table'!E116</f>
        <v>Ceiling Insulation R5-R38 SF IE DI electric furnace base</v>
      </c>
      <c r="H154" s="18" t="str">
        <f>'Income Eligible Deemed Table'!D116</f>
        <v>PAYS</v>
      </c>
      <c r="I154" s="750">
        <f>'Income Eligible Deemed Table'!F116</f>
        <v>1.6</v>
      </c>
      <c r="J154" s="750">
        <f t="shared" si="134"/>
        <v>0</v>
      </c>
      <c r="K154" s="847"/>
      <c r="L154" s="847"/>
      <c r="M154" s="189"/>
      <c r="N154" s="189"/>
      <c r="O154" s="751">
        <f>'Income Eligible Deemed Table'!K116</f>
        <v>7.4600000000000003E-4</v>
      </c>
      <c r="P154" s="751">
        <f t="shared" si="136"/>
        <v>0</v>
      </c>
      <c r="Q154" s="848"/>
      <c r="R154" s="848"/>
      <c r="S154" s="752"/>
      <c r="T154" s="752"/>
      <c r="U154" s="753">
        <f t="shared" si="137"/>
        <v>0</v>
      </c>
      <c r="V154" s="753">
        <f t="shared" si="138"/>
        <v>0</v>
      </c>
      <c r="W154" s="753">
        <f t="shared" si="139"/>
        <v>7.4600000000000003E-4</v>
      </c>
      <c r="X154" s="22">
        <f>'Income Eligible Deemed Table'!L116</f>
        <v>30</v>
      </c>
      <c r="Y154" s="22"/>
      <c r="Z154" s="22">
        <f t="shared" si="142"/>
        <v>30</v>
      </c>
      <c r="AA154" s="17">
        <f>'Income Eligible Deemed Table'!DG116</f>
        <v>1.787964870785433</v>
      </c>
      <c r="AB154" s="246">
        <f>'Income Eligible Deemed Table'!M116</f>
        <v>1.6810397830018082</v>
      </c>
      <c r="AC154" s="861">
        <f t="shared" si="143"/>
        <v>3.0056400784000004</v>
      </c>
      <c r="AD154" s="861">
        <f t="shared" si="140"/>
        <v>0</v>
      </c>
      <c r="AE154" s="592">
        <f>'Income Eligible Deemed Table'!DI116</f>
        <v>3.0056400784000004</v>
      </c>
      <c r="AF154" s="195"/>
      <c r="AG154" s="195"/>
      <c r="AH154" s="195"/>
      <c r="AI154" s="867" t="str">
        <f t="shared" si="145"/>
        <v>Units - area of ceiling/attic (ft2)</v>
      </c>
      <c r="AJ154" s="68"/>
      <c r="AX154" s="1284" t="str">
        <f t="shared" si="146"/>
        <v>Ceiling Insulation R5-R38 SF IE DI electric furnace base</v>
      </c>
      <c r="AY154" s="1307"/>
      <c r="AZ154" s="1376" t="str">
        <f t="shared" si="147"/>
        <v>401450</v>
      </c>
      <c r="BA154" s="1229" t="s">
        <v>2158</v>
      </c>
      <c r="BB154" s="1229" t="s">
        <v>2158</v>
      </c>
      <c r="BC154" s="1229" t="s">
        <v>2158</v>
      </c>
      <c r="BD154" s="1229" t="s">
        <v>2158</v>
      </c>
      <c r="BE154" s="1234"/>
      <c r="BF154" s="1229" t="s">
        <v>2158</v>
      </c>
      <c r="BG154" s="1229" t="s">
        <v>2158</v>
      </c>
      <c r="BH154" s="1229" t="s">
        <v>2158</v>
      </c>
      <c r="BI154" s="1230" t="s">
        <v>2158</v>
      </c>
      <c r="BJ154" s="1234"/>
      <c r="BK154" s="1229" t="s">
        <v>2158</v>
      </c>
      <c r="BL154" s="1230" t="s">
        <v>2158</v>
      </c>
      <c r="BM154" s="1229" t="s">
        <v>2158</v>
      </c>
      <c r="BN154" s="1230" t="s">
        <v>2158</v>
      </c>
    </row>
    <row r="155" spans="1:66" x14ac:dyDescent="0.25">
      <c r="A155" s="49" t="str">
        <f t="shared" si="141"/>
        <v>401500</v>
      </c>
      <c r="B155" s="1371" t="str">
        <f>'Income Eligible Deemed Table'!C117</f>
        <v>401500_2024_12_</v>
      </c>
      <c r="C155" s="1307" t="str">
        <f>'Income Eligible Deemed Table'!G117</f>
        <v>Building Shell RES</v>
      </c>
      <c r="D155" s="1307"/>
      <c r="E155" s="1307"/>
      <c r="F155" s="1307"/>
      <c r="G155" s="1307" t="str">
        <f>'Income Eligible Deemed Table'!E117</f>
        <v>Ceiling Insulation R5-R38 SF IE DI heat pump base</v>
      </c>
      <c r="H155" s="18" t="str">
        <f>'Income Eligible Deemed Table'!D117</f>
        <v>PAYS</v>
      </c>
      <c r="I155" s="750">
        <f>'Income Eligible Deemed Table'!F117</f>
        <v>1.07</v>
      </c>
      <c r="J155" s="750">
        <f t="shared" si="134"/>
        <v>0</v>
      </c>
      <c r="K155" s="847"/>
      <c r="L155" s="847"/>
      <c r="M155" s="189"/>
      <c r="N155" s="189"/>
      <c r="O155" s="751">
        <f>'Income Eligible Deemed Table'!K117</f>
        <v>4.9899999999999999E-4</v>
      </c>
      <c r="P155" s="751">
        <f t="shared" si="136"/>
        <v>0</v>
      </c>
      <c r="Q155" s="848"/>
      <c r="R155" s="848"/>
      <c r="S155" s="752"/>
      <c r="T155" s="752"/>
      <c r="U155" s="753">
        <f t="shared" si="137"/>
        <v>0</v>
      </c>
      <c r="V155" s="753">
        <f t="shared" si="138"/>
        <v>0</v>
      </c>
      <c r="W155" s="753">
        <f t="shared" si="139"/>
        <v>4.9899999999999999E-4</v>
      </c>
      <c r="X155" s="22">
        <f>'Income Eligible Deemed Table'!L117</f>
        <v>30</v>
      </c>
      <c r="Y155" s="22"/>
      <c r="Z155" s="22">
        <f t="shared" si="142"/>
        <v>30</v>
      </c>
      <c r="AA155" s="17">
        <f>'Income Eligible Deemed Table'!DG117</f>
        <v>1.1957015073377584</v>
      </c>
      <c r="AB155" s="246">
        <f>'Income Eligible Deemed Table'!M117</f>
        <v>1.6810397830018082</v>
      </c>
      <c r="AC155" s="861">
        <f t="shared" si="143"/>
        <v>2.0100218024300003</v>
      </c>
      <c r="AD155" s="861">
        <f t="shared" si="140"/>
        <v>0</v>
      </c>
      <c r="AE155" s="592">
        <f>'Income Eligible Deemed Table'!DI117</f>
        <v>2.0100218024300003</v>
      </c>
      <c r="AF155" s="195"/>
      <c r="AG155" s="195"/>
      <c r="AH155" s="195"/>
      <c r="AI155" s="867" t="str">
        <f t="shared" si="145"/>
        <v>Units - area of ceiling/attic (ft2)</v>
      </c>
      <c r="AJ155" s="68"/>
      <c r="AX155" s="1284" t="str">
        <f t="shared" si="146"/>
        <v>Ceiling Insulation R5-R38 SF IE DI heat pump base</v>
      </c>
      <c r="AY155" s="1307"/>
      <c r="AZ155" s="1376" t="str">
        <f t="shared" si="147"/>
        <v>401500</v>
      </c>
      <c r="BA155" s="1229" t="s">
        <v>2158</v>
      </c>
      <c r="BB155" s="1229" t="s">
        <v>2158</v>
      </c>
      <c r="BC155" s="1229" t="s">
        <v>2158</v>
      </c>
      <c r="BD155" s="1229" t="s">
        <v>2158</v>
      </c>
      <c r="BE155" s="1234"/>
      <c r="BF155" s="1229" t="s">
        <v>2158</v>
      </c>
      <c r="BG155" s="1229" t="s">
        <v>2158</v>
      </c>
      <c r="BH155" s="1229" t="s">
        <v>2158</v>
      </c>
      <c r="BI155" s="1230" t="s">
        <v>2158</v>
      </c>
      <c r="BJ155" s="1234"/>
      <c r="BK155" s="1229" t="s">
        <v>2158</v>
      </c>
      <c r="BL155" s="1230" t="s">
        <v>2158</v>
      </c>
      <c r="BM155" s="1229" t="s">
        <v>2158</v>
      </c>
      <c r="BN155" s="1230" t="s">
        <v>2158</v>
      </c>
    </row>
    <row r="156" spans="1:66" x14ac:dyDescent="0.25">
      <c r="A156" s="49" t="str">
        <f t="shared" si="141"/>
        <v>401550</v>
      </c>
      <c r="B156" s="1371" t="str">
        <f>'Income Eligible Deemed Table'!C118</f>
        <v>401550_2024_12_</v>
      </c>
      <c r="C156" s="1307" t="str">
        <f>'Income Eligible Deemed Table'!G118</f>
        <v>Building Shell RES</v>
      </c>
      <c r="D156" s="1307"/>
      <c r="E156" s="1307"/>
      <c r="F156" s="1307"/>
      <c r="G156" s="1307" t="str">
        <f>'Income Eligible Deemed Table'!E118</f>
        <v>Ceiling Insulation R5-R38 SF IE DI gas heat electric cool base</v>
      </c>
      <c r="H156" s="18" t="str">
        <f>'Income Eligible Deemed Table'!D118</f>
        <v>PAYS</v>
      </c>
      <c r="I156" s="750">
        <f>'Income Eligible Deemed Table'!F118</f>
        <v>0.24</v>
      </c>
      <c r="J156" s="750">
        <f t="shared" si="134"/>
        <v>0</v>
      </c>
      <c r="K156" s="847"/>
      <c r="L156" s="847"/>
      <c r="M156" s="189"/>
      <c r="N156" s="189"/>
      <c r="O156" s="751">
        <f>'Income Eligible Deemed Table'!K118</f>
        <v>1.12E-4</v>
      </c>
      <c r="P156" s="751">
        <f t="shared" si="136"/>
        <v>0</v>
      </c>
      <c r="Q156" s="848"/>
      <c r="R156" s="848"/>
      <c r="S156" s="752"/>
      <c r="T156" s="752"/>
      <c r="U156" s="753">
        <f t="shared" si="137"/>
        <v>0</v>
      </c>
      <c r="V156" s="753">
        <f t="shared" si="138"/>
        <v>0</v>
      </c>
      <c r="W156" s="753">
        <f t="shared" si="139"/>
        <v>1.12E-4</v>
      </c>
      <c r="X156" s="22">
        <f>'Income Eligible Deemed Table'!L118</f>
        <v>30</v>
      </c>
      <c r="Y156" s="22"/>
      <c r="Z156" s="22">
        <f t="shared" si="142"/>
        <v>30</v>
      </c>
      <c r="AA156" s="17">
        <f>'Income Eligible Deemed Table'!DG118</f>
        <v>0.2681947306178149</v>
      </c>
      <c r="AB156" s="246">
        <f>'Income Eligible Deemed Table'!M118</f>
        <v>1.6810397830018082</v>
      </c>
      <c r="AC156" s="861">
        <f t="shared" si="143"/>
        <v>0.45084601176</v>
      </c>
      <c r="AD156" s="861">
        <f t="shared" si="140"/>
        <v>0</v>
      </c>
      <c r="AE156" s="592">
        <f>'Income Eligible Deemed Table'!DI118</f>
        <v>0.45084601176</v>
      </c>
      <c r="AF156" s="195"/>
      <c r="AG156" s="195"/>
      <c r="AH156" s="195"/>
      <c r="AI156" s="867" t="str">
        <f t="shared" si="145"/>
        <v>Units - area of ceiling/attic (ft2)</v>
      </c>
      <c r="AJ156" s="68"/>
      <c r="AX156" s="1284" t="str">
        <f t="shared" si="146"/>
        <v>Ceiling Insulation R5-R38 SF IE DI gas heat electric cool base</v>
      </c>
      <c r="AY156" s="1307"/>
      <c r="AZ156" s="1376" t="str">
        <f t="shared" si="147"/>
        <v>401550</v>
      </c>
      <c r="BA156" s="1229" t="s">
        <v>2158</v>
      </c>
      <c r="BB156" s="1229" t="s">
        <v>2158</v>
      </c>
      <c r="BC156" s="1229" t="s">
        <v>2158</v>
      </c>
      <c r="BD156" s="1229" t="s">
        <v>2158</v>
      </c>
      <c r="BE156" s="1234"/>
      <c r="BF156" s="1229" t="s">
        <v>2158</v>
      </c>
      <c r="BG156" s="1229" t="s">
        <v>2158</v>
      </c>
      <c r="BH156" s="1229" t="s">
        <v>2158</v>
      </c>
      <c r="BI156" s="1230" t="s">
        <v>2158</v>
      </c>
      <c r="BJ156" s="1234"/>
      <c r="BK156" s="1229" t="s">
        <v>2158</v>
      </c>
      <c r="BL156" s="1230" t="s">
        <v>2158</v>
      </c>
      <c r="BM156" s="1229" t="s">
        <v>2158</v>
      </c>
      <c r="BN156" s="1230" t="s">
        <v>2158</v>
      </c>
    </row>
    <row r="157" spans="1:66" x14ac:dyDescent="0.25">
      <c r="A157" s="49" t="str">
        <f t="shared" si="141"/>
        <v>401600</v>
      </c>
      <c r="B157" s="1371" t="str">
        <f>'Income Eligible Deemed Table'!C119</f>
        <v>401600_2024_12_</v>
      </c>
      <c r="C157" s="1307" t="str">
        <f>'Income Eligible Deemed Table'!G119</f>
        <v>Building Shell RES</v>
      </c>
      <c r="D157" s="1307"/>
      <c r="E157" s="1307"/>
      <c r="F157" s="1307"/>
      <c r="G157" s="1307" t="str">
        <f>'Income Eligible Deemed Table'!E119</f>
        <v>Ceiling Insulation R5-R49 MF IE DI electric furnace base</v>
      </c>
      <c r="H157" s="18" t="str">
        <f>'Income Eligible Deemed Table'!D119</f>
        <v>MFIE</v>
      </c>
      <c r="I157" s="750">
        <f>'Income Eligible Deemed Table'!F119</f>
        <v>1.69</v>
      </c>
      <c r="J157" s="750">
        <f t="shared" si="134"/>
        <v>0</v>
      </c>
      <c r="K157" s="847"/>
      <c r="L157" s="847"/>
      <c r="M157" s="189"/>
      <c r="N157" s="189"/>
      <c r="O157" s="751">
        <f>'Income Eligible Deemed Table'!K119</f>
        <v>7.8799999999999996E-4</v>
      </c>
      <c r="P157" s="751">
        <f t="shared" si="136"/>
        <v>0</v>
      </c>
      <c r="Q157" s="848"/>
      <c r="R157" s="848"/>
      <c r="S157" s="752"/>
      <c r="T157" s="752"/>
      <c r="U157" s="753">
        <f t="shared" si="137"/>
        <v>0</v>
      </c>
      <c r="V157" s="753">
        <f t="shared" si="138"/>
        <v>0</v>
      </c>
      <c r="W157" s="753">
        <f t="shared" si="139"/>
        <v>7.8799999999999996E-4</v>
      </c>
      <c r="X157" s="22">
        <f>'Income Eligible Deemed Table'!L119</f>
        <v>30</v>
      </c>
      <c r="Y157" s="22"/>
      <c r="Z157" s="22">
        <f t="shared" si="142"/>
        <v>30</v>
      </c>
      <c r="AA157" s="17">
        <f>'Income Eligible Deemed Table'!DG119</f>
        <v>1.2358920341137116</v>
      </c>
      <c r="AB157" s="246">
        <f>'Income Eligible Deemed Table'!M119</f>
        <v>2.568757824454027</v>
      </c>
      <c r="AC157" s="861">
        <f t="shared" si="143"/>
        <v>3.1747073328100002</v>
      </c>
      <c r="AD157" s="861">
        <f t="shared" si="140"/>
        <v>0</v>
      </c>
      <c r="AE157" s="592">
        <f>'Income Eligible Deemed Table'!DI119</f>
        <v>3.1747073328100002</v>
      </c>
      <c r="AF157" s="195"/>
      <c r="AG157" s="195"/>
      <c r="AH157" s="195"/>
      <c r="AI157" s="867" t="str">
        <f t="shared" si="145"/>
        <v>Units - area of ceiling/attic (ft2)</v>
      </c>
      <c r="AJ157" s="68"/>
      <c r="AX157" s="1284" t="str">
        <f t="shared" si="146"/>
        <v>Ceiling Insulation R5-R49 MF IE DI electric furnace base</v>
      </c>
      <c r="AY157" s="1307"/>
      <c r="AZ157" s="1376" t="str">
        <f t="shared" si="147"/>
        <v>401600</v>
      </c>
      <c r="BA157" s="1229" t="s">
        <v>2158</v>
      </c>
      <c r="BB157" s="1229" t="s">
        <v>2158</v>
      </c>
      <c r="BC157" s="1229" t="s">
        <v>2158</v>
      </c>
      <c r="BD157" s="1229" t="s">
        <v>2158</v>
      </c>
      <c r="BE157" s="1234"/>
      <c r="BF157" s="1229" t="s">
        <v>2158</v>
      </c>
      <c r="BG157" s="1229" t="s">
        <v>2158</v>
      </c>
      <c r="BH157" s="1229" t="s">
        <v>2158</v>
      </c>
      <c r="BI157" s="1230" t="s">
        <v>2158</v>
      </c>
      <c r="BJ157" s="1234"/>
      <c r="BK157" s="1229" t="s">
        <v>2158</v>
      </c>
      <c r="BL157" s="1230" t="s">
        <v>2158</v>
      </c>
      <c r="BM157" s="1229" t="s">
        <v>2158</v>
      </c>
      <c r="BN157" s="1230" t="s">
        <v>2158</v>
      </c>
    </row>
    <row r="158" spans="1:66" x14ac:dyDescent="0.25">
      <c r="A158" s="49" t="str">
        <f t="shared" si="141"/>
        <v>401650</v>
      </c>
      <c r="B158" s="1371" t="str">
        <f>'Income Eligible Deemed Table'!C120</f>
        <v>401650_2024_12_</v>
      </c>
      <c r="C158" s="1307" t="str">
        <f>'Income Eligible Deemed Table'!G120</f>
        <v>Building Shell RES</v>
      </c>
      <c r="D158" s="1307"/>
      <c r="E158" s="1307"/>
      <c r="F158" s="1307"/>
      <c r="G158" s="1307" t="str">
        <f>'Income Eligible Deemed Table'!E120</f>
        <v>Ceiling Insulation R5-R49 MF IE DI heat pump base</v>
      </c>
      <c r="H158" s="18" t="str">
        <f>'Income Eligible Deemed Table'!D120</f>
        <v>MFIE</v>
      </c>
      <c r="I158" s="750">
        <f>'Income Eligible Deemed Table'!F120</f>
        <v>1.1399999999999999</v>
      </c>
      <c r="J158" s="750">
        <f t="shared" si="134"/>
        <v>0</v>
      </c>
      <c r="K158" s="847"/>
      <c r="L158" s="847"/>
      <c r="M158" s="189"/>
      <c r="N158" s="189"/>
      <c r="O158" s="751">
        <f>'Income Eligible Deemed Table'!K120</f>
        <v>5.31E-4</v>
      </c>
      <c r="P158" s="751">
        <f t="shared" si="136"/>
        <v>0</v>
      </c>
      <c r="Q158" s="848"/>
      <c r="R158" s="848"/>
      <c r="S158" s="752"/>
      <c r="T158" s="752"/>
      <c r="U158" s="753">
        <f t="shared" si="137"/>
        <v>0</v>
      </c>
      <c r="V158" s="753">
        <f t="shared" si="138"/>
        <v>0</v>
      </c>
      <c r="W158" s="753">
        <f t="shared" si="139"/>
        <v>5.31E-4</v>
      </c>
      <c r="X158" s="22">
        <f>'Income Eligible Deemed Table'!L120</f>
        <v>30</v>
      </c>
      <c r="Y158" s="22"/>
      <c r="Z158" s="22">
        <f t="shared" si="142"/>
        <v>30</v>
      </c>
      <c r="AA158" s="17">
        <f>'Income Eligible Deemed Table'!DG120</f>
        <v>0.83367865023055099</v>
      </c>
      <c r="AB158" s="246">
        <f>'Income Eligible Deemed Table'!M120</f>
        <v>2.568757824454027</v>
      </c>
      <c r="AC158" s="861">
        <f t="shared" si="143"/>
        <v>2.1415185558599998</v>
      </c>
      <c r="AD158" s="861">
        <f t="shared" si="140"/>
        <v>0</v>
      </c>
      <c r="AE158" s="592">
        <f>'Income Eligible Deemed Table'!DI120</f>
        <v>2.1415185558599998</v>
      </c>
      <c r="AF158" s="195"/>
      <c r="AG158" s="195"/>
      <c r="AH158" s="195"/>
      <c r="AI158" s="867" t="str">
        <f t="shared" si="145"/>
        <v>Units - area of ceiling/attic (ft2)</v>
      </c>
      <c r="AJ158" s="68"/>
      <c r="AX158" s="1284" t="str">
        <f t="shared" si="146"/>
        <v>Ceiling Insulation R5-R49 MF IE DI heat pump base</v>
      </c>
      <c r="AY158" s="1307"/>
      <c r="AZ158" s="1376" t="str">
        <f t="shared" si="147"/>
        <v>401650</v>
      </c>
      <c r="BA158" s="1229" t="s">
        <v>2158</v>
      </c>
      <c r="BB158" s="1229" t="s">
        <v>2158</v>
      </c>
      <c r="BC158" s="1229" t="s">
        <v>2158</v>
      </c>
      <c r="BD158" s="1229" t="s">
        <v>2158</v>
      </c>
      <c r="BE158" s="1234"/>
      <c r="BF158" s="1229" t="s">
        <v>2158</v>
      </c>
      <c r="BG158" s="1229" t="s">
        <v>2158</v>
      </c>
      <c r="BH158" s="1229" t="s">
        <v>2158</v>
      </c>
      <c r="BI158" s="1230" t="s">
        <v>2158</v>
      </c>
      <c r="BJ158" s="1234"/>
      <c r="BK158" s="1229" t="s">
        <v>2158</v>
      </c>
      <c r="BL158" s="1230" t="s">
        <v>2158</v>
      </c>
      <c r="BM158" s="1229" t="s">
        <v>2158</v>
      </c>
      <c r="BN158" s="1230" t="s">
        <v>2158</v>
      </c>
    </row>
    <row r="159" spans="1:66" x14ac:dyDescent="0.25">
      <c r="A159" s="49" t="str">
        <f t="shared" si="141"/>
        <v>401700</v>
      </c>
      <c r="B159" s="1371" t="str">
        <f>'Income Eligible Deemed Table'!C121</f>
        <v>401700_2024_12_</v>
      </c>
      <c r="C159" s="1307" t="str">
        <f>'Income Eligible Deemed Table'!G121</f>
        <v>Building Shell RES</v>
      </c>
      <c r="D159" s="1307"/>
      <c r="E159" s="1307"/>
      <c r="F159" s="1307"/>
      <c r="G159" s="1307" t="str">
        <f>'Income Eligible Deemed Table'!E121</f>
        <v>Ceiling Insulation R5-R49 MF IE DI gas heat electric cool base</v>
      </c>
      <c r="H159" s="18" t="str">
        <f>'Income Eligible Deemed Table'!D121</f>
        <v>MFIE</v>
      </c>
      <c r="I159" s="750">
        <f>'Income Eligible Deemed Table'!F121</f>
        <v>0.25</v>
      </c>
      <c r="J159" s="750">
        <f t="shared" si="134"/>
        <v>0</v>
      </c>
      <c r="K159" s="847"/>
      <c r="L159" s="847"/>
      <c r="M159" s="189"/>
      <c r="N159" s="189"/>
      <c r="O159" s="751">
        <f>'Income Eligible Deemed Table'!K121</f>
        <v>1.17E-4</v>
      </c>
      <c r="P159" s="751">
        <f t="shared" si="136"/>
        <v>0</v>
      </c>
      <c r="Q159" s="848"/>
      <c r="R159" s="848"/>
      <c r="S159" s="752"/>
      <c r="T159" s="752"/>
      <c r="U159" s="753">
        <f t="shared" si="137"/>
        <v>0</v>
      </c>
      <c r="V159" s="753">
        <f t="shared" si="138"/>
        <v>0</v>
      </c>
      <c r="W159" s="753">
        <f t="shared" si="139"/>
        <v>1.17E-4</v>
      </c>
      <c r="X159" s="22">
        <f>'Income Eligible Deemed Table'!L121</f>
        <v>30</v>
      </c>
      <c r="Y159" s="22"/>
      <c r="Z159" s="22">
        <f t="shared" si="142"/>
        <v>30</v>
      </c>
      <c r="AA159" s="17">
        <f>'Income Eligible Deemed Table'!DG121</f>
        <v>0.18282426540143665</v>
      </c>
      <c r="AB159" s="246">
        <f>'Income Eligible Deemed Table'!M121</f>
        <v>2.568757824454027</v>
      </c>
      <c r="AC159" s="861">
        <f t="shared" si="143"/>
        <v>0.46963126225000001</v>
      </c>
      <c r="AD159" s="861">
        <f t="shared" si="140"/>
        <v>0</v>
      </c>
      <c r="AE159" s="592">
        <f>'Income Eligible Deemed Table'!DI121</f>
        <v>0.46963126225000001</v>
      </c>
      <c r="AF159" s="195"/>
      <c r="AG159" s="195"/>
      <c r="AH159" s="195"/>
      <c r="AI159" s="867" t="str">
        <f t="shared" si="145"/>
        <v>Units - area of ceiling/attic (ft2)</v>
      </c>
      <c r="AJ159" s="68"/>
      <c r="AX159" s="1284" t="str">
        <f t="shared" si="146"/>
        <v>Ceiling Insulation R5-R49 MF IE DI gas heat electric cool base</v>
      </c>
      <c r="AY159" s="1307"/>
      <c r="AZ159" s="1376" t="str">
        <f t="shared" si="147"/>
        <v>401700</v>
      </c>
      <c r="BA159" s="1229" t="s">
        <v>2158</v>
      </c>
      <c r="BB159" s="1229" t="s">
        <v>2158</v>
      </c>
      <c r="BC159" s="1229" t="s">
        <v>2158</v>
      </c>
      <c r="BD159" s="1229" t="s">
        <v>2158</v>
      </c>
      <c r="BE159" s="1234"/>
      <c r="BF159" s="1229" t="s">
        <v>2158</v>
      </c>
      <c r="BG159" s="1229" t="s">
        <v>2158</v>
      </c>
      <c r="BH159" s="1229" t="s">
        <v>2158</v>
      </c>
      <c r="BI159" s="1230" t="s">
        <v>2158</v>
      </c>
      <c r="BJ159" s="1234"/>
      <c r="BK159" s="1229" t="s">
        <v>2158</v>
      </c>
      <c r="BL159" s="1230" t="s">
        <v>2158</v>
      </c>
      <c r="BM159" s="1229" t="s">
        <v>2158</v>
      </c>
      <c r="BN159" s="1230" t="s">
        <v>2158</v>
      </c>
    </row>
    <row r="160" spans="1:66" x14ac:dyDescent="0.25">
      <c r="A160" s="49" t="str">
        <f t="shared" si="141"/>
        <v>401750</v>
      </c>
      <c r="B160" s="1371" t="str">
        <f>'Income Eligible Deemed Table'!C122</f>
        <v>401750_2024_12_</v>
      </c>
      <c r="C160" s="1307" t="str">
        <f>'Income Eligible Deemed Table'!G122</f>
        <v>Building Shell RES</v>
      </c>
      <c r="D160" s="1307"/>
      <c r="E160" s="1307"/>
      <c r="F160" s="1307"/>
      <c r="G160" s="1307" t="str">
        <f>'Income Eligible Deemed Table'!E122</f>
        <v>Ceiling Insulation R5-R49 SF IE DI electric furnace base</v>
      </c>
      <c r="H160" s="18" t="str">
        <f>'Income Eligible Deemed Table'!D122</f>
        <v>PAYS</v>
      </c>
      <c r="I160" s="750">
        <f>'Income Eligible Deemed Table'!F122</f>
        <v>1.69</v>
      </c>
      <c r="J160" s="750">
        <f t="shared" si="134"/>
        <v>0</v>
      </c>
      <c r="K160" s="847"/>
      <c r="L160" s="847"/>
      <c r="M160" s="189"/>
      <c r="N160" s="189"/>
      <c r="O160" s="751">
        <f>'Income Eligible Deemed Table'!K122</f>
        <v>7.8799999999999996E-4</v>
      </c>
      <c r="P160" s="751">
        <f t="shared" si="136"/>
        <v>0</v>
      </c>
      <c r="Q160" s="848"/>
      <c r="R160" s="848"/>
      <c r="S160" s="752"/>
      <c r="T160" s="752"/>
      <c r="U160" s="753">
        <f t="shared" si="137"/>
        <v>0</v>
      </c>
      <c r="V160" s="753">
        <f t="shared" si="138"/>
        <v>0</v>
      </c>
      <c r="W160" s="753">
        <f t="shared" si="139"/>
        <v>7.8799999999999996E-4</v>
      </c>
      <c r="X160" s="22">
        <f>'Income Eligible Deemed Table'!L122</f>
        <v>30</v>
      </c>
      <c r="Y160" s="22"/>
      <c r="Z160" s="22">
        <f t="shared" si="142"/>
        <v>30</v>
      </c>
      <c r="AA160" s="17">
        <f>'Income Eligible Deemed Table'!DG122</f>
        <v>1.2358947111226384</v>
      </c>
      <c r="AB160" s="246">
        <f>'Income Eligible Deemed Table'!M122</f>
        <v>2.5687522603978299</v>
      </c>
      <c r="AC160" s="861">
        <f t="shared" si="143"/>
        <v>3.1747073328100002</v>
      </c>
      <c r="AD160" s="861">
        <f t="shared" si="140"/>
        <v>0</v>
      </c>
      <c r="AE160" s="592">
        <f>'Income Eligible Deemed Table'!DI122</f>
        <v>3.1747073328100002</v>
      </c>
      <c r="AF160" s="195"/>
      <c r="AG160" s="195"/>
      <c r="AH160" s="195"/>
      <c r="AI160" s="867" t="str">
        <f t="shared" si="145"/>
        <v>Units - area of ceiling/attic (ft2)</v>
      </c>
      <c r="AJ160" s="68"/>
      <c r="AX160" s="1284" t="str">
        <f t="shared" si="146"/>
        <v>Ceiling Insulation R5-R49 SF IE DI electric furnace base</v>
      </c>
      <c r="AY160" s="1307"/>
      <c r="AZ160" s="1376" t="str">
        <f t="shared" si="147"/>
        <v>401750</v>
      </c>
      <c r="BA160" s="1229" t="s">
        <v>2158</v>
      </c>
      <c r="BB160" s="1229" t="s">
        <v>2158</v>
      </c>
      <c r="BC160" s="1229" t="s">
        <v>2158</v>
      </c>
      <c r="BD160" s="1229" t="s">
        <v>2158</v>
      </c>
      <c r="BE160" s="1234"/>
      <c r="BF160" s="1229" t="s">
        <v>2158</v>
      </c>
      <c r="BG160" s="1229" t="s">
        <v>2158</v>
      </c>
      <c r="BH160" s="1229" t="s">
        <v>2158</v>
      </c>
      <c r="BI160" s="1230" t="s">
        <v>2158</v>
      </c>
      <c r="BJ160" s="1234"/>
      <c r="BK160" s="1229" t="s">
        <v>2158</v>
      </c>
      <c r="BL160" s="1230" t="s">
        <v>2158</v>
      </c>
      <c r="BM160" s="1229" t="s">
        <v>2158</v>
      </c>
      <c r="BN160" s="1230" t="s">
        <v>2158</v>
      </c>
    </row>
    <row r="161" spans="1:66" x14ac:dyDescent="0.25">
      <c r="A161" s="49" t="str">
        <f t="shared" si="141"/>
        <v>401800</v>
      </c>
      <c r="B161" s="1371" t="str">
        <f>'Income Eligible Deemed Table'!C123</f>
        <v>401800_2024_12_</v>
      </c>
      <c r="C161" s="1307" t="str">
        <f>'Income Eligible Deemed Table'!G123</f>
        <v>Building Shell RES</v>
      </c>
      <c r="D161" s="1307"/>
      <c r="E161" s="1307"/>
      <c r="F161" s="1307"/>
      <c r="G161" s="1307" t="str">
        <f>'Income Eligible Deemed Table'!E123</f>
        <v>Ceiling Insulation R5-R49 SF IE DI heat pump base</v>
      </c>
      <c r="H161" s="18" t="str">
        <f>'Income Eligible Deemed Table'!D123</f>
        <v>PAYS</v>
      </c>
      <c r="I161" s="750">
        <f>'Income Eligible Deemed Table'!F123</f>
        <v>1.1399999999999999</v>
      </c>
      <c r="J161" s="750">
        <f t="shared" si="134"/>
        <v>0</v>
      </c>
      <c r="K161" s="847"/>
      <c r="L161" s="847"/>
      <c r="M161" s="189"/>
      <c r="N161" s="189"/>
      <c r="O161" s="751">
        <f>'Income Eligible Deemed Table'!K123</f>
        <v>5.31E-4</v>
      </c>
      <c r="P161" s="751">
        <f t="shared" si="136"/>
        <v>0</v>
      </c>
      <c r="Q161" s="848"/>
      <c r="R161" s="848"/>
      <c r="S161" s="752"/>
      <c r="T161" s="752"/>
      <c r="U161" s="753">
        <f t="shared" si="137"/>
        <v>0</v>
      </c>
      <c r="V161" s="753">
        <f t="shared" si="138"/>
        <v>0</v>
      </c>
      <c r="W161" s="753">
        <f t="shared" si="139"/>
        <v>5.31E-4</v>
      </c>
      <c r="X161" s="22">
        <f>'Income Eligible Deemed Table'!L123</f>
        <v>30</v>
      </c>
      <c r="Y161" s="22"/>
      <c r="Z161" s="22">
        <f t="shared" si="142"/>
        <v>30</v>
      </c>
      <c r="AA161" s="17">
        <f>'Income Eligible Deemed Table'!DG123</f>
        <v>0.83368045602355478</v>
      </c>
      <c r="AB161" s="246">
        <f>'Income Eligible Deemed Table'!M123</f>
        <v>2.5687522603978299</v>
      </c>
      <c r="AC161" s="861">
        <f t="shared" si="143"/>
        <v>2.1415185558599998</v>
      </c>
      <c r="AD161" s="861">
        <f t="shared" si="140"/>
        <v>0</v>
      </c>
      <c r="AE161" s="592">
        <f>'Income Eligible Deemed Table'!DI123</f>
        <v>2.1415185558599998</v>
      </c>
      <c r="AF161" s="195"/>
      <c r="AG161" s="195"/>
      <c r="AH161" s="195"/>
      <c r="AI161" s="867" t="str">
        <f t="shared" si="145"/>
        <v>Units - area of ceiling/attic (ft2)</v>
      </c>
      <c r="AJ161" s="68"/>
      <c r="AX161" s="1284" t="str">
        <f t="shared" si="146"/>
        <v>Ceiling Insulation R5-R49 SF IE DI heat pump base</v>
      </c>
      <c r="AY161" s="1307"/>
      <c r="AZ161" s="1376" t="str">
        <f t="shared" si="147"/>
        <v>401800</v>
      </c>
      <c r="BA161" s="1229" t="s">
        <v>2158</v>
      </c>
      <c r="BB161" s="1229" t="s">
        <v>2158</v>
      </c>
      <c r="BC161" s="1229" t="s">
        <v>2158</v>
      </c>
      <c r="BD161" s="1229" t="s">
        <v>2158</v>
      </c>
      <c r="BE161" s="1234"/>
      <c r="BF161" s="1229" t="s">
        <v>2158</v>
      </c>
      <c r="BG161" s="1229" t="s">
        <v>2158</v>
      </c>
      <c r="BH161" s="1229" t="s">
        <v>2158</v>
      </c>
      <c r="BI161" s="1230" t="s">
        <v>2158</v>
      </c>
      <c r="BJ161" s="1234"/>
      <c r="BK161" s="1229" t="s">
        <v>2158</v>
      </c>
      <c r="BL161" s="1230" t="s">
        <v>2158</v>
      </c>
      <c r="BM161" s="1229" t="s">
        <v>2158</v>
      </c>
      <c r="BN161" s="1230" t="s">
        <v>2158</v>
      </c>
    </row>
    <row r="162" spans="1:66" x14ac:dyDescent="0.25">
      <c r="A162" s="49" t="str">
        <f t="shared" si="141"/>
        <v>401850</v>
      </c>
      <c r="B162" s="1371" t="str">
        <f>'Income Eligible Deemed Table'!C124</f>
        <v>401850_2024_12_</v>
      </c>
      <c r="C162" s="1307" t="str">
        <f>'Income Eligible Deemed Table'!G124</f>
        <v>Building Shell RES</v>
      </c>
      <c r="D162" s="1307"/>
      <c r="E162" s="1307"/>
      <c r="F162" s="1307"/>
      <c r="G162" s="1307" t="str">
        <f>'Income Eligible Deemed Table'!E124</f>
        <v>Ceiling Insulation R5-R49 SF IE DI gas heat electric cool base</v>
      </c>
      <c r="H162" s="18" t="str">
        <f>'Income Eligible Deemed Table'!D124</f>
        <v>PAYS</v>
      </c>
      <c r="I162" s="750">
        <f>'Income Eligible Deemed Table'!F124</f>
        <v>0.25</v>
      </c>
      <c r="J162" s="750">
        <f t="shared" si="134"/>
        <v>0</v>
      </c>
      <c r="K162" s="847"/>
      <c r="L162" s="847"/>
      <c r="M162" s="189"/>
      <c r="N162" s="189"/>
      <c r="O162" s="751">
        <f>'Income Eligible Deemed Table'!K124</f>
        <v>1.17E-4</v>
      </c>
      <c r="P162" s="751">
        <f t="shared" si="136"/>
        <v>0</v>
      </c>
      <c r="Q162" s="848"/>
      <c r="R162" s="848"/>
      <c r="S162" s="752"/>
      <c r="T162" s="752"/>
      <c r="U162" s="753">
        <f t="shared" si="137"/>
        <v>0</v>
      </c>
      <c r="V162" s="753">
        <f t="shared" si="138"/>
        <v>0</v>
      </c>
      <c r="W162" s="753">
        <f t="shared" si="139"/>
        <v>1.17E-4</v>
      </c>
      <c r="X162" s="22">
        <f>'Income Eligible Deemed Table'!L124</f>
        <v>30</v>
      </c>
      <c r="Y162" s="22"/>
      <c r="Z162" s="22">
        <f t="shared" si="142"/>
        <v>30</v>
      </c>
      <c r="AA162" s="17">
        <f>'Income Eligible Deemed Table'!DG124</f>
        <v>0.18282466140867432</v>
      </c>
      <c r="AB162" s="246">
        <f>'Income Eligible Deemed Table'!M124</f>
        <v>2.5687522603978299</v>
      </c>
      <c r="AC162" s="861">
        <f t="shared" si="143"/>
        <v>0.46963126225000001</v>
      </c>
      <c r="AD162" s="861">
        <f t="shared" si="140"/>
        <v>0</v>
      </c>
      <c r="AE162" s="592">
        <f>'Income Eligible Deemed Table'!DI124</f>
        <v>0.46963126225000001</v>
      </c>
      <c r="AF162" s="195"/>
      <c r="AG162" s="195"/>
      <c r="AH162" s="195"/>
      <c r="AI162" s="867" t="str">
        <f t="shared" si="145"/>
        <v>Units - area of ceiling/attic (ft2)</v>
      </c>
      <c r="AJ162" s="68"/>
      <c r="AX162" s="1284" t="str">
        <f t="shared" si="146"/>
        <v>Ceiling Insulation R5-R49 SF IE DI gas heat electric cool base</v>
      </c>
      <c r="AY162" s="1307"/>
      <c r="AZ162" s="1376" t="str">
        <f t="shared" si="147"/>
        <v>401850</v>
      </c>
      <c r="BA162" s="1229" t="s">
        <v>2158</v>
      </c>
      <c r="BB162" s="1229" t="s">
        <v>2158</v>
      </c>
      <c r="BC162" s="1229" t="s">
        <v>2158</v>
      </c>
      <c r="BD162" s="1229" t="s">
        <v>2158</v>
      </c>
      <c r="BE162" s="1234"/>
      <c r="BF162" s="1229" t="s">
        <v>2158</v>
      </c>
      <c r="BG162" s="1229" t="s">
        <v>2158</v>
      </c>
      <c r="BH162" s="1229" t="s">
        <v>2158</v>
      </c>
      <c r="BI162" s="1230" t="s">
        <v>2158</v>
      </c>
      <c r="BJ162" s="1234"/>
      <c r="BK162" s="1229" t="s">
        <v>2158</v>
      </c>
      <c r="BL162" s="1230" t="s">
        <v>2158</v>
      </c>
      <c r="BM162" s="1229" t="s">
        <v>2158</v>
      </c>
      <c r="BN162" s="1230" t="s">
        <v>2158</v>
      </c>
    </row>
    <row r="163" spans="1:66" x14ac:dyDescent="0.25">
      <c r="A163" s="49" t="str">
        <f t="shared" si="141"/>
        <v>401900</v>
      </c>
      <c r="B163" s="1371" t="str">
        <f>'Income Eligible Deemed Table'!C125</f>
        <v>401900_2024_12_</v>
      </c>
      <c r="C163" s="1307" t="str">
        <f>'Income Eligible Deemed Table'!G125</f>
        <v>Building Shell RES</v>
      </c>
      <c r="D163" s="1307"/>
      <c r="E163" s="1307"/>
      <c r="F163" s="1307"/>
      <c r="G163" s="1307" t="str">
        <f>'Income Eligible Deemed Table'!E125</f>
        <v>Ceiling Insulation R5-R60 MF IE DI electric furnace base</v>
      </c>
      <c r="H163" s="18" t="str">
        <f>'Income Eligible Deemed Table'!D125</f>
        <v>MFIE</v>
      </c>
      <c r="I163" s="750">
        <f>'Income Eligible Deemed Table'!F125</f>
        <v>1.76</v>
      </c>
      <c r="J163" s="750">
        <f t="shared" si="134"/>
        <v>0</v>
      </c>
      <c r="K163" s="847"/>
      <c r="L163" s="847"/>
      <c r="M163" s="189"/>
      <c r="N163" s="189"/>
      <c r="O163" s="751">
        <f>'Income Eligible Deemed Table'!K125</f>
        <v>8.1999999999999998E-4</v>
      </c>
      <c r="P163" s="751">
        <f t="shared" si="136"/>
        <v>0</v>
      </c>
      <c r="Q163" s="848"/>
      <c r="R163" s="848"/>
      <c r="S163" s="752"/>
      <c r="T163" s="752"/>
      <c r="U163" s="753">
        <f t="shared" si="137"/>
        <v>0</v>
      </c>
      <c r="V163" s="753">
        <f t="shared" si="138"/>
        <v>0</v>
      </c>
      <c r="W163" s="753">
        <f t="shared" si="139"/>
        <v>8.1999999999999998E-4</v>
      </c>
      <c r="X163" s="22">
        <f>'Income Eligible Deemed Table'!L125</f>
        <v>30</v>
      </c>
      <c r="Y163" s="22"/>
      <c r="Z163" s="22">
        <f t="shared" si="142"/>
        <v>30</v>
      </c>
      <c r="AA163" s="17">
        <f>'Income Eligible Deemed Table'!DG125</f>
        <v>0.96551210636338514</v>
      </c>
      <c r="AB163" s="246">
        <f>'Income Eligible Deemed Table'!M125</f>
        <v>3.424301015440256</v>
      </c>
      <c r="AC163" s="861">
        <f t="shared" si="143"/>
        <v>3.3062040862400002</v>
      </c>
      <c r="AD163" s="861">
        <f t="shared" si="140"/>
        <v>0</v>
      </c>
      <c r="AE163" s="592">
        <f>'Income Eligible Deemed Table'!DI125</f>
        <v>3.3062040862400002</v>
      </c>
      <c r="AF163" s="195"/>
      <c r="AG163" s="195"/>
      <c r="AH163" s="195"/>
      <c r="AI163" s="867" t="str">
        <f t="shared" si="145"/>
        <v>Units - area of ceiling/attic (ft2)</v>
      </c>
      <c r="AJ163" s="68"/>
      <c r="AX163" s="1284" t="str">
        <f t="shared" si="146"/>
        <v>Ceiling Insulation R5-R60 MF IE DI electric furnace base</v>
      </c>
      <c r="AY163" s="1307"/>
      <c r="AZ163" s="1376" t="str">
        <f t="shared" si="147"/>
        <v>401900</v>
      </c>
      <c r="BA163" s="1229" t="s">
        <v>2158</v>
      </c>
      <c r="BB163" s="1229" t="s">
        <v>2158</v>
      </c>
      <c r="BC163" s="1229" t="s">
        <v>2158</v>
      </c>
      <c r="BD163" s="1229" t="s">
        <v>2158</v>
      </c>
      <c r="BE163" s="1234"/>
      <c r="BF163" s="1229" t="s">
        <v>2158</v>
      </c>
      <c r="BG163" s="1229" t="s">
        <v>2158</v>
      </c>
      <c r="BH163" s="1229" t="s">
        <v>2158</v>
      </c>
      <c r="BI163" s="1230" t="s">
        <v>2158</v>
      </c>
      <c r="BJ163" s="1234"/>
      <c r="BK163" s="1229" t="s">
        <v>2158</v>
      </c>
      <c r="BL163" s="1230" t="s">
        <v>2158</v>
      </c>
      <c r="BM163" s="1229" t="s">
        <v>2158</v>
      </c>
      <c r="BN163" s="1230" t="s">
        <v>2158</v>
      </c>
    </row>
    <row r="164" spans="1:66" x14ac:dyDescent="0.25">
      <c r="A164" s="49" t="str">
        <f t="shared" si="141"/>
        <v>401950</v>
      </c>
      <c r="B164" s="1371" t="str">
        <f>'Income Eligible Deemed Table'!C126</f>
        <v>401950_2024_12_</v>
      </c>
      <c r="C164" s="1307" t="str">
        <f>'Income Eligible Deemed Table'!G126</f>
        <v>Building Shell RES</v>
      </c>
      <c r="D164" s="1307"/>
      <c r="E164" s="1307"/>
      <c r="F164" s="1307"/>
      <c r="G164" s="1307" t="str">
        <f>'Income Eligible Deemed Table'!E126</f>
        <v>Ceiling Insulation R5-R60 MF IE DI heat pump base</v>
      </c>
      <c r="H164" s="18" t="str">
        <f>'Income Eligible Deemed Table'!D126</f>
        <v>MFIE</v>
      </c>
      <c r="I164" s="750">
        <f>'Income Eligible Deemed Table'!F126</f>
        <v>1.18</v>
      </c>
      <c r="J164" s="750">
        <f t="shared" si="134"/>
        <v>0</v>
      </c>
      <c r="K164" s="847"/>
      <c r="L164" s="847"/>
      <c r="M164" s="189"/>
      <c r="N164" s="189"/>
      <c r="O164" s="751">
        <f>'Income Eligible Deemed Table'!K126</f>
        <v>5.5000000000000003E-4</v>
      </c>
      <c r="P164" s="751">
        <f t="shared" si="136"/>
        <v>0</v>
      </c>
      <c r="Q164" s="848"/>
      <c r="R164" s="848"/>
      <c r="S164" s="752"/>
      <c r="T164" s="752"/>
      <c r="U164" s="753">
        <f t="shared" si="137"/>
        <v>0</v>
      </c>
      <c r="V164" s="753">
        <f t="shared" si="138"/>
        <v>0</v>
      </c>
      <c r="W164" s="753">
        <f t="shared" si="139"/>
        <v>5.5000000000000003E-4</v>
      </c>
      <c r="X164" s="22">
        <f>'Income Eligible Deemed Table'!L126</f>
        <v>30</v>
      </c>
      <c r="Y164" s="22"/>
      <c r="Z164" s="22">
        <f t="shared" si="142"/>
        <v>30</v>
      </c>
      <c r="AA164" s="17">
        <f>'Income Eligible Deemed Table'!DG126</f>
        <v>0.64733198040272411</v>
      </c>
      <c r="AB164" s="246">
        <f>'Income Eligible Deemed Table'!M126</f>
        <v>3.424301015440256</v>
      </c>
      <c r="AC164" s="861">
        <f t="shared" si="143"/>
        <v>2.2166595578199999</v>
      </c>
      <c r="AD164" s="861">
        <f t="shared" si="140"/>
        <v>0</v>
      </c>
      <c r="AE164" s="592">
        <f>'Income Eligible Deemed Table'!DI126</f>
        <v>2.2166595578199999</v>
      </c>
      <c r="AF164" s="195"/>
      <c r="AG164" s="195"/>
      <c r="AH164" s="195"/>
      <c r="AI164" s="867" t="str">
        <f t="shared" si="145"/>
        <v>Units - area of ceiling/attic (ft2)</v>
      </c>
      <c r="AJ164" s="68"/>
      <c r="AX164" s="1284" t="str">
        <f t="shared" si="146"/>
        <v>Ceiling Insulation R5-R60 MF IE DI heat pump base</v>
      </c>
      <c r="AY164" s="1307"/>
      <c r="AZ164" s="1376" t="str">
        <f t="shared" si="147"/>
        <v>401950</v>
      </c>
      <c r="BA164" s="1229" t="s">
        <v>2158</v>
      </c>
      <c r="BB164" s="1229" t="s">
        <v>2158</v>
      </c>
      <c r="BC164" s="1229" t="s">
        <v>2158</v>
      </c>
      <c r="BD164" s="1229" t="s">
        <v>2158</v>
      </c>
      <c r="BE164" s="1234"/>
      <c r="BF164" s="1229" t="s">
        <v>2158</v>
      </c>
      <c r="BG164" s="1229" t="s">
        <v>2158</v>
      </c>
      <c r="BH164" s="1229" t="s">
        <v>2158</v>
      </c>
      <c r="BI164" s="1230" t="s">
        <v>2158</v>
      </c>
      <c r="BJ164" s="1234"/>
      <c r="BK164" s="1229" t="s">
        <v>2158</v>
      </c>
      <c r="BL164" s="1230" t="s">
        <v>2158</v>
      </c>
      <c r="BM164" s="1229" t="s">
        <v>2158</v>
      </c>
      <c r="BN164" s="1230" t="s">
        <v>2158</v>
      </c>
    </row>
    <row r="165" spans="1:66" x14ac:dyDescent="0.25">
      <c r="A165" s="49" t="str">
        <f t="shared" si="141"/>
        <v>402000</v>
      </c>
      <c r="B165" s="1371" t="str">
        <f>'Income Eligible Deemed Table'!C127</f>
        <v>402000_2024_12_</v>
      </c>
      <c r="C165" s="1307" t="str">
        <f>'Income Eligible Deemed Table'!G127</f>
        <v>Building Shell RES</v>
      </c>
      <c r="D165" s="1307"/>
      <c r="E165" s="1307"/>
      <c r="F165" s="1307"/>
      <c r="G165" s="1307" t="str">
        <f>'Income Eligible Deemed Table'!E127</f>
        <v>Ceiling Insulation R5-R60 MF IE DI gas heat electric cool base</v>
      </c>
      <c r="H165" s="18" t="str">
        <f>'Income Eligible Deemed Table'!D127</f>
        <v>MFIE</v>
      </c>
      <c r="I165" s="750">
        <f>'Income Eligible Deemed Table'!F127</f>
        <v>0.26</v>
      </c>
      <c r="J165" s="750">
        <f t="shared" si="134"/>
        <v>0</v>
      </c>
      <c r="K165" s="847"/>
      <c r="L165" s="847"/>
      <c r="M165" s="189"/>
      <c r="N165" s="189"/>
      <c r="O165" s="751">
        <f>'Income Eligible Deemed Table'!K127</f>
        <v>1.21E-4</v>
      </c>
      <c r="P165" s="751">
        <f t="shared" si="136"/>
        <v>0</v>
      </c>
      <c r="Q165" s="848"/>
      <c r="R165" s="848"/>
      <c r="S165" s="752"/>
      <c r="T165" s="752"/>
      <c r="U165" s="753">
        <f t="shared" si="137"/>
        <v>0</v>
      </c>
      <c r="V165" s="753">
        <f t="shared" si="138"/>
        <v>0</v>
      </c>
      <c r="W165" s="753">
        <f t="shared" si="139"/>
        <v>1.21E-4</v>
      </c>
      <c r="X165" s="22">
        <f>'Income Eligible Deemed Table'!L127</f>
        <v>30</v>
      </c>
      <c r="Y165" s="22"/>
      <c r="Z165" s="22">
        <f t="shared" si="142"/>
        <v>30</v>
      </c>
      <c r="AA165" s="17">
        <f>'Income Eligible Deemed Table'!DG127</f>
        <v>0.14263247025822734</v>
      </c>
      <c r="AB165" s="246">
        <f>'Income Eligible Deemed Table'!M127</f>
        <v>3.424301015440256</v>
      </c>
      <c r="AC165" s="861">
        <f t="shared" si="143"/>
        <v>0.48841651274000003</v>
      </c>
      <c r="AD165" s="861">
        <f t="shared" ref="AD165:AD200" si="148">AG165+AH165</f>
        <v>0</v>
      </c>
      <c r="AE165" s="592">
        <f>'Income Eligible Deemed Table'!DI127</f>
        <v>0.48841651274000003</v>
      </c>
      <c r="AF165" s="195"/>
      <c r="AG165" s="195"/>
      <c r="AH165" s="195"/>
      <c r="AI165" s="867" t="str">
        <f t="shared" si="145"/>
        <v>Units - area of ceiling/attic (ft2)</v>
      </c>
      <c r="AJ165" s="68"/>
      <c r="AX165" s="1284" t="str">
        <f t="shared" si="146"/>
        <v>Ceiling Insulation R5-R60 MF IE DI gas heat electric cool base</v>
      </c>
      <c r="AY165" s="1307"/>
      <c r="AZ165" s="1376" t="str">
        <f t="shared" si="147"/>
        <v>402000</v>
      </c>
      <c r="BA165" s="1229" t="s">
        <v>2158</v>
      </c>
      <c r="BB165" s="1229" t="s">
        <v>2158</v>
      </c>
      <c r="BC165" s="1229" t="s">
        <v>2158</v>
      </c>
      <c r="BD165" s="1229" t="s">
        <v>2158</v>
      </c>
      <c r="BE165" s="1234"/>
      <c r="BF165" s="1229" t="s">
        <v>2158</v>
      </c>
      <c r="BG165" s="1229" t="s">
        <v>2158</v>
      </c>
      <c r="BH165" s="1229" t="s">
        <v>2158</v>
      </c>
      <c r="BI165" s="1230" t="s">
        <v>2158</v>
      </c>
      <c r="BJ165" s="1234"/>
      <c r="BK165" s="1229" t="s">
        <v>2158</v>
      </c>
      <c r="BL165" s="1230" t="s">
        <v>2158</v>
      </c>
      <c r="BM165" s="1229" t="s">
        <v>2158</v>
      </c>
      <c r="BN165" s="1230" t="s">
        <v>2158</v>
      </c>
    </row>
    <row r="166" spans="1:66" x14ac:dyDescent="0.25">
      <c r="A166" s="49" t="str">
        <f t="shared" si="141"/>
        <v>402050</v>
      </c>
      <c r="B166" s="1371" t="str">
        <f>'Income Eligible Deemed Table'!C128</f>
        <v>402050_2024_12_</v>
      </c>
      <c r="C166" s="1307" t="str">
        <f>'Income Eligible Deemed Table'!G128</f>
        <v>Building Shell RES</v>
      </c>
      <c r="D166" s="1307"/>
      <c r="E166" s="1307"/>
      <c r="F166" s="1307"/>
      <c r="G166" s="1307" t="str">
        <f>'Income Eligible Deemed Table'!E128</f>
        <v>Ceiling Insulation R5-R60 SF IE DI electric furnace base</v>
      </c>
      <c r="H166" s="18" t="str">
        <f>'Income Eligible Deemed Table'!D128</f>
        <v>PAYS</v>
      </c>
      <c r="I166" s="750">
        <f>'Income Eligible Deemed Table'!F128</f>
        <v>1.76</v>
      </c>
      <c r="J166" s="750">
        <f t="shared" si="134"/>
        <v>0</v>
      </c>
      <c r="K166" s="847"/>
      <c r="L166" s="847"/>
      <c r="M166" s="189"/>
      <c r="N166" s="189"/>
      <c r="O166" s="751">
        <f>'Income Eligible Deemed Table'!K128</f>
        <v>8.1999999999999998E-4</v>
      </c>
      <c r="P166" s="751">
        <f t="shared" si="136"/>
        <v>0</v>
      </c>
      <c r="Q166" s="848"/>
      <c r="R166" s="848"/>
      <c r="S166" s="752"/>
      <c r="T166" s="752"/>
      <c r="U166" s="753">
        <f t="shared" si="137"/>
        <v>0</v>
      </c>
      <c r="V166" s="753">
        <f t="shared" si="138"/>
        <v>0</v>
      </c>
      <c r="W166" s="753">
        <f t="shared" si="139"/>
        <v>8.1999999999999998E-4</v>
      </c>
      <c r="X166" s="22">
        <f>'Income Eligible Deemed Table'!L128</f>
        <v>30</v>
      </c>
      <c r="Y166" s="22"/>
      <c r="Z166" s="22">
        <f t="shared" si="142"/>
        <v>30</v>
      </c>
      <c r="AA166" s="17">
        <f>'Income Eligible Deemed Table'!DG128</f>
        <v>0.96551132194647349</v>
      </c>
      <c r="AB166" s="246">
        <f>'Income Eligible Deemed Table'!M128</f>
        <v>3.4243037974683546</v>
      </c>
      <c r="AC166" s="861">
        <f t="shared" si="143"/>
        <v>3.3062040862400002</v>
      </c>
      <c r="AD166" s="861">
        <f t="shared" si="148"/>
        <v>0</v>
      </c>
      <c r="AE166" s="592">
        <f>'Income Eligible Deemed Table'!DI128</f>
        <v>3.3062040862400002</v>
      </c>
      <c r="AF166" s="195"/>
      <c r="AG166" s="195"/>
      <c r="AH166" s="195"/>
      <c r="AI166" s="867" t="str">
        <f t="shared" si="145"/>
        <v>Units - area of ceiling/attic (ft2)</v>
      </c>
      <c r="AJ166" s="68"/>
      <c r="AX166" s="1284" t="str">
        <f t="shared" si="146"/>
        <v>Ceiling Insulation R5-R60 SF IE DI electric furnace base</v>
      </c>
      <c r="AY166" s="1307"/>
      <c r="AZ166" s="1376" t="str">
        <f t="shared" si="147"/>
        <v>402050</v>
      </c>
      <c r="BA166" s="1229" t="s">
        <v>2158</v>
      </c>
      <c r="BB166" s="1229" t="s">
        <v>2158</v>
      </c>
      <c r="BC166" s="1229" t="s">
        <v>2158</v>
      </c>
      <c r="BD166" s="1229" t="s">
        <v>2158</v>
      </c>
      <c r="BE166" s="1234"/>
      <c r="BF166" s="1229" t="s">
        <v>2158</v>
      </c>
      <c r="BG166" s="1229" t="s">
        <v>2158</v>
      </c>
      <c r="BH166" s="1229" t="s">
        <v>2158</v>
      </c>
      <c r="BI166" s="1230" t="s">
        <v>2158</v>
      </c>
      <c r="BJ166" s="1234"/>
      <c r="BK166" s="1229" t="s">
        <v>2158</v>
      </c>
      <c r="BL166" s="1230" t="s">
        <v>2158</v>
      </c>
      <c r="BM166" s="1229" t="s">
        <v>2158</v>
      </c>
      <c r="BN166" s="1230" t="s">
        <v>2158</v>
      </c>
    </row>
    <row r="167" spans="1:66" x14ac:dyDescent="0.25">
      <c r="A167" s="49" t="str">
        <f t="shared" si="141"/>
        <v>402100</v>
      </c>
      <c r="B167" s="1371" t="str">
        <f>'Income Eligible Deemed Table'!C129</f>
        <v>402100_2024_12_</v>
      </c>
      <c r="C167" s="1307" t="str">
        <f>'Income Eligible Deemed Table'!G129</f>
        <v>Building Shell RES</v>
      </c>
      <c r="D167" s="1307"/>
      <c r="E167" s="1307"/>
      <c r="F167" s="1307"/>
      <c r="G167" s="1307" t="str">
        <f>'Income Eligible Deemed Table'!E129</f>
        <v>Ceiling Insulation R5-R60 SF IE DI heat pump base</v>
      </c>
      <c r="H167" s="18" t="str">
        <f>'Income Eligible Deemed Table'!D129</f>
        <v>PAYS</v>
      </c>
      <c r="I167" s="750">
        <f>'Income Eligible Deemed Table'!F129</f>
        <v>1.18</v>
      </c>
      <c r="J167" s="750">
        <f t="shared" si="134"/>
        <v>0</v>
      </c>
      <c r="K167" s="847"/>
      <c r="L167" s="847"/>
      <c r="M167" s="189"/>
      <c r="N167" s="189"/>
      <c r="O167" s="751">
        <f>'Income Eligible Deemed Table'!K129</f>
        <v>5.5000000000000003E-4</v>
      </c>
      <c r="P167" s="751">
        <f t="shared" si="136"/>
        <v>0</v>
      </c>
      <c r="Q167" s="848"/>
      <c r="R167" s="848"/>
      <c r="S167" s="752"/>
      <c r="T167" s="752"/>
      <c r="U167" s="753">
        <f t="shared" si="137"/>
        <v>0</v>
      </c>
      <c r="V167" s="753">
        <f t="shared" si="138"/>
        <v>0</v>
      </c>
      <c r="W167" s="753">
        <f t="shared" si="139"/>
        <v>5.5000000000000003E-4</v>
      </c>
      <c r="X167" s="22">
        <f>'Income Eligible Deemed Table'!L129</f>
        <v>30</v>
      </c>
      <c r="Y167" s="22"/>
      <c r="Z167" s="22">
        <f t="shared" si="142"/>
        <v>30</v>
      </c>
      <c r="AA167" s="17">
        <f>'Income Eligible Deemed Table'!DG129</f>
        <v>0.64733145448684015</v>
      </c>
      <c r="AB167" s="246">
        <f>'Income Eligible Deemed Table'!M129</f>
        <v>3.4243037974683546</v>
      </c>
      <c r="AC167" s="861">
        <f t="shared" si="143"/>
        <v>2.2166595578199999</v>
      </c>
      <c r="AD167" s="861">
        <f t="shared" si="148"/>
        <v>0</v>
      </c>
      <c r="AE167" s="592">
        <f>'Income Eligible Deemed Table'!DI129</f>
        <v>2.2166595578199999</v>
      </c>
      <c r="AF167" s="195"/>
      <c r="AG167" s="195"/>
      <c r="AH167" s="195"/>
      <c r="AI167" s="867" t="str">
        <f t="shared" si="145"/>
        <v>Units - area of ceiling/attic (ft2)</v>
      </c>
      <c r="AJ167" s="68"/>
      <c r="AX167" s="1284" t="str">
        <f t="shared" si="146"/>
        <v>Ceiling Insulation R5-R60 SF IE DI heat pump base</v>
      </c>
      <c r="AY167" s="1307"/>
      <c r="AZ167" s="1376" t="str">
        <f t="shared" si="147"/>
        <v>402100</v>
      </c>
      <c r="BA167" s="1229" t="s">
        <v>2158</v>
      </c>
      <c r="BB167" s="1229" t="s">
        <v>2158</v>
      </c>
      <c r="BC167" s="1229" t="s">
        <v>2158</v>
      </c>
      <c r="BD167" s="1229" t="s">
        <v>2158</v>
      </c>
      <c r="BE167" s="1234"/>
      <c r="BF167" s="1229" t="s">
        <v>2158</v>
      </c>
      <c r="BG167" s="1229" t="s">
        <v>2158</v>
      </c>
      <c r="BH167" s="1229" t="s">
        <v>2158</v>
      </c>
      <c r="BI167" s="1230" t="s">
        <v>2158</v>
      </c>
      <c r="BJ167" s="1234"/>
      <c r="BK167" s="1229" t="s">
        <v>2158</v>
      </c>
      <c r="BL167" s="1230" t="s">
        <v>2158</v>
      </c>
      <c r="BM167" s="1229" t="s">
        <v>2158</v>
      </c>
      <c r="BN167" s="1230" t="s">
        <v>2158</v>
      </c>
    </row>
    <row r="168" spans="1:66" x14ac:dyDescent="0.25">
      <c r="A168" s="49" t="str">
        <f t="shared" si="141"/>
        <v>402150</v>
      </c>
      <c r="B168" s="1371" t="str">
        <f>'Income Eligible Deemed Table'!C130</f>
        <v>402150_2024_12_</v>
      </c>
      <c r="C168" s="1307" t="str">
        <f>'Income Eligible Deemed Table'!G130</f>
        <v>Building Shell RES</v>
      </c>
      <c r="D168" s="1307"/>
      <c r="E168" s="1307"/>
      <c r="F168" s="1307"/>
      <c r="G168" s="1307" t="str">
        <f>'Income Eligible Deemed Table'!E130</f>
        <v>Ceiling Insulation R5-R60 SF IE DI gas heat electric cool base</v>
      </c>
      <c r="H168" s="18" t="str">
        <f>'Income Eligible Deemed Table'!D130</f>
        <v>PAYS</v>
      </c>
      <c r="I168" s="750">
        <f>'Income Eligible Deemed Table'!F130</f>
        <v>0.26</v>
      </c>
      <c r="J168" s="750">
        <f t="shared" si="134"/>
        <v>0</v>
      </c>
      <c r="K168" s="847"/>
      <c r="L168" s="847"/>
      <c r="M168" s="189"/>
      <c r="N168" s="189"/>
      <c r="O168" s="751">
        <f>'Income Eligible Deemed Table'!K130</f>
        <v>1.21E-4</v>
      </c>
      <c r="P168" s="751">
        <f t="shared" si="136"/>
        <v>0</v>
      </c>
      <c r="Q168" s="848"/>
      <c r="R168" s="848"/>
      <c r="S168" s="752"/>
      <c r="T168" s="752"/>
      <c r="U168" s="753">
        <f t="shared" si="137"/>
        <v>0</v>
      </c>
      <c r="V168" s="753">
        <f t="shared" si="138"/>
        <v>0</v>
      </c>
      <c r="W168" s="753">
        <f t="shared" si="139"/>
        <v>1.21E-4</v>
      </c>
      <c r="X168" s="22">
        <f>'Income Eligible Deemed Table'!L130</f>
        <v>30</v>
      </c>
      <c r="Y168" s="22"/>
      <c r="Z168" s="22">
        <f t="shared" si="142"/>
        <v>30</v>
      </c>
      <c r="AA168" s="17">
        <f>'Income Eligible Deemed Table'!DG130</f>
        <v>0.14263235437845631</v>
      </c>
      <c r="AB168" s="246">
        <f>'Income Eligible Deemed Table'!M130</f>
        <v>3.4243037974683546</v>
      </c>
      <c r="AC168" s="861">
        <f t="shared" si="143"/>
        <v>0.48841651274000003</v>
      </c>
      <c r="AD168" s="861">
        <f t="shared" si="148"/>
        <v>0</v>
      </c>
      <c r="AE168" s="592">
        <f>'Income Eligible Deemed Table'!DI130</f>
        <v>0.48841651274000003</v>
      </c>
      <c r="AF168" s="195"/>
      <c r="AG168" s="195"/>
      <c r="AH168" s="195"/>
      <c r="AI168" s="867" t="str">
        <f t="shared" si="145"/>
        <v>Units - area of ceiling/attic (ft2)</v>
      </c>
      <c r="AJ168" s="68"/>
      <c r="AX168" s="1284" t="str">
        <f t="shared" si="146"/>
        <v>Ceiling Insulation R5-R60 SF IE DI gas heat electric cool base</v>
      </c>
      <c r="AY168" s="1307"/>
      <c r="AZ168" s="1376" t="str">
        <f t="shared" si="147"/>
        <v>402150</v>
      </c>
      <c r="BA168" s="1229" t="s">
        <v>2158</v>
      </c>
      <c r="BB168" s="1229" t="s">
        <v>2158</v>
      </c>
      <c r="BC168" s="1229" t="s">
        <v>2158</v>
      </c>
      <c r="BD168" s="1229" t="s">
        <v>2158</v>
      </c>
      <c r="BE168" s="1234"/>
      <c r="BF168" s="1229" t="s">
        <v>2158</v>
      </c>
      <c r="BG168" s="1229" t="s">
        <v>2158</v>
      </c>
      <c r="BH168" s="1229" t="s">
        <v>2158</v>
      </c>
      <c r="BI168" s="1230" t="s">
        <v>2158</v>
      </c>
      <c r="BJ168" s="1234"/>
      <c r="BK168" s="1229" t="s">
        <v>2158</v>
      </c>
      <c r="BL168" s="1230" t="s">
        <v>2158</v>
      </c>
      <c r="BM168" s="1229" t="s">
        <v>2158</v>
      </c>
      <c r="BN168" s="1230" t="s">
        <v>2158</v>
      </c>
    </row>
    <row r="169" spans="1:66" x14ac:dyDescent="0.25">
      <c r="A169" s="49" t="str">
        <f t="shared" si="141"/>
        <v>402200</v>
      </c>
      <c r="B169" s="1371" t="str">
        <f>'Income Eligible Deemed Table'!C420</f>
        <v>402200_2024_12_</v>
      </c>
      <c r="C169" s="1307" t="str">
        <f>'Income Eligible Deemed Table'!G420</f>
        <v>Building Shell RES</v>
      </c>
      <c r="D169" s="1307"/>
      <c r="E169" s="1307"/>
      <c r="F169" s="1307"/>
      <c r="G169" s="1307" t="str">
        <f>'Income Eligible Deemed Table'!E420</f>
        <v>Floor Insulation R25 (R-3.96 base) MH electric furnace/baseboard and electric cooling</v>
      </c>
      <c r="H169" s="18" t="str">
        <f>'Income Eligible Deemed Table'!D420</f>
        <v>SFIE</v>
      </c>
      <c r="I169" s="750">
        <f>'Income Eligible Deemed Table'!F420</f>
        <v>2.0499999999999998</v>
      </c>
      <c r="J169" s="750">
        <f t="shared" si="134"/>
        <v>0</v>
      </c>
      <c r="K169" s="847"/>
      <c r="L169" s="847"/>
      <c r="M169" s="189"/>
      <c r="N169" s="189"/>
      <c r="O169" s="751">
        <f>'Income Eligible Deemed Table'!K420</f>
        <v>9.5500000000000001E-4</v>
      </c>
      <c r="P169" s="751"/>
      <c r="Q169" s="848"/>
      <c r="R169" s="848"/>
      <c r="S169" s="752"/>
      <c r="T169" s="752"/>
      <c r="U169" s="753">
        <f t="shared" si="137"/>
        <v>0</v>
      </c>
      <c r="V169" s="753">
        <f t="shared" si="138"/>
        <v>0</v>
      </c>
      <c r="W169" s="753">
        <f t="shared" si="139"/>
        <v>9.5500000000000001E-4</v>
      </c>
      <c r="X169" s="22">
        <f>'Income Eligible Deemed Table'!L420</f>
        <v>30</v>
      </c>
      <c r="Y169" s="22"/>
      <c r="Z169" s="22">
        <f t="shared" si="142"/>
        <v>30</v>
      </c>
      <c r="AA169" s="17">
        <f>'Income Eligible Deemed Table'!DG420</f>
        <v>5.6659779555419325</v>
      </c>
      <c r="AB169" s="246">
        <f>'Income Eligible Deemed Table'!M420</f>
        <v>0.67966666666666664</v>
      </c>
      <c r="AC169" s="861">
        <f t="shared" si="143"/>
        <v>3.8509763504499999</v>
      </c>
      <c r="AD169" s="861">
        <f t="shared" si="148"/>
        <v>0</v>
      </c>
      <c r="AE169" s="592">
        <f>'Income Eligible Deemed Table'!DI420</f>
        <v>3.8509763504499999</v>
      </c>
      <c r="AF169" s="195"/>
      <c r="AG169" s="195"/>
      <c r="AH169" s="195"/>
      <c r="AI169" s="643" t="str">
        <f>'Income Eligible Deemed Table'!N419</f>
        <v>Units - area of floor (ft2)</v>
      </c>
      <c r="AJ169" s="68"/>
      <c r="AX169" s="1284" t="str">
        <f t="shared" si="146"/>
        <v>Floor Insulation R25 (R-3.96 base) MH electric furnace/baseboard and electric cooling</v>
      </c>
      <c r="AY169" s="1307"/>
      <c r="AZ169" s="1376" t="str">
        <f t="shared" si="147"/>
        <v>402200</v>
      </c>
      <c r="BA169" s="1229" t="s">
        <v>2158</v>
      </c>
      <c r="BB169" s="1229" t="s">
        <v>2158</v>
      </c>
      <c r="BC169" s="1229" t="s">
        <v>2158</v>
      </c>
      <c r="BD169" s="1229" t="s">
        <v>2158</v>
      </c>
      <c r="BE169" s="1234"/>
      <c r="BF169" s="1229" t="s">
        <v>2158</v>
      </c>
      <c r="BG169" s="1229" t="s">
        <v>2158</v>
      </c>
      <c r="BH169" s="1229" t="s">
        <v>2158</v>
      </c>
      <c r="BI169" s="1230" t="s">
        <v>2158</v>
      </c>
      <c r="BJ169" s="1234"/>
      <c r="BK169" s="1229" t="s">
        <v>2158</v>
      </c>
      <c r="BL169" s="1230" t="s">
        <v>2158</v>
      </c>
      <c r="BM169" s="1229" t="s">
        <v>2158</v>
      </c>
      <c r="BN169" s="1230" t="s">
        <v>2158</v>
      </c>
    </row>
    <row r="170" spans="1:66" x14ac:dyDescent="0.25">
      <c r="A170" s="49" t="str">
        <f t="shared" si="141"/>
        <v>402201</v>
      </c>
      <c r="B170" s="1371" t="str">
        <f>'Income Eligible Deemed Table'!C421</f>
        <v>402201_2024_12_</v>
      </c>
      <c r="C170" s="1307" t="str">
        <f>'Income Eligible Deemed Table'!G421</f>
        <v>Building Shell RES</v>
      </c>
      <c r="D170" s="1307"/>
      <c r="E170" s="1307"/>
      <c r="F170" s="1307"/>
      <c r="G170" s="1307" t="str">
        <f>'Income Eligible Deemed Table'!E421</f>
        <v>Floor Insulation R25 (R-3.96 base) MH heat pump and electric cooling</v>
      </c>
      <c r="H170" s="18" t="str">
        <f>'Income Eligible Deemed Table'!D421</f>
        <v>SFIE</v>
      </c>
      <c r="I170" s="750">
        <f>'Income Eligible Deemed Table'!F421</f>
        <v>1.36</v>
      </c>
      <c r="J170" s="750">
        <f t="shared" si="134"/>
        <v>0</v>
      </c>
      <c r="K170" s="847"/>
      <c r="L170" s="847"/>
      <c r="M170" s="189"/>
      <c r="N170" s="189"/>
      <c r="O170" s="751">
        <f>'Income Eligible Deemed Table'!K421</f>
        <v>6.3400000000000001E-4</v>
      </c>
      <c r="P170" s="751"/>
      <c r="Q170" s="848"/>
      <c r="R170" s="848"/>
      <c r="S170" s="752"/>
      <c r="T170" s="752"/>
      <c r="U170" s="753">
        <f t="shared" si="137"/>
        <v>0</v>
      </c>
      <c r="V170" s="753">
        <f t="shared" si="138"/>
        <v>0</v>
      </c>
      <c r="W170" s="753">
        <f t="shared" si="139"/>
        <v>6.3400000000000001E-4</v>
      </c>
      <c r="X170" s="22">
        <f>'Income Eligible Deemed Table'!L421</f>
        <v>30</v>
      </c>
      <c r="Y170" s="22"/>
      <c r="Z170" s="22">
        <f t="shared" si="142"/>
        <v>30</v>
      </c>
      <c r="AA170" s="17">
        <f>'Income Eligible Deemed Table'!DG421</f>
        <v>3.7588926924570876</v>
      </c>
      <c r="AB170" s="246">
        <f>'Income Eligible Deemed Table'!M421</f>
        <v>0.67966666666666664</v>
      </c>
      <c r="AC170" s="861">
        <f t="shared" si="143"/>
        <v>2.5547940666400004</v>
      </c>
      <c r="AD170" s="861">
        <f t="shared" si="148"/>
        <v>0</v>
      </c>
      <c r="AE170" s="592">
        <f>'Income Eligible Deemed Table'!DI421</f>
        <v>2.5547940666400004</v>
      </c>
      <c r="AF170" s="195"/>
      <c r="AG170" s="195"/>
      <c r="AH170" s="195"/>
      <c r="AI170" s="643" t="str">
        <f>AI169</f>
        <v>Units - area of floor (ft2)</v>
      </c>
      <c r="AJ170" s="68"/>
      <c r="AX170" s="1284" t="str">
        <f t="shared" si="146"/>
        <v>Floor Insulation R25 (R-3.96 base) MH heat pump and electric cooling</v>
      </c>
      <c r="AY170" s="1307"/>
      <c r="AZ170" s="1376" t="str">
        <f t="shared" si="147"/>
        <v>402201</v>
      </c>
      <c r="BA170" s="1229" t="s">
        <v>2158</v>
      </c>
      <c r="BB170" s="1229" t="s">
        <v>2158</v>
      </c>
      <c r="BC170" s="1229" t="s">
        <v>2158</v>
      </c>
      <c r="BD170" s="1229" t="s">
        <v>2158</v>
      </c>
      <c r="BE170" s="1234"/>
      <c r="BF170" s="1229" t="s">
        <v>2158</v>
      </c>
      <c r="BG170" s="1229" t="s">
        <v>2158</v>
      </c>
      <c r="BH170" s="1229" t="s">
        <v>2158</v>
      </c>
      <c r="BI170" s="1230" t="s">
        <v>2158</v>
      </c>
      <c r="BJ170" s="1234"/>
      <c r="BK170" s="1229" t="s">
        <v>2158</v>
      </c>
      <c r="BL170" s="1230" t="s">
        <v>2158</v>
      </c>
      <c r="BM170" s="1229" t="s">
        <v>2158</v>
      </c>
      <c r="BN170" s="1230" t="s">
        <v>2158</v>
      </c>
    </row>
    <row r="171" spans="1:66" x14ac:dyDescent="0.25">
      <c r="A171" s="49" t="str">
        <f t="shared" si="141"/>
        <v>402202</v>
      </c>
      <c r="B171" s="1371" t="str">
        <f>'Income Eligible Deemed Table'!C422</f>
        <v>402202_2024_12_</v>
      </c>
      <c r="C171" s="1307" t="str">
        <f>'Income Eligible Deemed Table'!G422</f>
        <v>Building Shell RES</v>
      </c>
      <c r="D171" s="1307"/>
      <c r="E171" s="1307"/>
      <c r="F171" s="1307"/>
      <c r="G171" s="1307" t="str">
        <f>'Income Eligible Deemed Table'!E422</f>
        <v>Floor Insulation R25 (R-3.96 base) MH gas furnace/baseboard and electric cooling</v>
      </c>
      <c r="H171" s="18" t="str">
        <f>'Income Eligible Deemed Table'!D422</f>
        <v>SFIE</v>
      </c>
      <c r="I171" s="750">
        <f>'Income Eligible Deemed Table'!F422</f>
        <v>0.24</v>
      </c>
      <c r="J171" s="750">
        <f t="shared" ref="J171:J184" si="149">M171+N171</f>
        <v>0</v>
      </c>
      <c r="K171" s="847"/>
      <c r="L171" s="847"/>
      <c r="M171" s="189"/>
      <c r="N171" s="189"/>
      <c r="O171" s="751">
        <f>'Income Eligible Deemed Table'!K422</f>
        <v>1.12E-4</v>
      </c>
      <c r="P171" s="751"/>
      <c r="Q171" s="848"/>
      <c r="R171" s="848"/>
      <c r="S171" s="752"/>
      <c r="T171" s="752"/>
      <c r="U171" s="753">
        <f t="shared" si="137"/>
        <v>0</v>
      </c>
      <c r="V171" s="753">
        <f t="shared" si="138"/>
        <v>0</v>
      </c>
      <c r="W171" s="753">
        <f t="shared" si="139"/>
        <v>1.12E-4</v>
      </c>
      <c r="X171" s="22">
        <f>'Income Eligible Deemed Table'!L422</f>
        <v>30</v>
      </c>
      <c r="Y171" s="22"/>
      <c r="Z171" s="22">
        <f t="shared" si="142"/>
        <v>30</v>
      </c>
      <c r="AA171" s="17">
        <f>'Income Eligible Deemed Table'!DG422</f>
        <v>0.66333400455125069</v>
      </c>
      <c r="AB171" s="246">
        <f>'Income Eligible Deemed Table'!M422</f>
        <v>0.67966666666666664</v>
      </c>
      <c r="AC171" s="861">
        <f t="shared" si="143"/>
        <v>0.45084601176</v>
      </c>
      <c r="AD171" s="861">
        <f t="shared" si="148"/>
        <v>0</v>
      </c>
      <c r="AE171" s="592">
        <f>'Income Eligible Deemed Table'!DI422</f>
        <v>0.45084601176</v>
      </c>
      <c r="AF171" s="195"/>
      <c r="AG171" s="195"/>
      <c r="AH171" s="195"/>
      <c r="AI171" s="643" t="str">
        <f>AI170</f>
        <v>Units - area of floor (ft2)</v>
      </c>
      <c r="AJ171" s="68"/>
      <c r="AX171" s="1284" t="str">
        <f t="shared" si="146"/>
        <v>Floor Insulation R25 (R-3.96 base) MH gas furnace/baseboard and electric cooling</v>
      </c>
      <c r="AY171" s="1307"/>
      <c r="AZ171" s="1376" t="str">
        <f t="shared" si="147"/>
        <v>402202</v>
      </c>
      <c r="BA171" s="1229" t="s">
        <v>2158</v>
      </c>
      <c r="BB171" s="1229" t="s">
        <v>2158</v>
      </c>
      <c r="BC171" s="1229" t="s">
        <v>2158</v>
      </c>
      <c r="BD171" s="1229" t="s">
        <v>2158</v>
      </c>
      <c r="BE171" s="1234"/>
      <c r="BF171" s="1229" t="s">
        <v>2158</v>
      </c>
      <c r="BG171" s="1229" t="s">
        <v>2158</v>
      </c>
      <c r="BH171" s="1229" t="s">
        <v>2158</v>
      </c>
      <c r="BI171" s="1230" t="s">
        <v>2158</v>
      </c>
      <c r="BJ171" s="1234"/>
      <c r="BK171" s="1229" t="s">
        <v>2158</v>
      </c>
      <c r="BL171" s="1230" t="s">
        <v>2158</v>
      </c>
      <c r="BM171" s="1229" t="s">
        <v>2158</v>
      </c>
      <c r="BN171" s="1230" t="s">
        <v>2158</v>
      </c>
    </row>
    <row r="172" spans="1:66" x14ac:dyDescent="0.25">
      <c r="A172" s="49" t="str">
        <f t="shared" si="141"/>
        <v>402203</v>
      </c>
      <c r="B172" s="1371" t="str">
        <f>'Income Eligible Deemed Table'!C423</f>
        <v>402203_2024_12_</v>
      </c>
      <c r="C172" s="1307" t="str">
        <f>'Income Eligible Deemed Table'!G423</f>
        <v>Building Shell RES</v>
      </c>
      <c r="D172" s="1307"/>
      <c r="E172" s="1307"/>
      <c r="F172" s="1307"/>
      <c r="G172" s="1307" t="str">
        <f>'Income Eligible Deemed Table'!E423</f>
        <v>Floor Insulation R25 (R-13 base) MH electric furnace/baseboard and electric cooling</v>
      </c>
      <c r="H172" s="18" t="str">
        <f>'Income Eligible Deemed Table'!D423</f>
        <v>SFIE</v>
      </c>
      <c r="I172" s="750">
        <f>'Income Eligible Deemed Table'!F423</f>
        <v>0.2</v>
      </c>
      <c r="J172" s="750">
        <f t="shared" si="149"/>
        <v>0</v>
      </c>
      <c r="K172" s="847"/>
      <c r="L172" s="847"/>
      <c r="M172" s="189"/>
      <c r="N172" s="189"/>
      <c r="O172" s="751">
        <f>'Income Eligible Deemed Table'!K423</f>
        <v>9.2999999999999997E-5</v>
      </c>
      <c r="P172" s="751"/>
      <c r="Q172" s="848"/>
      <c r="R172" s="848"/>
      <c r="S172" s="752"/>
      <c r="T172" s="752"/>
      <c r="U172" s="753">
        <f t="shared" si="137"/>
        <v>0</v>
      </c>
      <c r="V172" s="753">
        <f t="shared" si="138"/>
        <v>0</v>
      </c>
      <c r="W172" s="753">
        <f t="shared" si="139"/>
        <v>9.2999999999999997E-5</v>
      </c>
      <c r="X172" s="22">
        <f>'Income Eligible Deemed Table'!L423</f>
        <v>30</v>
      </c>
      <c r="Y172" s="22"/>
      <c r="Z172" s="22">
        <f t="shared" si="142"/>
        <v>30</v>
      </c>
      <c r="AA172" s="17">
        <f>'Income Eligible Deemed Table'!DG423</f>
        <v>0.5527783371260423</v>
      </c>
      <c r="AB172" s="246">
        <f>'Income Eligible Deemed Table'!M423</f>
        <v>0.67966666666666664</v>
      </c>
      <c r="AC172" s="861">
        <f t="shared" si="143"/>
        <v>0.37570500980000004</v>
      </c>
      <c r="AD172" s="861">
        <f t="shared" si="148"/>
        <v>0</v>
      </c>
      <c r="AE172" s="592">
        <f>'Income Eligible Deemed Table'!DI423</f>
        <v>0.37570500980000004</v>
      </c>
      <c r="AF172" s="195"/>
      <c r="AG172" s="195"/>
      <c r="AH172" s="195"/>
      <c r="AI172" s="643" t="str">
        <f>AI171</f>
        <v>Units - area of floor (ft2)</v>
      </c>
      <c r="AJ172" s="68"/>
      <c r="AX172" s="1284" t="str">
        <f t="shared" si="146"/>
        <v>Floor Insulation R25 (R-13 base) MH electric furnace/baseboard and electric cooling</v>
      </c>
      <c r="AY172" s="1307"/>
      <c r="AZ172" s="1376" t="str">
        <f t="shared" si="147"/>
        <v>402203</v>
      </c>
      <c r="BA172" s="1229" t="s">
        <v>2158</v>
      </c>
      <c r="BB172" s="1229" t="s">
        <v>2158</v>
      </c>
      <c r="BC172" s="1229" t="s">
        <v>2158</v>
      </c>
      <c r="BD172" s="1229" t="s">
        <v>2158</v>
      </c>
      <c r="BE172" s="1234"/>
      <c r="BF172" s="1229" t="s">
        <v>2158</v>
      </c>
      <c r="BG172" s="1229" t="s">
        <v>2158</v>
      </c>
      <c r="BH172" s="1229" t="s">
        <v>2158</v>
      </c>
      <c r="BI172" s="1230" t="s">
        <v>2158</v>
      </c>
      <c r="BJ172" s="1234"/>
      <c r="BK172" s="1229" t="s">
        <v>2158</v>
      </c>
      <c r="BL172" s="1230" t="s">
        <v>2158</v>
      </c>
      <c r="BM172" s="1229" t="s">
        <v>2158</v>
      </c>
      <c r="BN172" s="1230" t="s">
        <v>2158</v>
      </c>
    </row>
    <row r="173" spans="1:66" x14ac:dyDescent="0.25">
      <c r="A173" s="49" t="str">
        <f t="shared" si="141"/>
        <v>402204</v>
      </c>
      <c r="B173" s="1371" t="str">
        <f>'Income Eligible Deemed Table'!C424</f>
        <v>402204_2024_12_</v>
      </c>
      <c r="C173" s="1307" t="str">
        <f>'Income Eligible Deemed Table'!G424</f>
        <v>Building Shell RES</v>
      </c>
      <c r="D173" s="1307"/>
      <c r="E173" s="1307"/>
      <c r="F173" s="1307"/>
      <c r="G173" s="1307" t="str">
        <f>'Income Eligible Deemed Table'!E424</f>
        <v>Floor Insulation R25 (R-13 base) MH heat pump and electric cooling</v>
      </c>
      <c r="H173" s="18" t="str">
        <f>'Income Eligible Deemed Table'!D424</f>
        <v>SFIE</v>
      </c>
      <c r="I173" s="750">
        <f>'Income Eligible Deemed Table'!F424</f>
        <v>0.11</v>
      </c>
      <c r="J173" s="750">
        <f t="shared" si="149"/>
        <v>0</v>
      </c>
      <c r="K173" s="847"/>
      <c r="L173" s="847"/>
      <c r="M173" s="189"/>
      <c r="N173" s="189"/>
      <c r="O173" s="751">
        <f>'Income Eligible Deemed Table'!K424</f>
        <v>5.1E-5</v>
      </c>
      <c r="P173" s="751"/>
      <c r="Q173" s="848"/>
      <c r="R173" s="848"/>
      <c r="S173" s="752"/>
      <c r="T173" s="752"/>
      <c r="U173" s="753">
        <f t="shared" ref="U173:U203" si="150">IFERROR(IF(V173+W173&gt;0,0,IF(Z173&gt;0,O173,0)),0)</f>
        <v>0</v>
      </c>
      <c r="V173" s="753">
        <f t="shared" ref="V173:V203" si="151">IF(W173&gt;0,0,IF(Z173&gt;9,O173,0))</f>
        <v>0</v>
      </c>
      <c r="W173" s="753">
        <f t="shared" ref="W173:W203" si="152">IF(Z173&gt;14,O173,0)</f>
        <v>5.1E-5</v>
      </c>
      <c r="X173" s="22">
        <f>'Income Eligible Deemed Table'!L424</f>
        <v>30</v>
      </c>
      <c r="Y173" s="22"/>
      <c r="Z173" s="22">
        <f t="shared" si="142"/>
        <v>30</v>
      </c>
      <c r="AA173" s="17">
        <f>'Income Eligible Deemed Table'!DG424</f>
        <v>0.30402808541932325</v>
      </c>
      <c r="AB173" s="246">
        <f>'Income Eligible Deemed Table'!M424</f>
        <v>0.67966666666666664</v>
      </c>
      <c r="AC173" s="861">
        <f t="shared" si="143"/>
        <v>0.20663775539000001</v>
      </c>
      <c r="AD173" s="861">
        <f t="shared" si="148"/>
        <v>0</v>
      </c>
      <c r="AE173" s="592">
        <f>'Income Eligible Deemed Table'!DI424</f>
        <v>0.20663775539000001</v>
      </c>
      <c r="AF173" s="195"/>
      <c r="AG173" s="195"/>
      <c r="AH173" s="195"/>
      <c r="AI173" s="643" t="str">
        <f>AI172</f>
        <v>Units - area of floor (ft2)</v>
      </c>
      <c r="AJ173" s="68"/>
      <c r="AX173" s="1284" t="str">
        <f t="shared" si="146"/>
        <v>Floor Insulation R25 (R-13 base) MH heat pump and electric cooling</v>
      </c>
      <c r="AY173" s="1307"/>
      <c r="AZ173" s="1376" t="str">
        <f t="shared" si="147"/>
        <v>402204</v>
      </c>
      <c r="BA173" s="1229" t="s">
        <v>2158</v>
      </c>
      <c r="BB173" s="1229" t="s">
        <v>2158</v>
      </c>
      <c r="BC173" s="1229" t="s">
        <v>2158</v>
      </c>
      <c r="BD173" s="1229" t="s">
        <v>2158</v>
      </c>
      <c r="BE173" s="1234"/>
      <c r="BF173" s="1229" t="s">
        <v>2158</v>
      </c>
      <c r="BG173" s="1229" t="s">
        <v>2158</v>
      </c>
      <c r="BH173" s="1229" t="s">
        <v>2158</v>
      </c>
      <c r="BI173" s="1230" t="s">
        <v>2158</v>
      </c>
      <c r="BJ173" s="1234"/>
      <c r="BK173" s="1229" t="s">
        <v>2158</v>
      </c>
      <c r="BL173" s="1230" t="s">
        <v>2158</v>
      </c>
      <c r="BM173" s="1229" t="s">
        <v>2158</v>
      </c>
      <c r="BN173" s="1230" t="s">
        <v>2158</v>
      </c>
    </row>
    <row r="174" spans="1:66" x14ac:dyDescent="0.25">
      <c r="A174" s="49" t="str">
        <f t="shared" si="141"/>
        <v>402205</v>
      </c>
      <c r="B174" s="1371" t="str">
        <f>'Income Eligible Deemed Table'!C425</f>
        <v>402205_2024_12_</v>
      </c>
      <c r="C174" s="1307" t="str">
        <f>'Income Eligible Deemed Table'!G425</f>
        <v>Building Shell RES</v>
      </c>
      <c r="D174" s="1307"/>
      <c r="E174" s="1307"/>
      <c r="F174" s="1307"/>
      <c r="G174" s="1307" t="str">
        <f>'Income Eligible Deemed Table'!E425</f>
        <v>Floor Insulation R25 (R-13 base) MH gas furnace/baseboard and electric cooling</v>
      </c>
      <c r="H174" s="18" t="str">
        <f>'Income Eligible Deemed Table'!D425</f>
        <v>SFIE</v>
      </c>
      <c r="I174" s="750">
        <f>'Income Eligible Deemed Table'!F425</f>
        <v>0.02</v>
      </c>
      <c r="J174" s="750">
        <f t="shared" si="149"/>
        <v>0</v>
      </c>
      <c r="K174" s="847"/>
      <c r="L174" s="847"/>
      <c r="M174" s="189"/>
      <c r="N174" s="189"/>
      <c r="O174" s="751">
        <f>'Income Eligible Deemed Table'!K425</f>
        <v>9.0000000000000002E-6</v>
      </c>
      <c r="P174" s="751"/>
      <c r="Q174" s="848"/>
      <c r="R174" s="848"/>
      <c r="S174" s="752"/>
      <c r="T174" s="752"/>
      <c r="U174" s="753">
        <f t="shared" si="150"/>
        <v>0</v>
      </c>
      <c r="V174" s="753">
        <f t="shared" si="151"/>
        <v>0</v>
      </c>
      <c r="W174" s="753">
        <f t="shared" si="152"/>
        <v>9.0000000000000002E-6</v>
      </c>
      <c r="X174" s="22">
        <f>'Income Eligible Deemed Table'!L425</f>
        <v>30</v>
      </c>
      <c r="Y174" s="22"/>
      <c r="Z174" s="22">
        <f t="shared" si="142"/>
        <v>30</v>
      </c>
      <c r="AA174" s="17">
        <f>'Income Eligible Deemed Table'!DG425</f>
        <v>5.5277833712604224E-2</v>
      </c>
      <c r="AB174" s="246">
        <f>'Income Eligible Deemed Table'!M425</f>
        <v>0.67966666666666664</v>
      </c>
      <c r="AC174" s="861">
        <f t="shared" si="143"/>
        <v>3.7570500980000004E-2</v>
      </c>
      <c r="AD174" s="861">
        <f t="shared" si="148"/>
        <v>0</v>
      </c>
      <c r="AE174" s="592">
        <f>'Income Eligible Deemed Table'!DI425</f>
        <v>3.7570500980000004E-2</v>
      </c>
      <c r="AF174" s="195"/>
      <c r="AG174" s="195"/>
      <c r="AH174" s="195"/>
      <c r="AI174" s="643" t="str">
        <f>AI173</f>
        <v>Units - area of floor (ft2)</v>
      </c>
      <c r="AJ174" s="68"/>
      <c r="AX174" s="1284" t="str">
        <f t="shared" si="146"/>
        <v>Floor Insulation R25 (R-13 base) MH gas furnace/baseboard and electric cooling</v>
      </c>
      <c r="AY174" s="1307"/>
      <c r="AZ174" s="1376" t="str">
        <f t="shared" si="147"/>
        <v>402205</v>
      </c>
      <c r="BA174" s="1229" t="s">
        <v>2158</v>
      </c>
      <c r="BB174" s="1229" t="s">
        <v>2158</v>
      </c>
      <c r="BC174" s="1229" t="s">
        <v>2158</v>
      </c>
      <c r="BD174" s="1229" t="s">
        <v>2158</v>
      </c>
      <c r="BE174" s="1234"/>
      <c r="BF174" s="1229" t="s">
        <v>2158</v>
      </c>
      <c r="BG174" s="1229" t="s">
        <v>2158</v>
      </c>
      <c r="BH174" s="1229" t="s">
        <v>2158</v>
      </c>
      <c r="BI174" s="1230" t="s">
        <v>2158</v>
      </c>
      <c r="BJ174" s="1234"/>
      <c r="BK174" s="1229" t="s">
        <v>2158</v>
      </c>
      <c r="BL174" s="1230" t="s">
        <v>2158</v>
      </c>
      <c r="BM174" s="1229" t="s">
        <v>2158</v>
      </c>
      <c r="BN174" s="1230" t="s">
        <v>2158</v>
      </c>
    </row>
    <row r="175" spans="1:66" x14ac:dyDescent="0.25">
      <c r="A175" s="49" t="str">
        <f t="shared" si="141"/>
        <v>402250</v>
      </c>
      <c r="B175" s="1371" t="str">
        <f>'Income Eligible Deemed Table'!C458</f>
        <v>402250_2024_12_</v>
      </c>
      <c r="C175" s="1307" t="str">
        <f>'Income Eligible Deemed Table'!G458</f>
        <v>HVAC RES</v>
      </c>
      <c r="D175" s="1307"/>
      <c r="E175" s="1307"/>
      <c r="F175" s="1307"/>
      <c r="G175" s="1307" t="str">
        <f>'Income Eligible Deemed Table'!E458</f>
        <v>Dirty Filter Alarm_MFIE</v>
      </c>
      <c r="H175" s="18" t="str">
        <f>'Income Eligible Deemed Table'!D458</f>
        <v>MFIE/SFIE</v>
      </c>
      <c r="I175" s="750">
        <f>'Income Eligible Deemed Table'!F458</f>
        <v>68.45</v>
      </c>
      <c r="J175" s="750">
        <f t="shared" si="149"/>
        <v>0</v>
      </c>
      <c r="K175" s="847"/>
      <c r="L175" s="847"/>
      <c r="M175" s="189"/>
      <c r="N175" s="189"/>
      <c r="O175" s="751">
        <f>'Income Eligible Deemed Table'!K458</f>
        <v>3.1903000000000001E-2</v>
      </c>
      <c r="P175" s="751"/>
      <c r="Q175" s="848"/>
      <c r="R175" s="848"/>
      <c r="S175" s="752"/>
      <c r="T175" s="752"/>
      <c r="U175" s="753">
        <f t="shared" si="150"/>
        <v>3.1903000000000001E-2</v>
      </c>
      <c r="V175" s="753">
        <f t="shared" si="151"/>
        <v>0</v>
      </c>
      <c r="W175" s="753">
        <f t="shared" si="152"/>
        <v>0</v>
      </c>
      <c r="X175" s="22">
        <f>'Income Eligible Deemed Table'!L458</f>
        <v>5</v>
      </c>
      <c r="Y175" s="22"/>
      <c r="Z175" s="22">
        <f t="shared" si="142"/>
        <v>5</v>
      </c>
      <c r="AA175" s="17">
        <f>'Income Eligible Deemed Table'!DG458</f>
        <v>7.2802575529565017</v>
      </c>
      <c r="AB175" s="246">
        <f>'Income Eligible Deemed Table'!M458</f>
        <v>5</v>
      </c>
      <c r="AC175" s="861">
        <f t="shared" si="143"/>
        <v>36.401287764782509</v>
      </c>
      <c r="AD175" s="861">
        <f t="shared" si="148"/>
        <v>0</v>
      </c>
      <c r="AE175" s="592">
        <f>'Income Eligible Deemed Table'!DI458</f>
        <v>36.401287764782509</v>
      </c>
      <c r="AF175" s="195"/>
      <c r="AG175" s="195"/>
      <c r="AH175" s="195"/>
      <c r="AI175" s="1371" t="str">
        <f>'Income Eligible Deemed Table'!N458</f>
        <v>per measure</v>
      </c>
      <c r="AJ175" s="68"/>
      <c r="AX175" s="1284" t="str">
        <f t="shared" si="146"/>
        <v>Dirty Filter Alarm_MFIE</v>
      </c>
      <c r="AY175" s="1307"/>
      <c r="AZ175" s="1376" t="str">
        <f t="shared" si="147"/>
        <v>402250</v>
      </c>
      <c r="BA175" s="1229" t="s">
        <v>2158</v>
      </c>
      <c r="BB175" s="1229" t="s">
        <v>2158</v>
      </c>
      <c r="BC175" s="1229" t="s">
        <v>2158</v>
      </c>
      <c r="BD175" s="1229" t="s">
        <v>2158</v>
      </c>
      <c r="BE175" s="1234"/>
      <c r="BF175" s="1229" t="s">
        <v>2158</v>
      </c>
      <c r="BG175" s="1229" t="s">
        <v>2158</v>
      </c>
      <c r="BH175" s="1229" t="s">
        <v>2158</v>
      </c>
      <c r="BI175" s="1230" t="s">
        <v>2158</v>
      </c>
      <c r="BJ175" s="1234"/>
      <c r="BK175" s="1229" t="s">
        <v>2158</v>
      </c>
      <c r="BL175" s="1230" t="s">
        <v>2158</v>
      </c>
      <c r="BM175" s="1229" t="s">
        <v>2158</v>
      </c>
      <c r="BN175" s="1230" t="s">
        <v>2158</v>
      </c>
    </row>
    <row r="176" spans="1:66" x14ac:dyDescent="0.25">
      <c r="A176" s="49" t="str">
        <f t="shared" si="141"/>
        <v>402300</v>
      </c>
      <c r="B176" s="1371" t="str">
        <f>'Income Eligible Deemed Table'!C485</f>
        <v>402300_2024_12_</v>
      </c>
      <c r="C176" s="1307" t="str">
        <f>'Income Eligible Deemed Table'!G485</f>
        <v>HVAC RES</v>
      </c>
      <c r="D176" s="1307"/>
      <c r="E176" s="1307"/>
      <c r="F176" s="1307"/>
      <c r="G176" s="1307" t="str">
        <f>'Income Eligible Deemed Table'!E485</f>
        <v>Duct Insulation - Electric Heating</v>
      </c>
      <c r="H176" s="18" t="str">
        <f>'Income Eligible Deemed Table'!D485</f>
        <v>PAYS</v>
      </c>
      <c r="I176" s="750">
        <f>'Income Eligible Deemed Table'!F485</f>
        <v>22.8</v>
      </c>
      <c r="J176" s="750">
        <f t="shared" si="149"/>
        <v>0</v>
      </c>
      <c r="K176" s="847"/>
      <c r="L176" s="847"/>
      <c r="M176" s="189"/>
      <c r="N176" s="189"/>
      <c r="O176" s="751">
        <f>'Income Eligible Deemed Table'!L485</f>
        <v>1.0626999999999999E-2</v>
      </c>
      <c r="P176" s="751"/>
      <c r="Q176" s="848"/>
      <c r="R176" s="848"/>
      <c r="S176" s="752"/>
      <c r="T176" s="752"/>
      <c r="U176" s="753">
        <f t="shared" si="150"/>
        <v>0</v>
      </c>
      <c r="V176" s="753">
        <f t="shared" si="151"/>
        <v>0</v>
      </c>
      <c r="W176" s="753">
        <f t="shared" si="152"/>
        <v>1.0626999999999999E-2</v>
      </c>
      <c r="X176" s="22">
        <f>'Income Eligible Deemed Table'!M485</f>
        <v>20</v>
      </c>
      <c r="Y176" s="22"/>
      <c r="Z176" s="22">
        <f t="shared" si="142"/>
        <v>20</v>
      </c>
      <c r="AA176" s="17">
        <f>'Income Eligible Deemed Table'!DG485</f>
        <v>8.2251191963232539</v>
      </c>
      <c r="AB176" s="246">
        <f>'Income Eligible Deemed Table'!N485</f>
        <v>4.2205065958870298</v>
      </c>
      <c r="AC176" s="861">
        <f t="shared" si="143"/>
        <v>34.714169820039317</v>
      </c>
      <c r="AD176" s="861">
        <f t="shared" si="148"/>
        <v>0</v>
      </c>
      <c r="AE176" s="592">
        <f>'Income Eligible Deemed Table'!DI485</f>
        <v>34.714169820039317</v>
      </c>
      <c r="AF176" s="195"/>
      <c r="AG176" s="195"/>
      <c r="AH176" s="195"/>
      <c r="AI176" s="1371" t="str">
        <f>'Income Eligible Deemed Table'!O484</f>
        <v>Units - DuctLength (ft.)</v>
      </c>
      <c r="AJ176" s="68"/>
      <c r="AX176" s="1284" t="str">
        <f t="shared" si="146"/>
        <v>Duct Insulation - Electric Heating</v>
      </c>
      <c r="AY176" s="1307"/>
      <c r="AZ176" s="1376" t="str">
        <f t="shared" si="147"/>
        <v>402300</v>
      </c>
      <c r="BA176" s="1229" t="s">
        <v>2158</v>
      </c>
      <c r="BB176" s="1229" t="s">
        <v>2158</v>
      </c>
      <c r="BC176" s="1229" t="s">
        <v>2158</v>
      </c>
      <c r="BD176" s="1229" t="s">
        <v>2158</v>
      </c>
      <c r="BE176" s="1234"/>
      <c r="BF176" s="1229" t="s">
        <v>2158</v>
      </c>
      <c r="BG176" s="1229" t="s">
        <v>2158</v>
      </c>
      <c r="BH176" s="1229" t="s">
        <v>2158</v>
      </c>
      <c r="BI176" s="1230" t="s">
        <v>2158</v>
      </c>
      <c r="BJ176" s="1234"/>
      <c r="BK176" s="1229" t="s">
        <v>2158</v>
      </c>
      <c r="BL176" s="1230" t="s">
        <v>2158</v>
      </c>
      <c r="BM176" s="1229" t="s">
        <v>2158</v>
      </c>
      <c r="BN176" s="1230" t="s">
        <v>2158</v>
      </c>
    </row>
    <row r="177" spans="1:66" x14ac:dyDescent="0.25">
      <c r="A177" s="49" t="str">
        <f t="shared" si="141"/>
        <v>402350</v>
      </c>
      <c r="B177" s="1371" t="str">
        <f>'Income Eligible Deemed Table'!C486</f>
        <v>402350_2024_12_</v>
      </c>
      <c r="C177" s="1307" t="str">
        <f>'Income Eligible Deemed Table'!G486</f>
        <v>HVAC RES</v>
      </c>
      <c r="D177" s="1307"/>
      <c r="E177" s="1307"/>
      <c r="F177" s="1307"/>
      <c r="G177" s="1307" t="str">
        <f>'Income Eligible Deemed Table'!E486</f>
        <v>Mobile Home Adjusted Duct Insulation - Electric Heating </v>
      </c>
      <c r="H177" s="18" t="str">
        <f>'Income Eligible Deemed Table'!D486</f>
        <v>PAYS</v>
      </c>
      <c r="I177" s="750">
        <f>'Income Eligible Deemed Table'!F486</f>
        <v>22.8</v>
      </c>
      <c r="J177" s="750">
        <f t="shared" si="149"/>
        <v>0</v>
      </c>
      <c r="K177" s="847"/>
      <c r="L177" s="847"/>
      <c r="M177" s="189"/>
      <c r="N177" s="189"/>
      <c r="O177" s="751">
        <f>'Income Eligible Deemed Table'!L486</f>
        <v>1.0626999999999999E-2</v>
      </c>
      <c r="P177" s="751"/>
      <c r="Q177" s="848"/>
      <c r="R177" s="848"/>
      <c r="S177" s="752"/>
      <c r="T177" s="752"/>
      <c r="U177" s="753">
        <f t="shared" si="150"/>
        <v>0</v>
      </c>
      <c r="V177" s="753">
        <f t="shared" si="151"/>
        <v>0</v>
      </c>
      <c r="W177" s="753">
        <f t="shared" si="152"/>
        <v>1.0626999999999999E-2</v>
      </c>
      <c r="X177" s="22">
        <f>'Income Eligible Deemed Table'!M486</f>
        <v>20</v>
      </c>
      <c r="Y177" s="22"/>
      <c r="Z177" s="22">
        <f t="shared" si="142"/>
        <v>20</v>
      </c>
      <c r="AA177" s="17">
        <f>'Income Eligible Deemed Table'!DG486</f>
        <v>8.2251191963232539</v>
      </c>
      <c r="AB177" s="246">
        <f>'Income Eligible Deemed Table'!N486</f>
        <v>4.2205065958870298</v>
      </c>
      <c r="AC177" s="861">
        <f t="shared" si="143"/>
        <v>34.714169820039317</v>
      </c>
      <c r="AD177" s="861">
        <f t="shared" si="148"/>
        <v>0</v>
      </c>
      <c r="AE177" s="592">
        <f>'Income Eligible Deemed Table'!DI486</f>
        <v>34.714169820039317</v>
      </c>
      <c r="AF177" s="195"/>
      <c r="AG177" s="195"/>
      <c r="AH177" s="195"/>
      <c r="AI177" s="866" t="str">
        <f>AI176</f>
        <v>Units - DuctLength (ft.)</v>
      </c>
      <c r="AJ177" s="68"/>
      <c r="AX177" s="1284" t="str">
        <f t="shared" si="146"/>
        <v>Mobile Home Adjusted Duct Insulation - Electric Heating </v>
      </c>
      <c r="AY177" s="1307"/>
      <c r="AZ177" s="1376" t="str">
        <f t="shared" si="147"/>
        <v>402350</v>
      </c>
      <c r="BA177" s="1229" t="s">
        <v>2158</v>
      </c>
      <c r="BB177" s="1229" t="s">
        <v>2158</v>
      </c>
      <c r="BC177" s="1229" t="s">
        <v>2158</v>
      </c>
      <c r="BD177" s="1229" t="s">
        <v>2158</v>
      </c>
      <c r="BE177" s="1234"/>
      <c r="BF177" s="1229" t="s">
        <v>2158</v>
      </c>
      <c r="BG177" s="1229" t="s">
        <v>2158</v>
      </c>
      <c r="BH177" s="1229" t="s">
        <v>2158</v>
      </c>
      <c r="BI177" s="1230" t="s">
        <v>2158</v>
      </c>
      <c r="BJ177" s="1234"/>
      <c r="BK177" s="1229" t="s">
        <v>2158</v>
      </c>
      <c r="BL177" s="1230" t="s">
        <v>2158</v>
      </c>
      <c r="BM177" s="1229" t="s">
        <v>2158</v>
      </c>
      <c r="BN177" s="1230" t="s">
        <v>2158</v>
      </c>
    </row>
    <row r="178" spans="1:66" x14ac:dyDescent="0.25">
      <c r="A178" s="49" t="str">
        <f t="shared" si="141"/>
        <v>402400</v>
      </c>
      <c r="B178" s="1371" t="str">
        <f>'Income Eligible Deemed Table'!C487</f>
        <v>402400_2024_12_</v>
      </c>
      <c r="C178" s="1307" t="str">
        <f>'Income Eligible Deemed Table'!G487</f>
        <v>HVAC RES</v>
      </c>
      <c r="D178" s="1307"/>
      <c r="E178" s="1307"/>
      <c r="F178" s="1307"/>
      <c r="G178" s="1307" t="str">
        <f>'Income Eligible Deemed Table'!E487</f>
        <v>Duct Insulation - Gas Heating</v>
      </c>
      <c r="H178" s="18" t="str">
        <f>'Income Eligible Deemed Table'!D487</f>
        <v>PAYS</v>
      </c>
      <c r="I178" s="750">
        <f>'Income Eligible Deemed Table'!F487</f>
        <v>2.4900000000000002</v>
      </c>
      <c r="J178" s="750">
        <f t="shared" si="149"/>
        <v>0</v>
      </c>
      <c r="K178" s="847"/>
      <c r="L178" s="847"/>
      <c r="M178" s="189"/>
      <c r="N178" s="189"/>
      <c r="O178" s="751">
        <f>'Income Eligible Deemed Table'!L487</f>
        <v>1.1609999999999999E-3</v>
      </c>
      <c r="P178" s="751"/>
      <c r="Q178" s="848"/>
      <c r="R178" s="848"/>
      <c r="S178" s="752"/>
      <c r="T178" s="752"/>
      <c r="U178" s="753">
        <f t="shared" si="150"/>
        <v>0</v>
      </c>
      <c r="V178" s="753">
        <f t="shared" si="151"/>
        <v>0</v>
      </c>
      <c r="W178" s="753">
        <f t="shared" si="152"/>
        <v>1.1609999999999999E-3</v>
      </c>
      <c r="X178" s="22">
        <f>'Income Eligible Deemed Table'!M487</f>
        <v>20</v>
      </c>
      <c r="Y178" s="22"/>
      <c r="Z178" s="22">
        <f t="shared" si="142"/>
        <v>20</v>
      </c>
      <c r="AA178" s="17">
        <f>'Income Eligible Deemed Table'!DG487</f>
        <v>0.89826959644056592</v>
      </c>
      <c r="AB178" s="246">
        <f>'Income Eligible Deemed Table'!N487</f>
        <v>4.2205065958870298</v>
      </c>
      <c r="AC178" s="861">
        <f t="shared" si="143"/>
        <v>3.7911527566621888</v>
      </c>
      <c r="AD178" s="861">
        <f t="shared" si="148"/>
        <v>0</v>
      </c>
      <c r="AE178" s="592">
        <f>'Income Eligible Deemed Table'!DI487</f>
        <v>3.7911527566621888</v>
      </c>
      <c r="AF178" s="195"/>
      <c r="AG178" s="195"/>
      <c r="AH178" s="195"/>
      <c r="AI178" s="866" t="str">
        <f>AI177</f>
        <v>Units - DuctLength (ft.)</v>
      </c>
      <c r="AJ178" s="68"/>
      <c r="AX178" s="1284" t="str">
        <f t="shared" si="146"/>
        <v>Duct Insulation - Gas Heating</v>
      </c>
      <c r="AY178" s="1307"/>
      <c r="AZ178" s="1376" t="str">
        <f t="shared" si="147"/>
        <v>402400</v>
      </c>
      <c r="BA178" s="1229" t="s">
        <v>2158</v>
      </c>
      <c r="BB178" s="1229" t="s">
        <v>2158</v>
      </c>
      <c r="BC178" s="1229" t="s">
        <v>2158</v>
      </c>
      <c r="BD178" s="1229" t="s">
        <v>2158</v>
      </c>
      <c r="BE178" s="1234"/>
      <c r="BF178" s="1229" t="s">
        <v>2158</v>
      </c>
      <c r="BG178" s="1229" t="s">
        <v>2158</v>
      </c>
      <c r="BH178" s="1229" t="s">
        <v>2158</v>
      </c>
      <c r="BI178" s="1230" t="s">
        <v>2158</v>
      </c>
      <c r="BJ178" s="1234"/>
      <c r="BK178" s="1229" t="s">
        <v>2158</v>
      </c>
      <c r="BL178" s="1230" t="s">
        <v>2158</v>
      </c>
      <c r="BM178" s="1229" t="s">
        <v>2158</v>
      </c>
      <c r="BN178" s="1230" t="s">
        <v>2158</v>
      </c>
    </row>
    <row r="179" spans="1:66" s="39" customFormat="1" x14ac:dyDescent="0.25">
      <c r="A179" s="49" t="str">
        <f t="shared" si="141"/>
        <v>402450</v>
      </c>
      <c r="B179" s="1371" t="str">
        <f>'Income Eligible Deemed Table'!C520</f>
        <v>402450_2024_12_</v>
      </c>
      <c r="C179" s="1307" t="str">
        <f>'Income Eligible Deemed Table'!G520</f>
        <v>HVAC RES</v>
      </c>
      <c r="D179" s="1307"/>
      <c r="E179" s="1307"/>
      <c r="F179" s="1307"/>
      <c r="G179" s="1307" t="str">
        <f>'Income Eligible Deemed Table'!E520</f>
        <v>Duct Repair (Sealing) - Electric Heating SF</v>
      </c>
      <c r="H179" s="18" t="str">
        <f>'Income Eligible Deemed Table'!D520</f>
        <v>SFIE</v>
      </c>
      <c r="I179" s="750">
        <f>'Income Eligible Deemed Table'!F520</f>
        <v>4.92</v>
      </c>
      <c r="J179" s="750">
        <f t="shared" si="149"/>
        <v>0</v>
      </c>
      <c r="K179" s="847"/>
      <c r="L179" s="847"/>
      <c r="M179" s="189"/>
      <c r="N179" s="189"/>
      <c r="O179" s="751">
        <f>'Income Eligible Deemed Table'!K520</f>
        <v>2.2929999999999999E-3</v>
      </c>
      <c r="P179" s="751"/>
      <c r="Q179" s="848"/>
      <c r="R179" s="848"/>
      <c r="S179" s="752"/>
      <c r="T179" s="752"/>
      <c r="U179" s="753">
        <f t="shared" si="150"/>
        <v>0</v>
      </c>
      <c r="V179" s="753">
        <f t="shared" si="151"/>
        <v>0</v>
      </c>
      <c r="W179" s="753">
        <f t="shared" si="152"/>
        <v>2.2929999999999999E-3</v>
      </c>
      <c r="X179" s="22">
        <f>'Income Eligible Deemed Table'!L520</f>
        <v>20</v>
      </c>
      <c r="Y179" s="22"/>
      <c r="Z179" s="22">
        <f t="shared" si="142"/>
        <v>20</v>
      </c>
      <c r="AA179" s="17">
        <f>'Income Eligible Deemed Table'!DG520</f>
        <v>0.93198113324130205</v>
      </c>
      <c r="AB179" s="246">
        <f>'Income Eligible Deemed Table'!M520</f>
        <v>8.0376653213977498</v>
      </c>
      <c r="AC179" s="861">
        <f t="shared" si="143"/>
        <v>7.4909524348505894</v>
      </c>
      <c r="AD179" s="861">
        <f t="shared" si="148"/>
        <v>0</v>
      </c>
      <c r="AE179" s="592">
        <f>'Income Eligible Deemed Table'!DI520</f>
        <v>7.4909524348505894</v>
      </c>
      <c r="AF179" s="195"/>
      <c r="AG179" s="195"/>
      <c r="AH179" s="195"/>
      <c r="AI179" s="1371" t="str">
        <f>'Income Eligible Deemed Table'!N519</f>
        <v>Units - DuctLength (ft.)</v>
      </c>
      <c r="AJ179" s="68"/>
      <c r="AK179"/>
      <c r="AL179"/>
      <c r="AM179"/>
      <c r="AN179"/>
      <c r="AO179"/>
      <c r="AP179"/>
      <c r="AQ179"/>
      <c r="AR179"/>
      <c r="AS179"/>
      <c r="AT179"/>
      <c r="AU179"/>
      <c r="AV179"/>
      <c r="AW179"/>
      <c r="AX179" s="1284" t="str">
        <f t="shared" si="146"/>
        <v>Duct Repair (Sealing) - Electric Heating SF</v>
      </c>
      <c r="AY179" s="1307"/>
      <c r="AZ179" s="1376" t="str">
        <f t="shared" si="147"/>
        <v>402450</v>
      </c>
      <c r="BA179" s="1229" t="s">
        <v>2158</v>
      </c>
      <c r="BB179" s="1229" t="s">
        <v>2158</v>
      </c>
      <c r="BC179" s="1229" t="s">
        <v>2158</v>
      </c>
      <c r="BD179" s="1229" t="s">
        <v>2158</v>
      </c>
      <c r="BE179" s="1235"/>
      <c r="BF179" s="1229" t="s">
        <v>2158</v>
      </c>
      <c r="BG179" s="1229" t="s">
        <v>2158</v>
      </c>
      <c r="BH179" s="1229" t="s">
        <v>2158</v>
      </c>
      <c r="BI179" s="1230" t="s">
        <v>2158</v>
      </c>
      <c r="BJ179" s="1234"/>
      <c r="BK179" s="1229" t="s">
        <v>2158</v>
      </c>
      <c r="BL179" s="1230" t="s">
        <v>2158</v>
      </c>
      <c r="BM179" s="1229" t="s">
        <v>2158</v>
      </c>
      <c r="BN179" s="1230" t="s">
        <v>2158</v>
      </c>
    </row>
    <row r="180" spans="1:66" s="39" customFormat="1" x14ac:dyDescent="0.25">
      <c r="A180" s="49" t="str">
        <f t="shared" si="141"/>
        <v>402451</v>
      </c>
      <c r="B180" s="1371" t="str">
        <f>'Income Eligible Deemed Table'!C521</f>
        <v>402451_2024_12_</v>
      </c>
      <c r="C180" s="1307" t="str">
        <f>'Income Eligible Deemed Table'!G521</f>
        <v>HVAC RES</v>
      </c>
      <c r="D180" s="1307"/>
      <c r="E180" s="1307"/>
      <c r="F180" s="1307"/>
      <c r="G180" s="1307" t="str">
        <f>'Income Eligible Deemed Table'!E521</f>
        <v>Duct Repair (Sealing) - Gas Heating SF</v>
      </c>
      <c r="H180" s="18" t="str">
        <f>'Income Eligible Deemed Table'!D521</f>
        <v>SFIE</v>
      </c>
      <c r="I180" s="750">
        <f>'Income Eligible Deemed Table'!F521</f>
        <v>1</v>
      </c>
      <c r="J180" s="750">
        <f t="shared" si="149"/>
        <v>0</v>
      </c>
      <c r="K180" s="847"/>
      <c r="L180" s="847"/>
      <c r="M180" s="189"/>
      <c r="N180" s="189"/>
      <c r="O180" s="751">
        <f>'Income Eligible Deemed Table'!K521</f>
        <v>4.66E-4</v>
      </c>
      <c r="P180" s="751"/>
      <c r="Q180" s="848"/>
      <c r="R180" s="848"/>
      <c r="S180" s="752"/>
      <c r="T180" s="752"/>
      <c r="U180" s="753">
        <f t="shared" si="150"/>
        <v>0</v>
      </c>
      <c r="V180" s="753">
        <f t="shared" si="151"/>
        <v>0</v>
      </c>
      <c r="W180" s="753">
        <f t="shared" si="152"/>
        <v>4.66E-4</v>
      </c>
      <c r="X180" s="22">
        <f>'Income Eligible Deemed Table'!L521</f>
        <v>20</v>
      </c>
      <c r="Y180" s="22"/>
      <c r="Z180" s="22">
        <f t="shared" si="142"/>
        <v>20</v>
      </c>
      <c r="AA180" s="17">
        <f>'Income Eligible Deemed Table'!DG521</f>
        <v>0.18942705960189066</v>
      </c>
      <c r="AB180" s="246">
        <f>'Income Eligible Deemed Table'!M521</f>
        <v>8.0376653213977498</v>
      </c>
      <c r="AC180" s="861">
        <f t="shared" si="143"/>
        <v>1.5225513078964612</v>
      </c>
      <c r="AD180" s="861">
        <f t="shared" si="148"/>
        <v>0</v>
      </c>
      <c r="AE180" s="592">
        <f>'Income Eligible Deemed Table'!DI521</f>
        <v>1.5225513078964612</v>
      </c>
      <c r="AF180" s="195"/>
      <c r="AG180" s="195"/>
      <c r="AH180" s="195"/>
      <c r="AI180" s="643" t="str">
        <f>AI179</f>
        <v>Units - DuctLength (ft.)</v>
      </c>
      <c r="AJ180" s="68"/>
      <c r="AK180"/>
      <c r="AL180"/>
      <c r="AM180"/>
      <c r="AN180"/>
      <c r="AO180"/>
      <c r="AP180"/>
      <c r="AQ180"/>
      <c r="AR180"/>
      <c r="AS180"/>
      <c r="AT180"/>
      <c r="AU180"/>
      <c r="AV180"/>
      <c r="AW180"/>
      <c r="AX180" s="1284" t="str">
        <f t="shared" si="146"/>
        <v>Duct Repair (Sealing) - Gas Heating SF</v>
      </c>
      <c r="AY180" s="1307"/>
      <c r="AZ180" s="1376" t="str">
        <f t="shared" si="147"/>
        <v>402451</v>
      </c>
      <c r="BA180" s="1229" t="s">
        <v>2158</v>
      </c>
      <c r="BB180" s="1229" t="s">
        <v>2158</v>
      </c>
      <c r="BC180" s="1229" t="s">
        <v>2158</v>
      </c>
      <c r="BD180" s="1229" t="s">
        <v>2158</v>
      </c>
      <c r="BE180" s="1235"/>
      <c r="BF180" s="1229" t="s">
        <v>2158</v>
      </c>
      <c r="BG180" s="1229" t="s">
        <v>2158</v>
      </c>
      <c r="BH180" s="1229" t="s">
        <v>2158</v>
      </c>
      <c r="BI180" s="1230" t="s">
        <v>2158</v>
      </c>
      <c r="BJ180" s="1234"/>
      <c r="BK180" s="1229" t="s">
        <v>2158</v>
      </c>
      <c r="BL180" s="1230" t="s">
        <v>2158</v>
      </c>
      <c r="BM180" s="1229" t="s">
        <v>2158</v>
      </c>
      <c r="BN180" s="1230" t="s">
        <v>2158</v>
      </c>
    </row>
    <row r="181" spans="1:66" x14ac:dyDescent="0.25">
      <c r="A181" s="49" t="str">
        <f t="shared" si="141"/>
        <v>402452</v>
      </c>
      <c r="B181" s="1371" t="str">
        <f>'Income Eligible Deemed Table'!C522</f>
        <v>402452_2024_12_</v>
      </c>
      <c r="C181" s="1307" t="str">
        <f>'Income Eligible Deemed Table'!G522</f>
        <v>HVAC RES</v>
      </c>
      <c r="D181" s="1307"/>
      <c r="E181" s="1307"/>
      <c r="F181" s="1307"/>
      <c r="G181" s="1307" t="str">
        <f>'Income Eligible Deemed Table'!E522</f>
        <v>Duct Repair (Sealing) - Electric Heating MF Adjusted</v>
      </c>
      <c r="H181" s="18" t="str">
        <f>'Income Eligible Deemed Table'!D522</f>
        <v>MFIE</v>
      </c>
      <c r="I181" s="750">
        <f>'Income Eligible Deemed Table'!F522</f>
        <v>4.1100000000000003</v>
      </c>
      <c r="J181" s="750">
        <f t="shared" si="149"/>
        <v>0</v>
      </c>
      <c r="K181" s="847"/>
      <c r="L181" s="847"/>
      <c r="M181" s="189"/>
      <c r="N181" s="189"/>
      <c r="O181" s="751">
        <f>'Income Eligible Deemed Table'!K522</f>
        <v>1.916E-3</v>
      </c>
      <c r="P181" s="751"/>
      <c r="Q181" s="848"/>
      <c r="R181" s="848"/>
      <c r="S181" s="752"/>
      <c r="T181" s="752"/>
      <c r="U181" s="753">
        <f t="shared" si="150"/>
        <v>0</v>
      </c>
      <c r="V181" s="753">
        <f t="shared" si="151"/>
        <v>0</v>
      </c>
      <c r="W181" s="753">
        <f t="shared" si="152"/>
        <v>1.916E-3</v>
      </c>
      <c r="X181" s="22">
        <f>'Income Eligible Deemed Table'!L522</f>
        <v>20</v>
      </c>
      <c r="Y181" s="22"/>
      <c r="Z181" s="22">
        <f t="shared" si="142"/>
        <v>20</v>
      </c>
      <c r="AA181" s="17">
        <f>'Income Eligible Deemed Table'!DG522</f>
        <v>0.77854521496377072</v>
      </c>
      <c r="AB181" s="246">
        <f>'Income Eligible Deemed Table'!M522</f>
        <v>8.0376653213977498</v>
      </c>
      <c r="AC181" s="861">
        <f t="shared" si="143"/>
        <v>6.257685875454456</v>
      </c>
      <c r="AD181" s="861">
        <f t="shared" si="148"/>
        <v>0</v>
      </c>
      <c r="AE181" s="592">
        <f>'Income Eligible Deemed Table'!DI522</f>
        <v>6.257685875454456</v>
      </c>
      <c r="AF181" s="195"/>
      <c r="AG181" s="195"/>
      <c r="AH181" s="195"/>
      <c r="AI181" s="643" t="str">
        <f>AI180</f>
        <v>Units - DuctLength (ft.)</v>
      </c>
      <c r="AJ181" s="656"/>
      <c r="AK181" s="39"/>
      <c r="AL181" s="39"/>
      <c r="AX181" s="1284" t="str">
        <f t="shared" si="146"/>
        <v>Duct Repair (Sealing) - Electric Heating MF Adjusted</v>
      </c>
      <c r="AY181" s="1307"/>
      <c r="AZ181" s="1376" t="str">
        <f t="shared" si="147"/>
        <v>402452</v>
      </c>
      <c r="BA181" s="1229" t="s">
        <v>2158</v>
      </c>
      <c r="BB181" s="1229" t="s">
        <v>2158</v>
      </c>
      <c r="BC181" s="1229" t="s">
        <v>2158</v>
      </c>
      <c r="BD181" s="1229" t="s">
        <v>2158</v>
      </c>
      <c r="BE181" s="1234"/>
      <c r="BF181" s="1229" t="s">
        <v>2158</v>
      </c>
      <c r="BG181" s="1229" t="s">
        <v>2158</v>
      </c>
      <c r="BH181" s="1229" t="s">
        <v>2158</v>
      </c>
      <c r="BI181" s="1230" t="s">
        <v>2158</v>
      </c>
      <c r="BJ181" s="1234"/>
      <c r="BK181" s="1229" t="s">
        <v>2158</v>
      </c>
      <c r="BL181" s="1230" t="s">
        <v>2158</v>
      </c>
      <c r="BM181" s="1229" t="s">
        <v>2158</v>
      </c>
      <c r="BN181" s="1230" t="s">
        <v>2158</v>
      </c>
    </row>
    <row r="182" spans="1:66" x14ac:dyDescent="0.25">
      <c r="A182" s="49" t="str">
        <f t="shared" si="141"/>
        <v>402453</v>
      </c>
      <c r="B182" s="1371" t="str">
        <f>'Income Eligible Deemed Table'!C523</f>
        <v>402453_2024_12_</v>
      </c>
      <c r="C182" s="1307" t="str">
        <f>'Income Eligible Deemed Table'!G523</f>
        <v>HVAC RES</v>
      </c>
      <c r="D182" s="1307"/>
      <c r="E182" s="1307"/>
      <c r="F182" s="1307"/>
      <c r="G182" s="1307" t="str">
        <f>'Income Eligible Deemed Table'!E523</f>
        <v>Duct Repair (Sealing) - Gas Heating  MF Adjusted</v>
      </c>
      <c r="H182" s="18" t="str">
        <f>'Income Eligible Deemed Table'!D523</f>
        <v>MFIE</v>
      </c>
      <c r="I182" s="750">
        <f>'Income Eligible Deemed Table'!F523</f>
        <v>0.87</v>
      </c>
      <c r="J182" s="750">
        <f t="shared" si="149"/>
        <v>0</v>
      </c>
      <c r="K182" s="847"/>
      <c r="L182" s="847"/>
      <c r="M182" s="189"/>
      <c r="N182" s="189"/>
      <c r="O182" s="751">
        <f>'Income Eligible Deemed Table'!K523</f>
        <v>4.0499999999999998E-4</v>
      </c>
      <c r="P182" s="751"/>
      <c r="Q182" s="848"/>
      <c r="R182" s="848"/>
      <c r="S182" s="752"/>
      <c r="T182" s="752"/>
      <c r="U182" s="753">
        <f t="shared" si="150"/>
        <v>0</v>
      </c>
      <c r="V182" s="753">
        <f t="shared" si="151"/>
        <v>0</v>
      </c>
      <c r="W182" s="753">
        <f t="shared" si="152"/>
        <v>4.0499999999999998E-4</v>
      </c>
      <c r="X182" s="22">
        <f>'Income Eligible Deemed Table'!L523</f>
        <v>20</v>
      </c>
      <c r="Y182" s="22"/>
      <c r="Z182" s="22">
        <f t="shared" si="142"/>
        <v>20</v>
      </c>
      <c r="AA182" s="17">
        <f>'Income Eligible Deemed Table'!DG523</f>
        <v>0.16480154185364487</v>
      </c>
      <c r="AB182" s="246">
        <f>'Income Eligible Deemed Table'!M523</f>
        <v>8.0376653213977498</v>
      </c>
      <c r="AC182" s="861">
        <f t="shared" si="143"/>
        <v>1.3246196378699213</v>
      </c>
      <c r="AD182" s="861">
        <f t="shared" si="148"/>
        <v>0</v>
      </c>
      <c r="AE182" s="592">
        <f>'Income Eligible Deemed Table'!DI523</f>
        <v>1.3246196378699213</v>
      </c>
      <c r="AF182" s="195"/>
      <c r="AG182" s="195"/>
      <c r="AH182" s="195"/>
      <c r="AI182" s="643" t="str">
        <f>AI181</f>
        <v>Units - DuctLength (ft.)</v>
      </c>
      <c r="AJ182" s="656"/>
      <c r="AK182" s="39"/>
      <c r="AL182" s="39"/>
      <c r="AX182" s="1284" t="str">
        <f t="shared" si="146"/>
        <v>Duct Repair (Sealing) - Gas Heating  MF Adjusted</v>
      </c>
      <c r="AY182" s="1307"/>
      <c r="AZ182" s="1376" t="str">
        <f t="shared" si="147"/>
        <v>402453</v>
      </c>
      <c r="BA182" s="1229" t="s">
        <v>2158</v>
      </c>
      <c r="BB182" s="1229" t="s">
        <v>2158</v>
      </c>
      <c r="BC182" s="1229" t="s">
        <v>2158</v>
      </c>
      <c r="BD182" s="1229" t="s">
        <v>2158</v>
      </c>
      <c r="BE182" s="1234"/>
      <c r="BF182" s="1229" t="s">
        <v>2158</v>
      </c>
      <c r="BG182" s="1229" t="s">
        <v>2158</v>
      </c>
      <c r="BH182" s="1229" t="s">
        <v>2158</v>
      </c>
      <c r="BI182" s="1230" t="s">
        <v>2158</v>
      </c>
      <c r="BJ182" s="1234"/>
      <c r="BK182" s="1229" t="s">
        <v>2158</v>
      </c>
      <c r="BL182" s="1230" t="s">
        <v>2158</v>
      </c>
      <c r="BM182" s="1229" t="s">
        <v>2158</v>
      </c>
      <c r="BN182" s="1230" t="s">
        <v>2158</v>
      </c>
    </row>
    <row r="183" spans="1:66" x14ac:dyDescent="0.25">
      <c r="A183" s="49" t="str">
        <f t="shared" si="141"/>
        <v>402500</v>
      </c>
      <c r="B183" s="1371" t="str">
        <f>'Income Eligible Deemed Table'!C524</f>
        <v>402500_2024_12_</v>
      </c>
      <c r="C183" s="1307" t="str">
        <f>'Income Eligible Deemed Table'!G524</f>
        <v>HVAC RES</v>
      </c>
      <c r="D183" s="1307"/>
      <c r="E183" s="1307"/>
      <c r="F183" s="1307"/>
      <c r="G183" s="1307" t="str">
        <f>'Income Eligible Deemed Table'!E524</f>
        <v>Duct Repair (Sealing) - Electric Heating MH Adjusted</v>
      </c>
      <c r="H183" s="18" t="str">
        <f>'Income Eligible Deemed Table'!D524</f>
        <v>SFIE</v>
      </c>
      <c r="I183" s="750">
        <f>'Income Eligible Deemed Table'!F524</f>
        <v>6.01</v>
      </c>
      <c r="J183" s="750">
        <f t="shared" si="149"/>
        <v>0</v>
      </c>
      <c r="K183" s="847"/>
      <c r="L183" s="847"/>
      <c r="M183" s="189"/>
      <c r="N183" s="189"/>
      <c r="O183" s="751">
        <f>'Income Eligible Deemed Table'!K524</f>
        <v>2.8010000000000001E-3</v>
      </c>
      <c r="P183" s="751"/>
      <c r="Q183" s="848"/>
      <c r="R183" s="848"/>
      <c r="S183" s="752"/>
      <c r="T183" s="752"/>
      <c r="U183" s="753">
        <f t="shared" si="150"/>
        <v>0</v>
      </c>
      <c r="V183" s="753">
        <f t="shared" si="151"/>
        <v>0</v>
      </c>
      <c r="W183" s="753">
        <f t="shared" si="152"/>
        <v>2.8010000000000001E-3</v>
      </c>
      <c r="X183" s="22">
        <f>'Income Eligible Deemed Table'!L524</f>
        <v>20</v>
      </c>
      <c r="Y183" s="22"/>
      <c r="Z183" s="22">
        <f t="shared" si="142"/>
        <v>20</v>
      </c>
      <c r="AA183" s="17">
        <f>'Income Eligible Deemed Table'!DG524</f>
        <v>1.1384566282073629</v>
      </c>
      <c r="AB183" s="246">
        <f>'Income Eligible Deemed Table'!M524</f>
        <v>8.0376653213977498</v>
      </c>
      <c r="AC183" s="861">
        <f t="shared" si="143"/>
        <v>9.1505333604577324</v>
      </c>
      <c r="AD183" s="861">
        <f t="shared" si="148"/>
        <v>0</v>
      </c>
      <c r="AE183" s="592">
        <f>'Income Eligible Deemed Table'!DI524</f>
        <v>9.1505333604577324</v>
      </c>
      <c r="AF183" s="195"/>
      <c r="AG183" s="195"/>
      <c r="AH183" s="195"/>
      <c r="AI183" s="643" t="str">
        <f>AI180</f>
        <v>Units - DuctLength (ft.)</v>
      </c>
      <c r="AJ183" s="68"/>
      <c r="AX183" s="1284" t="str">
        <f t="shared" si="146"/>
        <v>Duct Repair (Sealing) - Electric Heating MH Adjusted</v>
      </c>
      <c r="AY183" s="1307"/>
      <c r="AZ183" s="1376" t="str">
        <f t="shared" si="147"/>
        <v>402500</v>
      </c>
      <c r="BA183" s="1229" t="s">
        <v>2158</v>
      </c>
      <c r="BB183" s="1229" t="s">
        <v>2158</v>
      </c>
      <c r="BC183" s="1229" t="s">
        <v>2158</v>
      </c>
      <c r="BD183" s="1229" t="s">
        <v>2158</v>
      </c>
      <c r="BE183" s="1234"/>
      <c r="BF183" s="1229" t="s">
        <v>2158</v>
      </c>
      <c r="BG183" s="1229" t="s">
        <v>2158</v>
      </c>
      <c r="BH183" s="1229" t="s">
        <v>2158</v>
      </c>
      <c r="BI183" s="1230" t="s">
        <v>2158</v>
      </c>
      <c r="BJ183" s="1234"/>
      <c r="BK183" s="1229" t="s">
        <v>2158</v>
      </c>
      <c r="BL183" s="1230" t="s">
        <v>2158</v>
      </c>
      <c r="BM183" s="1229" t="s">
        <v>2158</v>
      </c>
      <c r="BN183" s="1230" t="s">
        <v>2158</v>
      </c>
    </row>
    <row r="184" spans="1:66" x14ac:dyDescent="0.25">
      <c r="A184" s="49" t="str">
        <f t="shared" si="141"/>
        <v>402501</v>
      </c>
      <c r="B184" s="1371" t="str">
        <f>'Income Eligible Deemed Table'!C525</f>
        <v>402501_2024_12_</v>
      </c>
      <c r="C184" s="1307" t="str">
        <f>'Income Eligible Deemed Table'!G525</f>
        <v>HVAC RES</v>
      </c>
      <c r="D184" s="1307"/>
      <c r="E184" s="1307"/>
      <c r="F184" s="1307"/>
      <c r="G184" s="1307" t="str">
        <f>'Income Eligible Deemed Table'!E525</f>
        <v>Duct Repair (Sealing) - Gas Heating  MH Adjusted</v>
      </c>
      <c r="H184" s="18" t="str">
        <f>'Income Eligible Deemed Table'!D525</f>
        <v>SFIE</v>
      </c>
      <c r="I184" s="750">
        <f>'Income Eligible Deemed Table'!F525</f>
        <v>1.19</v>
      </c>
      <c r="J184" s="750">
        <f t="shared" si="149"/>
        <v>0</v>
      </c>
      <c r="K184" s="847"/>
      <c r="L184" s="847"/>
      <c r="M184" s="189"/>
      <c r="N184" s="189"/>
      <c r="O184" s="751">
        <f>'Income Eligible Deemed Table'!K525</f>
        <v>5.5500000000000005E-4</v>
      </c>
      <c r="P184" s="751"/>
      <c r="Q184" s="848"/>
      <c r="R184" s="848"/>
      <c r="S184" s="752"/>
      <c r="T184" s="752"/>
      <c r="U184" s="753">
        <f t="shared" si="150"/>
        <v>0</v>
      </c>
      <c r="V184" s="753">
        <f t="shared" si="151"/>
        <v>0</v>
      </c>
      <c r="W184" s="753">
        <f t="shared" si="152"/>
        <v>5.5500000000000005E-4</v>
      </c>
      <c r="X184" s="22">
        <f>'Income Eligible Deemed Table'!L525</f>
        <v>20</v>
      </c>
      <c r="Y184" s="22"/>
      <c r="Z184" s="22">
        <f t="shared" si="142"/>
        <v>20</v>
      </c>
      <c r="AA184" s="17">
        <f>'Income Eligible Deemed Table'!DG525</f>
        <v>0.22541820092624987</v>
      </c>
      <c r="AB184" s="246">
        <f>'Income Eligible Deemed Table'!M525</f>
        <v>8.0376653213977498</v>
      </c>
      <c r="AC184" s="861">
        <f t="shared" si="143"/>
        <v>1.8118360563967888</v>
      </c>
      <c r="AD184" s="861">
        <f t="shared" si="148"/>
        <v>0</v>
      </c>
      <c r="AE184" s="592">
        <f>'Income Eligible Deemed Table'!DI525</f>
        <v>1.8118360563967888</v>
      </c>
      <c r="AF184" s="195"/>
      <c r="AG184" s="195"/>
      <c r="AH184" s="195"/>
      <c r="AI184" s="643" t="str">
        <f>AI183</f>
        <v>Units - DuctLength (ft.)</v>
      </c>
      <c r="AJ184" s="68"/>
      <c r="AX184" s="1284" t="str">
        <f t="shared" si="146"/>
        <v>Duct Repair (Sealing) - Gas Heating  MH Adjusted</v>
      </c>
      <c r="AY184" s="1307"/>
      <c r="AZ184" s="1376" t="str">
        <f t="shared" si="147"/>
        <v>402501</v>
      </c>
      <c r="BA184" s="1229" t="s">
        <v>2158</v>
      </c>
      <c r="BB184" s="1229" t="s">
        <v>2158</v>
      </c>
      <c r="BC184" s="1229" t="s">
        <v>2158</v>
      </c>
      <c r="BD184" s="1229" t="s">
        <v>2158</v>
      </c>
      <c r="BE184" s="1234"/>
      <c r="BF184" s="1229" t="s">
        <v>2158</v>
      </c>
      <c r="BG184" s="1229" t="s">
        <v>2158</v>
      </c>
      <c r="BH184" s="1229" t="s">
        <v>2158</v>
      </c>
      <c r="BI184" s="1230" t="s">
        <v>2158</v>
      </c>
      <c r="BJ184" s="1234"/>
      <c r="BK184" s="1229" t="s">
        <v>2158</v>
      </c>
      <c r="BL184" s="1230" t="s">
        <v>2158</v>
      </c>
      <c r="BM184" s="1229" t="s">
        <v>2158</v>
      </c>
      <c r="BN184" s="1230" t="s">
        <v>2158</v>
      </c>
    </row>
    <row r="185" spans="1:66" x14ac:dyDescent="0.25">
      <c r="A185" s="49" t="str">
        <f t="shared" si="141"/>
        <v>402600</v>
      </c>
      <c r="B185" s="1371" t="str">
        <f>'Income Eligible Deemed Table'!C555</f>
        <v>402600_2024_12_</v>
      </c>
      <c r="C185" s="1307" t="str">
        <f>'Income Eligible Deemed Table'!G555</f>
        <v>HVAC RES</v>
      </c>
      <c r="D185" s="1307" t="str">
        <f>'Income Eligible Deemed Table'!G556</f>
        <v>HVAC RES ER2</v>
      </c>
      <c r="E185" s="1307"/>
      <c r="F185" s="1307"/>
      <c r="G185" s="1307" t="str">
        <f>'Income Eligible Deemed Table'!E555</f>
        <v>ECM Auto Fan Early Replacement ER1 (Full Cost) - SF</v>
      </c>
      <c r="H185" s="18" t="str">
        <f>'Income Eligible Deemed Table'!D555</f>
        <v>SFIE</v>
      </c>
      <c r="I185" s="750">
        <f>'Income Eligible Deemed Table'!F555</f>
        <v>579.09</v>
      </c>
      <c r="J185" s="750">
        <f>'Income Eligible Deemed Table'!F556</f>
        <v>0</v>
      </c>
      <c r="K185" s="847"/>
      <c r="L185" s="847"/>
      <c r="M185" s="189"/>
      <c r="N185" s="189"/>
      <c r="O185" s="751">
        <f>'Income Eligible Deemed Table'!M555</f>
        <v>0.269903</v>
      </c>
      <c r="P185" s="751">
        <f>'Income Eligible Deemed Table'!M556</f>
        <v>0</v>
      </c>
      <c r="Q185" s="848"/>
      <c r="R185" s="848"/>
      <c r="S185" s="752"/>
      <c r="T185" s="752"/>
      <c r="U185" s="753">
        <f t="shared" si="150"/>
        <v>0.269903</v>
      </c>
      <c r="V185" s="753">
        <f t="shared" si="151"/>
        <v>0</v>
      </c>
      <c r="W185" s="753">
        <f t="shared" si="152"/>
        <v>0</v>
      </c>
      <c r="X185" s="22">
        <f>'Income Eligible Deemed Table'!N555</f>
        <v>6</v>
      </c>
      <c r="Y185" s="22">
        <f>'Income Eligible Deemed Table'!N556</f>
        <v>0</v>
      </c>
      <c r="Z185" s="22">
        <f t="shared" si="142"/>
        <v>6</v>
      </c>
      <c r="AA185" s="17">
        <f>'Income Eligible Deemed Table'!DG555</f>
        <v>1.3748154098071015</v>
      </c>
      <c r="AB185" s="246">
        <f>'Income Eligible Deemed Table'!O555</f>
        <v>262.5</v>
      </c>
      <c r="AC185" s="861">
        <f t="shared" si="143"/>
        <v>360.88904507436416</v>
      </c>
      <c r="AD185" s="861">
        <f t="shared" si="148"/>
        <v>0</v>
      </c>
      <c r="AE185" s="592">
        <f>'Income Eligible Deemed Table'!DI555</f>
        <v>360.88904507436416</v>
      </c>
      <c r="AF185" s="195"/>
      <c r="AG185" s="864">
        <f>'Income Eligible Deemed Table'!DI556</f>
        <v>0</v>
      </c>
      <c r="AH185" s="195"/>
      <c r="AI185" s="868" t="str">
        <f>'Income Eligible Deemed Table'!P555</f>
        <v>per measure</v>
      </c>
      <c r="AJ185" s="68"/>
      <c r="AX185" s="1284" t="str">
        <f t="shared" si="146"/>
        <v>ECM Auto Fan Early Replacement ER1 (Full Cost) - SF</v>
      </c>
      <c r="AY185" s="1307"/>
      <c r="AZ185" s="1376" t="str">
        <f t="shared" si="147"/>
        <v>402600</v>
      </c>
      <c r="BA185" s="1229" t="s">
        <v>2158</v>
      </c>
      <c r="BB185" s="1229" t="s">
        <v>2158</v>
      </c>
      <c r="BC185" s="1229" t="s">
        <v>2158</v>
      </c>
      <c r="BD185" s="1229" t="s">
        <v>2158</v>
      </c>
      <c r="BE185" s="1234"/>
      <c r="BF185" s="1229" t="s">
        <v>2158</v>
      </c>
      <c r="BG185" s="1229" t="s">
        <v>2158</v>
      </c>
      <c r="BH185" s="1229" t="s">
        <v>2158</v>
      </c>
      <c r="BI185" s="1230" t="s">
        <v>2158</v>
      </c>
      <c r="BJ185" s="1234"/>
      <c r="BK185" s="1229" t="s">
        <v>2158</v>
      </c>
      <c r="BL185" s="1230" t="s">
        <v>2158</v>
      </c>
      <c r="BM185" s="1229" t="s">
        <v>2158</v>
      </c>
      <c r="BN185" s="1230" t="s">
        <v>2158</v>
      </c>
    </row>
    <row r="186" spans="1:66" x14ac:dyDescent="0.25">
      <c r="A186" s="49" t="str">
        <f t="shared" ref="A186:A213" si="153">LEFT(B186,6)</f>
        <v>402800</v>
      </c>
      <c r="B186" s="1371" t="str">
        <f>'Income Eligible Deemed Table'!C557</f>
        <v>402800_2024_12_</v>
      </c>
      <c r="C186" s="1307" t="str">
        <f>'Income Eligible Deemed Table'!G557</f>
        <v>HVAC RES</v>
      </c>
      <c r="D186" s="1307" t="str">
        <f>'Income Eligible Deemed Table'!G558</f>
        <v>HVAC RES ER2</v>
      </c>
      <c r="E186" s="1307"/>
      <c r="F186" s="1307"/>
      <c r="G186" s="1307" t="str">
        <f>'Income Eligible Deemed Table'!E557</f>
        <v>ECM Auto Fan Early Replacement ER1 (Full Cost) - MF</v>
      </c>
      <c r="H186" s="18" t="str">
        <f>'Income Eligible Deemed Table'!D557</f>
        <v>MFIE</v>
      </c>
      <c r="I186" s="750">
        <f>'Income Eligible Deemed Table'!F557</f>
        <v>579.09</v>
      </c>
      <c r="J186" s="750">
        <f>'Income Eligible Deemed Table'!F558</f>
        <v>0</v>
      </c>
      <c r="K186" s="847"/>
      <c r="L186" s="847"/>
      <c r="M186" s="189"/>
      <c r="N186" s="189"/>
      <c r="O186" s="751">
        <f>'Income Eligible Deemed Table'!M557</f>
        <v>0.269903</v>
      </c>
      <c r="P186" s="751">
        <f>'Income Eligible Deemed Table'!M558</f>
        <v>0</v>
      </c>
      <c r="Q186" s="848"/>
      <c r="R186" s="848"/>
      <c r="S186" s="752"/>
      <c r="T186" s="752"/>
      <c r="U186" s="753">
        <f t="shared" si="150"/>
        <v>0.269903</v>
      </c>
      <c r="V186" s="753">
        <f t="shared" si="151"/>
        <v>0</v>
      </c>
      <c r="W186" s="753">
        <f t="shared" si="152"/>
        <v>0</v>
      </c>
      <c r="X186" s="22">
        <f>'Income Eligible Deemed Table'!N557</f>
        <v>6</v>
      </c>
      <c r="Y186" s="22">
        <f>'Income Eligible Deemed Table'!N558</f>
        <v>0</v>
      </c>
      <c r="Z186" s="22">
        <f t="shared" ref="Z186:Z213" si="154">Y186+X186</f>
        <v>6</v>
      </c>
      <c r="AA186" s="17">
        <f>'Income Eligible Deemed Table'!DG557</f>
        <v>1.3748154098071015</v>
      </c>
      <c r="AB186" s="246">
        <f>'Income Eligible Deemed Table'!O557</f>
        <v>262.5</v>
      </c>
      <c r="AC186" s="861">
        <f t="shared" ref="AC186:AC213" si="155">AE186+AF186</f>
        <v>360.88904507436416</v>
      </c>
      <c r="AD186" s="861">
        <f t="shared" si="148"/>
        <v>0</v>
      </c>
      <c r="AE186" s="592">
        <f>'Income Eligible Deemed Table'!DI557</f>
        <v>360.88904507436416</v>
      </c>
      <c r="AF186" s="195"/>
      <c r="AG186" s="864">
        <f>'Income Eligible Deemed Table'!DI558</f>
        <v>0</v>
      </c>
      <c r="AH186" s="195"/>
      <c r="AI186" s="868" t="str">
        <f>'Income Eligible Deemed Table'!P557</f>
        <v>per measure</v>
      </c>
      <c r="AJ186" s="68"/>
      <c r="AX186" s="1284" t="str">
        <f t="shared" si="146"/>
        <v>ECM Auto Fan Early Replacement ER1 (Full Cost) - MF</v>
      </c>
      <c r="AY186" s="1307"/>
      <c r="AZ186" s="1376" t="str">
        <f t="shared" si="147"/>
        <v>402800</v>
      </c>
      <c r="BA186" s="1229" t="s">
        <v>2158</v>
      </c>
      <c r="BB186" s="1229" t="s">
        <v>2158</v>
      </c>
      <c r="BC186" s="1229" t="s">
        <v>2158</v>
      </c>
      <c r="BD186" s="1229" t="s">
        <v>2158</v>
      </c>
      <c r="BE186" s="1234"/>
      <c r="BF186" s="1229" t="s">
        <v>2158</v>
      </c>
      <c r="BG186" s="1229" t="s">
        <v>2158</v>
      </c>
      <c r="BH186" s="1229" t="s">
        <v>2158</v>
      </c>
      <c r="BI186" s="1230" t="s">
        <v>2158</v>
      </c>
      <c r="BJ186" s="1234"/>
      <c r="BK186" s="1229" t="s">
        <v>2158</v>
      </c>
      <c r="BL186" s="1230" t="s">
        <v>2158</v>
      </c>
      <c r="BM186" s="1229" t="s">
        <v>2158</v>
      </c>
      <c r="BN186" s="1230" t="s">
        <v>2158</v>
      </c>
    </row>
    <row r="187" spans="1:66" x14ac:dyDescent="0.25">
      <c r="A187" s="49" t="str">
        <f t="shared" si="153"/>
        <v>403311</v>
      </c>
      <c r="B187" s="1371" t="str">
        <f>'Income Eligible Deemed Table'!C605</f>
        <v>403311_2021_12</v>
      </c>
      <c r="C187" s="1307" t="str">
        <f>'Income Eligible Deemed Table'!G605</f>
        <v>Cooling RES</v>
      </c>
      <c r="D187" s="1307" t="str">
        <f>'Income Eligible Deemed Table'!G606</f>
        <v>Heating RES</v>
      </c>
      <c r="E187" s="1307"/>
      <c r="F187" s="1307"/>
      <c r="G187" s="1307" t="str">
        <f>'Income Eligible Deemed Table'!E605</f>
        <v>HP tune-up / Packaged Service MF</v>
      </c>
      <c r="H187" s="18" t="str">
        <f>'Income Eligible Deemed Table'!D605</f>
        <v>MFIE</v>
      </c>
      <c r="I187" s="750">
        <f t="shared" ref="I187" si="156">K187+L187</f>
        <v>953.4</v>
      </c>
      <c r="J187" s="750">
        <f t="shared" ref="J187" si="157">M187+N187</f>
        <v>0</v>
      </c>
      <c r="K187" s="189">
        <f>'Income Eligible Deemed Table'!F605</f>
        <v>226.6</v>
      </c>
      <c r="L187" s="189">
        <f>'Income Eligible Deemed Table'!F606</f>
        <v>726.8</v>
      </c>
      <c r="M187" s="189"/>
      <c r="N187" s="189"/>
      <c r="O187" s="751">
        <f t="shared" ref="O187" si="158">Q187+R187</f>
        <v>0.21468499999999999</v>
      </c>
      <c r="P187" s="751">
        <f t="shared" ref="P187" si="159">S187+T187</f>
        <v>0</v>
      </c>
      <c r="Q187" s="752">
        <f>'Income Eligible Deemed Table'!I605</f>
        <v>0.21468499999999999</v>
      </c>
      <c r="R187" s="752">
        <f>'Income Eligible Deemed Table'!I606</f>
        <v>0</v>
      </c>
      <c r="S187" s="752"/>
      <c r="T187" s="752"/>
      <c r="U187" s="753">
        <f t="shared" si="150"/>
        <v>0.21468499999999999</v>
      </c>
      <c r="V187" s="753">
        <f t="shared" si="151"/>
        <v>0</v>
      </c>
      <c r="W187" s="753">
        <f t="shared" si="152"/>
        <v>0</v>
      </c>
      <c r="X187" s="22">
        <f>'Income Eligible Deemed Table'!J605</f>
        <v>2</v>
      </c>
      <c r="Y187" s="22"/>
      <c r="Z187" s="22">
        <f t="shared" si="154"/>
        <v>2</v>
      </c>
      <c r="AA187" s="17">
        <f>'Income Eligible Deemed Table'!DG605</f>
        <v>0.87355825926354935</v>
      </c>
      <c r="AB187" s="246">
        <f>'Income Eligible Deemed Table'!K605</f>
        <v>185</v>
      </c>
      <c r="AC187" s="861">
        <f t="shared" si="155"/>
        <v>161.60827796375662</v>
      </c>
      <c r="AD187" s="861">
        <f t="shared" si="148"/>
        <v>0</v>
      </c>
      <c r="AE187" s="592">
        <f>'Income Eligible Deemed Table'!DI605</f>
        <v>84.72884106868878</v>
      </c>
      <c r="AF187" s="195">
        <f>'Income Eligible Deemed Table'!DI606</f>
        <v>76.879436895067826</v>
      </c>
      <c r="AG187" s="195"/>
      <c r="AH187" s="195"/>
      <c r="AI187" s="1371" t="str">
        <f>'Income Eligible Deemed Table'!L605</f>
        <v>per measure</v>
      </c>
      <c r="AJ187" s="656"/>
      <c r="AK187" s="39"/>
      <c r="AL187" s="39"/>
      <c r="AX187" s="1284" t="str">
        <f t="shared" si="146"/>
        <v>HP tune-up / Packaged Service MF</v>
      </c>
      <c r="AY187" s="1307"/>
      <c r="AZ187" s="1376" t="str">
        <f t="shared" si="147"/>
        <v>403311</v>
      </c>
      <c r="BA187" s="1229" t="s">
        <v>2158</v>
      </c>
      <c r="BB187" s="1229" t="s">
        <v>2158</v>
      </c>
      <c r="BC187" s="1229" t="s">
        <v>2158</v>
      </c>
      <c r="BD187" s="1229" t="s">
        <v>2158</v>
      </c>
      <c r="BE187" s="1234"/>
      <c r="BF187" s="1229" t="s">
        <v>2158</v>
      </c>
      <c r="BG187" s="1229" t="s">
        <v>2158</v>
      </c>
      <c r="BH187" s="1229" t="s">
        <v>2158</v>
      </c>
      <c r="BI187" s="1230" t="s">
        <v>2158</v>
      </c>
      <c r="BJ187" s="1234"/>
      <c r="BK187" s="1229" t="s">
        <v>2158</v>
      </c>
      <c r="BL187" s="1230" t="s">
        <v>2158</v>
      </c>
      <c r="BM187" s="1229" t="s">
        <v>2158</v>
      </c>
      <c r="BN187" s="1230" t="s">
        <v>2158</v>
      </c>
    </row>
    <row r="188" spans="1:66" s="39" customFormat="1" x14ac:dyDescent="0.25">
      <c r="A188" s="49" t="str">
        <f t="shared" si="153"/>
        <v>403400</v>
      </c>
      <c r="B188" s="1371" t="str">
        <f>'Income Eligible Deemed Table'!C630</f>
        <v>403400_2024_12_</v>
      </c>
      <c r="C188" s="1307" t="str">
        <f>'Income Eligible Deemed Table'!G630</f>
        <v>Water heating RES</v>
      </c>
      <c r="D188" s="1307"/>
      <c r="E188" s="1307"/>
      <c r="F188" s="1307"/>
      <c r="G188" s="1307" t="str">
        <f>'Income Eligible Deemed Table'!E630</f>
        <v>Low Flow Bathroom Faucet Aerator MFIE DI</v>
      </c>
      <c r="H188" s="18" t="str">
        <f>'Income Eligible Deemed Table'!D630</f>
        <v>MFIE</v>
      </c>
      <c r="I188" s="750">
        <f>'Income Eligible Deemed Table'!F630</f>
        <v>40.619999999999997</v>
      </c>
      <c r="J188" s="750"/>
      <c r="K188" s="189"/>
      <c r="L188" s="189"/>
      <c r="M188" s="189"/>
      <c r="N188" s="189"/>
      <c r="O188" s="751">
        <f>'Income Eligible Deemed Table'!J630</f>
        <v>3.604E-3</v>
      </c>
      <c r="P188" s="751"/>
      <c r="Q188" s="752"/>
      <c r="R188" s="752"/>
      <c r="S188" s="752"/>
      <c r="T188" s="752"/>
      <c r="U188" s="753">
        <f t="shared" si="150"/>
        <v>0</v>
      </c>
      <c r="V188" s="753">
        <f t="shared" si="151"/>
        <v>3.604E-3</v>
      </c>
      <c r="W188" s="753">
        <f t="shared" si="152"/>
        <v>0</v>
      </c>
      <c r="X188" s="22">
        <f>'Income Eligible Deemed Table'!K630</f>
        <v>10</v>
      </c>
      <c r="Y188" s="22"/>
      <c r="Z188" s="22">
        <f t="shared" si="154"/>
        <v>10</v>
      </c>
      <c r="AA188" s="17">
        <f>'Income Eligible Deemed Table'!DG630</f>
        <v>1.7613767269049343</v>
      </c>
      <c r="AB188" s="246">
        <f>'Income Eligible Deemed Table'!L630</f>
        <v>11.33</v>
      </c>
      <c r="AC188" s="861">
        <f t="shared" si="155"/>
        <v>19.956398315832907</v>
      </c>
      <c r="AD188" s="861">
        <f t="shared" si="148"/>
        <v>0</v>
      </c>
      <c r="AE188" s="592">
        <f>'Income Eligible Deemed Table'!DI630</f>
        <v>19.956398315832907</v>
      </c>
      <c r="AF188" s="195"/>
      <c r="AG188" s="195"/>
      <c r="AH188" s="195"/>
      <c r="AI188" s="869" t="str">
        <f>'Income Eligible Deemed Table'!M630</f>
        <v>per measure</v>
      </c>
      <c r="AJ188" s="68"/>
      <c r="AK188"/>
      <c r="AL188"/>
      <c r="AM188"/>
      <c r="AN188"/>
      <c r="AO188"/>
      <c r="AP188"/>
      <c r="AQ188"/>
      <c r="AR188"/>
      <c r="AS188"/>
      <c r="AT188"/>
      <c r="AU188"/>
      <c r="AV188"/>
      <c r="AW188"/>
      <c r="AX188" s="1284" t="str">
        <f t="shared" ref="AX188:AX215" si="160">G188</f>
        <v>Low Flow Bathroom Faucet Aerator MFIE DI</v>
      </c>
      <c r="AY188" s="1307"/>
      <c r="AZ188" s="1376" t="str">
        <f t="shared" ref="AZ188:AZ215" si="161">A188</f>
        <v>403400</v>
      </c>
      <c r="BA188" s="1229" t="s">
        <v>2158</v>
      </c>
      <c r="BB188" s="1229" t="s">
        <v>2158</v>
      </c>
      <c r="BC188" s="1229" t="s">
        <v>2158</v>
      </c>
      <c r="BD188" s="1229" t="s">
        <v>2158</v>
      </c>
      <c r="BE188" s="1235"/>
      <c r="BF188" s="1229" t="s">
        <v>2158</v>
      </c>
      <c r="BG188" s="1229" t="s">
        <v>2158</v>
      </c>
      <c r="BH188" s="1229" t="s">
        <v>2158</v>
      </c>
      <c r="BI188" s="1230" t="s">
        <v>2158</v>
      </c>
      <c r="BJ188" s="1234"/>
      <c r="BK188" s="1229" t="s">
        <v>2158</v>
      </c>
      <c r="BL188" s="1230" t="s">
        <v>2158</v>
      </c>
      <c r="BM188" s="1229" t="s">
        <v>2158</v>
      </c>
      <c r="BN188" s="1230" t="s">
        <v>2158</v>
      </c>
    </row>
    <row r="189" spans="1:66" s="39" customFormat="1" x14ac:dyDescent="0.25">
      <c r="A189" s="49" t="str">
        <f t="shared" si="153"/>
        <v>403450</v>
      </c>
      <c r="B189" s="1371" t="str">
        <f>'Income Eligible Deemed Table'!C631</f>
        <v>403450_2024_12_</v>
      </c>
      <c r="C189" s="1307" t="str">
        <f>'Income Eligible Deemed Table'!G631</f>
        <v>Water heating RES</v>
      </c>
      <c r="D189" s="1307"/>
      <c r="E189" s="1307"/>
      <c r="F189" s="1307"/>
      <c r="G189" s="1307" t="str">
        <f>'Income Eligible Deemed Table'!E631</f>
        <v>Low Flow Bathroom Faucet Aerator SFIE DI</v>
      </c>
      <c r="H189" s="18" t="str">
        <f>'Income Eligible Deemed Table'!D631</f>
        <v>PAYS/SFIE</v>
      </c>
      <c r="I189" s="750">
        <f>'Income Eligible Deemed Table'!F631</f>
        <v>40.619999999999997</v>
      </c>
      <c r="J189" s="750"/>
      <c r="K189" s="189"/>
      <c r="L189" s="189"/>
      <c r="M189" s="189"/>
      <c r="N189" s="189"/>
      <c r="O189" s="751">
        <f>'Income Eligible Deemed Table'!J631</f>
        <v>3.604E-3</v>
      </c>
      <c r="P189" s="751"/>
      <c r="Q189" s="752"/>
      <c r="R189" s="752"/>
      <c r="S189" s="752"/>
      <c r="T189" s="752"/>
      <c r="U189" s="753">
        <f t="shared" si="150"/>
        <v>0</v>
      </c>
      <c r="V189" s="753">
        <f t="shared" si="151"/>
        <v>3.604E-3</v>
      </c>
      <c r="W189" s="753">
        <f t="shared" si="152"/>
        <v>0</v>
      </c>
      <c r="X189" s="22">
        <f>'Income Eligible Deemed Table'!K631</f>
        <v>10</v>
      </c>
      <c r="Y189" s="22"/>
      <c r="Z189" s="22">
        <f t="shared" si="154"/>
        <v>10</v>
      </c>
      <c r="AA189" s="17">
        <f>'Income Eligible Deemed Table'!DG631</f>
        <v>1.7613767269049343</v>
      </c>
      <c r="AB189" s="246">
        <f>'Income Eligible Deemed Table'!L631</f>
        <v>11.33</v>
      </c>
      <c r="AC189" s="861">
        <f t="shared" si="155"/>
        <v>19.956398315832907</v>
      </c>
      <c r="AD189" s="861">
        <f t="shared" si="148"/>
        <v>0</v>
      </c>
      <c r="AE189" s="592">
        <f>'Income Eligible Deemed Table'!DI631</f>
        <v>19.956398315832907</v>
      </c>
      <c r="AF189" s="195"/>
      <c r="AG189" s="195"/>
      <c r="AH189" s="195"/>
      <c r="AI189" s="869" t="str">
        <f>'Income Eligible Deemed Table'!M631</f>
        <v>per measure</v>
      </c>
      <c r="AJ189" s="68"/>
      <c r="AK189"/>
      <c r="AL189"/>
      <c r="AM189"/>
      <c r="AN189"/>
      <c r="AO189"/>
      <c r="AP189"/>
      <c r="AQ189"/>
      <c r="AR189"/>
      <c r="AS189"/>
      <c r="AT189"/>
      <c r="AU189"/>
      <c r="AV189"/>
      <c r="AW189"/>
      <c r="AX189" s="1284" t="str">
        <f t="shared" si="160"/>
        <v>Low Flow Bathroom Faucet Aerator SFIE DI</v>
      </c>
      <c r="AY189" s="1307"/>
      <c r="AZ189" s="1376" t="str">
        <f t="shared" si="161"/>
        <v>403450</v>
      </c>
      <c r="BA189" s="1229" t="s">
        <v>2158</v>
      </c>
      <c r="BB189" s="1229" t="s">
        <v>2158</v>
      </c>
      <c r="BC189" s="1229" t="s">
        <v>2158</v>
      </c>
      <c r="BD189" s="1229" t="s">
        <v>2158</v>
      </c>
      <c r="BE189" s="1235"/>
      <c r="BF189" s="1229" t="s">
        <v>2158</v>
      </c>
      <c r="BG189" s="1229" t="s">
        <v>2158</v>
      </c>
      <c r="BH189" s="1229" t="s">
        <v>2158</v>
      </c>
      <c r="BI189" s="1230" t="s">
        <v>2158</v>
      </c>
      <c r="BJ189" s="1234"/>
      <c r="BK189" s="1229" t="s">
        <v>2158</v>
      </c>
      <c r="BL189" s="1230" t="s">
        <v>2158</v>
      </c>
      <c r="BM189" s="1229" t="s">
        <v>2158</v>
      </c>
      <c r="BN189" s="1230" t="s">
        <v>2158</v>
      </c>
    </row>
    <row r="190" spans="1:66" x14ac:dyDescent="0.25">
      <c r="A190" s="49" t="str">
        <f t="shared" si="153"/>
        <v>403480</v>
      </c>
      <c r="B190" s="1371" t="str">
        <f>'Income Eligible Deemed Table'!C666</f>
        <v>403480_2024_12_</v>
      </c>
      <c r="C190" s="1307" t="str">
        <f>'Income Eligible Deemed Table'!G666</f>
        <v>Water Heating RES</v>
      </c>
      <c r="D190" s="1307"/>
      <c r="E190" s="1307"/>
      <c r="F190" s="1307"/>
      <c r="G190" s="1307" t="str">
        <f>'Income Eligible Deemed Table'!E666</f>
        <v>Low Flow Kitchen Faucet Aerator MFIE DI</v>
      </c>
      <c r="H190" s="18" t="str">
        <f>'Income Eligible Deemed Table'!D666</f>
        <v>MFIE</v>
      </c>
      <c r="I190" s="750">
        <f>'Income Eligible Deemed Table'!F666</f>
        <v>121.19</v>
      </c>
      <c r="J190" s="750"/>
      <c r="K190" s="189"/>
      <c r="L190" s="189"/>
      <c r="M190" s="189"/>
      <c r="N190" s="189"/>
      <c r="O190" s="751">
        <f>'Income Eligible Deemed Table'!J666</f>
        <v>1.0753E-2</v>
      </c>
      <c r="P190" s="751"/>
      <c r="Q190" s="752"/>
      <c r="R190" s="752"/>
      <c r="S190" s="752"/>
      <c r="T190" s="752"/>
      <c r="U190" s="753">
        <f t="shared" si="150"/>
        <v>0</v>
      </c>
      <c r="V190" s="753">
        <f t="shared" si="151"/>
        <v>1.0753E-2</v>
      </c>
      <c r="W190" s="753">
        <f t="shared" si="152"/>
        <v>0</v>
      </c>
      <c r="X190" s="22">
        <f>'Income Eligible Deemed Table'!K666</f>
        <v>10</v>
      </c>
      <c r="Y190" s="22"/>
      <c r="Z190" s="22">
        <f t="shared" si="154"/>
        <v>10</v>
      </c>
      <c r="AA190" s="17">
        <f>'Income Eligible Deemed Table'!DG666</f>
        <v>5.2550774380504439</v>
      </c>
      <c r="AB190" s="246">
        <f>'Income Eligible Deemed Table'!L666</f>
        <v>11.33</v>
      </c>
      <c r="AC190" s="861">
        <f t="shared" si="155"/>
        <v>59.540027373111528</v>
      </c>
      <c r="AD190" s="861">
        <f t="shared" si="148"/>
        <v>0</v>
      </c>
      <c r="AE190" s="592">
        <f>'Income Eligible Deemed Table'!DI666</f>
        <v>59.540027373111528</v>
      </c>
      <c r="AF190" s="195"/>
      <c r="AG190" s="195"/>
      <c r="AH190" s="195"/>
      <c r="AI190" s="869" t="str">
        <f>'Income Eligible Deemed Table'!M666</f>
        <v>per measure</v>
      </c>
      <c r="AJ190" s="656"/>
      <c r="AK190" s="39"/>
      <c r="AL190" s="39"/>
      <c r="AX190" s="1284" t="str">
        <f t="shared" si="160"/>
        <v>Low Flow Kitchen Faucet Aerator MFIE DI</v>
      </c>
      <c r="AY190" s="1307"/>
      <c r="AZ190" s="1376" t="str">
        <f t="shared" si="161"/>
        <v>403480</v>
      </c>
      <c r="BA190" s="1229" t="s">
        <v>2158</v>
      </c>
      <c r="BB190" s="1229" t="s">
        <v>2158</v>
      </c>
      <c r="BC190" s="1229" t="s">
        <v>2158</v>
      </c>
      <c r="BD190" s="1229" t="s">
        <v>2158</v>
      </c>
      <c r="BE190" s="1234"/>
      <c r="BF190" s="1229" t="s">
        <v>2158</v>
      </c>
      <c r="BG190" s="1229" t="s">
        <v>2158</v>
      </c>
      <c r="BH190" s="1229" t="s">
        <v>2158</v>
      </c>
      <c r="BI190" s="1230" t="s">
        <v>2158</v>
      </c>
      <c r="BJ190" s="1234"/>
      <c r="BK190" s="1229" t="s">
        <v>2158</v>
      </c>
      <c r="BL190" s="1230" t="s">
        <v>2158</v>
      </c>
      <c r="BM190" s="1229" t="s">
        <v>2158</v>
      </c>
      <c r="BN190" s="1230" t="s">
        <v>2158</v>
      </c>
    </row>
    <row r="191" spans="1:66" x14ac:dyDescent="0.25">
      <c r="A191" s="49" t="str">
        <f t="shared" si="153"/>
        <v>403481</v>
      </c>
      <c r="B191" s="1371" t="str">
        <f>'Income Eligible Deemed Table'!C667</f>
        <v>403481_2024_12_</v>
      </c>
      <c r="C191" s="1307" t="str">
        <f>'Income Eligible Deemed Table'!G667</f>
        <v>Water Heating RES</v>
      </c>
      <c r="D191" s="1307"/>
      <c r="E191" s="1307"/>
      <c r="F191" s="1307"/>
      <c r="G191" s="1307" t="str">
        <f>'Income Eligible Deemed Table'!E667</f>
        <v>Low Flow Kitchen Faucet Aerator SFIE DI</v>
      </c>
      <c r="H191" s="18" t="str">
        <f>'Income Eligible Deemed Table'!D667</f>
        <v>PAYS/SFIE</v>
      </c>
      <c r="I191" s="750">
        <f>'Income Eligible Deemed Table'!F667</f>
        <v>121.19</v>
      </c>
      <c r="J191" s="750"/>
      <c r="K191" s="189"/>
      <c r="L191" s="189"/>
      <c r="M191" s="189"/>
      <c r="N191" s="189"/>
      <c r="O191" s="751">
        <f>'Income Eligible Deemed Table'!J667</f>
        <v>1.0753E-2</v>
      </c>
      <c r="P191" s="751"/>
      <c r="Q191" s="752"/>
      <c r="R191" s="752"/>
      <c r="S191" s="752"/>
      <c r="T191" s="752"/>
      <c r="U191" s="753">
        <f t="shared" si="150"/>
        <v>0</v>
      </c>
      <c r="V191" s="753">
        <f t="shared" si="151"/>
        <v>1.0753E-2</v>
      </c>
      <c r="W191" s="753">
        <f t="shared" si="152"/>
        <v>0</v>
      </c>
      <c r="X191" s="22">
        <f>'Income Eligible Deemed Table'!K667</f>
        <v>10</v>
      </c>
      <c r="Y191" s="22"/>
      <c r="Z191" s="22">
        <f t="shared" si="154"/>
        <v>10</v>
      </c>
      <c r="AA191" s="17">
        <f>'Income Eligible Deemed Table'!DG667</f>
        <v>5.2550774380504439</v>
      </c>
      <c r="AB191" s="246">
        <f>'Income Eligible Deemed Table'!L667</f>
        <v>11.33</v>
      </c>
      <c r="AC191" s="861">
        <f t="shared" si="155"/>
        <v>59.540027373111528</v>
      </c>
      <c r="AD191" s="861">
        <f t="shared" si="148"/>
        <v>0</v>
      </c>
      <c r="AE191" s="592">
        <f>'Income Eligible Deemed Table'!DI667</f>
        <v>59.540027373111528</v>
      </c>
      <c r="AF191" s="195"/>
      <c r="AG191" s="195"/>
      <c r="AH191" s="195"/>
      <c r="AI191" s="869" t="str">
        <f>'Income Eligible Deemed Table'!M667</f>
        <v>per measure</v>
      </c>
      <c r="AJ191" s="656"/>
      <c r="AK191" s="39"/>
      <c r="AL191" s="39"/>
      <c r="AX191" s="1284" t="str">
        <f t="shared" si="160"/>
        <v>Low Flow Kitchen Faucet Aerator SFIE DI</v>
      </c>
      <c r="AY191" s="1307"/>
      <c r="AZ191" s="1376" t="str">
        <f t="shared" si="161"/>
        <v>403481</v>
      </c>
      <c r="BA191" s="1229" t="s">
        <v>2158</v>
      </c>
      <c r="BB191" s="1229" t="s">
        <v>2158</v>
      </c>
      <c r="BC191" s="1229" t="s">
        <v>2158</v>
      </c>
      <c r="BD191" s="1229" t="s">
        <v>2158</v>
      </c>
      <c r="BE191" s="1234"/>
      <c r="BF191" s="1229" t="s">
        <v>2158</v>
      </c>
      <c r="BG191" s="1229" t="s">
        <v>2158</v>
      </c>
      <c r="BH191" s="1229" t="s">
        <v>2158</v>
      </c>
      <c r="BI191" s="1230" t="s">
        <v>2158</v>
      </c>
      <c r="BJ191" s="1234"/>
      <c r="BK191" s="1229" t="s">
        <v>2158</v>
      </c>
      <c r="BL191" s="1230" t="s">
        <v>2158</v>
      </c>
      <c r="BM191" s="1229" t="s">
        <v>2158</v>
      </c>
      <c r="BN191" s="1230" t="s">
        <v>2158</v>
      </c>
    </row>
    <row r="192" spans="1:66" x14ac:dyDescent="0.25">
      <c r="A192" s="49" t="str">
        <f t="shared" si="153"/>
        <v>403550</v>
      </c>
      <c r="B192" s="1371" t="str">
        <f>'Income Eligible Deemed Table'!C701</f>
        <v>403550_2024_12_</v>
      </c>
      <c r="C192" s="1307" t="str">
        <f>'Income Eligible Deemed Table'!G701</f>
        <v>Water heating RES</v>
      </c>
      <c r="D192" s="1307"/>
      <c r="E192" s="1307"/>
      <c r="F192" s="1307"/>
      <c r="G192" s="1307" t="str">
        <f>'Income Eligible Deemed Table'!E701</f>
        <v>Low Flow Showerhead MFIE DI</v>
      </c>
      <c r="H192" s="18" t="str">
        <f>'Income Eligible Deemed Table'!D701</f>
        <v>MFIE</v>
      </c>
      <c r="I192" s="750">
        <f>'Income Eligible Deemed Table'!F701</f>
        <v>248.01</v>
      </c>
      <c r="J192" s="750"/>
      <c r="K192" s="189"/>
      <c r="L192" s="189"/>
      <c r="M192" s="189"/>
      <c r="N192" s="189"/>
      <c r="O192" s="751">
        <f>'Income Eligible Deemed Table'!J701</f>
        <v>2.2006000000000001E-2</v>
      </c>
      <c r="P192" s="751"/>
      <c r="Q192" s="752"/>
      <c r="R192" s="752"/>
      <c r="S192" s="752"/>
      <c r="T192" s="752"/>
      <c r="U192" s="753">
        <f t="shared" si="150"/>
        <v>0</v>
      </c>
      <c r="V192" s="753">
        <f t="shared" si="151"/>
        <v>2.2006000000000001E-2</v>
      </c>
      <c r="W192" s="753">
        <f t="shared" si="152"/>
        <v>0</v>
      </c>
      <c r="X192" s="22">
        <f>'Income Eligible Deemed Table'!K701</f>
        <v>10</v>
      </c>
      <c r="Y192" s="22"/>
      <c r="Z192" s="22">
        <f t="shared" si="154"/>
        <v>10</v>
      </c>
      <c r="AA192" s="17">
        <f>'Income Eligible Deemed Table'!DG701</f>
        <v>7.9482090646346917</v>
      </c>
      <c r="AB192" s="246">
        <f>'Income Eligible Deemed Table'!L701</f>
        <v>15.33</v>
      </c>
      <c r="AC192" s="861">
        <f t="shared" si="155"/>
        <v>121.84604496084982</v>
      </c>
      <c r="AD192" s="861">
        <f t="shared" si="148"/>
        <v>0</v>
      </c>
      <c r="AE192" s="592">
        <f>'Income Eligible Deemed Table'!DI701</f>
        <v>121.84604496084982</v>
      </c>
      <c r="AF192" s="195"/>
      <c r="AG192" s="195"/>
      <c r="AH192" s="195"/>
      <c r="AI192" s="869" t="str">
        <f>'Income Eligible Deemed Table'!M701</f>
        <v>per measure</v>
      </c>
      <c r="AJ192" s="68"/>
      <c r="AX192" s="1284" t="str">
        <f t="shared" si="160"/>
        <v>Low Flow Showerhead MFIE DI</v>
      </c>
      <c r="AY192" s="1307"/>
      <c r="AZ192" s="1376" t="str">
        <f t="shared" si="161"/>
        <v>403550</v>
      </c>
      <c r="BA192" s="1229" t="s">
        <v>2158</v>
      </c>
      <c r="BB192" s="1229" t="s">
        <v>2158</v>
      </c>
      <c r="BC192" s="1229" t="s">
        <v>2158</v>
      </c>
      <c r="BD192" s="1229" t="s">
        <v>2158</v>
      </c>
      <c r="BE192" s="1234"/>
      <c r="BF192" s="1229" t="s">
        <v>2158</v>
      </c>
      <c r="BG192" s="1229" t="s">
        <v>2158</v>
      </c>
      <c r="BH192" s="1229" t="s">
        <v>2158</v>
      </c>
      <c r="BI192" s="1230" t="s">
        <v>2158</v>
      </c>
      <c r="BJ192" s="1234"/>
      <c r="BK192" s="1229" t="s">
        <v>2158</v>
      </c>
      <c r="BL192" s="1230" t="s">
        <v>2158</v>
      </c>
      <c r="BM192" s="1229" t="s">
        <v>2158</v>
      </c>
      <c r="BN192" s="1230" t="s">
        <v>2158</v>
      </c>
    </row>
    <row r="193" spans="1:66" x14ac:dyDescent="0.25">
      <c r="A193" s="49" t="str">
        <f t="shared" si="153"/>
        <v>403551</v>
      </c>
      <c r="B193" s="1371" t="str">
        <f>'Income Eligible Deemed Table'!C702</f>
        <v>403551_2024_12_</v>
      </c>
      <c r="C193" s="1307" t="str">
        <f>'Income Eligible Deemed Table'!G702</f>
        <v>Water heating RES</v>
      </c>
      <c r="D193" s="1307"/>
      <c r="E193" s="1307"/>
      <c r="F193" s="1307"/>
      <c r="G193" s="1307" t="str">
        <f>'Income Eligible Deemed Table'!E702</f>
        <v>Low Flow Handheld Showerhead MFIE DI</v>
      </c>
      <c r="H193" s="18" t="str">
        <f>'Income Eligible Deemed Table'!D702</f>
        <v>MFIE</v>
      </c>
      <c r="I193" s="750">
        <f>'Income Eligible Deemed Table'!F702</f>
        <v>248.01</v>
      </c>
      <c r="J193" s="750"/>
      <c r="K193" s="189"/>
      <c r="L193" s="189"/>
      <c r="M193" s="189"/>
      <c r="N193" s="189"/>
      <c r="O193" s="751">
        <f>'Income Eligible Deemed Table'!J702</f>
        <v>2.2006000000000001E-2</v>
      </c>
      <c r="P193" s="751"/>
      <c r="Q193" s="752"/>
      <c r="R193" s="752"/>
      <c r="S193" s="752"/>
      <c r="T193" s="752"/>
      <c r="U193" s="753">
        <f t="shared" si="150"/>
        <v>0</v>
      </c>
      <c r="V193" s="753">
        <f t="shared" si="151"/>
        <v>2.2006000000000001E-2</v>
      </c>
      <c r="W193" s="753">
        <f t="shared" si="152"/>
        <v>0</v>
      </c>
      <c r="X193" s="22">
        <f>'Income Eligible Deemed Table'!K702</f>
        <v>10</v>
      </c>
      <c r="Y193" s="22"/>
      <c r="Z193" s="22">
        <f t="shared" si="154"/>
        <v>10</v>
      </c>
      <c r="AA193" s="17">
        <f>'Income Eligible Deemed Table'!DG702</f>
        <v>5.2182460368672299</v>
      </c>
      <c r="AB193" s="246">
        <f>'Income Eligible Deemed Table'!L702</f>
        <v>23.35</v>
      </c>
      <c r="AC193" s="861">
        <f t="shared" si="155"/>
        <v>121.84604496084982</v>
      </c>
      <c r="AD193" s="861">
        <f t="shared" si="148"/>
        <v>0</v>
      </c>
      <c r="AE193" s="592">
        <f>'Income Eligible Deemed Table'!DI702</f>
        <v>121.84604496084982</v>
      </c>
      <c r="AF193" s="195"/>
      <c r="AG193" s="195"/>
      <c r="AH193" s="195"/>
      <c r="AI193" s="869" t="str">
        <f>'Income Eligible Deemed Table'!M702</f>
        <v>per measure</v>
      </c>
      <c r="AJ193" s="68"/>
      <c r="AX193" s="1284" t="str">
        <f t="shared" si="160"/>
        <v>Low Flow Handheld Showerhead MFIE DI</v>
      </c>
      <c r="AY193" s="1307"/>
      <c r="AZ193" s="1376" t="str">
        <f t="shared" si="161"/>
        <v>403551</v>
      </c>
      <c r="BA193" s="1229" t="s">
        <v>2158</v>
      </c>
      <c r="BB193" s="1229" t="s">
        <v>2158</v>
      </c>
      <c r="BC193" s="1229" t="s">
        <v>2158</v>
      </c>
      <c r="BD193" s="1229" t="s">
        <v>2158</v>
      </c>
      <c r="BE193" s="1234"/>
      <c r="BF193" s="1229" t="s">
        <v>2158</v>
      </c>
      <c r="BG193" s="1229" t="s">
        <v>2158</v>
      </c>
      <c r="BH193" s="1229" t="s">
        <v>2158</v>
      </c>
      <c r="BI193" s="1230" t="s">
        <v>2158</v>
      </c>
      <c r="BJ193" s="1234"/>
      <c r="BK193" s="1229" t="s">
        <v>2158</v>
      </c>
      <c r="BL193" s="1230" t="s">
        <v>2158</v>
      </c>
      <c r="BM193" s="1229" t="s">
        <v>2158</v>
      </c>
      <c r="BN193" s="1230" t="s">
        <v>2158</v>
      </c>
    </row>
    <row r="194" spans="1:66" x14ac:dyDescent="0.25">
      <c r="A194" s="49" t="str">
        <f t="shared" si="153"/>
        <v>403600</v>
      </c>
      <c r="B194" s="1371" t="str">
        <f>'Income Eligible Deemed Table'!C703</f>
        <v>403600_2024_12_</v>
      </c>
      <c r="C194" s="1307" t="str">
        <f>'Income Eligible Deemed Table'!G703</f>
        <v>Water heating RES</v>
      </c>
      <c r="D194" s="1307"/>
      <c r="E194" s="1307"/>
      <c r="F194" s="1307"/>
      <c r="G194" s="1307" t="str">
        <f>'Income Eligible Deemed Table'!E703</f>
        <v>Low Flow Showerhead SFIE DI</v>
      </c>
      <c r="H194" s="18" t="str">
        <f>'Income Eligible Deemed Table'!D703</f>
        <v>PAYS/SFIE</v>
      </c>
      <c r="I194" s="750">
        <f>'Income Eligible Deemed Table'!F703</f>
        <v>207.7</v>
      </c>
      <c r="J194" s="750"/>
      <c r="K194" s="189"/>
      <c r="L194" s="189"/>
      <c r="M194" s="189"/>
      <c r="N194" s="189"/>
      <c r="O194" s="751">
        <f>'Income Eligible Deemed Table'!J703</f>
        <v>1.8429999999999998E-2</v>
      </c>
      <c r="P194" s="751"/>
      <c r="Q194" s="752"/>
      <c r="R194" s="752"/>
      <c r="S194" s="752"/>
      <c r="T194" s="752"/>
      <c r="U194" s="753">
        <f t="shared" si="150"/>
        <v>0</v>
      </c>
      <c r="V194" s="753">
        <f t="shared" si="151"/>
        <v>1.8429999999999998E-2</v>
      </c>
      <c r="W194" s="753">
        <f t="shared" si="152"/>
        <v>0</v>
      </c>
      <c r="X194" s="22">
        <f>'Income Eligible Deemed Table'!K703</f>
        <v>10</v>
      </c>
      <c r="Y194" s="22"/>
      <c r="Z194" s="22">
        <f t="shared" si="154"/>
        <v>10</v>
      </c>
      <c r="AA194" s="17">
        <f>'Income Eligible Deemed Table'!DG703</f>
        <v>6.6563566901521121</v>
      </c>
      <c r="AB194" s="246">
        <f>'Income Eligible Deemed Table'!L703</f>
        <v>15.33</v>
      </c>
      <c r="AC194" s="861">
        <f t="shared" si="155"/>
        <v>102.04194806003188</v>
      </c>
      <c r="AD194" s="861">
        <f t="shared" si="148"/>
        <v>0</v>
      </c>
      <c r="AE194" s="592">
        <f>'Income Eligible Deemed Table'!DI703</f>
        <v>102.04194806003188</v>
      </c>
      <c r="AF194" s="195"/>
      <c r="AG194" s="195"/>
      <c r="AH194" s="195"/>
      <c r="AI194" s="869" t="str">
        <f>'Income Eligible Deemed Table'!M703</f>
        <v>per measure</v>
      </c>
      <c r="AJ194" s="68"/>
      <c r="AX194" s="1284" t="str">
        <f t="shared" si="160"/>
        <v>Low Flow Showerhead SFIE DI</v>
      </c>
      <c r="AY194" s="1307"/>
      <c r="AZ194" s="1376" t="str">
        <f t="shared" si="161"/>
        <v>403600</v>
      </c>
      <c r="BA194" s="1229" t="s">
        <v>2158</v>
      </c>
      <c r="BB194" s="1229" t="s">
        <v>2158</v>
      </c>
      <c r="BC194" s="1229" t="s">
        <v>2158</v>
      </c>
      <c r="BD194" s="1229" t="s">
        <v>2158</v>
      </c>
      <c r="BE194" s="1234"/>
      <c r="BF194" s="1229" t="s">
        <v>2158</v>
      </c>
      <c r="BG194" s="1229" t="s">
        <v>2158</v>
      </c>
      <c r="BH194" s="1229" t="s">
        <v>2158</v>
      </c>
      <c r="BI194" s="1230" t="s">
        <v>2158</v>
      </c>
      <c r="BJ194" s="1234"/>
      <c r="BK194" s="1229" t="s">
        <v>2158</v>
      </c>
      <c r="BL194" s="1230" t="s">
        <v>2158</v>
      </c>
      <c r="BM194" s="1229" t="s">
        <v>2158</v>
      </c>
      <c r="BN194" s="1230" t="s">
        <v>2158</v>
      </c>
    </row>
    <row r="195" spans="1:66" x14ac:dyDescent="0.25">
      <c r="A195" s="49" t="str">
        <f t="shared" si="153"/>
        <v>403601</v>
      </c>
      <c r="B195" s="1371" t="str">
        <f>'Income Eligible Deemed Table'!C704</f>
        <v>403601_2024_12_</v>
      </c>
      <c r="C195" s="1307" t="str">
        <f>'Income Eligible Deemed Table'!G704</f>
        <v>Water heating RES</v>
      </c>
      <c r="D195" s="1307"/>
      <c r="E195" s="1307"/>
      <c r="F195" s="1307"/>
      <c r="G195" s="1307" t="str">
        <f>'Income Eligible Deemed Table'!E704</f>
        <v>Low Flow Handheld Showerhead SFIE DI</v>
      </c>
      <c r="H195" s="18" t="str">
        <f>'Income Eligible Deemed Table'!D704</f>
        <v>SFIE</v>
      </c>
      <c r="I195" s="750">
        <f>'Income Eligible Deemed Table'!F704</f>
        <v>207.7</v>
      </c>
      <c r="J195" s="750"/>
      <c r="K195" s="189"/>
      <c r="L195" s="189"/>
      <c r="M195" s="189"/>
      <c r="N195" s="189"/>
      <c r="O195" s="751">
        <f>'Income Eligible Deemed Table'!J704</f>
        <v>1.8429999999999998E-2</v>
      </c>
      <c r="P195" s="751"/>
      <c r="Q195" s="752"/>
      <c r="R195" s="752"/>
      <c r="S195" s="752"/>
      <c r="T195" s="752"/>
      <c r="U195" s="753">
        <f t="shared" si="150"/>
        <v>0</v>
      </c>
      <c r="V195" s="753">
        <f t="shared" si="151"/>
        <v>1.8429999999999998E-2</v>
      </c>
      <c r="W195" s="753">
        <f t="shared" si="152"/>
        <v>0</v>
      </c>
      <c r="X195" s="22">
        <f>'Income Eligible Deemed Table'!K704</f>
        <v>10</v>
      </c>
      <c r="Y195" s="22"/>
      <c r="Z195" s="22">
        <f t="shared" si="154"/>
        <v>10</v>
      </c>
      <c r="AA195" s="17">
        <f>'Income Eligible Deemed Table'!DG704</f>
        <v>4.3701048419713864</v>
      </c>
      <c r="AB195" s="246">
        <f>'Income Eligible Deemed Table'!L704</f>
        <v>23.35</v>
      </c>
      <c r="AC195" s="861">
        <f t="shared" si="155"/>
        <v>102.04194806003188</v>
      </c>
      <c r="AD195" s="861">
        <f t="shared" si="148"/>
        <v>0</v>
      </c>
      <c r="AE195" s="592">
        <f>'Income Eligible Deemed Table'!DI704</f>
        <v>102.04194806003188</v>
      </c>
      <c r="AF195" s="195"/>
      <c r="AG195" s="195"/>
      <c r="AH195" s="195"/>
      <c r="AI195" s="869" t="str">
        <f>'Income Eligible Deemed Table'!M704</f>
        <v>per measure</v>
      </c>
      <c r="AJ195" s="68"/>
      <c r="AX195" s="1284" t="str">
        <f t="shared" si="160"/>
        <v>Low Flow Handheld Showerhead SFIE DI</v>
      </c>
      <c r="AY195" s="1307"/>
      <c r="AZ195" s="1376" t="str">
        <f t="shared" si="161"/>
        <v>403601</v>
      </c>
      <c r="BA195" s="1229" t="s">
        <v>2158</v>
      </c>
      <c r="BB195" s="1229" t="s">
        <v>2158</v>
      </c>
      <c r="BC195" s="1229" t="s">
        <v>2158</v>
      </c>
      <c r="BD195" s="1229" t="s">
        <v>2158</v>
      </c>
      <c r="BE195" s="1234"/>
      <c r="BF195" s="1229" t="s">
        <v>2158</v>
      </c>
      <c r="BG195" s="1229" t="s">
        <v>2158</v>
      </c>
      <c r="BH195" s="1229" t="s">
        <v>2158</v>
      </c>
      <c r="BI195" s="1230" t="s">
        <v>2158</v>
      </c>
      <c r="BJ195" s="1234"/>
      <c r="BK195" s="1229" t="s">
        <v>2158</v>
      </c>
      <c r="BL195" s="1230" t="s">
        <v>2158</v>
      </c>
      <c r="BM195" s="1229" t="s">
        <v>2158</v>
      </c>
      <c r="BN195" s="1230" t="s">
        <v>2158</v>
      </c>
    </row>
    <row r="196" spans="1:66" x14ac:dyDescent="0.25">
      <c r="A196" s="49" t="str">
        <f t="shared" si="153"/>
        <v>403700</v>
      </c>
      <c r="B196" s="1371" t="str">
        <f>'Income Eligible Deemed Table'!C743</f>
        <v>403700_2019_12_</v>
      </c>
      <c r="C196" s="1307" t="str">
        <f>'Income Eligible Deemed Table'!G743</f>
        <v>Water heating RES</v>
      </c>
      <c r="D196" s="1307"/>
      <c r="E196" s="1307"/>
      <c r="F196" s="1307"/>
      <c r="G196" s="1307" t="str">
        <f>'Income Eligible Deemed Table'!E743</f>
        <v>Pipe Insulation MFIE DI</v>
      </c>
      <c r="H196" s="18" t="str">
        <f>'Income Eligible Deemed Table'!D743</f>
        <v>MFIE</v>
      </c>
      <c r="I196" s="750">
        <f>'Income Eligible Deemed Table'!F743</f>
        <v>4.6399999999999997</v>
      </c>
      <c r="J196" s="750"/>
      <c r="K196" s="189"/>
      <c r="L196" s="189"/>
      <c r="M196" s="189"/>
      <c r="N196" s="189"/>
      <c r="O196" s="751">
        <f>'Income Eligible Deemed Table'!I743</f>
        <v>4.1199999999999999E-4</v>
      </c>
      <c r="P196" s="751"/>
      <c r="Q196" s="752"/>
      <c r="R196" s="752"/>
      <c r="S196" s="752"/>
      <c r="T196" s="752"/>
      <c r="U196" s="753">
        <f t="shared" si="150"/>
        <v>0</v>
      </c>
      <c r="V196" s="753">
        <f t="shared" si="151"/>
        <v>4.1199999999999999E-4</v>
      </c>
      <c r="W196" s="753">
        <f t="shared" si="152"/>
        <v>0</v>
      </c>
      <c r="X196" s="22">
        <f>'Income Eligible Deemed Table'!J743</f>
        <v>12</v>
      </c>
      <c r="Y196" s="22"/>
      <c r="Z196" s="22">
        <f t="shared" si="154"/>
        <v>12</v>
      </c>
      <c r="AA196" s="17">
        <f>'Income Eligible Deemed Table'!DG743</f>
        <v>0.46027265770701875</v>
      </c>
      <c r="AB196" s="246">
        <f>'Income Eligible Deemed Table'!K743</f>
        <v>5.66</v>
      </c>
      <c r="AC196" s="861">
        <f t="shared" si="155"/>
        <v>2.6051432426217263</v>
      </c>
      <c r="AD196" s="861">
        <f t="shared" si="148"/>
        <v>0</v>
      </c>
      <c r="AE196" s="592">
        <f>'Income Eligible Deemed Table'!DI743</f>
        <v>2.6051432426217263</v>
      </c>
      <c r="AF196" s="195"/>
      <c r="AG196" s="195"/>
      <c r="AH196" s="195"/>
      <c r="AI196" s="1371" t="str">
        <f>'Income Eligible Deemed Table'!L743</f>
        <v>per foot</v>
      </c>
      <c r="AJ196" s="68"/>
      <c r="AX196" s="1284" t="str">
        <f t="shared" si="160"/>
        <v>Pipe Insulation MFIE DI</v>
      </c>
      <c r="AY196" s="1307"/>
      <c r="AZ196" s="1376" t="str">
        <f t="shared" si="161"/>
        <v>403700</v>
      </c>
      <c r="BA196" s="1229" t="s">
        <v>2158</v>
      </c>
      <c r="BB196" s="1229" t="s">
        <v>2158</v>
      </c>
      <c r="BC196" s="1229" t="s">
        <v>2158</v>
      </c>
      <c r="BD196" s="1229" t="s">
        <v>2158</v>
      </c>
      <c r="BE196" s="1234"/>
      <c r="BF196" s="1229" t="s">
        <v>2158</v>
      </c>
      <c r="BG196" s="1229" t="s">
        <v>2158</v>
      </c>
      <c r="BH196" s="1229" t="s">
        <v>2158</v>
      </c>
      <c r="BI196" s="1230" t="s">
        <v>2158</v>
      </c>
      <c r="BJ196" s="1234"/>
      <c r="BK196" s="1229" t="s">
        <v>2158</v>
      </c>
      <c r="BL196" s="1230" t="s">
        <v>2158</v>
      </c>
      <c r="BM196" s="1229" t="s">
        <v>2158</v>
      </c>
      <c r="BN196" s="1230" t="s">
        <v>2158</v>
      </c>
    </row>
    <row r="197" spans="1:66" x14ac:dyDescent="0.25">
      <c r="A197" s="49" t="str">
        <f t="shared" si="153"/>
        <v>403750</v>
      </c>
      <c r="B197" s="1371" t="str">
        <f>'Income Eligible Deemed Table'!C744</f>
        <v>403750_2019_12_</v>
      </c>
      <c r="C197" s="1307" t="str">
        <f>'Income Eligible Deemed Table'!G744</f>
        <v>Water heating RES</v>
      </c>
      <c r="D197" s="1307"/>
      <c r="E197" s="1307"/>
      <c r="F197" s="1307"/>
      <c r="G197" s="1307" t="str">
        <f>'Income Eligible Deemed Table'!E744</f>
        <v>Pipe Insulation SFIE DI</v>
      </c>
      <c r="H197" s="18" t="str">
        <f>'Income Eligible Deemed Table'!D744</f>
        <v>PAYS/SFIE</v>
      </c>
      <c r="I197" s="750">
        <f>'Income Eligible Deemed Table'!F744</f>
        <v>4.6399999999999997</v>
      </c>
      <c r="J197" s="750"/>
      <c r="K197" s="189"/>
      <c r="L197" s="189"/>
      <c r="M197" s="189"/>
      <c r="N197" s="189"/>
      <c r="O197" s="751">
        <f>'Income Eligible Deemed Table'!I744</f>
        <v>4.1199999999999999E-4</v>
      </c>
      <c r="P197" s="751"/>
      <c r="Q197" s="752"/>
      <c r="R197" s="752"/>
      <c r="S197" s="752"/>
      <c r="T197" s="752"/>
      <c r="U197" s="753">
        <f t="shared" si="150"/>
        <v>0</v>
      </c>
      <c r="V197" s="753">
        <f t="shared" si="151"/>
        <v>4.1199999999999999E-4</v>
      </c>
      <c r="W197" s="753">
        <f t="shared" si="152"/>
        <v>0</v>
      </c>
      <c r="X197" s="22">
        <f>'Income Eligible Deemed Table'!J744</f>
        <v>12</v>
      </c>
      <c r="Y197" s="22"/>
      <c r="Z197" s="22">
        <f t="shared" si="154"/>
        <v>12</v>
      </c>
      <c r="AA197" s="17">
        <f>'Income Eligible Deemed Table'!DG744</f>
        <v>0.46027265770701875</v>
      </c>
      <c r="AB197" s="246">
        <f>'Income Eligible Deemed Table'!K744</f>
        <v>5.66</v>
      </c>
      <c r="AC197" s="861">
        <f t="shared" si="155"/>
        <v>2.6051432426217263</v>
      </c>
      <c r="AD197" s="861">
        <f t="shared" si="148"/>
        <v>0</v>
      </c>
      <c r="AE197" s="592">
        <f>'Income Eligible Deemed Table'!DI744</f>
        <v>2.6051432426217263</v>
      </c>
      <c r="AF197" s="195"/>
      <c r="AG197" s="195"/>
      <c r="AH197" s="195"/>
      <c r="AI197" s="1371" t="str">
        <f>'Income Eligible Deemed Table'!L744</f>
        <v>per foot</v>
      </c>
      <c r="AJ197" s="68"/>
      <c r="AX197" s="1284" t="str">
        <f t="shared" si="160"/>
        <v>Pipe Insulation SFIE DI</v>
      </c>
      <c r="AY197" s="1307"/>
      <c r="AZ197" s="1376" t="str">
        <f t="shared" si="161"/>
        <v>403750</v>
      </c>
      <c r="BA197" s="1229" t="s">
        <v>2158</v>
      </c>
      <c r="BB197" s="1229" t="s">
        <v>2158</v>
      </c>
      <c r="BC197" s="1229" t="s">
        <v>2158</v>
      </c>
      <c r="BD197" s="1229" t="s">
        <v>2158</v>
      </c>
      <c r="BE197" s="1234"/>
      <c r="BF197" s="1229" t="s">
        <v>2158</v>
      </c>
      <c r="BG197" s="1229" t="s">
        <v>2158</v>
      </c>
      <c r="BH197" s="1229" t="s">
        <v>2158</v>
      </c>
      <c r="BI197" s="1230" t="s">
        <v>2158</v>
      </c>
      <c r="BJ197" s="1234"/>
      <c r="BK197" s="1229" t="s">
        <v>2158</v>
      </c>
      <c r="BL197" s="1230" t="s">
        <v>2158</v>
      </c>
      <c r="BM197" s="1229" t="s">
        <v>2158</v>
      </c>
      <c r="BN197" s="1230" t="s">
        <v>2158</v>
      </c>
    </row>
    <row r="198" spans="1:66" x14ac:dyDescent="0.25">
      <c r="A198" s="49" t="str">
        <f t="shared" si="153"/>
        <v>403800</v>
      </c>
      <c r="B198" s="1371" t="str">
        <f>'Income Eligible Deemed Table'!C771</f>
        <v>403800_2019_12_</v>
      </c>
      <c r="C198" s="1307" t="str">
        <f>'Income Eligible Deemed Table'!G771</f>
        <v>Cooling RES</v>
      </c>
      <c r="D198" s="1307" t="str">
        <f>'Income Eligible Deemed Table'!G772</f>
        <v>Heating RES</v>
      </c>
      <c r="E198" s="1307"/>
      <c r="F198" s="1307"/>
      <c r="G198" s="1307" t="str">
        <f>'Income Eligible Deemed Table'!E771</f>
        <v>Setback thermostat - full setback - ASHP heating/cooling MF</v>
      </c>
      <c r="H198" s="18" t="str">
        <f>'Income Eligible Deemed Table'!D771</f>
        <v>MFIE</v>
      </c>
      <c r="I198" s="750">
        <f t="shared" ref="I198:I203" si="162">K198+L198</f>
        <v>0</v>
      </c>
      <c r="J198" s="750">
        <f t="shared" ref="J198:J203" si="163">M198+N198</f>
        <v>0</v>
      </c>
      <c r="K198" s="189">
        <f>'Income Eligible Deemed Table'!F771</f>
        <v>0</v>
      </c>
      <c r="L198" s="189">
        <f>'Income Eligible Deemed Table'!F772</f>
        <v>0</v>
      </c>
      <c r="M198" s="189"/>
      <c r="N198" s="189"/>
      <c r="O198" s="751">
        <f t="shared" ref="O198:O203" si="164">Q198+R198</f>
        <v>0</v>
      </c>
      <c r="P198" s="751">
        <f t="shared" ref="P198:P203" si="165">S198+T198</f>
        <v>0</v>
      </c>
      <c r="Q198" s="752">
        <f>'Income Eligible Deemed Table'!I771</f>
        <v>0</v>
      </c>
      <c r="R198" s="752">
        <f>'Income Eligible Deemed Table'!I772</f>
        <v>0</v>
      </c>
      <c r="S198" s="752"/>
      <c r="T198" s="752"/>
      <c r="U198" s="753">
        <f t="shared" si="150"/>
        <v>0</v>
      </c>
      <c r="V198" s="753">
        <f t="shared" si="151"/>
        <v>0</v>
      </c>
      <c r="W198" s="753">
        <f t="shared" si="152"/>
        <v>0</v>
      </c>
      <c r="X198" s="22">
        <f>'Income Eligible Deemed Table'!J771</f>
        <v>10</v>
      </c>
      <c r="Y198" s="22"/>
      <c r="Z198" s="22">
        <f t="shared" si="154"/>
        <v>10</v>
      </c>
      <c r="AA198" s="17">
        <f>'Income Eligible Deemed Table'!DG771</f>
        <v>0</v>
      </c>
      <c r="AB198" s="246">
        <f>'Income Eligible Deemed Table'!K771</f>
        <v>70</v>
      </c>
      <c r="AC198" s="861">
        <f t="shared" si="155"/>
        <v>0</v>
      </c>
      <c r="AD198" s="861">
        <f t="shared" si="148"/>
        <v>0</v>
      </c>
      <c r="AE198" s="592">
        <f>'Income Eligible Deemed Table'!DI771</f>
        <v>0</v>
      </c>
      <c r="AF198" s="195">
        <f>'Income Eligible Deemed Table'!DI772</f>
        <v>0</v>
      </c>
      <c r="AG198" s="195"/>
      <c r="AH198" s="195"/>
      <c r="AI198" s="1371" t="str">
        <f>'Income Eligible Deemed Table'!L771</f>
        <v>per measure</v>
      </c>
      <c r="AJ198" s="68"/>
      <c r="AX198" s="1284" t="str">
        <f t="shared" si="160"/>
        <v>Setback thermostat - full setback - ASHP heating/cooling MF</v>
      </c>
      <c r="AY198" s="1307"/>
      <c r="AZ198" s="1376" t="str">
        <f t="shared" si="161"/>
        <v>403800</v>
      </c>
      <c r="BA198" s="1229" t="s">
        <v>2158</v>
      </c>
      <c r="BB198" s="1229" t="s">
        <v>2158</v>
      </c>
      <c r="BC198" s="1229" t="s">
        <v>2158</v>
      </c>
      <c r="BD198" s="1229" t="s">
        <v>2158</v>
      </c>
      <c r="BE198" s="1234"/>
      <c r="BF198" s="1229" t="s">
        <v>2158</v>
      </c>
      <c r="BG198" s="1229" t="s">
        <v>2158</v>
      </c>
      <c r="BH198" s="1229" t="s">
        <v>2158</v>
      </c>
      <c r="BI198" s="1230" t="s">
        <v>2158</v>
      </c>
      <c r="BJ198" s="1234"/>
      <c r="BK198" s="1229" t="s">
        <v>2158</v>
      </c>
      <c r="BL198" s="1230" t="s">
        <v>2158</v>
      </c>
      <c r="BM198" s="1229" t="s">
        <v>2158</v>
      </c>
      <c r="BN198" s="1230" t="s">
        <v>2158</v>
      </c>
    </row>
    <row r="199" spans="1:66" x14ac:dyDescent="0.25">
      <c r="A199" s="49" t="str">
        <f t="shared" si="153"/>
        <v>403850</v>
      </c>
      <c r="B199" s="1371" t="str">
        <f>'Income Eligible Deemed Table'!C773</f>
        <v>403850_2024_12_</v>
      </c>
      <c r="C199" s="1307" t="str">
        <f>'Income Eligible Deemed Table'!G773</f>
        <v>Cooling RES</v>
      </c>
      <c r="D199" s="1307" t="str">
        <f>'Income Eligible Deemed Table'!G774</f>
        <v>Heating RES</v>
      </c>
      <c r="E199" s="1307"/>
      <c r="F199" s="1307"/>
      <c r="G199" s="1307" t="str">
        <f>'Income Eligible Deemed Table'!E773</f>
        <v>Setback thermostat - full setback - ASHP heating/cooling SF</v>
      </c>
      <c r="H199" s="18" t="str">
        <f>'Income Eligible Deemed Table'!D773</f>
        <v>SFIE</v>
      </c>
      <c r="I199" s="750">
        <f t="shared" si="162"/>
        <v>0</v>
      </c>
      <c r="J199" s="750">
        <f t="shared" si="163"/>
        <v>0</v>
      </c>
      <c r="K199" s="189">
        <f>'Income Eligible Deemed Table'!F773</f>
        <v>0</v>
      </c>
      <c r="L199" s="189">
        <f>'Income Eligible Deemed Table'!F774</f>
        <v>0</v>
      </c>
      <c r="M199" s="189"/>
      <c r="N199" s="189"/>
      <c r="O199" s="751">
        <f t="shared" si="164"/>
        <v>0</v>
      </c>
      <c r="P199" s="751">
        <f t="shared" si="165"/>
        <v>0</v>
      </c>
      <c r="Q199" s="752">
        <f>'Income Eligible Deemed Table'!I773</f>
        <v>0</v>
      </c>
      <c r="R199" s="752">
        <f>'Income Eligible Deemed Table'!I774</f>
        <v>0</v>
      </c>
      <c r="S199" s="752"/>
      <c r="T199" s="752"/>
      <c r="U199" s="753">
        <f t="shared" si="150"/>
        <v>0</v>
      </c>
      <c r="V199" s="753">
        <f t="shared" si="151"/>
        <v>0</v>
      </c>
      <c r="W199" s="753">
        <f t="shared" si="152"/>
        <v>0</v>
      </c>
      <c r="X199" s="22">
        <f>'Income Eligible Deemed Table'!J773</f>
        <v>10</v>
      </c>
      <c r="Y199" s="22"/>
      <c r="Z199" s="22">
        <f t="shared" si="154"/>
        <v>10</v>
      </c>
      <c r="AA199" s="17">
        <f>'Income Eligible Deemed Table'!DG773</f>
        <v>0</v>
      </c>
      <c r="AB199" s="246">
        <f>'Income Eligible Deemed Table'!K773</f>
        <v>70</v>
      </c>
      <c r="AC199" s="861">
        <f t="shared" si="155"/>
        <v>0</v>
      </c>
      <c r="AD199" s="861">
        <f t="shared" si="148"/>
        <v>0</v>
      </c>
      <c r="AE199" s="592">
        <f>'Income Eligible Deemed Table'!DI773</f>
        <v>0</v>
      </c>
      <c r="AF199" s="195">
        <f>'Income Eligible Deemed Table'!DI774</f>
        <v>0</v>
      </c>
      <c r="AG199" s="195"/>
      <c r="AH199" s="195"/>
      <c r="AI199" s="1371" t="str">
        <f>'Income Eligible Deemed Table'!L773</f>
        <v>per measure</v>
      </c>
      <c r="AJ199" s="68"/>
      <c r="AX199" s="1284" t="str">
        <f t="shared" si="160"/>
        <v>Setback thermostat - full setback - ASHP heating/cooling SF</v>
      </c>
      <c r="AY199" s="1307"/>
      <c r="AZ199" s="1376" t="str">
        <f t="shared" si="161"/>
        <v>403850</v>
      </c>
      <c r="BA199" s="1229" t="s">
        <v>2158</v>
      </c>
      <c r="BB199" s="1229" t="s">
        <v>2158</v>
      </c>
      <c r="BC199" s="1229" t="s">
        <v>2158</v>
      </c>
      <c r="BD199" s="1229" t="s">
        <v>2158</v>
      </c>
      <c r="BE199" s="1234"/>
      <c r="BF199" s="1229" t="s">
        <v>2158</v>
      </c>
      <c r="BG199" s="1229" t="s">
        <v>2158</v>
      </c>
      <c r="BH199" s="1229" t="s">
        <v>2158</v>
      </c>
      <c r="BI199" s="1230" t="s">
        <v>2158</v>
      </c>
      <c r="BJ199" s="1234"/>
      <c r="BK199" s="1229" t="s">
        <v>2158</v>
      </c>
      <c r="BL199" s="1230" t="s">
        <v>2158</v>
      </c>
      <c r="BM199" s="1229" t="s">
        <v>2158</v>
      </c>
      <c r="BN199" s="1230" t="s">
        <v>2158</v>
      </c>
    </row>
    <row r="200" spans="1:66" x14ac:dyDescent="0.25">
      <c r="A200" s="49" t="str">
        <f t="shared" si="153"/>
        <v>403900</v>
      </c>
      <c r="B200" s="1371" t="str">
        <f>'Income Eligible Deemed Table'!C775</f>
        <v>403900_2019_12_</v>
      </c>
      <c r="C200" s="1307" t="str">
        <f>'Income Eligible Deemed Table'!G775</f>
        <v>Cooling RES</v>
      </c>
      <c r="D200" s="1307" t="str">
        <f>'Income Eligible Deemed Table'!G776</f>
        <v>Heating RES</v>
      </c>
      <c r="E200" s="1307"/>
      <c r="F200" s="1307"/>
      <c r="G200" s="1307" t="str">
        <f>'Income Eligible Deemed Table'!E775</f>
        <v>Setback thermostat - full setback - elec furnace heating / central AC MF</v>
      </c>
      <c r="H200" s="18" t="str">
        <f>'Income Eligible Deemed Table'!D775</f>
        <v>MFIE</v>
      </c>
      <c r="I200" s="750">
        <f t="shared" si="162"/>
        <v>0</v>
      </c>
      <c r="J200" s="750">
        <f t="shared" si="163"/>
        <v>0</v>
      </c>
      <c r="K200" s="189">
        <f>'Income Eligible Deemed Table'!F775</f>
        <v>0</v>
      </c>
      <c r="L200" s="189">
        <f>'Income Eligible Deemed Table'!F776</f>
        <v>0</v>
      </c>
      <c r="M200" s="189"/>
      <c r="N200" s="189"/>
      <c r="O200" s="751">
        <f t="shared" si="164"/>
        <v>0</v>
      </c>
      <c r="P200" s="751">
        <f t="shared" si="165"/>
        <v>0</v>
      </c>
      <c r="Q200" s="752">
        <f>'Income Eligible Deemed Table'!I775</f>
        <v>0</v>
      </c>
      <c r="R200" s="752">
        <f>'Income Eligible Deemed Table'!I776</f>
        <v>0</v>
      </c>
      <c r="S200" s="752"/>
      <c r="T200" s="752"/>
      <c r="U200" s="753">
        <f t="shared" si="150"/>
        <v>0</v>
      </c>
      <c r="V200" s="753">
        <f t="shared" si="151"/>
        <v>0</v>
      </c>
      <c r="W200" s="753">
        <f t="shared" si="152"/>
        <v>0</v>
      </c>
      <c r="X200" s="22">
        <f>'Income Eligible Deemed Table'!J775</f>
        <v>10</v>
      </c>
      <c r="Y200" s="22"/>
      <c r="Z200" s="22">
        <f t="shared" si="154"/>
        <v>10</v>
      </c>
      <c r="AA200" s="17">
        <f>'Income Eligible Deemed Table'!DG775</f>
        <v>0</v>
      </c>
      <c r="AB200" s="246">
        <f>'Income Eligible Deemed Table'!K775</f>
        <v>70</v>
      </c>
      <c r="AC200" s="861">
        <f t="shared" si="155"/>
        <v>0</v>
      </c>
      <c r="AD200" s="861">
        <f t="shared" si="148"/>
        <v>0</v>
      </c>
      <c r="AE200" s="592">
        <f>'Income Eligible Deemed Table'!DI775</f>
        <v>0</v>
      </c>
      <c r="AF200" s="195">
        <f>'Income Eligible Deemed Table'!DI776</f>
        <v>0</v>
      </c>
      <c r="AG200" s="195"/>
      <c r="AH200" s="195"/>
      <c r="AI200" s="1371" t="str">
        <f>'Income Eligible Deemed Table'!L775</f>
        <v>per measure</v>
      </c>
      <c r="AJ200" s="68"/>
      <c r="AX200" s="1284" t="str">
        <f t="shared" si="160"/>
        <v>Setback thermostat - full setback - elec furnace heating / central AC MF</v>
      </c>
      <c r="AY200" s="1307"/>
      <c r="AZ200" s="1376" t="str">
        <f t="shared" si="161"/>
        <v>403900</v>
      </c>
      <c r="BA200" s="1229" t="s">
        <v>2158</v>
      </c>
      <c r="BB200" s="1229" t="s">
        <v>2158</v>
      </c>
      <c r="BC200" s="1229" t="s">
        <v>2158</v>
      </c>
      <c r="BD200" s="1229" t="s">
        <v>2158</v>
      </c>
      <c r="BE200" s="1234"/>
      <c r="BF200" s="1229" t="s">
        <v>2158</v>
      </c>
      <c r="BG200" s="1229" t="s">
        <v>2158</v>
      </c>
      <c r="BH200" s="1229" t="s">
        <v>2158</v>
      </c>
      <c r="BI200" s="1230" t="s">
        <v>2158</v>
      </c>
      <c r="BJ200" s="1234"/>
      <c r="BK200" s="1229" t="s">
        <v>2158</v>
      </c>
      <c r="BL200" s="1230" t="s">
        <v>2158</v>
      </c>
      <c r="BM200" s="1229" t="s">
        <v>2158</v>
      </c>
      <c r="BN200" s="1230" t="s">
        <v>2158</v>
      </c>
    </row>
    <row r="201" spans="1:66" x14ac:dyDescent="0.25">
      <c r="A201" s="49" t="str">
        <f t="shared" si="153"/>
        <v>403950</v>
      </c>
      <c r="B201" s="1371" t="str">
        <f>'Income Eligible Deemed Table'!C777</f>
        <v>403950_2024_12_</v>
      </c>
      <c r="C201" s="1307" t="str">
        <f>'Income Eligible Deemed Table'!G777</f>
        <v>Cooling RES</v>
      </c>
      <c r="D201" s="1307" t="str">
        <f>'Income Eligible Deemed Table'!G778</f>
        <v>Heating RES</v>
      </c>
      <c r="E201" s="1307"/>
      <c r="F201" s="1307"/>
      <c r="G201" s="1307" t="str">
        <f>'Income Eligible Deemed Table'!E777</f>
        <v>Setback thermostat - full setback - elec furnace heating / central AC SF</v>
      </c>
      <c r="H201" s="18" t="str">
        <f>'Income Eligible Deemed Table'!D777</f>
        <v>SFIE</v>
      </c>
      <c r="I201" s="750">
        <f t="shared" si="162"/>
        <v>0</v>
      </c>
      <c r="J201" s="750">
        <f t="shared" si="163"/>
        <v>0</v>
      </c>
      <c r="K201" s="189">
        <f>'Income Eligible Deemed Table'!F777</f>
        <v>0</v>
      </c>
      <c r="L201" s="189">
        <f>'Income Eligible Deemed Table'!F778</f>
        <v>0</v>
      </c>
      <c r="M201" s="189"/>
      <c r="N201" s="189"/>
      <c r="O201" s="751">
        <f t="shared" si="164"/>
        <v>0</v>
      </c>
      <c r="P201" s="751">
        <f t="shared" si="165"/>
        <v>0</v>
      </c>
      <c r="Q201" s="752">
        <f>'Income Eligible Deemed Table'!I777</f>
        <v>0</v>
      </c>
      <c r="R201" s="752">
        <f>'Income Eligible Deemed Table'!I778</f>
        <v>0</v>
      </c>
      <c r="S201" s="752"/>
      <c r="T201" s="752"/>
      <c r="U201" s="753">
        <f t="shared" si="150"/>
        <v>0</v>
      </c>
      <c r="V201" s="753">
        <f t="shared" si="151"/>
        <v>0</v>
      </c>
      <c r="W201" s="753">
        <f t="shared" si="152"/>
        <v>0</v>
      </c>
      <c r="X201" s="22">
        <f>'Income Eligible Deemed Table'!J777</f>
        <v>10</v>
      </c>
      <c r="Y201" s="22"/>
      <c r="Z201" s="22">
        <f t="shared" si="154"/>
        <v>10</v>
      </c>
      <c r="AA201" s="17">
        <f>'Income Eligible Deemed Table'!DG777</f>
        <v>0</v>
      </c>
      <c r="AB201" s="246">
        <f>'Income Eligible Deemed Table'!K777</f>
        <v>70</v>
      </c>
      <c r="AC201" s="861">
        <f t="shared" si="155"/>
        <v>0</v>
      </c>
      <c r="AD201" s="861">
        <f t="shared" ref="AD201:AD219" si="166">AG201+AH201</f>
        <v>0</v>
      </c>
      <c r="AE201" s="592">
        <f>'Income Eligible Deemed Table'!DI777</f>
        <v>0</v>
      </c>
      <c r="AF201" s="195">
        <f>'Income Eligible Deemed Table'!DI778</f>
        <v>0</v>
      </c>
      <c r="AG201" s="195"/>
      <c r="AH201" s="195"/>
      <c r="AI201" s="1371" t="str">
        <f>'Income Eligible Deemed Table'!L777</f>
        <v>per measure</v>
      </c>
      <c r="AJ201" s="68"/>
      <c r="AX201" s="1284" t="str">
        <f t="shared" si="160"/>
        <v>Setback thermostat - full setback - elec furnace heating / central AC SF</v>
      </c>
      <c r="AY201" s="1307"/>
      <c r="AZ201" s="1376" t="str">
        <f t="shared" si="161"/>
        <v>403950</v>
      </c>
      <c r="BA201" s="1229" t="s">
        <v>2158</v>
      </c>
      <c r="BB201" s="1229" t="s">
        <v>2158</v>
      </c>
      <c r="BC201" s="1229" t="s">
        <v>2158</v>
      </c>
      <c r="BD201" s="1229" t="s">
        <v>2158</v>
      </c>
      <c r="BE201" s="1234"/>
      <c r="BF201" s="1229" t="s">
        <v>2158</v>
      </c>
      <c r="BG201" s="1229" t="s">
        <v>2158</v>
      </c>
      <c r="BH201" s="1229" t="s">
        <v>2158</v>
      </c>
      <c r="BI201" s="1230" t="s">
        <v>2158</v>
      </c>
      <c r="BJ201" s="1234"/>
      <c r="BK201" s="1229" t="s">
        <v>2158</v>
      </c>
      <c r="BL201" s="1230" t="s">
        <v>2158</v>
      </c>
      <c r="BM201" s="1229" t="s">
        <v>2158</v>
      </c>
      <c r="BN201" s="1230" t="s">
        <v>2158</v>
      </c>
    </row>
    <row r="202" spans="1:66" x14ac:dyDescent="0.25">
      <c r="A202" s="49" t="str">
        <f t="shared" si="153"/>
        <v>404000</v>
      </c>
      <c r="B202" s="1371" t="str">
        <f>'Income Eligible Deemed Table'!C779</f>
        <v>404000_2024_12_</v>
      </c>
      <c r="C202" s="1307" t="str">
        <f>'Income Eligible Deemed Table'!G779</f>
        <v>Cooling RES</v>
      </c>
      <c r="D202" s="1307" t="str">
        <f>'Income Eligible Deemed Table'!G780</f>
        <v>Heating RES</v>
      </c>
      <c r="E202" s="1307"/>
      <c r="F202" s="1307"/>
      <c r="G202" s="1307" t="str">
        <f>'Income Eligible Deemed Table'!E779</f>
        <v>Setback thermostat - full setback - gas heating / central AC MF</v>
      </c>
      <c r="H202" s="18" t="str">
        <f>'Income Eligible Deemed Table'!D779</f>
        <v>MFIE</v>
      </c>
      <c r="I202" s="750">
        <f t="shared" si="162"/>
        <v>0</v>
      </c>
      <c r="J202" s="750">
        <f t="shared" si="163"/>
        <v>0</v>
      </c>
      <c r="K202" s="189">
        <f>'Income Eligible Deemed Table'!F779</f>
        <v>0</v>
      </c>
      <c r="L202" s="189">
        <f>'Income Eligible Deemed Table'!F780</f>
        <v>0</v>
      </c>
      <c r="M202" s="189"/>
      <c r="N202" s="189"/>
      <c r="O202" s="751">
        <f t="shared" si="164"/>
        <v>0</v>
      </c>
      <c r="P202" s="751">
        <f t="shared" si="165"/>
        <v>0</v>
      </c>
      <c r="Q202" s="752">
        <f>'Income Eligible Deemed Table'!I779</f>
        <v>0</v>
      </c>
      <c r="R202" s="752">
        <f>'Income Eligible Deemed Table'!I780</f>
        <v>0</v>
      </c>
      <c r="S202" s="752"/>
      <c r="T202" s="752"/>
      <c r="U202" s="753">
        <f t="shared" si="150"/>
        <v>0</v>
      </c>
      <c r="V202" s="753">
        <f t="shared" si="151"/>
        <v>0</v>
      </c>
      <c r="W202" s="753">
        <f t="shared" si="152"/>
        <v>0</v>
      </c>
      <c r="X202" s="22">
        <f>'Income Eligible Deemed Table'!J779</f>
        <v>10</v>
      </c>
      <c r="Y202" s="22"/>
      <c r="Z202" s="22">
        <f t="shared" si="154"/>
        <v>10</v>
      </c>
      <c r="AA202" s="17">
        <f>'Income Eligible Deemed Table'!DG779</f>
        <v>0</v>
      </c>
      <c r="AB202" s="246">
        <f>'Income Eligible Deemed Table'!K779</f>
        <v>70</v>
      </c>
      <c r="AC202" s="861">
        <f t="shared" si="155"/>
        <v>0</v>
      </c>
      <c r="AD202" s="861">
        <f t="shared" si="166"/>
        <v>0</v>
      </c>
      <c r="AE202" s="592">
        <f>'Income Eligible Deemed Table'!DI779</f>
        <v>0</v>
      </c>
      <c r="AF202" s="195">
        <f>'Income Eligible Deemed Table'!DI780</f>
        <v>0</v>
      </c>
      <c r="AG202" s="195"/>
      <c r="AH202" s="195"/>
      <c r="AI202" s="1371" t="str">
        <f>'Income Eligible Deemed Table'!L779</f>
        <v>per measure</v>
      </c>
      <c r="AJ202" s="68"/>
      <c r="AX202" s="1284" t="str">
        <f t="shared" si="160"/>
        <v>Setback thermostat - full setback - gas heating / central AC MF</v>
      </c>
      <c r="AY202" s="1307"/>
      <c r="AZ202" s="1376" t="str">
        <f t="shared" si="161"/>
        <v>404000</v>
      </c>
      <c r="BA202" s="1229" t="s">
        <v>2158</v>
      </c>
      <c r="BB202" s="1229" t="s">
        <v>2158</v>
      </c>
      <c r="BC202" s="1229" t="s">
        <v>2158</v>
      </c>
      <c r="BD202" s="1229" t="s">
        <v>2158</v>
      </c>
      <c r="BE202" s="1234"/>
      <c r="BF202" s="1229" t="s">
        <v>2158</v>
      </c>
      <c r="BG202" s="1229" t="s">
        <v>2158</v>
      </c>
      <c r="BH202" s="1229" t="s">
        <v>2158</v>
      </c>
      <c r="BI202" s="1230" t="s">
        <v>2158</v>
      </c>
      <c r="BJ202" s="1234"/>
      <c r="BK202" s="1229" t="s">
        <v>2158</v>
      </c>
      <c r="BL202" s="1230" t="s">
        <v>2158</v>
      </c>
      <c r="BM202" s="1229" t="s">
        <v>2158</v>
      </c>
      <c r="BN202" s="1230" t="s">
        <v>2158</v>
      </c>
    </row>
    <row r="203" spans="1:66" x14ac:dyDescent="0.25">
      <c r="A203" s="49" t="str">
        <f t="shared" si="153"/>
        <v>404050</v>
      </c>
      <c r="B203" s="1371" t="str">
        <f>'Income Eligible Deemed Table'!C781</f>
        <v>404050_2019_12_</v>
      </c>
      <c r="C203" s="1307" t="str">
        <f>'Income Eligible Deemed Table'!G781</f>
        <v>Cooling RES</v>
      </c>
      <c r="D203" s="1307" t="str">
        <f>'Income Eligible Deemed Table'!G782</f>
        <v>Heating RES</v>
      </c>
      <c r="E203" s="1307"/>
      <c r="F203" s="1307"/>
      <c r="G203" s="1307" t="str">
        <f>'Income Eligible Deemed Table'!E781</f>
        <v>Setback thermostat for SF - full setback - gas heating / central AC </v>
      </c>
      <c r="H203" s="18" t="str">
        <f>'Income Eligible Deemed Table'!D781</f>
        <v>SFIE</v>
      </c>
      <c r="I203" s="750">
        <f t="shared" si="162"/>
        <v>0</v>
      </c>
      <c r="J203" s="750">
        <f t="shared" si="163"/>
        <v>0</v>
      </c>
      <c r="K203" s="189">
        <f>'Income Eligible Deemed Table'!F781</f>
        <v>0</v>
      </c>
      <c r="L203" s="189">
        <f>'Income Eligible Deemed Table'!F782</f>
        <v>0</v>
      </c>
      <c r="M203" s="189"/>
      <c r="N203" s="189"/>
      <c r="O203" s="751">
        <f t="shared" si="164"/>
        <v>0</v>
      </c>
      <c r="P203" s="751">
        <f t="shared" si="165"/>
        <v>0</v>
      </c>
      <c r="Q203" s="752">
        <f>'Income Eligible Deemed Table'!I781</f>
        <v>0</v>
      </c>
      <c r="R203" s="752">
        <f>'Income Eligible Deemed Table'!I782</f>
        <v>0</v>
      </c>
      <c r="S203" s="752"/>
      <c r="T203" s="752"/>
      <c r="U203" s="753">
        <f t="shared" si="150"/>
        <v>0</v>
      </c>
      <c r="V203" s="753">
        <f t="shared" si="151"/>
        <v>0</v>
      </c>
      <c r="W203" s="753">
        <f t="shared" si="152"/>
        <v>0</v>
      </c>
      <c r="X203" s="22">
        <f>'Income Eligible Deemed Table'!J781</f>
        <v>10</v>
      </c>
      <c r="Y203" s="22"/>
      <c r="Z203" s="22">
        <f t="shared" si="154"/>
        <v>10</v>
      </c>
      <c r="AA203" s="17">
        <f>'Income Eligible Deemed Table'!DG781</f>
        <v>0</v>
      </c>
      <c r="AB203" s="246">
        <f>'Income Eligible Deemed Table'!K781</f>
        <v>70</v>
      </c>
      <c r="AC203" s="861">
        <f t="shared" si="155"/>
        <v>0</v>
      </c>
      <c r="AD203" s="861">
        <f t="shared" si="166"/>
        <v>0</v>
      </c>
      <c r="AE203" s="592">
        <f>'Income Eligible Deemed Table'!DI781</f>
        <v>0</v>
      </c>
      <c r="AF203" s="195">
        <f>'Income Eligible Deemed Table'!DI782</f>
        <v>0</v>
      </c>
      <c r="AG203" s="195"/>
      <c r="AH203" s="195"/>
      <c r="AI203" s="1371" t="str">
        <f>'Income Eligible Deemed Table'!L781</f>
        <v>per measure</v>
      </c>
      <c r="AJ203" s="68"/>
      <c r="AX203" s="1284" t="str">
        <f t="shared" si="160"/>
        <v>Setback thermostat for SF - full setback - gas heating / central AC </v>
      </c>
      <c r="AY203" s="1307"/>
      <c r="AZ203" s="1376" t="str">
        <f t="shared" si="161"/>
        <v>404050</v>
      </c>
      <c r="BA203" s="1229" t="s">
        <v>2158</v>
      </c>
      <c r="BB203" s="1229" t="s">
        <v>2158</v>
      </c>
      <c r="BC203" s="1229" t="s">
        <v>2158</v>
      </c>
      <c r="BD203" s="1229" t="s">
        <v>2158</v>
      </c>
      <c r="BE203" s="1234"/>
      <c r="BF203" s="1229" t="s">
        <v>2158</v>
      </c>
      <c r="BG203" s="1229" t="s">
        <v>2158</v>
      </c>
      <c r="BH203" s="1229" t="s">
        <v>2158</v>
      </c>
      <c r="BI203" s="1230" t="s">
        <v>2158</v>
      </c>
      <c r="BJ203" s="1234"/>
      <c r="BK203" s="1229" t="s">
        <v>2158</v>
      </c>
      <c r="BL203" s="1230" t="s">
        <v>2158</v>
      </c>
      <c r="BM203" s="1229" t="s">
        <v>2158</v>
      </c>
      <c r="BN203" s="1230" t="s">
        <v>2158</v>
      </c>
    </row>
    <row r="204" spans="1:66" x14ac:dyDescent="0.25">
      <c r="A204" s="49" t="str">
        <f t="shared" si="153"/>
        <v>404450</v>
      </c>
      <c r="B204" s="1371" t="str">
        <f>'Income Eligible Deemed Table'!C837</f>
        <v>404450_2024_12_</v>
      </c>
      <c r="C204" s="1307" t="str">
        <f>'Income Eligible Deemed Table'!G837</f>
        <v>Lighting RES</v>
      </c>
      <c r="D204" s="1307"/>
      <c r="E204" s="1307"/>
      <c r="F204" s="1307"/>
      <c r="G204" s="1307" t="str">
        <f>'Income Eligible Deemed Table'!E837</f>
        <v>LED - 10.5W Downlight E26 IE DI</v>
      </c>
      <c r="H204" s="18" t="str">
        <f>'Income Eligible Deemed Table'!D837</f>
        <v>PAYS/SFIE / MFIE</v>
      </c>
      <c r="I204" s="750">
        <f>'Income Eligible Deemed Table'!F837</f>
        <v>44.56</v>
      </c>
      <c r="J204" s="750"/>
      <c r="K204" s="189"/>
      <c r="L204" s="189"/>
      <c r="M204" s="189"/>
      <c r="N204" s="189"/>
      <c r="O204" s="751">
        <f>'Income Eligible Deemed Table'!M837</f>
        <v>6.6509999999999998E-3</v>
      </c>
      <c r="P204" s="751"/>
      <c r="Q204" s="752"/>
      <c r="R204" s="752"/>
      <c r="S204" s="752"/>
      <c r="T204" s="752"/>
      <c r="U204" s="753">
        <f t="shared" ref="U204:U219" si="167">IFERROR(IF(V204+W204&gt;0,0,IF(Z204&gt;0,O204,0)),0)</f>
        <v>6.6509999999999998E-3</v>
      </c>
      <c r="V204" s="753">
        <f t="shared" ref="V204:V219" si="168">IF(W204&gt;0,0,IF(Z204&gt;9,O204,0))</f>
        <v>0</v>
      </c>
      <c r="W204" s="753">
        <f t="shared" ref="W204:W219" si="169">IF(Z204&gt;14,O204,0)</f>
        <v>0</v>
      </c>
      <c r="X204" s="22">
        <f>'Income Eligible Deemed Table'!N837</f>
        <v>8</v>
      </c>
      <c r="Y204" s="22"/>
      <c r="Z204" s="22">
        <f t="shared" si="154"/>
        <v>8</v>
      </c>
      <c r="AA204" s="17">
        <f>'Income Eligible Deemed Table'!DG837</f>
        <v>10.714425002390662</v>
      </c>
      <c r="AB204" s="246">
        <f>'Income Eligible Deemed Table'!P837</f>
        <v>1.66</v>
      </c>
      <c r="AC204" s="861">
        <f t="shared" si="155"/>
        <v>17.785945503968499</v>
      </c>
      <c r="AD204" s="861">
        <f t="shared" si="166"/>
        <v>0</v>
      </c>
      <c r="AE204" s="592">
        <f>'Income Eligible Deemed Table'!DI837</f>
        <v>17.785945503968499</v>
      </c>
      <c r="AF204" s="195"/>
      <c r="AG204" s="195"/>
      <c r="AH204" s="195"/>
      <c r="AI204" s="870" t="str">
        <f>'Income Eligible Deemed Table'!R837</f>
        <v>per measure</v>
      </c>
      <c r="AJ204" s="68"/>
      <c r="AX204" s="1284" t="str">
        <f t="shared" si="160"/>
        <v>LED - 10.5W Downlight E26 IE DI</v>
      </c>
      <c r="AY204" s="1307"/>
      <c r="AZ204" s="1376" t="str">
        <f t="shared" si="161"/>
        <v>404450</v>
      </c>
      <c r="BA204" s="1229" t="s">
        <v>2158</v>
      </c>
      <c r="BB204" s="1229" t="s">
        <v>2158</v>
      </c>
      <c r="BC204" s="1229" t="s">
        <v>2158</v>
      </c>
      <c r="BD204" s="1229" t="s">
        <v>2158</v>
      </c>
      <c r="BE204" s="1234"/>
      <c r="BF204" s="1229" t="s">
        <v>2158</v>
      </c>
      <c r="BG204" s="1229" t="s">
        <v>2158</v>
      </c>
      <c r="BH204" s="1229" t="s">
        <v>2158</v>
      </c>
      <c r="BI204" s="1230" t="s">
        <v>2158</v>
      </c>
      <c r="BJ204" s="1234"/>
      <c r="BK204" s="1229" t="s">
        <v>2158</v>
      </c>
      <c r="BL204" s="1230" t="s">
        <v>2158</v>
      </c>
      <c r="BM204" s="1229" t="s">
        <v>2158</v>
      </c>
      <c r="BN204" s="1230" t="s">
        <v>2158</v>
      </c>
    </row>
    <row r="205" spans="1:66" x14ac:dyDescent="0.25">
      <c r="A205" s="49" t="str">
        <f t="shared" si="153"/>
        <v>404500</v>
      </c>
      <c r="B205" s="1371" t="str">
        <f>'Income Eligible Deemed Table'!C838</f>
        <v>404500_2024_12_</v>
      </c>
      <c r="C205" s="1307" t="str">
        <f>'Income Eligible Deemed Table'!G838</f>
        <v>Lighting RES</v>
      </c>
      <c r="D205" s="1307"/>
      <c r="E205" s="1307"/>
      <c r="F205" s="1307"/>
      <c r="G205" s="1307" t="str">
        <f>'Income Eligible Deemed Table'!E838</f>
        <v>LED - 10W (750-899 lumens) IEDI</v>
      </c>
      <c r="H205" s="18" t="str">
        <f>'Income Eligible Deemed Table'!D838</f>
        <v>PAYS/SFIE / MFIE</v>
      </c>
      <c r="I205" s="750">
        <f>'Income Eligible Deemed Table'!F838</f>
        <v>22.22</v>
      </c>
      <c r="J205" s="750"/>
      <c r="K205" s="189"/>
      <c r="L205" s="189"/>
      <c r="M205" s="189"/>
      <c r="N205" s="189"/>
      <c r="O205" s="751">
        <f>'Income Eligible Deemed Table'!M838</f>
        <v>3.3159999999999999E-3</v>
      </c>
      <c r="P205" s="751"/>
      <c r="Q205" s="752"/>
      <c r="R205" s="752"/>
      <c r="S205" s="752"/>
      <c r="T205" s="752"/>
      <c r="U205" s="753">
        <f t="shared" si="167"/>
        <v>3.3159999999999999E-3</v>
      </c>
      <c r="V205" s="753">
        <f t="shared" si="168"/>
        <v>0</v>
      </c>
      <c r="W205" s="753">
        <f t="shared" si="169"/>
        <v>0</v>
      </c>
      <c r="X205" s="22">
        <f>'Income Eligible Deemed Table'!N838</f>
        <v>8</v>
      </c>
      <c r="Y205" s="22"/>
      <c r="Z205" s="22">
        <f t="shared" si="154"/>
        <v>8</v>
      </c>
      <c r="AA205" s="17">
        <f>'Income Eligible Deemed Table'!DG838</f>
        <v>6.1165682705717206</v>
      </c>
      <c r="AB205" s="246">
        <f>'Income Eligible Deemed Table'!P838</f>
        <v>1.45</v>
      </c>
      <c r="AC205" s="861">
        <f t="shared" si="155"/>
        <v>8.8690239923289944</v>
      </c>
      <c r="AD205" s="861">
        <f t="shared" si="166"/>
        <v>0</v>
      </c>
      <c r="AE205" s="592">
        <f>'Income Eligible Deemed Table'!DI838</f>
        <v>8.8690239923289944</v>
      </c>
      <c r="AF205" s="195"/>
      <c r="AG205" s="195"/>
      <c r="AH205" s="195"/>
      <c r="AI205" s="870" t="str">
        <f>'Income Eligible Deemed Table'!R838</f>
        <v>per measure</v>
      </c>
      <c r="AJ205" s="68"/>
      <c r="AX205" s="1284" t="str">
        <f t="shared" si="160"/>
        <v>LED - 10W (750-899 lumens) IEDI</v>
      </c>
      <c r="AY205" s="1307"/>
      <c r="AZ205" s="1376" t="str">
        <f t="shared" si="161"/>
        <v>404500</v>
      </c>
      <c r="BA205" s="1229" t="s">
        <v>2158</v>
      </c>
      <c r="BB205" s="1229" t="s">
        <v>2158</v>
      </c>
      <c r="BC205" s="1229" t="s">
        <v>2158</v>
      </c>
      <c r="BD205" s="1229" t="s">
        <v>2158</v>
      </c>
      <c r="BE205" s="1234"/>
      <c r="BF205" s="1229" t="s">
        <v>2158</v>
      </c>
      <c r="BG205" s="1229" t="s">
        <v>2158</v>
      </c>
      <c r="BH205" s="1229" t="s">
        <v>2158</v>
      </c>
      <c r="BI205" s="1230" t="s">
        <v>2158</v>
      </c>
      <c r="BJ205" s="1234"/>
      <c r="BK205" s="1229" t="s">
        <v>2158</v>
      </c>
      <c r="BL205" s="1230" t="s">
        <v>2158</v>
      </c>
      <c r="BM205" s="1229" t="s">
        <v>2158</v>
      </c>
      <c r="BN205" s="1230" t="s">
        <v>2158</v>
      </c>
    </row>
    <row r="206" spans="1:66" s="39" customFormat="1" x14ac:dyDescent="0.25">
      <c r="A206" s="49" t="str">
        <f t="shared" si="153"/>
        <v>404600</v>
      </c>
      <c r="B206" s="1371" t="str">
        <f>'Income Eligible Deemed Table'!C839</f>
        <v>404600_2024_12_</v>
      </c>
      <c r="C206" s="1307" t="str">
        <f>'Income Eligible Deemed Table'!G839</f>
        <v>Lighting RES</v>
      </c>
      <c r="D206" s="1307"/>
      <c r="E206" s="1307"/>
      <c r="F206" s="1307"/>
      <c r="G206" s="1307" t="str">
        <f>'Income Eligible Deemed Table'!E839</f>
        <v>LED - 12W Dimmable Light Bulb IE DI</v>
      </c>
      <c r="H206" s="18" t="str">
        <f>'Income Eligible Deemed Table'!D839</f>
        <v>PAYS/SFIE / MFIE</v>
      </c>
      <c r="I206" s="750">
        <f>'Income Eligible Deemed Table'!F839</f>
        <v>58.33</v>
      </c>
      <c r="J206" s="750"/>
      <c r="K206" s="189"/>
      <c r="L206" s="189"/>
      <c r="M206" s="189"/>
      <c r="N206" s="189"/>
      <c r="O206" s="751">
        <f>'Income Eligible Deemed Table'!M839</f>
        <v>8.7049999999999992E-3</v>
      </c>
      <c r="P206" s="751"/>
      <c r="Q206" s="752"/>
      <c r="R206" s="752"/>
      <c r="S206" s="752"/>
      <c r="T206" s="752"/>
      <c r="U206" s="753">
        <f t="shared" si="167"/>
        <v>8.7049999999999992E-3</v>
      </c>
      <c r="V206" s="753">
        <f t="shared" si="168"/>
        <v>0</v>
      </c>
      <c r="W206" s="753">
        <f t="shared" si="169"/>
        <v>0</v>
      </c>
      <c r="X206" s="22">
        <f>'Income Eligible Deemed Table'!N839</f>
        <v>8</v>
      </c>
      <c r="Y206" s="22"/>
      <c r="Z206" s="22">
        <f t="shared" si="154"/>
        <v>8</v>
      </c>
      <c r="AA206" s="17">
        <f>'Income Eligible Deemed Table'!DG839</f>
        <v>14.025413159547739</v>
      </c>
      <c r="AB206" s="246">
        <f>'Income Eligible Deemed Table'!P839</f>
        <v>1.66</v>
      </c>
      <c r="AC206" s="861">
        <f t="shared" si="155"/>
        <v>23.282185844849245</v>
      </c>
      <c r="AD206" s="861">
        <f t="shared" si="166"/>
        <v>0</v>
      </c>
      <c r="AE206" s="592">
        <f>'Income Eligible Deemed Table'!DI839</f>
        <v>23.282185844849245</v>
      </c>
      <c r="AF206" s="195"/>
      <c r="AG206" s="195"/>
      <c r="AH206" s="195"/>
      <c r="AI206" s="870" t="str">
        <f>'Income Eligible Deemed Table'!R839</f>
        <v>per measure</v>
      </c>
      <c r="AJ206" s="68"/>
      <c r="AK206"/>
      <c r="AL206"/>
      <c r="AM206"/>
      <c r="AN206"/>
      <c r="AO206"/>
      <c r="AP206"/>
      <c r="AQ206"/>
      <c r="AR206"/>
      <c r="AS206"/>
      <c r="AT206"/>
      <c r="AU206"/>
      <c r="AV206"/>
      <c r="AW206"/>
      <c r="AX206" s="1284" t="str">
        <f t="shared" si="160"/>
        <v>LED - 12W Dimmable Light Bulb IE DI</v>
      </c>
      <c r="AY206" s="1307"/>
      <c r="AZ206" s="1376" t="str">
        <f t="shared" si="161"/>
        <v>404600</v>
      </c>
      <c r="BA206" s="1229" t="s">
        <v>2158</v>
      </c>
      <c r="BB206" s="1229" t="s">
        <v>2158</v>
      </c>
      <c r="BC206" s="1229" t="s">
        <v>2158</v>
      </c>
      <c r="BD206" s="1229" t="s">
        <v>2158</v>
      </c>
      <c r="BE206" s="1235"/>
      <c r="BF206" s="1229" t="s">
        <v>2158</v>
      </c>
      <c r="BG206" s="1229" t="s">
        <v>2158</v>
      </c>
      <c r="BH206" s="1229" t="s">
        <v>2158</v>
      </c>
      <c r="BI206" s="1230" t="s">
        <v>2158</v>
      </c>
      <c r="BJ206" s="1234"/>
      <c r="BK206" s="1229" t="s">
        <v>2158</v>
      </c>
      <c r="BL206" s="1230" t="s">
        <v>2158</v>
      </c>
      <c r="BM206" s="1229" t="s">
        <v>2158</v>
      </c>
      <c r="BN206" s="1230" t="s">
        <v>2158</v>
      </c>
    </row>
    <row r="207" spans="1:66" x14ac:dyDescent="0.25">
      <c r="A207" s="49" t="str">
        <f t="shared" si="153"/>
        <v>404650</v>
      </c>
      <c r="B207" s="1371" t="str">
        <f>'Income Eligible Deemed Table'!C840</f>
        <v>404650_2024_12_</v>
      </c>
      <c r="C207" s="1307" t="str">
        <f>'Income Eligible Deemed Table'!G840</f>
        <v>Lighting RES</v>
      </c>
      <c r="D207" s="1307"/>
      <c r="E207" s="1307"/>
      <c r="F207" s="1307"/>
      <c r="G207" s="1307" t="str">
        <f>'Income Eligible Deemed Table'!E840</f>
        <v>LED - 15W (900-1399 lumens) IEDI</v>
      </c>
      <c r="H207" s="18" t="str">
        <f>'Income Eligible Deemed Table'!D840</f>
        <v>PAYS/SFIE / MFIE</v>
      </c>
      <c r="I207" s="750">
        <f>'Income Eligible Deemed Table'!F840</f>
        <v>27.79</v>
      </c>
      <c r="J207" s="750"/>
      <c r="K207" s="189"/>
      <c r="L207" s="189"/>
      <c r="M207" s="189"/>
      <c r="N207" s="189"/>
      <c r="O207" s="751">
        <f>'Income Eligible Deemed Table'!M840</f>
        <v>4.1469999999999996E-3</v>
      </c>
      <c r="P207" s="751"/>
      <c r="Q207" s="752"/>
      <c r="R207" s="752"/>
      <c r="S207" s="752"/>
      <c r="T207" s="752"/>
      <c r="U207" s="753">
        <f t="shared" si="167"/>
        <v>4.1469999999999996E-3</v>
      </c>
      <c r="V207" s="753">
        <f t="shared" si="168"/>
        <v>0</v>
      </c>
      <c r="W207" s="753">
        <f t="shared" si="169"/>
        <v>0</v>
      </c>
      <c r="X207" s="22">
        <f>'Income Eligible Deemed Table'!N840</f>
        <v>8</v>
      </c>
      <c r="Y207" s="22"/>
      <c r="Z207" s="22">
        <f t="shared" si="154"/>
        <v>8</v>
      </c>
      <c r="AA207" s="17">
        <f>'Income Eligible Deemed Table'!DG840</f>
        <v>7.6498394347069363</v>
      </c>
      <c r="AB207" s="246">
        <f>'Income Eligible Deemed Table'!P840</f>
        <v>1.45</v>
      </c>
      <c r="AC207" s="861">
        <f t="shared" si="155"/>
        <v>11.092267180325058</v>
      </c>
      <c r="AD207" s="861">
        <f t="shared" si="166"/>
        <v>0</v>
      </c>
      <c r="AE207" s="592">
        <f>'Income Eligible Deemed Table'!DI840</f>
        <v>11.092267180325058</v>
      </c>
      <c r="AF207" s="195"/>
      <c r="AG207" s="195"/>
      <c r="AH207" s="195"/>
      <c r="AI207" s="870" t="str">
        <f>'Income Eligible Deemed Table'!R840</f>
        <v>per measure</v>
      </c>
      <c r="AJ207" s="68"/>
      <c r="AX207" s="1284" t="str">
        <f t="shared" si="160"/>
        <v>LED - 15W (900-1399 lumens) IEDI</v>
      </c>
      <c r="AY207" s="1307"/>
      <c r="AZ207" s="1376" t="str">
        <f t="shared" si="161"/>
        <v>404650</v>
      </c>
      <c r="BA207" s="1229" t="s">
        <v>2158</v>
      </c>
      <c r="BB207" s="1229" t="s">
        <v>2158</v>
      </c>
      <c r="BC207" s="1229" t="s">
        <v>2158</v>
      </c>
      <c r="BD207" s="1229" t="s">
        <v>2158</v>
      </c>
      <c r="BE207" s="1234"/>
      <c r="BF207" s="1229" t="s">
        <v>2158</v>
      </c>
      <c r="BG207" s="1229" t="s">
        <v>2158</v>
      </c>
      <c r="BH207" s="1229" t="s">
        <v>2158</v>
      </c>
      <c r="BI207" s="1230" t="s">
        <v>2158</v>
      </c>
      <c r="BJ207" s="1234"/>
      <c r="BK207" s="1229" t="s">
        <v>2158</v>
      </c>
      <c r="BL207" s="1230" t="s">
        <v>2158</v>
      </c>
      <c r="BM207" s="1229" t="s">
        <v>2158</v>
      </c>
      <c r="BN207" s="1230" t="s">
        <v>2158</v>
      </c>
    </row>
    <row r="208" spans="1:66" x14ac:dyDescent="0.25">
      <c r="A208" s="49" t="str">
        <f t="shared" si="153"/>
        <v>404651</v>
      </c>
      <c r="B208" s="1371" t="str">
        <f>'Income Eligible Deemed Table'!C841</f>
        <v>404651_2024_12_</v>
      </c>
      <c r="C208" s="1307" t="str">
        <f>'Income Eligible Deemed Table'!G841</f>
        <v>Lighting RES</v>
      </c>
      <c r="D208" s="1307"/>
      <c r="E208" s="1307"/>
      <c r="F208" s="1307"/>
      <c r="G208" s="1307" t="str">
        <f>'Income Eligible Deemed Table'!E841</f>
        <v>LED - 11W Flood Light BR30 Bulb IE DI</v>
      </c>
      <c r="H208" s="18" t="str">
        <f>'Income Eligible Deemed Table'!D841</f>
        <v>PAYS/SFIE / MFIE</v>
      </c>
      <c r="I208" s="750">
        <f>'Income Eligible Deemed Table'!F841</f>
        <v>41.94</v>
      </c>
      <c r="J208" s="750"/>
      <c r="K208" s="189"/>
      <c r="L208" s="189"/>
      <c r="M208" s="189"/>
      <c r="N208" s="189"/>
      <c r="O208" s="751">
        <f>'Income Eligible Deemed Table'!M841</f>
        <v>6.2599999999999999E-3</v>
      </c>
      <c r="P208" s="751"/>
      <c r="Q208" s="752"/>
      <c r="R208" s="752"/>
      <c r="S208" s="752"/>
      <c r="T208" s="752"/>
      <c r="U208" s="753">
        <f t="shared" si="167"/>
        <v>6.2599999999999999E-3</v>
      </c>
      <c r="V208" s="753">
        <f t="shared" si="168"/>
        <v>0</v>
      </c>
      <c r="W208" s="753">
        <f t="shared" si="169"/>
        <v>0</v>
      </c>
      <c r="X208" s="22">
        <f>'Income Eligible Deemed Table'!N841</f>
        <v>8</v>
      </c>
      <c r="Y208" s="22"/>
      <c r="Z208" s="22">
        <f t="shared" si="154"/>
        <v>8</v>
      </c>
      <c r="AA208" s="17">
        <f>'Income Eligible Deemed Table'!DG841</f>
        <v>10.084447589772537</v>
      </c>
      <c r="AB208" s="246">
        <f>'Income Eligible Deemed Table'!P841</f>
        <v>1.66</v>
      </c>
      <c r="AC208" s="861">
        <f t="shared" si="155"/>
        <v>16.740182999022412</v>
      </c>
      <c r="AD208" s="861">
        <f t="shared" si="166"/>
        <v>0</v>
      </c>
      <c r="AE208" s="592">
        <f>'Income Eligible Deemed Table'!DI841</f>
        <v>16.740182999022412</v>
      </c>
      <c r="AF208" s="195"/>
      <c r="AG208" s="195"/>
      <c r="AH208" s="195"/>
      <c r="AI208" s="870" t="str">
        <f>'Income Eligible Deemed Table'!R841</f>
        <v>per measure</v>
      </c>
      <c r="AJ208" s="656"/>
      <c r="AK208" s="39"/>
      <c r="AL208" s="39"/>
      <c r="AX208" s="1284" t="str">
        <f t="shared" si="160"/>
        <v>LED - 11W Flood Light BR30 Bulb IE DI</v>
      </c>
      <c r="AY208" s="1307"/>
      <c r="AZ208" s="1376" t="str">
        <f t="shared" si="161"/>
        <v>404651</v>
      </c>
      <c r="BA208" s="1229" t="s">
        <v>2158</v>
      </c>
      <c r="BB208" s="1229" t="s">
        <v>2158</v>
      </c>
      <c r="BC208" s="1229" t="s">
        <v>2158</v>
      </c>
      <c r="BD208" s="1229" t="s">
        <v>2158</v>
      </c>
      <c r="BE208" s="1234"/>
      <c r="BF208" s="1229" t="s">
        <v>2158</v>
      </c>
      <c r="BG208" s="1229" t="s">
        <v>2158</v>
      </c>
      <c r="BH208" s="1229" t="s">
        <v>2158</v>
      </c>
      <c r="BI208" s="1230" t="s">
        <v>2158</v>
      </c>
      <c r="BJ208" s="1234"/>
      <c r="BK208" s="1229" t="s">
        <v>2158</v>
      </c>
      <c r="BL208" s="1230" t="s">
        <v>2158</v>
      </c>
      <c r="BM208" s="1229" t="s">
        <v>2158</v>
      </c>
      <c r="BN208" s="1230" t="s">
        <v>2158</v>
      </c>
    </row>
    <row r="209" spans="1:66" x14ac:dyDescent="0.25">
      <c r="A209" s="49" t="str">
        <f t="shared" si="153"/>
        <v>404700</v>
      </c>
      <c r="B209" s="1371" t="str">
        <f>'Income Eligible Deemed Table'!C842</f>
        <v>404700_2024_12_</v>
      </c>
      <c r="C209" s="1307" t="str">
        <f>'Income Eligible Deemed Table'!G842</f>
        <v>Lighting RES</v>
      </c>
      <c r="D209" s="1307"/>
      <c r="E209" s="1307"/>
      <c r="F209" s="1307"/>
      <c r="G209" s="1307" t="str">
        <f>'Income Eligible Deemed Table'!E842</f>
        <v>LED - 15W Flood Light PAR30 Bulb IE DI</v>
      </c>
      <c r="H209" s="18" t="str">
        <f>'Income Eligible Deemed Table'!D842</f>
        <v>PAYS/SFIE / MFIE</v>
      </c>
      <c r="I209" s="750">
        <f>'Income Eligible Deemed Table'!F842</f>
        <v>69.47</v>
      </c>
      <c r="J209" s="750"/>
      <c r="K209" s="189"/>
      <c r="L209" s="189"/>
      <c r="M209" s="189"/>
      <c r="N209" s="189"/>
      <c r="O209" s="751">
        <f>'Income Eligible Deemed Table'!M842</f>
        <v>1.0368E-2</v>
      </c>
      <c r="P209" s="751"/>
      <c r="Q209" s="752"/>
      <c r="R209" s="752"/>
      <c r="S209" s="752"/>
      <c r="T209" s="752"/>
      <c r="U209" s="753">
        <f t="shared" si="167"/>
        <v>1.0368E-2</v>
      </c>
      <c r="V209" s="753">
        <f t="shared" si="168"/>
        <v>0</v>
      </c>
      <c r="W209" s="753">
        <f t="shared" si="169"/>
        <v>0</v>
      </c>
      <c r="X209" s="22">
        <f>'Income Eligible Deemed Table'!N842</f>
        <v>8</v>
      </c>
      <c r="Y209" s="22"/>
      <c r="Z209" s="22">
        <f t="shared" si="154"/>
        <v>8</v>
      </c>
      <c r="AA209" s="17">
        <f>'Income Eligible Deemed Table'!DG842</f>
        <v>16.704019410145406</v>
      </c>
      <c r="AB209" s="246">
        <f>'Income Eligible Deemed Table'!P842</f>
        <v>1.66</v>
      </c>
      <c r="AC209" s="861">
        <f t="shared" si="155"/>
        <v>27.728672220841371</v>
      </c>
      <c r="AD209" s="861">
        <f t="shared" si="166"/>
        <v>0</v>
      </c>
      <c r="AE209" s="592">
        <f>'Income Eligible Deemed Table'!DI842</f>
        <v>27.728672220841371</v>
      </c>
      <c r="AF209" s="195"/>
      <c r="AG209" s="195"/>
      <c r="AH209" s="195"/>
      <c r="AI209" s="870" t="str">
        <f>'Income Eligible Deemed Table'!R842</f>
        <v>per measure</v>
      </c>
      <c r="AJ209" s="68"/>
      <c r="AX209" s="1284" t="str">
        <f t="shared" si="160"/>
        <v>LED - 15W Flood Light PAR30 Bulb IE DI</v>
      </c>
      <c r="AY209" s="1307"/>
      <c r="AZ209" s="1376" t="str">
        <f t="shared" si="161"/>
        <v>404700</v>
      </c>
      <c r="BA209" s="1229" t="s">
        <v>2158</v>
      </c>
      <c r="BB209" s="1229" t="s">
        <v>2158</v>
      </c>
      <c r="BC209" s="1229" t="s">
        <v>2158</v>
      </c>
      <c r="BD209" s="1229" t="s">
        <v>2158</v>
      </c>
      <c r="BE209" s="1234"/>
      <c r="BF209" s="1229" t="s">
        <v>2158</v>
      </c>
      <c r="BG209" s="1229" t="s">
        <v>2158</v>
      </c>
      <c r="BH209" s="1229" t="s">
        <v>2158</v>
      </c>
      <c r="BI209" s="1230" t="s">
        <v>2158</v>
      </c>
      <c r="BJ209" s="1234"/>
      <c r="BK209" s="1229" t="s">
        <v>2158</v>
      </c>
      <c r="BL209" s="1230" t="s">
        <v>2158</v>
      </c>
      <c r="BM209" s="1229" t="s">
        <v>2158</v>
      </c>
      <c r="BN209" s="1230" t="s">
        <v>2158</v>
      </c>
    </row>
    <row r="210" spans="1:66" x14ac:dyDescent="0.25">
      <c r="A210" s="49" t="str">
        <f t="shared" si="153"/>
        <v>404750</v>
      </c>
      <c r="B210" s="1371" t="str">
        <f>'Income Eligible Deemed Table'!C843</f>
        <v>404750_2024_12_</v>
      </c>
      <c r="C210" s="1307" t="str">
        <f>'Income Eligible Deemed Table'!G843</f>
        <v>Lighting RES</v>
      </c>
      <c r="D210" s="1307"/>
      <c r="E210" s="1307"/>
      <c r="F210" s="1307"/>
      <c r="G210" s="1307" t="str">
        <f>'Income Eligible Deemed Table'!E843</f>
        <v>LED - 18W Flood Light PAR38 Bulb IE DI</v>
      </c>
      <c r="H210" s="18" t="str">
        <f>'Income Eligible Deemed Table'!D843</f>
        <v>PAYS/SFIE / MFIE</v>
      </c>
      <c r="I210" s="750">
        <f>'Income Eligible Deemed Table'!F843</f>
        <v>87.16</v>
      </c>
      <c r="J210" s="750"/>
      <c r="K210" s="189"/>
      <c r="L210" s="189"/>
      <c r="M210" s="189"/>
      <c r="N210" s="189"/>
      <c r="O210" s="751">
        <f>'Income Eligible Deemed Table'!M843</f>
        <v>1.3009E-2</v>
      </c>
      <c r="P210" s="751"/>
      <c r="Q210" s="752"/>
      <c r="R210" s="752"/>
      <c r="S210" s="752"/>
      <c r="T210" s="752"/>
      <c r="U210" s="753">
        <f t="shared" si="167"/>
        <v>1.3009E-2</v>
      </c>
      <c r="V210" s="753">
        <f t="shared" si="168"/>
        <v>0</v>
      </c>
      <c r="W210" s="753">
        <f t="shared" si="169"/>
        <v>0</v>
      </c>
      <c r="X210" s="22">
        <f>'Income Eligible Deemed Table'!N843</f>
        <v>8</v>
      </c>
      <c r="Y210" s="22"/>
      <c r="Z210" s="22">
        <f t="shared" si="154"/>
        <v>8</v>
      </c>
      <c r="AA210" s="17">
        <f>'Income Eligible Deemed Table'!DG843</f>
        <v>20.957569192288378</v>
      </c>
      <c r="AB210" s="246">
        <f>'Income Eligible Deemed Table'!P843</f>
        <v>1.66</v>
      </c>
      <c r="AC210" s="861">
        <f t="shared" si="155"/>
        <v>34.789564859198705</v>
      </c>
      <c r="AD210" s="861">
        <f t="shared" si="166"/>
        <v>0</v>
      </c>
      <c r="AE210" s="592">
        <f>'Income Eligible Deemed Table'!DI843</f>
        <v>34.789564859198705</v>
      </c>
      <c r="AF210" s="195"/>
      <c r="AG210" s="195"/>
      <c r="AH210" s="195"/>
      <c r="AI210" s="870" t="str">
        <f>'Income Eligible Deemed Table'!R843</f>
        <v>per measure</v>
      </c>
      <c r="AJ210" s="68"/>
      <c r="AX210" s="1284" t="str">
        <f t="shared" si="160"/>
        <v>LED - 18W Flood Light PAR38 Bulb IE DI</v>
      </c>
      <c r="AY210" s="1307"/>
      <c r="AZ210" s="1376" t="str">
        <f t="shared" si="161"/>
        <v>404750</v>
      </c>
      <c r="BA210" s="1229" t="s">
        <v>2158</v>
      </c>
      <c r="BB210" s="1229" t="s">
        <v>2158</v>
      </c>
      <c r="BC210" s="1229" t="s">
        <v>2158</v>
      </c>
      <c r="BD210" s="1229" t="s">
        <v>2158</v>
      </c>
      <c r="BE210" s="1234"/>
      <c r="BF210" s="1229" t="s">
        <v>2158</v>
      </c>
      <c r="BG210" s="1229" t="s">
        <v>2158</v>
      </c>
      <c r="BH210" s="1229" t="s">
        <v>2158</v>
      </c>
      <c r="BI210" s="1230" t="s">
        <v>2158</v>
      </c>
      <c r="BJ210" s="1234"/>
      <c r="BK210" s="1229" t="s">
        <v>2158</v>
      </c>
      <c r="BL210" s="1230" t="s">
        <v>2158</v>
      </c>
      <c r="BM210" s="1229" t="s">
        <v>2158</v>
      </c>
      <c r="BN210" s="1230" t="s">
        <v>2158</v>
      </c>
    </row>
    <row r="211" spans="1:66" x14ac:dyDescent="0.25">
      <c r="A211" s="49" t="str">
        <f t="shared" si="153"/>
        <v>404800</v>
      </c>
      <c r="B211" s="1371" t="str">
        <f>'Income Eligible Deemed Table'!C844</f>
        <v>404800_2024_12_</v>
      </c>
      <c r="C211" s="1307" t="str">
        <f>'Income Eligible Deemed Table'!G844</f>
        <v>Lighting RES</v>
      </c>
      <c r="D211" s="1307"/>
      <c r="E211" s="1307"/>
      <c r="F211" s="1307"/>
      <c r="G211" s="1307" t="str">
        <f>'Income Eligible Deemed Table'!E844</f>
        <v>LED - 20W (1400-1999 lumens) IEDI</v>
      </c>
      <c r="H211" s="18" t="str">
        <f>'Income Eligible Deemed Table'!D844</f>
        <v>PAYS/SFIE / MFIE</v>
      </c>
      <c r="I211" s="750">
        <f>'Income Eligible Deemed Table'!F844</f>
        <v>37.35</v>
      </c>
      <c r="J211" s="750"/>
      <c r="K211" s="189"/>
      <c r="L211" s="189"/>
      <c r="M211" s="189"/>
      <c r="N211" s="189"/>
      <c r="O211" s="751">
        <f>'Income Eligible Deemed Table'!M844</f>
        <v>5.5750000000000001E-3</v>
      </c>
      <c r="P211" s="751"/>
      <c r="Q211" s="752"/>
      <c r="R211" s="752"/>
      <c r="S211" s="752"/>
      <c r="T211" s="752"/>
      <c r="U211" s="753">
        <f t="shared" si="167"/>
        <v>5.5750000000000001E-3</v>
      </c>
      <c r="V211" s="753">
        <f t="shared" si="168"/>
        <v>0</v>
      </c>
      <c r="W211" s="753">
        <f t="shared" si="169"/>
        <v>0</v>
      </c>
      <c r="X211" s="22">
        <f>'Income Eligible Deemed Table'!N844</f>
        <v>8</v>
      </c>
      <c r="Y211" s="22"/>
      <c r="Z211" s="22">
        <f t="shared" si="154"/>
        <v>8</v>
      </c>
      <c r="AA211" s="17">
        <f>'Income Eligible Deemed Table'!DG844</f>
        <v>10.281450265789999</v>
      </c>
      <c r="AB211" s="246">
        <f>'Income Eligible Deemed Table'!P844</f>
        <v>1.45</v>
      </c>
      <c r="AC211" s="861">
        <f t="shared" si="155"/>
        <v>14.908102885395499</v>
      </c>
      <c r="AD211" s="861">
        <f t="shared" si="166"/>
        <v>0</v>
      </c>
      <c r="AE211" s="592">
        <f>'Income Eligible Deemed Table'!DI844</f>
        <v>14.908102885395499</v>
      </c>
      <c r="AF211" s="195"/>
      <c r="AG211" s="195"/>
      <c r="AH211" s="195"/>
      <c r="AI211" s="870" t="str">
        <f>'Income Eligible Deemed Table'!R844</f>
        <v>per measure</v>
      </c>
      <c r="AJ211" s="68"/>
      <c r="AX211" s="1284" t="str">
        <f t="shared" si="160"/>
        <v>LED - 20W (1400-1999 lumens) IEDI</v>
      </c>
      <c r="AY211" s="1307"/>
      <c r="AZ211" s="1376" t="str">
        <f t="shared" si="161"/>
        <v>404800</v>
      </c>
      <c r="BA211" s="1229" t="s">
        <v>2158</v>
      </c>
      <c r="BB211" s="1229" t="s">
        <v>2158</v>
      </c>
      <c r="BC211" s="1229" t="s">
        <v>2158</v>
      </c>
      <c r="BD211" s="1229" t="s">
        <v>2158</v>
      </c>
      <c r="BE211" s="1234"/>
      <c r="BF211" s="1229" t="s">
        <v>2158</v>
      </c>
      <c r="BG211" s="1229" t="s">
        <v>2158</v>
      </c>
      <c r="BH211" s="1229" t="s">
        <v>2158</v>
      </c>
      <c r="BI211" s="1230" t="s">
        <v>2158</v>
      </c>
      <c r="BJ211" s="1234"/>
      <c r="BK211" s="1229" t="s">
        <v>2158</v>
      </c>
      <c r="BL211" s="1230" t="s">
        <v>2158</v>
      </c>
      <c r="BM211" s="1229" t="s">
        <v>2158</v>
      </c>
      <c r="BN211" s="1230" t="s">
        <v>2158</v>
      </c>
    </row>
    <row r="212" spans="1:66" x14ac:dyDescent="0.25">
      <c r="A212" s="49" t="str">
        <f t="shared" si="153"/>
        <v>404850</v>
      </c>
      <c r="B212" s="1371" t="str">
        <f>'Income Eligible Deemed Table'!C845</f>
        <v>404850_2024_12_</v>
      </c>
      <c r="C212" s="1307" t="str">
        <f>'Income Eligible Deemed Table'!G845</f>
        <v>Lighting RES</v>
      </c>
      <c r="D212" s="1307"/>
      <c r="E212" s="1307"/>
      <c r="F212" s="1307"/>
      <c r="G212" s="1307" t="str">
        <f>'Income Eligible Deemed Table'!E845</f>
        <v>LED - 4W Candelabra Specialty IE DI</v>
      </c>
      <c r="H212" s="18" t="str">
        <f>'Income Eligible Deemed Table'!D845</f>
        <v>PAYS/SFIE / MFIE</v>
      </c>
      <c r="I212" s="750">
        <f>'Income Eligible Deemed Table'!F845</f>
        <v>23.26</v>
      </c>
      <c r="J212" s="750"/>
      <c r="K212" s="189"/>
      <c r="L212" s="189"/>
      <c r="M212" s="189"/>
      <c r="N212" s="189"/>
      <c r="O212" s="751">
        <f>'Income Eligible Deemed Table'!M845</f>
        <v>3.4719999999999998E-3</v>
      </c>
      <c r="P212" s="751"/>
      <c r="Q212" s="752"/>
      <c r="R212" s="752"/>
      <c r="S212" s="752"/>
      <c r="T212" s="752"/>
      <c r="U212" s="753">
        <f t="shared" si="167"/>
        <v>3.4719999999999998E-3</v>
      </c>
      <c r="V212" s="753">
        <f t="shared" si="168"/>
        <v>0</v>
      </c>
      <c r="W212" s="753">
        <f t="shared" si="169"/>
        <v>0</v>
      </c>
      <c r="X212" s="22">
        <f>'Income Eligible Deemed Table'!N845</f>
        <v>8</v>
      </c>
      <c r="Y212" s="22"/>
      <c r="Z212" s="22">
        <f t="shared" si="154"/>
        <v>8</v>
      </c>
      <c r="AA212" s="17">
        <f>'Income Eligible Deemed Table'!DG845</f>
        <v>5.592852907441805</v>
      </c>
      <c r="AB212" s="246">
        <f>'Income Eligible Deemed Table'!P845</f>
        <v>1.66</v>
      </c>
      <c r="AC212" s="861">
        <f t="shared" si="155"/>
        <v>9.2841358263533955</v>
      </c>
      <c r="AD212" s="861">
        <f t="shared" si="166"/>
        <v>0</v>
      </c>
      <c r="AE212" s="592">
        <f>'Income Eligible Deemed Table'!DI845</f>
        <v>9.2841358263533955</v>
      </c>
      <c r="AF212" s="195"/>
      <c r="AG212" s="195"/>
      <c r="AH212" s="195"/>
      <c r="AI212" s="870" t="str">
        <f>'Income Eligible Deemed Table'!R845</f>
        <v>per measure</v>
      </c>
      <c r="AJ212" s="68"/>
      <c r="AX212" s="1284" t="str">
        <f t="shared" si="160"/>
        <v>LED - 4W Candelabra Specialty IE DI</v>
      </c>
      <c r="AY212" s="1307"/>
      <c r="AZ212" s="1376" t="str">
        <f t="shared" si="161"/>
        <v>404850</v>
      </c>
      <c r="BA212" s="1229" t="s">
        <v>2158</v>
      </c>
      <c r="BB212" s="1229" t="s">
        <v>2158</v>
      </c>
      <c r="BC212" s="1229" t="s">
        <v>2158</v>
      </c>
      <c r="BD212" s="1229" t="s">
        <v>2158</v>
      </c>
      <c r="BE212" s="1234"/>
      <c r="BF212" s="1229" t="s">
        <v>2158</v>
      </c>
      <c r="BG212" s="1229" t="s">
        <v>2158</v>
      </c>
      <c r="BH212" s="1229" t="s">
        <v>2158</v>
      </c>
      <c r="BI212" s="1230" t="s">
        <v>2158</v>
      </c>
      <c r="BJ212" s="1234"/>
      <c r="BK212" s="1229" t="s">
        <v>2158</v>
      </c>
      <c r="BL212" s="1230" t="s">
        <v>2158</v>
      </c>
      <c r="BM212" s="1229" t="s">
        <v>2158</v>
      </c>
      <c r="BN212" s="1230" t="s">
        <v>2158</v>
      </c>
    </row>
    <row r="213" spans="1:66" x14ac:dyDescent="0.25">
      <c r="A213" s="49" t="str">
        <f t="shared" si="153"/>
        <v>404950</v>
      </c>
      <c r="B213" s="1371" t="str">
        <f>'Income Eligible Deemed Table'!C846</f>
        <v>404950_2024_12_</v>
      </c>
      <c r="C213" s="1307" t="str">
        <f>'Income Eligible Deemed Table'!G846</f>
        <v>Lighting RES</v>
      </c>
      <c r="D213" s="1307"/>
      <c r="E213" s="1307"/>
      <c r="F213" s="1307"/>
      <c r="G213" s="1307" t="str">
        <f>'Income Eligible Deemed Table'!E846</f>
        <v>LED - 8W Globe Light G25 Bulb Specialty IE DI</v>
      </c>
      <c r="H213" s="18" t="str">
        <f>'Income Eligible Deemed Table'!D846</f>
        <v>PAYS/SFIE / MFIE</v>
      </c>
      <c r="I213" s="750">
        <f>'Income Eligible Deemed Table'!F846</f>
        <v>60.95</v>
      </c>
      <c r="J213" s="750"/>
      <c r="K213" s="189"/>
      <c r="L213" s="189"/>
      <c r="M213" s="189"/>
      <c r="N213" s="189"/>
      <c r="O213" s="751">
        <f>'Income Eligible Deemed Table'!M846</f>
        <v>9.0969999999999992E-3</v>
      </c>
      <c r="P213" s="751"/>
      <c r="Q213" s="752"/>
      <c r="R213" s="752"/>
      <c r="S213" s="752"/>
      <c r="T213" s="752"/>
      <c r="U213" s="753">
        <f t="shared" si="167"/>
        <v>9.0969999999999992E-3</v>
      </c>
      <c r="V213" s="753">
        <f t="shared" si="168"/>
        <v>0</v>
      </c>
      <c r="W213" s="753">
        <f t="shared" si="169"/>
        <v>0</v>
      </c>
      <c r="X213" s="22">
        <f>'Income Eligible Deemed Table'!N846</f>
        <v>8</v>
      </c>
      <c r="Y213" s="22"/>
      <c r="Z213" s="22">
        <f t="shared" si="154"/>
        <v>8</v>
      </c>
      <c r="AA213" s="17">
        <f>'Income Eligible Deemed Table'!DG846</f>
        <v>14.655390572165864</v>
      </c>
      <c r="AB213" s="246">
        <f>'Income Eligible Deemed Table'!P846</f>
        <v>1.66</v>
      </c>
      <c r="AC213" s="861">
        <f t="shared" si="155"/>
        <v>24.327948349795331</v>
      </c>
      <c r="AD213" s="861">
        <f t="shared" si="166"/>
        <v>0</v>
      </c>
      <c r="AE213" s="592">
        <f>'Income Eligible Deemed Table'!DI846</f>
        <v>24.327948349795331</v>
      </c>
      <c r="AF213" s="195"/>
      <c r="AG213" s="195"/>
      <c r="AH213" s="195"/>
      <c r="AI213" s="870" t="str">
        <f>'Income Eligible Deemed Table'!R846</f>
        <v>per measure</v>
      </c>
      <c r="AJ213" s="68"/>
      <c r="AX213" s="1284" t="str">
        <f t="shared" si="160"/>
        <v>LED - 8W Globe Light G25 Bulb Specialty IE DI</v>
      </c>
      <c r="AY213" s="1307"/>
      <c r="AZ213" s="1376" t="str">
        <f t="shared" si="161"/>
        <v>404950</v>
      </c>
      <c r="BA213" s="1229" t="s">
        <v>2158</v>
      </c>
      <c r="BB213" s="1229" t="s">
        <v>2158</v>
      </c>
      <c r="BC213" s="1229" t="s">
        <v>2158</v>
      </c>
      <c r="BD213" s="1229" t="s">
        <v>2158</v>
      </c>
      <c r="BE213" s="1234"/>
      <c r="BF213" s="1229" t="s">
        <v>2158</v>
      </c>
      <c r="BG213" s="1229" t="s">
        <v>2158</v>
      </c>
      <c r="BH213" s="1229" t="s">
        <v>2158</v>
      </c>
      <c r="BI213" s="1230" t="s">
        <v>2158</v>
      </c>
      <c r="BJ213" s="1234"/>
      <c r="BK213" s="1229" t="s">
        <v>2158</v>
      </c>
      <c r="BL213" s="1230" t="s">
        <v>2158</v>
      </c>
      <c r="BM213" s="1229" t="s">
        <v>2158</v>
      </c>
      <c r="BN213" s="1230" t="s">
        <v>2158</v>
      </c>
    </row>
    <row r="214" spans="1:66" x14ac:dyDescent="0.25">
      <c r="A214" s="49" t="str">
        <f t="shared" ref="A214:A221" si="170">LEFT(B214,6)</f>
        <v>405410</v>
      </c>
      <c r="B214" s="1371" t="str">
        <f>'Income Eligible Deemed Table'!C847</f>
        <v>405410_2024_12_</v>
      </c>
      <c r="C214" s="1307" t="str">
        <f>'Income Eligible Deemed Table'!G847</f>
        <v>Lighting RES</v>
      </c>
      <c r="D214" s="1307"/>
      <c r="E214" s="1307"/>
      <c r="F214" s="1307"/>
      <c r="G214" s="1307" t="str">
        <f>'Income Eligible Deemed Table'!E847</f>
        <v>LED - 6W (400-749 lumens) IEDI</v>
      </c>
      <c r="H214" s="18" t="str">
        <f>'Income Eligible Deemed Table'!D847</f>
        <v>PAYS/SFIE / MFIE</v>
      </c>
      <c r="I214" s="750">
        <f>'Income Eligible Deemed Table'!F847</f>
        <v>15.07</v>
      </c>
      <c r="J214" s="750"/>
      <c r="K214" s="189"/>
      <c r="L214" s="189"/>
      <c r="M214" s="189"/>
      <c r="N214" s="189"/>
      <c r="O214" s="751">
        <f>'Income Eligible Deemed Table'!M847</f>
        <v>2.2499999999999998E-3</v>
      </c>
      <c r="P214" s="751"/>
      <c r="Q214" s="752"/>
      <c r="R214" s="752"/>
      <c r="S214" s="752"/>
      <c r="T214" s="752"/>
      <c r="U214" s="753">
        <f t="shared" si="167"/>
        <v>2.2499999999999998E-3</v>
      </c>
      <c r="V214" s="753">
        <f t="shared" si="168"/>
        <v>0</v>
      </c>
      <c r="W214" s="753">
        <f t="shared" si="169"/>
        <v>0</v>
      </c>
      <c r="X214" s="22">
        <f>'Income Eligible Deemed Table'!N847</f>
        <v>8</v>
      </c>
      <c r="Y214" s="22"/>
      <c r="Z214" s="22">
        <f t="shared" ref="Z214:Z221" si="171">Y214+X214</f>
        <v>8</v>
      </c>
      <c r="AA214" s="17">
        <f>'Income Eligible Deemed Table'!DG847</f>
        <v>4.1483656092491374</v>
      </c>
      <c r="AB214" s="246">
        <f>'Income Eligible Deemed Table'!P847</f>
        <v>1.45</v>
      </c>
      <c r="AC214" s="861">
        <f t="shared" ref="AC214:AC221" si="172">AE214+AF214</f>
        <v>6.0151301334112492</v>
      </c>
      <c r="AD214" s="861">
        <f t="shared" si="166"/>
        <v>0</v>
      </c>
      <c r="AE214" s="592">
        <f>'Income Eligible Deemed Table'!DI847</f>
        <v>6.0151301334112492</v>
      </c>
      <c r="AF214" s="195"/>
      <c r="AG214" s="195"/>
      <c r="AH214" s="195"/>
      <c r="AI214" s="870" t="str">
        <f>'Income Eligible Deemed Table'!R847</f>
        <v>per measure</v>
      </c>
      <c r="AJ214" s="656"/>
      <c r="AK214" s="39"/>
      <c r="AL214" s="39"/>
      <c r="AX214" s="1284" t="str">
        <f t="shared" si="160"/>
        <v>LED - 6W (400-749 lumens) IEDI</v>
      </c>
      <c r="AY214" s="1307"/>
      <c r="AZ214" s="1376" t="str">
        <f t="shared" si="161"/>
        <v>405410</v>
      </c>
      <c r="BA214" s="1229" t="s">
        <v>2158</v>
      </c>
      <c r="BB214" s="1229" t="s">
        <v>2158</v>
      </c>
      <c r="BC214" s="1229" t="s">
        <v>2158</v>
      </c>
      <c r="BD214" s="1229" t="s">
        <v>2158</v>
      </c>
      <c r="BE214" s="1234"/>
      <c r="BF214" s="1229" t="s">
        <v>2158</v>
      </c>
      <c r="BG214" s="1229" t="s">
        <v>2158</v>
      </c>
      <c r="BH214" s="1229" t="s">
        <v>2158</v>
      </c>
      <c r="BI214" s="1230" t="s">
        <v>2158</v>
      </c>
      <c r="BJ214" s="1234"/>
      <c r="BK214" s="1229" t="s">
        <v>2158</v>
      </c>
      <c r="BL214" s="1230" t="s">
        <v>2158</v>
      </c>
      <c r="BM214" s="1229" t="s">
        <v>2158</v>
      </c>
      <c r="BN214" s="1230" t="s">
        <v>2158</v>
      </c>
    </row>
    <row r="215" spans="1:66" s="39" customFormat="1" x14ac:dyDescent="0.25">
      <c r="A215" s="49" t="str">
        <f t="shared" si="170"/>
        <v>405430</v>
      </c>
      <c r="B215" s="1371" t="str">
        <f>'Income Eligible Deemed Table'!C848</f>
        <v>405430_2024_12_</v>
      </c>
      <c r="C215" s="1307" t="str">
        <f>'Income Eligible Deemed Table'!G848</f>
        <v>Lighting RES</v>
      </c>
      <c r="D215" s="1307"/>
      <c r="E215" s="1307"/>
      <c r="F215" s="1307"/>
      <c r="G215" s="1307" t="str">
        <f>'Income Eligible Deemed Table'!E848</f>
        <v>LED Nightlights</v>
      </c>
      <c r="H215" s="18" t="str">
        <f>'Income Eligible Deemed Table'!D848</f>
        <v>SFIE</v>
      </c>
      <c r="I215" s="750">
        <f>'Income Eligible Deemed Table'!F848</f>
        <v>28.53</v>
      </c>
      <c r="J215" s="750"/>
      <c r="K215" s="189"/>
      <c r="L215" s="189"/>
      <c r="M215" s="189"/>
      <c r="N215" s="189"/>
      <c r="O215" s="751">
        <f>'Income Eligible Deemed Table'!M848</f>
        <v>4.2579999999999996E-3</v>
      </c>
      <c r="P215" s="751"/>
      <c r="Q215" s="752"/>
      <c r="R215" s="752"/>
      <c r="S215" s="752"/>
      <c r="T215" s="752"/>
      <c r="U215" s="753">
        <f t="shared" si="167"/>
        <v>4.2579999999999996E-3</v>
      </c>
      <c r="V215" s="753">
        <f t="shared" si="168"/>
        <v>0</v>
      </c>
      <c r="W215" s="753">
        <f t="shared" si="169"/>
        <v>0</v>
      </c>
      <c r="X215" s="22">
        <f>'Income Eligible Deemed Table'!N848</f>
        <v>8</v>
      </c>
      <c r="Y215" s="22"/>
      <c r="Z215" s="22">
        <f t="shared" si="171"/>
        <v>8</v>
      </c>
      <c r="AA215" s="17">
        <f>'Income Eligible Deemed Table'!DG848</f>
        <v>3.3992940943502052</v>
      </c>
      <c r="AB215" s="246">
        <f>'Income Eligible Deemed Table'!P848</f>
        <v>3.35</v>
      </c>
      <c r="AC215" s="861">
        <f t="shared" si="172"/>
        <v>11.387635216073187</v>
      </c>
      <c r="AD215" s="861">
        <f t="shared" si="166"/>
        <v>0</v>
      </c>
      <c r="AE215" s="592">
        <f>'Income Eligible Deemed Table'!DI848</f>
        <v>11.387635216073187</v>
      </c>
      <c r="AF215" s="195"/>
      <c r="AG215" s="195"/>
      <c r="AH215" s="195"/>
      <c r="AI215" s="870" t="str">
        <f>'Income Eligible Deemed Table'!R848</f>
        <v>per measure</v>
      </c>
      <c r="AJ215" s="656"/>
      <c r="AM215"/>
      <c r="AN215"/>
      <c r="AO215"/>
      <c r="AP215"/>
      <c r="AQ215"/>
      <c r="AR215"/>
      <c r="AS215"/>
      <c r="AT215"/>
      <c r="AU215"/>
      <c r="AV215"/>
      <c r="AW215"/>
      <c r="AX215" s="1284" t="str">
        <f t="shared" si="160"/>
        <v>LED Nightlights</v>
      </c>
      <c r="AY215" s="1307"/>
      <c r="AZ215" s="1376" t="str">
        <f t="shared" si="161"/>
        <v>405430</v>
      </c>
      <c r="BA215" s="1229" t="s">
        <v>2158</v>
      </c>
      <c r="BB215" s="1229" t="s">
        <v>2158</v>
      </c>
      <c r="BC215" s="1229" t="s">
        <v>2158</v>
      </c>
      <c r="BD215" s="1229" t="s">
        <v>2158</v>
      </c>
      <c r="BE215" s="1235"/>
      <c r="BF215" s="1229" t="s">
        <v>2158</v>
      </c>
      <c r="BG215" s="1229" t="s">
        <v>2158</v>
      </c>
      <c r="BH215" s="1229" t="s">
        <v>2158</v>
      </c>
      <c r="BI215" s="1230" t="s">
        <v>2158</v>
      </c>
      <c r="BJ215" s="1234"/>
      <c r="BK215" s="1229" t="s">
        <v>2158</v>
      </c>
      <c r="BL215" s="1230" t="s">
        <v>2158</v>
      </c>
      <c r="BM215" s="1229" t="s">
        <v>2158</v>
      </c>
      <c r="BN215" s="1230" t="s">
        <v>2158</v>
      </c>
    </row>
    <row r="216" spans="1:66" x14ac:dyDescent="0.25">
      <c r="A216" s="49" t="str">
        <f t="shared" si="170"/>
        <v>405750</v>
      </c>
      <c r="B216" s="1371" t="str">
        <f>'Income Eligible Deemed Table'!C914</f>
        <v>405750_2024_12_</v>
      </c>
      <c r="C216" s="1307" t="str">
        <f>'Income Eligible Deemed Table'!G914</f>
        <v>Miscellaneous RES</v>
      </c>
      <c r="D216" s="1307"/>
      <c r="E216" s="1307"/>
      <c r="F216" s="1307"/>
      <c r="G216" s="1307" t="str">
        <f>'Income Eligible Deemed Table'!E914</f>
        <v>Advanced Tier 2 Power Strips: Infrared ,TOS/NC</v>
      </c>
      <c r="H216" s="18" t="str">
        <f>'Income Eligible Deemed Table'!D914</f>
        <v>MFIE</v>
      </c>
      <c r="I216" s="750">
        <f>'Income Eligible Deemed Table'!F914</f>
        <v>177.07999999999998</v>
      </c>
      <c r="J216" s="750"/>
      <c r="K216" s="189"/>
      <c r="L216" s="189"/>
      <c r="M216" s="189"/>
      <c r="N216" s="189"/>
      <c r="O216" s="751">
        <f>'Income Eligible Deemed Table'!I914</f>
        <v>2.0333E-2</v>
      </c>
      <c r="P216" s="751"/>
      <c r="Q216" s="752"/>
      <c r="R216" s="752"/>
      <c r="S216" s="752"/>
      <c r="T216" s="752"/>
      <c r="U216" s="753">
        <f t="shared" si="167"/>
        <v>0</v>
      </c>
      <c r="V216" s="753">
        <f t="shared" si="168"/>
        <v>2.0333E-2</v>
      </c>
      <c r="W216" s="753">
        <f t="shared" si="169"/>
        <v>0</v>
      </c>
      <c r="X216" s="22">
        <f>'Income Eligible Deemed Table'!J914</f>
        <v>10</v>
      </c>
      <c r="Y216" s="22"/>
      <c r="Z216" s="22">
        <f t="shared" si="171"/>
        <v>10</v>
      </c>
      <c r="AA216" s="17">
        <f>'Income Eligible Deemed Table'!DG914</f>
        <v>1.4787956550776207</v>
      </c>
      <c r="AB216" s="246">
        <f>'Income Eligible Deemed Table'!K914</f>
        <v>60</v>
      </c>
      <c r="AC216" s="861">
        <f t="shared" si="172"/>
        <v>88.727739304657234</v>
      </c>
      <c r="AD216" s="861">
        <f t="shared" si="166"/>
        <v>0</v>
      </c>
      <c r="AE216" s="592">
        <f>'Income Eligible Deemed Table'!DI914</f>
        <v>88.727739304657234</v>
      </c>
      <c r="AF216" s="195"/>
      <c r="AG216" s="195"/>
      <c r="AH216" s="195"/>
      <c r="AI216" s="1371" t="str">
        <f>'Income Eligible Deemed Table'!L914</f>
        <v>per measure</v>
      </c>
      <c r="AJ216" s="68"/>
      <c r="AX216" s="1284" t="str">
        <f t="shared" ref="AX216:AX221" si="173">G216</f>
        <v>Advanced Tier 2 Power Strips: Infrared ,TOS/NC</v>
      </c>
      <c r="AY216" s="1307"/>
      <c r="AZ216" s="1376" t="str">
        <f t="shared" ref="AZ216:AZ221" si="174">A216</f>
        <v>405750</v>
      </c>
      <c r="BA216" s="1229" t="s">
        <v>2158</v>
      </c>
      <c r="BB216" s="1229" t="s">
        <v>2158</v>
      </c>
      <c r="BC216" s="1229" t="s">
        <v>2158</v>
      </c>
      <c r="BD216" s="1229" t="s">
        <v>2158</v>
      </c>
      <c r="BE216" s="1234"/>
      <c r="BF216" s="1229" t="s">
        <v>2158</v>
      </c>
      <c r="BG216" s="1229" t="s">
        <v>2158</v>
      </c>
      <c r="BH216" s="1229" t="s">
        <v>2158</v>
      </c>
      <c r="BI216" s="1230" t="s">
        <v>2158</v>
      </c>
      <c r="BJ216" s="1234"/>
      <c r="BK216" s="1229" t="s">
        <v>2158</v>
      </c>
      <c r="BL216" s="1230" t="s">
        <v>2158</v>
      </c>
      <c r="BM216" s="1229" t="s">
        <v>2158</v>
      </c>
      <c r="BN216" s="1230" t="s">
        <v>2158</v>
      </c>
    </row>
    <row r="217" spans="1:66" x14ac:dyDescent="0.25">
      <c r="A217" s="49" t="str">
        <f t="shared" si="170"/>
        <v>405751</v>
      </c>
      <c r="B217" s="1371" t="str">
        <f>'Income Eligible Deemed Table'!C915</f>
        <v>405751_2024_12_</v>
      </c>
      <c r="C217" s="1307" t="str">
        <f>'Income Eligible Deemed Table'!G915</f>
        <v>Miscellaneous RES</v>
      </c>
      <c r="D217" s="1307"/>
      <c r="E217" s="1307"/>
      <c r="F217" s="1307"/>
      <c r="G217" s="1307" t="str">
        <f>'Income Eligible Deemed Table'!E915</f>
        <v>Advanced Tier 2 Power Strips: Infrared DI</v>
      </c>
      <c r="H217" s="18" t="str">
        <f>'Income Eligible Deemed Table'!D915</f>
        <v>SFIE</v>
      </c>
      <c r="I217" s="750">
        <f>'Income Eligible Deemed Table'!F915</f>
        <v>177.07999999999998</v>
      </c>
      <c r="J217" s="750"/>
      <c r="K217" s="189"/>
      <c r="L217" s="189"/>
      <c r="M217" s="189"/>
      <c r="N217" s="189"/>
      <c r="O217" s="751">
        <f>'Income Eligible Deemed Table'!I915</f>
        <v>2.0333E-2</v>
      </c>
      <c r="P217" s="751"/>
      <c r="Q217" s="752"/>
      <c r="R217" s="752"/>
      <c r="S217" s="752"/>
      <c r="T217" s="752"/>
      <c r="U217" s="753">
        <f t="shared" si="167"/>
        <v>0</v>
      </c>
      <c r="V217" s="753">
        <f t="shared" si="168"/>
        <v>2.0333E-2</v>
      </c>
      <c r="W217" s="753">
        <f t="shared" si="169"/>
        <v>0</v>
      </c>
      <c r="X217" s="22">
        <f>'Income Eligible Deemed Table'!J915</f>
        <v>10</v>
      </c>
      <c r="Y217" s="22"/>
      <c r="Z217" s="22">
        <f t="shared" si="171"/>
        <v>10</v>
      </c>
      <c r="AA217" s="17">
        <f>'Income Eligible Deemed Table'!DG915</f>
        <v>1.4787956550776207</v>
      </c>
      <c r="AB217" s="246">
        <f>'Income Eligible Deemed Table'!K915</f>
        <v>60</v>
      </c>
      <c r="AC217" s="861">
        <f t="shared" si="172"/>
        <v>88.727739304657234</v>
      </c>
      <c r="AD217" s="861">
        <f t="shared" si="166"/>
        <v>0</v>
      </c>
      <c r="AE217" s="592">
        <f>'Income Eligible Deemed Table'!DI915</f>
        <v>88.727739304657234</v>
      </c>
      <c r="AF217" s="195"/>
      <c r="AG217" s="195"/>
      <c r="AH217" s="195"/>
      <c r="AI217" s="1371" t="str">
        <f>'Income Eligible Deemed Table'!L915</f>
        <v>per measure</v>
      </c>
      <c r="AJ217" s="656"/>
      <c r="AK217" s="39"/>
      <c r="AL217" s="39"/>
      <c r="AX217" s="1284" t="str">
        <f t="shared" si="173"/>
        <v>Advanced Tier 2 Power Strips: Infrared DI</v>
      </c>
      <c r="AY217" s="1307"/>
      <c r="AZ217" s="1376" t="str">
        <f t="shared" si="174"/>
        <v>405751</v>
      </c>
      <c r="BA217" s="1229" t="s">
        <v>2158</v>
      </c>
      <c r="BB217" s="1229" t="s">
        <v>2158</v>
      </c>
      <c r="BC217" s="1229" t="s">
        <v>2158</v>
      </c>
      <c r="BD217" s="1229" t="s">
        <v>2158</v>
      </c>
      <c r="BE217" s="1234"/>
      <c r="BF217" s="1229" t="s">
        <v>2158</v>
      </c>
      <c r="BG217" s="1229" t="s">
        <v>2158</v>
      </c>
      <c r="BH217" s="1229" t="s">
        <v>2158</v>
      </c>
      <c r="BI217" s="1230" t="s">
        <v>2158</v>
      </c>
      <c r="BJ217" s="1234"/>
      <c r="BK217" s="1229" t="s">
        <v>2158</v>
      </c>
      <c r="BL217" s="1230" t="s">
        <v>2158</v>
      </c>
      <c r="BM217" s="1229" t="s">
        <v>2158</v>
      </c>
      <c r="BN217" s="1230" t="s">
        <v>2158</v>
      </c>
    </row>
    <row r="218" spans="1:66" x14ac:dyDescent="0.25">
      <c r="A218" s="49" t="str">
        <f t="shared" si="170"/>
        <v>405800</v>
      </c>
      <c r="B218" s="1371" t="str">
        <f>'Income Eligible Deemed Table'!C931</f>
        <v>405800_2024_12_</v>
      </c>
      <c r="C218" s="1307" t="str">
        <f>'Income Eligible Deemed Table'!G931</f>
        <v>Refrigeration RES</v>
      </c>
      <c r="D218" s="1307" t="str">
        <f>'Income Eligible Deemed Table'!G932</f>
        <v>Refrigeration RES ER2</v>
      </c>
      <c r="E218" s="1307"/>
      <c r="F218" s="1307"/>
      <c r="G218" s="1307" t="str">
        <f>'Income Eligible Deemed Table'!E931</f>
        <v>Refrigerator - early replacement ER1</v>
      </c>
      <c r="H218" s="18" t="str">
        <f>'Income Eligible Deemed Table'!D931</f>
        <v>SFIE / MFIE</v>
      </c>
      <c r="I218" s="750">
        <f>'Income Eligible Deemed Table'!F931</f>
        <v>643.5</v>
      </c>
      <c r="J218" s="750">
        <f>'Income Eligible Deemed Table'!F932</f>
        <v>41.53</v>
      </c>
      <c r="K218" s="189"/>
      <c r="L218" s="189"/>
      <c r="M218" s="189"/>
      <c r="N218" s="189"/>
      <c r="O218" s="751">
        <f>'Income Eligible Deemed Table'!I931</f>
        <v>8.2706000000000002E-2</v>
      </c>
      <c r="P218" s="751">
        <f>'Income Eligible Deemed Table'!I932</f>
        <v>5.3379999999999999E-3</v>
      </c>
      <c r="Q218" s="752"/>
      <c r="R218" s="752"/>
      <c r="S218" s="752"/>
      <c r="T218" s="752"/>
      <c r="U218" s="753">
        <f t="shared" si="167"/>
        <v>0</v>
      </c>
      <c r="V218" s="753">
        <f t="shared" si="168"/>
        <v>0</v>
      </c>
      <c r="W218" s="753">
        <f t="shared" si="169"/>
        <v>8.2706000000000002E-2</v>
      </c>
      <c r="X218" s="22">
        <f>'Income Eligible Deemed Table'!J931</f>
        <v>5</v>
      </c>
      <c r="Y218" s="22">
        <f>'Income Eligible Deemed Table'!J932</f>
        <v>10</v>
      </c>
      <c r="Z218" s="22">
        <f t="shared" si="171"/>
        <v>15</v>
      </c>
      <c r="AA218" s="17">
        <f>'Income Eligible Deemed Table'!DG931</f>
        <v>7.0802679163207047</v>
      </c>
      <c r="AB218" s="246">
        <f>'Income Eligible Deemed Table'!K931</f>
        <v>28</v>
      </c>
      <c r="AC218" s="861">
        <f t="shared" si="172"/>
        <v>182.88494132325033</v>
      </c>
      <c r="AD218" s="861">
        <f t="shared" si="166"/>
        <v>15.362560333729393</v>
      </c>
      <c r="AE218" s="592">
        <f>'Income Eligible Deemed Table'!DI931</f>
        <v>182.88494132325033</v>
      </c>
      <c r="AF218" s="195"/>
      <c r="AG218" s="864">
        <f>'Income Eligible Deemed Table'!DI932</f>
        <v>15.362560333729393</v>
      </c>
      <c r="AH218" s="195"/>
      <c r="AI218" s="1371" t="str">
        <f>'Income Eligible Deemed Table'!L931</f>
        <v>per measure</v>
      </c>
      <c r="AJ218" s="68"/>
      <c r="AX218" s="1284" t="str">
        <f t="shared" si="173"/>
        <v>Refrigerator - early replacement ER1</v>
      </c>
      <c r="AY218" s="1307"/>
      <c r="AZ218" s="1376" t="str">
        <f t="shared" si="174"/>
        <v>405800</v>
      </c>
      <c r="BA218" s="1229" t="s">
        <v>2158</v>
      </c>
      <c r="BB218" s="1229" t="s">
        <v>2158</v>
      </c>
      <c r="BC218" s="1229" t="s">
        <v>2158</v>
      </c>
      <c r="BD218" s="1229" t="s">
        <v>2158</v>
      </c>
      <c r="BE218" s="1234"/>
      <c r="BF218" s="1229" t="s">
        <v>2158</v>
      </c>
      <c r="BG218" s="1229" t="s">
        <v>2158</v>
      </c>
      <c r="BH218" s="1229" t="s">
        <v>2158</v>
      </c>
      <c r="BI218" s="1230" t="s">
        <v>2158</v>
      </c>
      <c r="BJ218" s="1234"/>
      <c r="BK218" s="1229" t="s">
        <v>2158</v>
      </c>
      <c r="BL218" s="1230" t="s">
        <v>2158</v>
      </c>
      <c r="BM218" s="1229" t="s">
        <v>2158</v>
      </c>
      <c r="BN218" s="1230" t="s">
        <v>2158</v>
      </c>
    </row>
    <row r="219" spans="1:66" x14ac:dyDescent="0.25">
      <c r="A219" s="49" t="str">
        <f t="shared" si="170"/>
        <v>405825</v>
      </c>
      <c r="B219" s="1371" t="str">
        <f>'Income Eligible Deemed Table'!C933</f>
        <v>405825_2024_12_</v>
      </c>
      <c r="C219" s="1307" t="str">
        <f>'Income Eligible Deemed Table'!G933</f>
        <v>Refrigeration RES</v>
      </c>
      <c r="D219" s="1307" t="str">
        <f>'Income Eligible Deemed Table'!G934</f>
        <v>Refrigeration RES ER2</v>
      </c>
      <c r="E219" s="1307"/>
      <c r="F219" s="1307"/>
      <c r="G219" s="1307" t="str">
        <f>'Income Eligible Deemed Table'!E933</f>
        <v>Refrigerator - Pre 1993 - ER1</v>
      </c>
      <c r="H219" s="18" t="str">
        <f>'Income Eligible Deemed Table'!D933</f>
        <v>SFIE / MFIE</v>
      </c>
      <c r="I219" s="750">
        <f>'Income Eligible Deemed Table'!F933</f>
        <v>1298.5452350427352</v>
      </c>
      <c r="J219" s="750">
        <f>'Income Eligible Deemed Table'!F934</f>
        <v>41.53</v>
      </c>
      <c r="K219" s="189"/>
      <c r="L219" s="189"/>
      <c r="M219" s="189"/>
      <c r="N219" s="189"/>
      <c r="O219" s="751">
        <f>'Income Eligible Deemed Table'!I933</f>
        <v>0.16689599999999999</v>
      </c>
      <c r="P219" s="751">
        <f>'Income Eligible Deemed Table'!I934</f>
        <v>5.3379999999999999E-3</v>
      </c>
      <c r="Q219" s="752"/>
      <c r="R219" s="752"/>
      <c r="S219" s="752"/>
      <c r="T219" s="752"/>
      <c r="U219" s="753">
        <f t="shared" si="167"/>
        <v>0</v>
      </c>
      <c r="V219" s="753">
        <f t="shared" si="168"/>
        <v>0</v>
      </c>
      <c r="W219" s="753">
        <f t="shared" si="169"/>
        <v>0.16689599999999999</v>
      </c>
      <c r="X219" s="22">
        <f>'Income Eligible Deemed Table'!J933</f>
        <v>5</v>
      </c>
      <c r="Y219" s="22">
        <f>'Income Eligible Deemed Table'!J934</f>
        <v>10</v>
      </c>
      <c r="Z219" s="22">
        <f t="shared" si="171"/>
        <v>15</v>
      </c>
      <c r="AA219" s="17">
        <f>'Income Eligible Deemed Table'!DG933</f>
        <v>13.729058535416348</v>
      </c>
      <c r="AB219" s="246">
        <f>'Income Eligible Deemed Table'!K933</f>
        <v>28</v>
      </c>
      <c r="AC219" s="861">
        <f t="shared" si="172"/>
        <v>369.05107865792837</v>
      </c>
      <c r="AD219" s="861">
        <f t="shared" si="166"/>
        <v>15.362560333729393</v>
      </c>
      <c r="AE219" s="592">
        <f>'Income Eligible Deemed Table'!DI933</f>
        <v>369.05107865792837</v>
      </c>
      <c r="AF219" s="195"/>
      <c r="AG219" s="864">
        <f>'Income Eligible Deemed Table'!DI934</f>
        <v>15.362560333729393</v>
      </c>
      <c r="AH219" s="195"/>
      <c r="AI219" s="1371" t="str">
        <f>'Income Eligible Deemed Table'!L933</f>
        <v>per measure</v>
      </c>
      <c r="AJ219" s="68"/>
      <c r="AX219" s="1284" t="str">
        <f t="shared" si="173"/>
        <v>Refrigerator - Pre 1993 - ER1</v>
      </c>
      <c r="AY219" s="1307"/>
      <c r="AZ219" s="1376" t="str">
        <f t="shared" si="174"/>
        <v>405825</v>
      </c>
      <c r="BA219" s="1229" t="s">
        <v>2158</v>
      </c>
      <c r="BB219" s="1229" t="s">
        <v>2158</v>
      </c>
      <c r="BC219" s="1229" t="s">
        <v>2158</v>
      </c>
      <c r="BD219" s="1229" t="s">
        <v>2158</v>
      </c>
      <c r="BE219" s="1234"/>
      <c r="BF219" s="1229" t="s">
        <v>2158</v>
      </c>
      <c r="BG219" s="1229" t="s">
        <v>2158</v>
      </c>
      <c r="BH219" s="1229" t="s">
        <v>2158</v>
      </c>
      <c r="BI219" s="1230" t="s">
        <v>2158</v>
      </c>
      <c r="BJ219" s="1234"/>
      <c r="BK219" s="1229" t="s">
        <v>2158</v>
      </c>
      <c r="BL219" s="1230" t="s">
        <v>2158</v>
      </c>
      <c r="BM219" s="1229" t="s">
        <v>2158</v>
      </c>
      <c r="BN219" s="1230" t="s">
        <v>2158</v>
      </c>
    </row>
    <row r="220" spans="1:66" x14ac:dyDescent="0.25">
      <c r="A220" s="49" t="str">
        <f t="shared" si="170"/>
        <v>406000</v>
      </c>
      <c r="B220" s="1371" t="str">
        <f>'Income Eligible Deemed Table'!C967</f>
        <v>406000_2024_12_</v>
      </c>
      <c r="C220" s="1307" t="str">
        <f>'Income Eligible Deemed Table'!G967</f>
        <v>Cooling RES</v>
      </c>
      <c r="D220" s="1307"/>
      <c r="E220" s="1307"/>
      <c r="F220" s="1307"/>
      <c r="G220" s="1307" t="str">
        <f>'Income Eligible Deemed Table'!E967</f>
        <v>AC - Energy Star Room _unknown size_SF</v>
      </c>
      <c r="H220" s="18" t="str">
        <f>'Income Eligible Deemed Table'!D967</f>
        <v>SFIE</v>
      </c>
      <c r="I220" s="750">
        <f t="shared" ref="I220:I221" si="175">K220+L220</f>
        <v>400.38</v>
      </c>
      <c r="J220" s="750">
        <f t="shared" ref="J220:J221" si="176">M220+N220</f>
        <v>0</v>
      </c>
      <c r="K220" s="189">
        <f>'Income Eligible Deemed Table'!F967</f>
        <v>400.38</v>
      </c>
      <c r="L220" s="189"/>
      <c r="M220" s="189"/>
      <c r="N220" s="189"/>
      <c r="O220" s="751">
        <f t="shared" ref="O220:O221" si="177">Q220+R220</f>
        <v>0.37932700000000003</v>
      </c>
      <c r="P220" s="751">
        <f t="shared" ref="P220:P221" si="178">S220+T220</f>
        <v>0</v>
      </c>
      <c r="Q220" s="752">
        <f>'Income Eligible Deemed Table'!I967</f>
        <v>0.37932700000000003</v>
      </c>
      <c r="R220" s="752"/>
      <c r="S220" s="752"/>
      <c r="T220" s="752"/>
      <c r="U220" s="753">
        <f t="shared" ref="U220:U230" si="179">IFERROR(IF(V220+W220&gt;0,0,IF(Z220&gt;0,O220,0)),0)</f>
        <v>0</v>
      </c>
      <c r="V220" s="753">
        <f t="shared" ref="V220:V230" si="180">IF(W220&gt;0,0,IF(Z220&gt;9,O220,0))</f>
        <v>0.37932700000000003</v>
      </c>
      <c r="W220" s="753">
        <f t="shared" ref="W220:W230" si="181">IF(Z220&gt;14,O220,0)</f>
        <v>0</v>
      </c>
      <c r="X220" s="22">
        <f>'Income Eligible Deemed Table'!J967</f>
        <v>12</v>
      </c>
      <c r="Y220" s="22"/>
      <c r="Z220" s="22">
        <f t="shared" si="171"/>
        <v>12</v>
      </c>
      <c r="AA220" s="17">
        <f>'Income Eligible Deemed Table'!DG967</f>
        <v>2.3173724487870828</v>
      </c>
      <c r="AB220" s="246">
        <f>'Income Eligible Deemed Table'!K967</f>
        <v>300</v>
      </c>
      <c r="AC220" s="861">
        <f t="shared" si="172"/>
        <v>695.2117346361249</v>
      </c>
      <c r="AD220" s="861">
        <f t="shared" ref="AD220:AD221" si="182">AG220+AH220</f>
        <v>0</v>
      </c>
      <c r="AE220" s="592">
        <f>'Income Eligible Deemed Table'!DI967</f>
        <v>695.2117346361249</v>
      </c>
      <c r="AF220" s="195"/>
      <c r="AG220" s="195"/>
      <c r="AH220" s="195"/>
      <c r="AI220" s="1371" t="str">
        <f>'Income Eligible Deemed Table'!L967</f>
        <v>per measure</v>
      </c>
      <c r="AJ220" s="68"/>
      <c r="AX220" s="1284" t="str">
        <f t="shared" si="173"/>
        <v>AC - Energy Star Room _unknown size_SF</v>
      </c>
      <c r="AY220" s="1307"/>
      <c r="AZ220" s="1376" t="str">
        <f t="shared" si="174"/>
        <v>406000</v>
      </c>
      <c r="BA220" s="1229" t="s">
        <v>2158</v>
      </c>
      <c r="BB220" s="1229" t="s">
        <v>2158</v>
      </c>
      <c r="BC220" s="1229" t="s">
        <v>2158</v>
      </c>
      <c r="BD220" s="1229" t="s">
        <v>2158</v>
      </c>
      <c r="BE220" s="1234"/>
      <c r="BF220" s="1229" t="s">
        <v>2158</v>
      </c>
      <c r="BG220" s="1229" t="s">
        <v>2158</v>
      </c>
      <c r="BH220" s="1229" t="s">
        <v>2158</v>
      </c>
      <c r="BI220" s="1230" t="s">
        <v>2158</v>
      </c>
      <c r="BJ220" s="1234"/>
      <c r="BK220" s="1229" t="s">
        <v>2158</v>
      </c>
      <c r="BL220" s="1230" t="s">
        <v>2158</v>
      </c>
      <c r="BM220" s="1229" t="s">
        <v>2158</v>
      </c>
      <c r="BN220" s="1230" t="s">
        <v>2158</v>
      </c>
    </row>
    <row r="221" spans="1:66" s="39" customFormat="1" x14ac:dyDescent="0.25">
      <c r="A221" s="49" t="str">
        <f t="shared" si="170"/>
        <v>406004</v>
      </c>
      <c r="B221" s="1371" t="str">
        <f>'Income Eligible Deemed Table'!C968</f>
        <v>406004_2024_12_</v>
      </c>
      <c r="C221" s="1307" t="str">
        <f>'Income Eligible Deemed Table'!G968</f>
        <v>Cooling RES</v>
      </c>
      <c r="D221" s="1307"/>
      <c r="E221" s="1307"/>
      <c r="F221" s="1307"/>
      <c r="G221" s="1307" t="str">
        <f>'Income Eligible Deemed Table'!E968</f>
        <v>AC - Energy Star Room_12kBtu_SF</v>
      </c>
      <c r="H221" s="18" t="str">
        <f>'Income Eligible Deemed Table'!D968</f>
        <v>SFIE</v>
      </c>
      <c r="I221" s="750">
        <f t="shared" si="175"/>
        <v>465.46</v>
      </c>
      <c r="J221" s="750">
        <f t="shared" si="176"/>
        <v>0</v>
      </c>
      <c r="K221" s="189">
        <f>'Income Eligible Deemed Table'!F968</f>
        <v>465.46</v>
      </c>
      <c r="L221" s="189"/>
      <c r="M221" s="189"/>
      <c r="N221" s="189"/>
      <c r="O221" s="751">
        <f t="shared" si="177"/>
        <v>0.44098500000000002</v>
      </c>
      <c r="P221" s="751">
        <f t="shared" si="178"/>
        <v>0</v>
      </c>
      <c r="Q221" s="752">
        <f>'Income Eligible Deemed Table'!I968</f>
        <v>0.44098500000000002</v>
      </c>
      <c r="R221" s="752"/>
      <c r="S221" s="752"/>
      <c r="T221" s="752"/>
      <c r="U221" s="753">
        <f t="shared" si="179"/>
        <v>0</v>
      </c>
      <c r="V221" s="753">
        <f t="shared" si="180"/>
        <v>0.44098500000000002</v>
      </c>
      <c r="W221" s="753">
        <f t="shared" si="181"/>
        <v>0</v>
      </c>
      <c r="X221" s="22">
        <f>'Income Eligible Deemed Table'!J968</f>
        <v>12</v>
      </c>
      <c r="Y221" s="22"/>
      <c r="Z221" s="22">
        <f t="shared" si="171"/>
        <v>12</v>
      </c>
      <c r="AA221" s="17">
        <f>'Income Eligible Deemed Table'!DG968</f>
        <v>2.6940511014846789</v>
      </c>
      <c r="AB221" s="246">
        <f>'Income Eligible Deemed Table'!K968</f>
        <v>300</v>
      </c>
      <c r="AC221" s="861">
        <f t="shared" si="172"/>
        <v>808.21533044540365</v>
      </c>
      <c r="AD221" s="861">
        <f t="shared" si="182"/>
        <v>0</v>
      </c>
      <c r="AE221" s="592">
        <f>'Income Eligible Deemed Table'!DI968</f>
        <v>808.21533044540365</v>
      </c>
      <c r="AF221" s="195"/>
      <c r="AG221" s="195"/>
      <c r="AH221" s="195"/>
      <c r="AI221" s="1371" t="str">
        <f>'Income Eligible Deemed Table'!L968</f>
        <v>per measure</v>
      </c>
      <c r="AJ221" s="68"/>
      <c r="AK221"/>
      <c r="AL221"/>
      <c r="AM221"/>
      <c r="AN221"/>
      <c r="AO221"/>
      <c r="AP221"/>
      <c r="AQ221"/>
      <c r="AR221"/>
      <c r="AS221"/>
      <c r="AT221"/>
      <c r="AU221"/>
      <c r="AV221"/>
      <c r="AW221"/>
      <c r="AX221" s="1284" t="str">
        <f t="shared" si="173"/>
        <v>AC - Energy Star Room_12kBtu_SF</v>
      </c>
      <c r="AY221" s="1307"/>
      <c r="AZ221" s="1376" t="str">
        <f t="shared" si="174"/>
        <v>406004</v>
      </c>
      <c r="BA221" s="1229" t="s">
        <v>2158</v>
      </c>
      <c r="BB221" s="1229" t="s">
        <v>2158</v>
      </c>
      <c r="BC221" s="1229" t="s">
        <v>2158</v>
      </c>
      <c r="BD221" s="1229" t="s">
        <v>2158</v>
      </c>
      <c r="BE221" s="1235"/>
      <c r="BF221" s="1229" t="s">
        <v>2158</v>
      </c>
      <c r="BG221" s="1229" t="s">
        <v>2158</v>
      </c>
      <c r="BH221" s="1229" t="s">
        <v>2158</v>
      </c>
      <c r="BI221" s="1230" t="s">
        <v>2158</v>
      </c>
      <c r="BJ221" s="1234"/>
      <c r="BK221" s="1229" t="s">
        <v>2158</v>
      </c>
      <c r="BL221" s="1230" t="s">
        <v>2158</v>
      </c>
      <c r="BM221" s="1229" t="s">
        <v>2158</v>
      </c>
      <c r="BN221" s="1230" t="s">
        <v>2158</v>
      </c>
    </row>
    <row r="222" spans="1:66" x14ac:dyDescent="0.25">
      <c r="A222" s="49" t="str">
        <f t="shared" ref="A222:A230" si="183">LEFT(B222,6)</f>
        <v>406804</v>
      </c>
      <c r="B222" s="1371" t="str">
        <f>'Income Eligible Deemed Table'!C992</f>
        <v>406804_2024_12_</v>
      </c>
      <c r="C222" s="1307" t="str">
        <f>'Income Eligible Deemed Table'!G992</f>
        <v>Building Shell RES</v>
      </c>
      <c r="D222" s="1307"/>
      <c r="E222" s="1307"/>
      <c r="F222" s="1307"/>
      <c r="G222" s="1307" t="str">
        <f>'Income Eligible Deemed Table'!E992</f>
        <v>Cool Roof: Multi-Family Vintage Up to 1979-Non-Electric Heating</v>
      </c>
      <c r="H222" s="18" t="str">
        <f>'Income Eligible Deemed Table'!D992</f>
        <v>MFIE</v>
      </c>
      <c r="I222" s="750">
        <f>'Income Eligible Deemed Table'!F992</f>
        <v>114</v>
      </c>
      <c r="J222" s="750"/>
      <c r="K222" s="189"/>
      <c r="L222" s="189"/>
      <c r="M222" s="189"/>
      <c r="N222" s="189"/>
      <c r="O222" s="751">
        <f>'Income Eligible Deemed Table'!I992</f>
        <v>5.3133E-2</v>
      </c>
      <c r="P222" s="751"/>
      <c r="Q222" s="752"/>
      <c r="R222" s="752"/>
      <c r="S222" s="752"/>
      <c r="T222" s="752"/>
      <c r="U222" s="753">
        <f t="shared" si="179"/>
        <v>0</v>
      </c>
      <c r="V222" s="753">
        <f t="shared" si="180"/>
        <v>0</v>
      </c>
      <c r="W222" s="753">
        <f t="shared" si="181"/>
        <v>5.3133E-2</v>
      </c>
      <c r="X222" s="22">
        <f>'Income Eligible Deemed Table'!J992</f>
        <v>15</v>
      </c>
      <c r="Y222" s="22"/>
      <c r="Z222" s="22">
        <f t="shared" ref="Z222:Z230" si="184">Y222+X222</f>
        <v>15</v>
      </c>
      <c r="AA222" s="17">
        <f>'Income Eligible Deemed Table'!DG992</f>
        <v>18.440136967110668</v>
      </c>
      <c r="AB222" s="246">
        <f>'Income Eligible Deemed Table'!K992</f>
        <v>7.84</v>
      </c>
      <c r="AC222" s="861">
        <f t="shared" ref="AC222:AC230" si="185">AE222+AF222</f>
        <v>144.57067382214763</v>
      </c>
      <c r="AD222" s="861">
        <f t="shared" ref="AD222:AD230" si="186">AG222+AH222</f>
        <v>0</v>
      </c>
      <c r="AE222" s="194">
        <f>'Income Eligible Deemed Table'!DI992</f>
        <v>144.57067382214763</v>
      </c>
      <c r="AF222" s="195"/>
      <c r="AG222" s="195"/>
      <c r="AH222" s="195"/>
      <c r="AI222" s="1371" t="str">
        <f>'Income Eligible Deemed Table'!L992</f>
        <v>per sq ft</v>
      </c>
      <c r="AJ222" s="656"/>
      <c r="AK222" s="39"/>
      <c r="AL222" s="39"/>
      <c r="AX222" s="1284" t="str">
        <f t="shared" ref="AX222:AX230" si="187">G222</f>
        <v>Cool Roof: Multi-Family Vintage Up to 1979-Non-Electric Heating</v>
      </c>
      <c r="AY222" s="1307"/>
      <c r="AZ222" s="1376" t="str">
        <f t="shared" ref="AZ222:AZ230" si="188">A222</f>
        <v>406804</v>
      </c>
      <c r="BA222" s="1229" t="s">
        <v>2158</v>
      </c>
      <c r="BB222" s="1229" t="s">
        <v>2158</v>
      </c>
      <c r="BC222" s="1229" t="s">
        <v>2158</v>
      </c>
      <c r="BD222" s="1229" t="s">
        <v>2158</v>
      </c>
      <c r="BE222" s="1234"/>
      <c r="BF222" s="1229" t="s">
        <v>2158</v>
      </c>
      <c r="BG222" s="1229" t="s">
        <v>2158</v>
      </c>
      <c r="BH222" s="1229" t="s">
        <v>2158</v>
      </c>
      <c r="BI222" s="1230" t="s">
        <v>2158</v>
      </c>
      <c r="BJ222" s="1234"/>
      <c r="BK222" s="1229" t="s">
        <v>2158</v>
      </c>
      <c r="BL222" s="1230" t="s">
        <v>2158</v>
      </c>
      <c r="BM222" s="1229" t="s">
        <v>2158</v>
      </c>
      <c r="BN222" s="1230" t="s">
        <v>2158</v>
      </c>
    </row>
    <row r="223" spans="1:66" x14ac:dyDescent="0.25">
      <c r="A223" s="49" t="str">
        <f t="shared" si="183"/>
        <v>406805</v>
      </c>
      <c r="B223" s="1371" t="str">
        <f>'Income Eligible Deemed Table'!C993</f>
        <v>406805_2024_12_</v>
      </c>
      <c r="C223" s="1307" t="str">
        <f>'Income Eligible Deemed Table'!G993</f>
        <v>Building Shell RES</v>
      </c>
      <c r="D223" s="1307"/>
      <c r="E223" s="1307"/>
      <c r="F223" s="1307"/>
      <c r="G223" s="1307" t="str">
        <f>'Income Eligible Deemed Table'!E993</f>
        <v>Cool Roof: Multi-Family Vintage 1980-1999-Non-Electric Heating</v>
      </c>
      <c r="H223" s="18" t="str">
        <f>'Income Eligible Deemed Table'!D993</f>
        <v>MFIE</v>
      </c>
      <c r="I223" s="750">
        <f>'Income Eligible Deemed Table'!F993</f>
        <v>58.1</v>
      </c>
      <c r="J223" s="750"/>
      <c r="K223" s="189"/>
      <c r="L223" s="189"/>
      <c r="M223" s="189"/>
      <c r="N223" s="189"/>
      <c r="O223" s="751">
        <f>'Income Eligible Deemed Table'!I993</f>
        <v>2.7078999999999999E-2</v>
      </c>
      <c r="P223" s="751"/>
      <c r="Q223" s="752"/>
      <c r="R223" s="752"/>
      <c r="S223" s="752"/>
      <c r="T223" s="752"/>
      <c r="U223" s="753">
        <f t="shared" si="179"/>
        <v>0</v>
      </c>
      <c r="V223" s="753">
        <f t="shared" si="180"/>
        <v>0</v>
      </c>
      <c r="W223" s="753">
        <f t="shared" si="181"/>
        <v>2.7078999999999999E-2</v>
      </c>
      <c r="X223" s="22">
        <f>'Income Eligible Deemed Table'!J993</f>
        <v>15</v>
      </c>
      <c r="Y223" s="22"/>
      <c r="Z223" s="22">
        <f t="shared" si="184"/>
        <v>15</v>
      </c>
      <c r="AA223" s="17">
        <f>'Income Eligible Deemed Table'!DG993</f>
        <v>9.3979996297292079</v>
      </c>
      <c r="AB223" s="246">
        <f>'Income Eligible Deemed Table'!K993</f>
        <v>7.84</v>
      </c>
      <c r="AC223" s="861">
        <f t="shared" si="185"/>
        <v>73.680317097076994</v>
      </c>
      <c r="AD223" s="861">
        <f t="shared" si="186"/>
        <v>0</v>
      </c>
      <c r="AE223" s="194">
        <f>'Income Eligible Deemed Table'!DI993</f>
        <v>73.680317097076994</v>
      </c>
      <c r="AF223" s="195"/>
      <c r="AG223" s="195"/>
      <c r="AH223" s="195"/>
      <c r="AI223" s="1371" t="str">
        <f>'Income Eligible Deemed Table'!L993</f>
        <v>per sq ft</v>
      </c>
      <c r="AJ223" s="656"/>
      <c r="AK223" s="39"/>
      <c r="AL223" s="39"/>
      <c r="AX223" s="1284" t="str">
        <f t="shared" si="187"/>
        <v>Cool Roof: Multi-Family Vintage 1980-1999-Non-Electric Heating</v>
      </c>
      <c r="AY223" s="1307"/>
      <c r="AZ223" s="1376" t="str">
        <f t="shared" si="188"/>
        <v>406805</v>
      </c>
      <c r="BA223" s="1229" t="s">
        <v>2158</v>
      </c>
      <c r="BB223" s="1229" t="s">
        <v>2158</v>
      </c>
      <c r="BC223" s="1229" t="s">
        <v>2158</v>
      </c>
      <c r="BD223" s="1229" t="s">
        <v>2158</v>
      </c>
      <c r="BE223" s="1234"/>
      <c r="BF223" s="1229" t="s">
        <v>2158</v>
      </c>
      <c r="BG223" s="1229" t="s">
        <v>2158</v>
      </c>
      <c r="BH223" s="1229" t="s">
        <v>2158</v>
      </c>
      <c r="BI223" s="1230" t="s">
        <v>2158</v>
      </c>
      <c r="BJ223" s="1234"/>
      <c r="BK223" s="1229" t="s">
        <v>2158</v>
      </c>
      <c r="BL223" s="1230" t="s">
        <v>2158</v>
      </c>
      <c r="BM223" s="1229" t="s">
        <v>2158</v>
      </c>
      <c r="BN223" s="1230" t="s">
        <v>2158</v>
      </c>
    </row>
    <row r="224" spans="1:66" x14ac:dyDescent="0.25">
      <c r="A224" s="49" t="str">
        <f t="shared" si="183"/>
        <v>406806</v>
      </c>
      <c r="B224" s="1371" t="str">
        <f>'Income Eligible Deemed Table'!C994</f>
        <v>406806_2024_12_</v>
      </c>
      <c r="C224" s="1307" t="str">
        <f>'Income Eligible Deemed Table'!G994</f>
        <v>Building Shell RES</v>
      </c>
      <c r="D224" s="1307"/>
      <c r="E224" s="1307"/>
      <c r="F224" s="1307"/>
      <c r="G224" s="1307" t="str">
        <f>'Income Eligible Deemed Table'!E994</f>
        <v>Cool Roof: Multi-Family Vintage 2000-2009-Non-Electric Heating</v>
      </c>
      <c r="H224" s="18" t="str">
        <f>'Income Eligible Deemed Table'!D994</f>
        <v>MFIE</v>
      </c>
      <c r="I224" s="750">
        <f>'Income Eligible Deemed Table'!F994</f>
        <v>24.9</v>
      </c>
      <c r="J224" s="750"/>
      <c r="K224" s="189"/>
      <c r="L224" s="189"/>
      <c r="M224" s="189"/>
      <c r="N224" s="189"/>
      <c r="O224" s="751">
        <f>'Income Eligible Deemed Table'!I994</f>
        <v>1.1605000000000001E-2</v>
      </c>
      <c r="P224" s="751"/>
      <c r="Q224" s="752"/>
      <c r="R224" s="752"/>
      <c r="S224" s="752"/>
      <c r="T224" s="752"/>
      <c r="U224" s="753">
        <f t="shared" si="179"/>
        <v>0</v>
      </c>
      <c r="V224" s="753">
        <f t="shared" si="180"/>
        <v>0</v>
      </c>
      <c r="W224" s="753">
        <f t="shared" si="181"/>
        <v>1.1605000000000001E-2</v>
      </c>
      <c r="X224" s="22">
        <f>'Income Eligible Deemed Table'!J994</f>
        <v>15</v>
      </c>
      <c r="Y224" s="22"/>
      <c r="Z224" s="22">
        <f t="shared" si="184"/>
        <v>15</v>
      </c>
      <c r="AA224" s="17">
        <f>'Income Eligible Deemed Table'!DG994</f>
        <v>4.0277141270268038</v>
      </c>
      <c r="AB224" s="246">
        <f>'Income Eligible Deemed Table'!K994</f>
        <v>7.84</v>
      </c>
      <c r="AC224" s="861">
        <f t="shared" si="185"/>
        <v>31.577278755890138</v>
      </c>
      <c r="AD224" s="861">
        <f t="shared" si="186"/>
        <v>0</v>
      </c>
      <c r="AE224" s="194">
        <f>'Income Eligible Deemed Table'!DI994</f>
        <v>31.577278755890138</v>
      </c>
      <c r="AF224" s="195"/>
      <c r="AG224" s="195"/>
      <c r="AH224" s="195"/>
      <c r="AI224" s="1371" t="str">
        <f>'Income Eligible Deemed Table'!L994</f>
        <v>per sq ft</v>
      </c>
      <c r="AJ224" s="656"/>
      <c r="AK224" s="39"/>
      <c r="AL224" s="39"/>
      <c r="AX224" s="1284" t="str">
        <f t="shared" si="187"/>
        <v>Cool Roof: Multi-Family Vintage 2000-2009-Non-Electric Heating</v>
      </c>
      <c r="AY224" s="1307"/>
      <c r="AZ224" s="1376" t="str">
        <f t="shared" si="188"/>
        <v>406806</v>
      </c>
      <c r="BA224" s="1229" t="s">
        <v>2158</v>
      </c>
      <c r="BB224" s="1229" t="s">
        <v>2158</v>
      </c>
      <c r="BC224" s="1229" t="s">
        <v>2158</v>
      </c>
      <c r="BD224" s="1229" t="s">
        <v>2158</v>
      </c>
      <c r="BE224" s="1234"/>
      <c r="BF224" s="1229" t="s">
        <v>2158</v>
      </c>
      <c r="BG224" s="1229" t="s">
        <v>2158</v>
      </c>
      <c r="BH224" s="1229" t="s">
        <v>2158</v>
      </c>
      <c r="BI224" s="1230" t="s">
        <v>2158</v>
      </c>
      <c r="BJ224" s="1234"/>
      <c r="BK224" s="1229" t="s">
        <v>2158</v>
      </c>
      <c r="BL224" s="1230" t="s">
        <v>2158</v>
      </c>
      <c r="BM224" s="1229" t="s">
        <v>2158</v>
      </c>
      <c r="BN224" s="1230" t="s">
        <v>2158</v>
      </c>
    </row>
    <row r="225" spans="1:66" x14ac:dyDescent="0.25">
      <c r="A225" s="49" t="str">
        <f t="shared" si="183"/>
        <v>406807</v>
      </c>
      <c r="B225" s="1371" t="str">
        <f>'Income Eligible Deemed Table'!C995</f>
        <v>406807_2024_12_</v>
      </c>
      <c r="C225" s="1307" t="str">
        <f>'Income Eligible Deemed Table'!G995</f>
        <v>Building Shell RES</v>
      </c>
      <c r="D225" s="1307"/>
      <c r="E225" s="1307"/>
      <c r="F225" s="1307"/>
      <c r="G225" s="1307" t="str">
        <f>'Income Eligible Deemed Table'!E995</f>
        <v>Cool Roof: Multi-Family Vintage 2010-2015-Non-Electric Heating</v>
      </c>
      <c r="H225" s="18" t="str">
        <f>'Income Eligible Deemed Table'!D995</f>
        <v>MFIE</v>
      </c>
      <c r="I225" s="750">
        <f>'Income Eligible Deemed Table'!F995</f>
        <v>19.5</v>
      </c>
      <c r="J225" s="750"/>
      <c r="K225" s="189"/>
      <c r="L225" s="189"/>
      <c r="M225" s="189"/>
      <c r="N225" s="189"/>
      <c r="O225" s="751">
        <f>'Income Eligible Deemed Table'!I995</f>
        <v>9.0889999999999999E-3</v>
      </c>
      <c r="P225" s="751"/>
      <c r="Q225" s="752"/>
      <c r="R225" s="752"/>
      <c r="S225" s="752"/>
      <c r="T225" s="752"/>
      <c r="U225" s="753">
        <f t="shared" si="179"/>
        <v>0</v>
      </c>
      <c r="V225" s="753">
        <f t="shared" si="180"/>
        <v>0</v>
      </c>
      <c r="W225" s="753">
        <f t="shared" si="181"/>
        <v>9.0889999999999999E-3</v>
      </c>
      <c r="X225" s="22">
        <f>'Income Eligible Deemed Table'!J995</f>
        <v>15</v>
      </c>
      <c r="Y225" s="22"/>
      <c r="Z225" s="22">
        <f t="shared" si="184"/>
        <v>15</v>
      </c>
      <c r="AA225" s="17">
        <f>'Income Eligible Deemed Table'!DG995</f>
        <v>3.154233954900509</v>
      </c>
      <c r="AB225" s="246">
        <f>'Income Eligible Deemed Table'!K995</f>
        <v>7.84</v>
      </c>
      <c r="AC225" s="861">
        <f t="shared" si="185"/>
        <v>24.72919420641999</v>
      </c>
      <c r="AD225" s="861">
        <f t="shared" si="186"/>
        <v>0</v>
      </c>
      <c r="AE225" s="194">
        <f>'Income Eligible Deemed Table'!DI995</f>
        <v>24.72919420641999</v>
      </c>
      <c r="AF225" s="195"/>
      <c r="AG225" s="195"/>
      <c r="AH225" s="195"/>
      <c r="AI225" s="1371" t="str">
        <f>'Income Eligible Deemed Table'!L995</f>
        <v>per sq ft</v>
      </c>
      <c r="AJ225" s="656"/>
      <c r="AK225" s="39"/>
      <c r="AL225" s="39"/>
      <c r="AX225" s="1284" t="str">
        <f t="shared" si="187"/>
        <v>Cool Roof: Multi-Family Vintage 2010-2015-Non-Electric Heating</v>
      </c>
      <c r="AY225" s="1307"/>
      <c r="AZ225" s="1376" t="str">
        <f t="shared" si="188"/>
        <v>406807</v>
      </c>
      <c r="BA225" s="1229" t="s">
        <v>2158</v>
      </c>
      <c r="BB225" s="1229" t="s">
        <v>2158</v>
      </c>
      <c r="BC225" s="1229" t="s">
        <v>2158</v>
      </c>
      <c r="BD225" s="1229" t="s">
        <v>2158</v>
      </c>
      <c r="BE225" s="1234"/>
      <c r="BF225" s="1229" t="s">
        <v>2158</v>
      </c>
      <c r="BG225" s="1229" t="s">
        <v>2158</v>
      </c>
      <c r="BH225" s="1229" t="s">
        <v>2158</v>
      </c>
      <c r="BI225" s="1230" t="s">
        <v>2158</v>
      </c>
      <c r="BJ225" s="1234"/>
      <c r="BK225" s="1229" t="s">
        <v>2158</v>
      </c>
      <c r="BL225" s="1230" t="s">
        <v>2158</v>
      </c>
      <c r="BM225" s="1229" t="s">
        <v>2158</v>
      </c>
      <c r="BN225" s="1230" t="s">
        <v>2158</v>
      </c>
    </row>
    <row r="226" spans="1:66" x14ac:dyDescent="0.25">
      <c r="A226" s="49" t="str">
        <f t="shared" si="183"/>
        <v>406812</v>
      </c>
      <c r="B226" s="1371" t="str">
        <f>'Income Eligible Deemed Table'!C996</f>
        <v>406812_2024_12_</v>
      </c>
      <c r="C226" s="1307" t="str">
        <f>'Income Eligible Deemed Table'!G996</f>
        <v>Building Shell RES</v>
      </c>
      <c r="D226" s="1307"/>
      <c r="E226" s="1307"/>
      <c r="F226" s="1307"/>
      <c r="G226" s="1307" t="str">
        <f>'Income Eligible Deemed Table'!E996</f>
        <v>Cool Roof: Multi-Family Vintage Up to 1979-Heat Pump Heating</v>
      </c>
      <c r="H226" s="18" t="str">
        <f>'Income Eligible Deemed Table'!D996</f>
        <v>MFIE</v>
      </c>
      <c r="I226" s="750">
        <f>'Income Eligible Deemed Table'!F996</f>
        <v>47.88</v>
      </c>
      <c r="J226" s="750"/>
      <c r="K226" s="189"/>
      <c r="L226" s="189"/>
      <c r="M226" s="189"/>
      <c r="N226" s="189"/>
      <c r="O226" s="751">
        <f>'Income Eligible Deemed Table'!I996</f>
        <v>2.2315999999999999E-2</v>
      </c>
      <c r="P226" s="751"/>
      <c r="Q226" s="752"/>
      <c r="R226" s="752"/>
      <c r="S226" s="752"/>
      <c r="T226" s="752"/>
      <c r="U226" s="753">
        <f t="shared" si="179"/>
        <v>0</v>
      </c>
      <c r="V226" s="753">
        <f t="shared" si="180"/>
        <v>0</v>
      </c>
      <c r="W226" s="753">
        <f t="shared" si="181"/>
        <v>2.2315999999999999E-2</v>
      </c>
      <c r="X226" s="22">
        <f>'Income Eligible Deemed Table'!J996</f>
        <v>15</v>
      </c>
      <c r="Y226" s="22"/>
      <c r="Z226" s="22">
        <f t="shared" si="184"/>
        <v>15</v>
      </c>
      <c r="AA226" s="17">
        <f>'Income Eligible Deemed Table'!DG996</f>
        <v>7.7448575261864807</v>
      </c>
      <c r="AB226" s="246">
        <f>'Income Eligible Deemed Table'!K996</f>
        <v>7.84</v>
      </c>
      <c r="AC226" s="861">
        <f t="shared" si="185"/>
        <v>60.719683005302009</v>
      </c>
      <c r="AD226" s="861">
        <f t="shared" si="186"/>
        <v>0</v>
      </c>
      <c r="AE226" s="194">
        <f>'Income Eligible Deemed Table'!DI996</f>
        <v>60.719683005302009</v>
      </c>
      <c r="AF226" s="195"/>
      <c r="AG226" s="195"/>
      <c r="AH226" s="195"/>
      <c r="AI226" s="1371" t="str">
        <f>'Income Eligible Deemed Table'!L996</f>
        <v>per sq ft</v>
      </c>
      <c r="AJ226" s="656"/>
      <c r="AK226" s="39"/>
      <c r="AL226" s="39"/>
      <c r="AX226" s="1284" t="str">
        <f t="shared" si="187"/>
        <v>Cool Roof: Multi-Family Vintage Up to 1979-Heat Pump Heating</v>
      </c>
      <c r="AY226" s="1307"/>
      <c r="AZ226" s="1376" t="str">
        <f t="shared" si="188"/>
        <v>406812</v>
      </c>
      <c r="BA226" s="1229" t="s">
        <v>2158</v>
      </c>
      <c r="BB226" s="1229" t="s">
        <v>2158</v>
      </c>
      <c r="BC226" s="1229" t="s">
        <v>2158</v>
      </c>
      <c r="BD226" s="1229" t="s">
        <v>2158</v>
      </c>
      <c r="BE226" s="1234"/>
      <c r="BF226" s="1229" t="s">
        <v>2158</v>
      </c>
      <c r="BG226" s="1229" t="s">
        <v>2158</v>
      </c>
      <c r="BH226" s="1229" t="s">
        <v>2158</v>
      </c>
      <c r="BI226" s="1230" t="s">
        <v>2158</v>
      </c>
      <c r="BJ226" s="1234"/>
      <c r="BK226" s="1229" t="s">
        <v>2158</v>
      </c>
      <c r="BL226" s="1230" t="s">
        <v>2158</v>
      </c>
      <c r="BM226" s="1229" t="s">
        <v>2158</v>
      </c>
      <c r="BN226" s="1230" t="s">
        <v>2158</v>
      </c>
    </row>
    <row r="227" spans="1:66" x14ac:dyDescent="0.25">
      <c r="A227" s="49" t="str">
        <f t="shared" si="183"/>
        <v>406813</v>
      </c>
      <c r="B227" s="1371" t="str">
        <f>'Income Eligible Deemed Table'!C997</f>
        <v>406813_2024_12_</v>
      </c>
      <c r="C227" s="1307" t="str">
        <f>'Income Eligible Deemed Table'!G997</f>
        <v>Building Shell RES</v>
      </c>
      <c r="D227" s="1307"/>
      <c r="E227" s="1307"/>
      <c r="F227" s="1307"/>
      <c r="G227" s="1307" t="str">
        <f>'Income Eligible Deemed Table'!E997</f>
        <v>Cool Roof: Multi-Family Vintage 1980-1999-Heat Pump Heating</v>
      </c>
      <c r="H227" s="18" t="str">
        <f>'Income Eligible Deemed Table'!D997</f>
        <v>MFIE</v>
      </c>
      <c r="I227" s="750">
        <f>'Income Eligible Deemed Table'!F997</f>
        <v>24.4</v>
      </c>
      <c r="J227" s="750"/>
      <c r="K227" s="189"/>
      <c r="L227" s="189"/>
      <c r="M227" s="189"/>
      <c r="N227" s="189"/>
      <c r="O227" s="751">
        <f>'Income Eligible Deemed Table'!I997</f>
        <v>1.1372E-2</v>
      </c>
      <c r="P227" s="751"/>
      <c r="Q227" s="752"/>
      <c r="R227" s="752"/>
      <c r="S227" s="752"/>
      <c r="T227" s="752"/>
      <c r="U227" s="753">
        <f t="shared" si="179"/>
        <v>0</v>
      </c>
      <c r="V227" s="753">
        <f t="shared" si="180"/>
        <v>0</v>
      </c>
      <c r="W227" s="753">
        <f t="shared" si="181"/>
        <v>1.1372E-2</v>
      </c>
      <c r="X227" s="22">
        <f>'Income Eligible Deemed Table'!J997</f>
        <v>15</v>
      </c>
      <c r="Y227" s="22"/>
      <c r="Z227" s="22">
        <f t="shared" si="184"/>
        <v>15</v>
      </c>
      <c r="AA227" s="17">
        <f>'Income Eligible Deemed Table'!DG997</f>
        <v>3.9468363333114058</v>
      </c>
      <c r="AB227" s="246">
        <f>'Income Eligible Deemed Table'!K997</f>
        <v>7.84</v>
      </c>
      <c r="AC227" s="861">
        <f t="shared" si="185"/>
        <v>30.943196853161421</v>
      </c>
      <c r="AD227" s="861">
        <f t="shared" si="186"/>
        <v>0</v>
      </c>
      <c r="AE227" s="194">
        <f>'Income Eligible Deemed Table'!DI997</f>
        <v>30.943196853161421</v>
      </c>
      <c r="AF227" s="195"/>
      <c r="AG227" s="195"/>
      <c r="AH227" s="195"/>
      <c r="AI227" s="1371" t="str">
        <f>'Income Eligible Deemed Table'!L997</f>
        <v>per sq ft</v>
      </c>
      <c r="AJ227" s="656"/>
      <c r="AK227" s="39"/>
      <c r="AL227" s="39"/>
      <c r="AX227" s="1284" t="str">
        <f t="shared" si="187"/>
        <v>Cool Roof: Multi-Family Vintage 1980-1999-Heat Pump Heating</v>
      </c>
      <c r="AY227" s="1307"/>
      <c r="AZ227" s="1376" t="str">
        <f t="shared" si="188"/>
        <v>406813</v>
      </c>
      <c r="BA227" s="1229" t="s">
        <v>2158</v>
      </c>
      <c r="BB227" s="1229" t="s">
        <v>2158</v>
      </c>
      <c r="BC227" s="1229" t="s">
        <v>2158</v>
      </c>
      <c r="BD227" s="1229" t="s">
        <v>2158</v>
      </c>
      <c r="BE227" s="1234"/>
      <c r="BF227" s="1229" t="s">
        <v>2158</v>
      </c>
      <c r="BG227" s="1229" t="s">
        <v>2158</v>
      </c>
      <c r="BH227" s="1229" t="s">
        <v>2158</v>
      </c>
      <c r="BI227" s="1230" t="s">
        <v>2158</v>
      </c>
      <c r="BJ227" s="1234"/>
      <c r="BK227" s="1229" t="s">
        <v>2158</v>
      </c>
      <c r="BL227" s="1230" t="s">
        <v>2158</v>
      </c>
      <c r="BM227" s="1229" t="s">
        <v>2158</v>
      </c>
      <c r="BN227" s="1230" t="s">
        <v>2158</v>
      </c>
    </row>
    <row r="228" spans="1:66" x14ac:dyDescent="0.25">
      <c r="A228" s="49" t="str">
        <f t="shared" si="183"/>
        <v>406814</v>
      </c>
      <c r="B228" s="1371" t="str">
        <f>'Income Eligible Deemed Table'!C998</f>
        <v>406814_2024_12_</v>
      </c>
      <c r="C228" s="1307" t="str">
        <f>'Income Eligible Deemed Table'!G998</f>
        <v>Building Shell RES</v>
      </c>
      <c r="D228" s="1307"/>
      <c r="E228" s="1307"/>
      <c r="F228" s="1307"/>
      <c r="G228" s="1307" t="str">
        <f>'Income Eligible Deemed Table'!E998</f>
        <v>Cool Roof: Multi-Family Vintage 2000-2009-Heat Pump Heating</v>
      </c>
      <c r="H228" s="18" t="str">
        <f>'Income Eligible Deemed Table'!D998</f>
        <v>MFIE</v>
      </c>
      <c r="I228" s="750">
        <f>'Income Eligible Deemed Table'!F998</f>
        <v>10.46</v>
      </c>
      <c r="J228" s="750"/>
      <c r="K228" s="189"/>
      <c r="L228" s="189"/>
      <c r="M228" s="189"/>
      <c r="N228" s="189"/>
      <c r="O228" s="751">
        <f>'Income Eligible Deemed Table'!I998</f>
        <v>4.875E-3</v>
      </c>
      <c r="P228" s="751"/>
      <c r="Q228" s="752"/>
      <c r="R228" s="752"/>
      <c r="S228" s="752"/>
      <c r="T228" s="752"/>
      <c r="U228" s="753">
        <f t="shared" si="179"/>
        <v>0</v>
      </c>
      <c r="V228" s="753">
        <f t="shared" si="180"/>
        <v>0</v>
      </c>
      <c r="W228" s="753">
        <f t="shared" si="181"/>
        <v>4.875E-3</v>
      </c>
      <c r="X228" s="22">
        <f>'Income Eligible Deemed Table'!J998</f>
        <v>15</v>
      </c>
      <c r="Y228" s="22"/>
      <c r="Z228" s="22">
        <f t="shared" si="184"/>
        <v>15</v>
      </c>
      <c r="AA228" s="17">
        <f>'Income Eligible Deemed Table'!DG998</f>
        <v>1.6919634445261194</v>
      </c>
      <c r="AB228" s="246">
        <f>'Income Eligible Deemed Table'!K998</f>
        <v>7.84</v>
      </c>
      <c r="AC228" s="861">
        <f t="shared" si="185"/>
        <v>13.264993405084775</v>
      </c>
      <c r="AD228" s="861">
        <f t="shared" si="186"/>
        <v>0</v>
      </c>
      <c r="AE228" s="194">
        <f>'Income Eligible Deemed Table'!DI998</f>
        <v>13.264993405084775</v>
      </c>
      <c r="AF228" s="195"/>
      <c r="AG228" s="195"/>
      <c r="AH228" s="195"/>
      <c r="AI228" s="1371" t="str">
        <f>'Income Eligible Deemed Table'!L998</f>
        <v>per sq ft</v>
      </c>
      <c r="AJ228" s="656"/>
      <c r="AK228" s="39"/>
      <c r="AL228" s="39"/>
      <c r="AX228" s="1284" t="str">
        <f t="shared" si="187"/>
        <v>Cool Roof: Multi-Family Vintage 2000-2009-Heat Pump Heating</v>
      </c>
      <c r="AY228" s="1307"/>
      <c r="AZ228" s="1376" t="str">
        <f t="shared" si="188"/>
        <v>406814</v>
      </c>
      <c r="BA228" s="1229" t="s">
        <v>2158</v>
      </c>
      <c r="BB228" s="1229" t="s">
        <v>2158</v>
      </c>
      <c r="BC228" s="1229" t="s">
        <v>2158</v>
      </c>
      <c r="BD228" s="1229" t="s">
        <v>2158</v>
      </c>
      <c r="BE228" s="1234"/>
      <c r="BF228" s="1229" t="s">
        <v>2158</v>
      </c>
      <c r="BG228" s="1229" t="s">
        <v>2158</v>
      </c>
      <c r="BH228" s="1229" t="s">
        <v>2158</v>
      </c>
      <c r="BI228" s="1230" t="s">
        <v>2158</v>
      </c>
      <c r="BJ228" s="1234"/>
      <c r="BK228" s="1229" t="s">
        <v>2158</v>
      </c>
      <c r="BL228" s="1230" t="s">
        <v>2158</v>
      </c>
      <c r="BM228" s="1229" t="s">
        <v>2158</v>
      </c>
      <c r="BN228" s="1230" t="s">
        <v>2158</v>
      </c>
    </row>
    <row r="229" spans="1:66" x14ac:dyDescent="0.25">
      <c r="A229" s="49" t="str">
        <f t="shared" si="183"/>
        <v>406815</v>
      </c>
      <c r="B229" s="1371" t="str">
        <f>'Income Eligible Deemed Table'!C999</f>
        <v>406815_2024_12_</v>
      </c>
      <c r="C229" s="1307" t="str">
        <f>'Income Eligible Deemed Table'!G999</f>
        <v>Building Shell RES</v>
      </c>
      <c r="D229" s="1307"/>
      <c r="E229" s="1307"/>
      <c r="F229" s="1307"/>
      <c r="G229" s="1307" t="str">
        <f>'Income Eligible Deemed Table'!E999</f>
        <v>Cool Roof: Multi-Family Vintage 2010-2015-Heat Pump Heating</v>
      </c>
      <c r="H229" s="18" t="str">
        <f>'Income Eligible Deemed Table'!D999</f>
        <v>MFIE</v>
      </c>
      <c r="I229" s="750">
        <f>'Income Eligible Deemed Table'!F999</f>
        <v>8.19</v>
      </c>
      <c r="J229" s="750"/>
      <c r="K229" s="189"/>
      <c r="L229" s="189"/>
      <c r="M229" s="189"/>
      <c r="N229" s="189"/>
      <c r="O229" s="751">
        <f>'Income Eligible Deemed Table'!I999</f>
        <v>3.8170000000000001E-3</v>
      </c>
      <c r="P229" s="751"/>
      <c r="Q229" s="752"/>
      <c r="R229" s="752"/>
      <c r="S229" s="752"/>
      <c r="T229" s="752"/>
      <c r="U229" s="753">
        <f t="shared" si="179"/>
        <v>0</v>
      </c>
      <c r="V229" s="753">
        <f t="shared" si="180"/>
        <v>0</v>
      </c>
      <c r="W229" s="753">
        <f t="shared" si="181"/>
        <v>3.8170000000000001E-3</v>
      </c>
      <c r="X229" s="22">
        <f>'Income Eligible Deemed Table'!J999</f>
        <v>15</v>
      </c>
      <c r="Y229" s="22"/>
      <c r="Z229" s="22">
        <f t="shared" si="184"/>
        <v>15</v>
      </c>
      <c r="AA229" s="17">
        <f>'Income Eligible Deemed Table'!DG999</f>
        <v>1.3247782610582135</v>
      </c>
      <c r="AB229" s="246">
        <f>'Income Eligible Deemed Table'!K999</f>
        <v>7.84</v>
      </c>
      <c r="AC229" s="861">
        <f t="shared" si="185"/>
        <v>10.386261566696394</v>
      </c>
      <c r="AD229" s="861">
        <f t="shared" si="186"/>
        <v>0</v>
      </c>
      <c r="AE229" s="194">
        <f>'Income Eligible Deemed Table'!DI999</f>
        <v>10.386261566696394</v>
      </c>
      <c r="AF229" s="195"/>
      <c r="AG229" s="195"/>
      <c r="AH229" s="195"/>
      <c r="AI229" s="1371" t="str">
        <f>'Income Eligible Deemed Table'!L999</f>
        <v>per sq ft</v>
      </c>
      <c r="AJ229" s="656"/>
      <c r="AK229" s="39"/>
      <c r="AL229" s="39"/>
      <c r="AX229" s="1284" t="str">
        <f t="shared" si="187"/>
        <v>Cool Roof: Multi-Family Vintage 2010-2015-Heat Pump Heating</v>
      </c>
      <c r="AY229" s="1307"/>
      <c r="AZ229" s="1376" t="str">
        <f t="shared" si="188"/>
        <v>406815</v>
      </c>
      <c r="BA229" s="1229" t="s">
        <v>2158</v>
      </c>
      <c r="BB229" s="1229" t="s">
        <v>2158</v>
      </c>
      <c r="BC229" s="1229" t="s">
        <v>2158</v>
      </c>
      <c r="BD229" s="1229" t="s">
        <v>2158</v>
      </c>
      <c r="BE229" s="1234"/>
      <c r="BF229" s="1229" t="s">
        <v>2158</v>
      </c>
      <c r="BG229" s="1229" t="s">
        <v>2158</v>
      </c>
      <c r="BH229" s="1229" t="s">
        <v>2158</v>
      </c>
      <c r="BI229" s="1230" t="s">
        <v>2158</v>
      </c>
      <c r="BJ229" s="1234"/>
      <c r="BK229" s="1229" t="s">
        <v>2158</v>
      </c>
      <c r="BL229" s="1230" t="s">
        <v>2158</v>
      </c>
      <c r="BM229" s="1229" t="s">
        <v>2158</v>
      </c>
      <c r="BN229" s="1230" t="s">
        <v>2158</v>
      </c>
    </row>
    <row r="230" spans="1:66" s="39" customFormat="1" x14ac:dyDescent="0.25">
      <c r="A230" s="671" t="str">
        <f t="shared" si="183"/>
        <v>450100</v>
      </c>
      <c r="B230" s="657" t="str">
        <f>'PAYS Deemed Table'!C7</f>
        <v>450100_2024_12_</v>
      </c>
      <c r="C230" s="656" t="str">
        <f>'PAYS Deemed Table'!H7</f>
        <v>Lighting RES</v>
      </c>
      <c r="D230" s="656"/>
      <c r="E230" s="656"/>
      <c r="F230" s="656"/>
      <c r="G230" s="656" t="str">
        <f>'PAYS Deemed Table'!E7</f>
        <v>LED - 10W (750-899 lumens) DI</v>
      </c>
      <c r="H230" s="662" t="str">
        <f>'PAYS Deemed Table'!D7</f>
        <v>PAYS</v>
      </c>
      <c r="I230" s="660">
        <f>'PAYS Deemed Table'!F7</f>
        <v>29.57</v>
      </c>
      <c r="J230" s="660"/>
      <c r="K230" s="658"/>
      <c r="L230" s="658"/>
      <c r="M230" s="658"/>
      <c r="N230" s="658"/>
      <c r="O230" s="661">
        <f>'PAYS Deemed Table'!G7</f>
        <v>4.4140000000000004E-3</v>
      </c>
      <c r="P230" s="661"/>
      <c r="Q230" s="663"/>
      <c r="R230" s="663"/>
      <c r="S230" s="663"/>
      <c r="T230" s="663"/>
      <c r="U230" s="753">
        <f t="shared" si="179"/>
        <v>4.4140000000000004E-3</v>
      </c>
      <c r="V230" s="753">
        <f t="shared" si="180"/>
        <v>0</v>
      </c>
      <c r="W230" s="753">
        <f t="shared" si="181"/>
        <v>0</v>
      </c>
      <c r="X230" s="654">
        <f>'PAYS Deemed Table'!P7</f>
        <v>2</v>
      </c>
      <c r="Y230" s="654"/>
      <c r="Z230" s="654">
        <f t="shared" si="184"/>
        <v>2</v>
      </c>
      <c r="AA230" s="112">
        <f>'PAYS Deemed Table'!DG7</f>
        <v>2.4846833571625995</v>
      </c>
      <c r="AB230" s="746">
        <f>'PAYS Deemed Table'!DJ7</f>
        <v>1.45</v>
      </c>
      <c r="AC230" s="748">
        <f t="shared" si="185"/>
        <v>3.6027908678857692</v>
      </c>
      <c r="AD230" s="748">
        <f t="shared" si="186"/>
        <v>0</v>
      </c>
      <c r="AE230" s="1178">
        <f>'PAYS Deemed Table'!DI7</f>
        <v>3.6027908678857692</v>
      </c>
      <c r="AF230" s="878"/>
      <c r="AG230" s="664"/>
      <c r="AH230" s="664"/>
      <c r="AI230" s="46" t="str">
        <f>'PAYS Deemed Table'!S7</f>
        <v xml:space="preserve">  per bulb</v>
      </c>
      <c r="AJ230" s="656"/>
      <c r="AM230"/>
      <c r="AN230"/>
      <c r="AO230"/>
      <c r="AP230"/>
      <c r="AQ230"/>
      <c r="AR230"/>
      <c r="AS230"/>
      <c r="AT230"/>
      <c r="AU230"/>
      <c r="AV230"/>
      <c r="AW230"/>
      <c r="AX230" s="1284" t="str">
        <f t="shared" si="187"/>
        <v>LED - 10W (750-899 lumens) DI</v>
      </c>
      <c r="AY230" s="1307"/>
      <c r="AZ230" s="1376" t="str">
        <f t="shared" si="188"/>
        <v>450100</v>
      </c>
      <c r="BA230" s="1229" t="s">
        <v>2158</v>
      </c>
      <c r="BB230" s="1229" t="s">
        <v>2158</v>
      </c>
      <c r="BC230" s="1229" t="s">
        <v>2158</v>
      </c>
      <c r="BD230" s="1229" t="s">
        <v>2158</v>
      </c>
      <c r="BE230" s="1235"/>
      <c r="BF230" s="1229" t="s">
        <v>2158</v>
      </c>
      <c r="BG230" s="1229" t="s">
        <v>2158</v>
      </c>
      <c r="BH230" s="1229" t="s">
        <v>2158</v>
      </c>
      <c r="BI230" s="1230" t="s">
        <v>2158</v>
      </c>
      <c r="BJ230" s="1234"/>
      <c r="BK230" s="1229" t="s">
        <v>2158</v>
      </c>
      <c r="BL230" s="1230" t="s">
        <v>2158</v>
      </c>
      <c r="BM230" s="1229" t="s">
        <v>2158</v>
      </c>
      <c r="BN230" s="1230" t="s">
        <v>2158</v>
      </c>
    </row>
    <row r="231" spans="1:66" s="39" customFormat="1" x14ac:dyDescent="0.25">
      <c r="A231" s="671" t="str">
        <f t="shared" ref="A231" si="189">LEFT(B231,6)</f>
        <v>450700</v>
      </c>
      <c r="B231" s="657" t="str">
        <f>'PAYS Deemed Table'!C38</f>
        <v>450700_2024_12_</v>
      </c>
      <c r="C231" s="656" t="str">
        <f>'PAYS Deemed Table'!G38</f>
        <v>Miscellaneous RES</v>
      </c>
      <c r="D231" s="656"/>
      <c r="E231" s="656"/>
      <c r="F231" s="656"/>
      <c r="G231" s="656" t="str">
        <f>'PAYS Deemed Table'!E38</f>
        <v>Advanced Tier 1 Power Strips DI - Home Office</v>
      </c>
      <c r="H231" s="662" t="str">
        <f>'PAYS Deemed Table'!D38</f>
        <v>PAYS</v>
      </c>
      <c r="I231" s="660">
        <f>'PAYS Deemed Table'!F38</f>
        <v>23.03</v>
      </c>
      <c r="J231" s="660"/>
      <c r="K231" s="658"/>
      <c r="L231" s="658"/>
      <c r="M231" s="658"/>
      <c r="N231" s="658"/>
      <c r="O231" s="661">
        <f>'PAYS Deemed Table'!I38</f>
        <v>2.6440000000000001E-3</v>
      </c>
      <c r="P231" s="661"/>
      <c r="Q231" s="663"/>
      <c r="R231" s="663"/>
      <c r="S231" s="663"/>
      <c r="T231" s="663"/>
      <c r="U231" s="753">
        <f t="shared" ref="U231" si="190">IFERROR(IF(V231+W231&gt;0,0,IF(Z231&gt;0,O231,0)),0)</f>
        <v>0</v>
      </c>
      <c r="V231" s="753">
        <f t="shared" ref="V231" si="191">IF(W231&gt;0,0,IF(Z231&gt;9,O231,0))</f>
        <v>2.6440000000000001E-3</v>
      </c>
      <c r="W231" s="753">
        <f t="shared" ref="W231" si="192">IF(Z231&gt;14,O231,0)</f>
        <v>0</v>
      </c>
      <c r="X231" s="654">
        <f>'PAYS Deemed Table'!J38</f>
        <v>10</v>
      </c>
      <c r="Y231" s="654"/>
      <c r="Z231" s="654">
        <f t="shared" ref="Z231" si="193">Y231+X231</f>
        <v>10</v>
      </c>
      <c r="AA231" s="112">
        <f>'PAYS Deemed Table'!DG38</f>
        <v>0.38464720958253451</v>
      </c>
      <c r="AB231" s="746">
        <f>'PAYS Deemed Table'!DJ38</f>
        <v>30</v>
      </c>
      <c r="AC231" s="748">
        <f t="shared" ref="AC231" si="194">AE231+AF231</f>
        <v>11.539416287476035</v>
      </c>
      <c r="AD231" s="748">
        <f t="shared" ref="AD231" si="195">AG231+AH231</f>
        <v>0</v>
      </c>
      <c r="AE231" s="1178">
        <f>'PAYS Deemed Table'!DI38</f>
        <v>11.539416287476035</v>
      </c>
      <c r="AF231" s="878"/>
      <c r="AG231" s="664"/>
      <c r="AH231" s="664"/>
      <c r="AI231" s="657" t="str">
        <f>'PAYS Deemed Table'!L38</f>
        <v>per measure</v>
      </c>
      <c r="AJ231" s="656"/>
      <c r="AM231"/>
      <c r="AN231"/>
      <c r="AO231"/>
      <c r="AP231"/>
      <c r="AQ231"/>
      <c r="AR231"/>
      <c r="AS231"/>
      <c r="AT231"/>
      <c r="AU231"/>
      <c r="AV231"/>
      <c r="AW231"/>
      <c r="AX231" s="1284" t="str">
        <f t="shared" ref="AX231" si="196">G231</f>
        <v>Advanced Tier 1 Power Strips DI - Home Office</v>
      </c>
      <c r="AY231" s="1307"/>
      <c r="AZ231" s="1376" t="str">
        <f t="shared" ref="AZ231" si="197">A231</f>
        <v>450700</v>
      </c>
      <c r="BA231" s="1229" t="s">
        <v>2158</v>
      </c>
      <c r="BB231" s="1229" t="s">
        <v>2158</v>
      </c>
      <c r="BC231" s="1229" t="s">
        <v>2158</v>
      </c>
      <c r="BD231" s="1229" t="s">
        <v>2158</v>
      </c>
      <c r="BE231" s="1235"/>
      <c r="BF231" s="1229" t="s">
        <v>2158</v>
      </c>
      <c r="BG231" s="1229" t="s">
        <v>2158</v>
      </c>
      <c r="BH231" s="1229" t="s">
        <v>2158</v>
      </c>
      <c r="BI231" s="1230" t="s">
        <v>2158</v>
      </c>
      <c r="BJ231" s="1234"/>
      <c r="BK231" s="1229" t="s">
        <v>2158</v>
      </c>
      <c r="BL231" s="1230" t="s">
        <v>2158</v>
      </c>
      <c r="BM231" s="1229" t="s">
        <v>2158</v>
      </c>
      <c r="BN231" s="1230" t="s">
        <v>2158</v>
      </c>
    </row>
    <row r="232" spans="1:66" x14ac:dyDescent="0.25">
      <c r="A232" s="49" t="str">
        <f t="shared" ref="A232:A265" si="198">LEFT(B232,6)</f>
        <v>600050</v>
      </c>
      <c r="B232" s="1371" t="str">
        <f>'Demand Response Deemed Table'!C7</f>
        <v>600050_2024_12_</v>
      </c>
      <c r="C232" s="1307" t="str">
        <f>'Demand Response Deemed Table'!E7</f>
        <v>Summer Demand Response Advanced Thermostat - with Program-driven Optimization</v>
      </c>
      <c r="D232" s="1307"/>
      <c r="E232" s="1307"/>
      <c r="F232" s="1307"/>
      <c r="G232" s="1307" t="str">
        <f>'Demand Response Deemed Table'!E7</f>
        <v>Summer Demand Response Advanced Thermostat - with Program-driven Optimization</v>
      </c>
      <c r="H232" s="18" t="str">
        <f>'Demand Response Deemed Table'!D7</f>
        <v>DR</v>
      </c>
      <c r="I232" s="750">
        <f>'Demand Response Deemed Table'!F7</f>
        <v>0</v>
      </c>
      <c r="J232" s="750"/>
      <c r="K232" s="189"/>
      <c r="L232" s="189"/>
      <c r="M232" s="189"/>
      <c r="N232" s="189"/>
      <c r="O232" s="751" t="str">
        <f>'Demand Response Deemed Table'!I7</f>
        <v>-</v>
      </c>
      <c r="P232" s="751"/>
      <c r="Q232" s="752"/>
      <c r="R232" s="752"/>
      <c r="S232" s="752"/>
      <c r="T232" s="752"/>
      <c r="U232" s="753" t="str">
        <f t="shared" ref="U232:U255" si="199">IFERROR(IF(V232+W232&gt;0,0,IF(Z232&gt;0,O232,0)),0)</f>
        <v>-</v>
      </c>
      <c r="V232" s="753">
        <f t="shared" ref="V232:V255" si="200">IF(W232&gt;0,0,IF(Z232&gt;9,O232,0))</f>
        <v>0</v>
      </c>
      <c r="W232" s="753">
        <f t="shared" ref="W232:W255" si="201">IF(Z232&gt;14,O232,0)</f>
        <v>0</v>
      </c>
      <c r="X232" s="22">
        <f>'Demand Response Deemed Table'!K7</f>
        <v>1</v>
      </c>
      <c r="Y232" s="22"/>
      <c r="Z232" s="22">
        <f t="shared" ref="Z232:Z265" si="202">Y232+X232</f>
        <v>1</v>
      </c>
      <c r="AA232" s="871" t="str">
        <f>'Demand Response Deemed Table'!DG7</f>
        <v/>
      </c>
      <c r="AB232" s="246">
        <f>'Demand Response Deemed Table'!L7</f>
        <v>0</v>
      </c>
      <c r="AC232" s="862">
        <f t="shared" ref="AC232:AC265" si="203">AE232+AF232</f>
        <v>0</v>
      </c>
      <c r="AD232" s="862">
        <f t="shared" ref="AD232:AD265" si="204">AG232+AH232</f>
        <v>0</v>
      </c>
      <c r="AE232" s="872">
        <f>'Demand Response Deemed Table'!DI7</f>
        <v>0</v>
      </c>
      <c r="AF232" s="195"/>
      <c r="AG232" s="195"/>
      <c r="AH232" s="195"/>
      <c r="AI232" s="1371" t="str">
        <f>'Demand Response Deemed Table'!M7</f>
        <v>per thermostat</v>
      </c>
      <c r="AJ232" s="68"/>
      <c r="AX232" s="1284" t="str">
        <f t="shared" ref="AX232:AX257" si="205">G232</f>
        <v>Summer Demand Response Advanced Thermostat - with Program-driven Optimization</v>
      </c>
      <c r="AY232" s="1307"/>
      <c r="AZ232" s="1376" t="str">
        <f t="shared" ref="AZ232:AZ257" si="206">A232</f>
        <v>600050</v>
      </c>
      <c r="BA232" s="1229" t="s">
        <v>2158</v>
      </c>
      <c r="BB232" s="1229" t="s">
        <v>2158</v>
      </c>
      <c r="BC232" s="1229" t="s">
        <v>2158</v>
      </c>
      <c r="BD232" s="1229" t="s">
        <v>2158</v>
      </c>
      <c r="BE232" s="1234"/>
      <c r="BF232" s="1229" t="s">
        <v>2158</v>
      </c>
      <c r="BG232" s="1229" t="s">
        <v>2158</v>
      </c>
      <c r="BH232" s="1229" t="s">
        <v>2158</v>
      </c>
      <c r="BI232" s="1230" t="s">
        <v>2158</v>
      </c>
      <c r="BJ232" s="1234"/>
      <c r="BK232" s="1229" t="s">
        <v>2158</v>
      </c>
      <c r="BL232" s="1230" t="s">
        <v>2158</v>
      </c>
      <c r="BM232" s="1229" t="s">
        <v>2158</v>
      </c>
      <c r="BN232" s="1230" t="s">
        <v>2158</v>
      </c>
    </row>
    <row r="233" spans="1:66" s="39" customFormat="1" x14ac:dyDescent="0.25">
      <c r="A233" s="671" t="str">
        <f>LEFT(B233,6)</f>
        <v>600060</v>
      </c>
      <c r="B233" s="657" t="str">
        <f>'Demand Response Deemed Table'!C8</f>
        <v>600060_2023_12_</v>
      </c>
      <c r="C233" s="656" t="str">
        <f>'Demand Response Deemed Table'!E8</f>
        <v>Winter Demand Response Advanced Thermostat - with Program-driven Optimization</v>
      </c>
      <c r="D233" s="656"/>
      <c r="E233" s="656"/>
      <c r="F233" s="656"/>
      <c r="G233" s="656" t="str">
        <f>'Demand Response Deemed Table'!E8</f>
        <v>Winter Demand Response Advanced Thermostat - with Program-driven Optimization</v>
      </c>
      <c r="H233" s="662" t="str">
        <f>'Demand Response Deemed Table'!D8</f>
        <v>DR</v>
      </c>
      <c r="I233" s="660">
        <f>'Demand Response Deemed Table'!F8</f>
        <v>0</v>
      </c>
      <c r="J233" s="660"/>
      <c r="K233" s="658"/>
      <c r="L233" s="658"/>
      <c r="M233" s="658"/>
      <c r="N233" s="658"/>
      <c r="O233" s="661" t="str">
        <f>'Demand Response Deemed Table'!I8</f>
        <v>-</v>
      </c>
      <c r="P233" s="661"/>
      <c r="Q233" s="663"/>
      <c r="R233" s="663"/>
      <c r="S233" s="663"/>
      <c r="T233" s="663"/>
      <c r="U233" s="753" t="str">
        <f t="shared" si="199"/>
        <v>-</v>
      </c>
      <c r="V233" s="753">
        <f t="shared" si="200"/>
        <v>0</v>
      </c>
      <c r="W233" s="753">
        <f t="shared" si="201"/>
        <v>0</v>
      </c>
      <c r="X233" s="654">
        <f>'Demand Response Deemed Table'!K8</f>
        <v>1</v>
      </c>
      <c r="Y233" s="654"/>
      <c r="Z233" s="654">
        <f>Y233+X233</f>
        <v>1</v>
      </c>
      <c r="AA233" s="1219" t="str">
        <f>'Demand Response Deemed Table'!DG8</f>
        <v/>
      </c>
      <c r="AB233" s="746">
        <f>'Demand Response Deemed Table'!L8</f>
        <v>0</v>
      </c>
      <c r="AC233" s="749">
        <f>AE233+AF233</f>
        <v>0</v>
      </c>
      <c r="AD233" s="749">
        <f>AG233+AH233</f>
        <v>0</v>
      </c>
      <c r="AE233" s="1061">
        <f>'Demand Response Deemed Table'!DI8</f>
        <v>0</v>
      </c>
      <c r="AF233" s="664"/>
      <c r="AG233" s="664"/>
      <c r="AH233" s="664"/>
      <c r="AI233" s="657" t="str">
        <f>'Demand Response Deemed Table'!M8</f>
        <v>per thermostat</v>
      </c>
      <c r="AJ233" s="656"/>
      <c r="AM233"/>
      <c r="AN233"/>
      <c r="AO233"/>
      <c r="AP233"/>
      <c r="AQ233"/>
      <c r="AR233"/>
      <c r="AS233"/>
      <c r="AT233"/>
      <c r="AU233"/>
      <c r="AV233"/>
      <c r="AW233"/>
      <c r="AX233" s="1284" t="str">
        <f t="shared" si="205"/>
        <v>Winter Demand Response Advanced Thermostat - with Program-driven Optimization</v>
      </c>
      <c r="AY233" s="1307"/>
      <c r="AZ233" s="1376" t="str">
        <f t="shared" si="206"/>
        <v>600060</v>
      </c>
      <c r="BA233" s="1229" t="s">
        <v>2158</v>
      </c>
      <c r="BB233" s="1229" t="s">
        <v>2158</v>
      </c>
      <c r="BC233" s="1229" t="s">
        <v>2158</v>
      </c>
      <c r="BD233" s="1229" t="s">
        <v>2158</v>
      </c>
      <c r="BE233" s="1235"/>
      <c r="BF233" s="1229" t="s">
        <v>2158</v>
      </c>
      <c r="BG233" s="1229" t="s">
        <v>2158</v>
      </c>
      <c r="BH233" s="1229" t="s">
        <v>2158</v>
      </c>
      <c r="BI233" s="1230" t="s">
        <v>2158</v>
      </c>
      <c r="BJ233" s="1234"/>
      <c r="BK233" s="1229" t="s">
        <v>2158</v>
      </c>
      <c r="BL233" s="1230" t="s">
        <v>2158</v>
      </c>
      <c r="BM233" s="1229" t="s">
        <v>2158</v>
      </c>
      <c r="BN233" s="1230" t="s">
        <v>2158</v>
      </c>
    </row>
    <row r="234" spans="1:66" x14ac:dyDescent="0.25">
      <c r="A234" s="49" t="str">
        <f t="shared" si="198"/>
        <v>600100</v>
      </c>
      <c r="B234" s="1371" t="str">
        <f>'Demand Response Deemed Table'!C9</f>
        <v>600100_2021_12_</v>
      </c>
      <c r="C234" s="1307" t="str">
        <f>'Demand Response Deemed Table'!E9</f>
        <v>Summer Demand Response Advanced Thermostat - without Program-Driven Optimization</v>
      </c>
      <c r="D234" s="1307"/>
      <c r="E234" s="1307"/>
      <c r="F234" s="1307"/>
      <c r="G234" s="1307" t="str">
        <f>'Demand Response Deemed Table'!E9</f>
        <v>Summer Demand Response Advanced Thermostat - without Program-Driven Optimization</v>
      </c>
      <c r="H234" s="18" t="str">
        <f>'Demand Response Deemed Table'!D9</f>
        <v>DR</v>
      </c>
      <c r="I234" s="750">
        <f>'Demand Response Deemed Table'!F9</f>
        <v>0</v>
      </c>
      <c r="J234" s="750"/>
      <c r="K234" s="189"/>
      <c r="L234" s="189"/>
      <c r="M234" s="189"/>
      <c r="N234" s="189"/>
      <c r="O234" s="751" t="str">
        <f>'Demand Response Deemed Table'!I9</f>
        <v>-</v>
      </c>
      <c r="P234" s="751"/>
      <c r="Q234" s="752"/>
      <c r="R234" s="752"/>
      <c r="S234" s="752"/>
      <c r="T234" s="752"/>
      <c r="U234" s="753" t="str">
        <f t="shared" si="199"/>
        <v>-</v>
      </c>
      <c r="V234" s="753">
        <f t="shared" si="200"/>
        <v>0</v>
      </c>
      <c r="W234" s="753">
        <f t="shared" si="201"/>
        <v>0</v>
      </c>
      <c r="X234" s="22">
        <f>'Demand Response Deemed Table'!K9</f>
        <v>1</v>
      </c>
      <c r="Y234" s="22"/>
      <c r="Z234" s="22">
        <f t="shared" si="202"/>
        <v>1</v>
      </c>
      <c r="AA234" s="871" t="str">
        <f>'Demand Response Deemed Table'!DG9</f>
        <v/>
      </c>
      <c r="AB234" s="246">
        <f>'Demand Response Deemed Table'!L9</f>
        <v>0</v>
      </c>
      <c r="AC234" s="862">
        <f t="shared" si="203"/>
        <v>0</v>
      </c>
      <c r="AD234" s="862">
        <f t="shared" si="204"/>
        <v>0</v>
      </c>
      <c r="AE234" s="872">
        <f>'Demand Response Deemed Table'!DI9</f>
        <v>0</v>
      </c>
      <c r="AF234" s="195"/>
      <c r="AG234" s="195"/>
      <c r="AH234" s="195"/>
      <c r="AI234" s="1371" t="str">
        <f>'Demand Response Deemed Table'!M9</f>
        <v>per thermostat</v>
      </c>
      <c r="AJ234" s="656"/>
      <c r="AK234" s="39"/>
      <c r="AL234" s="39"/>
      <c r="AX234" s="1284" t="str">
        <f t="shared" si="205"/>
        <v>Summer Demand Response Advanced Thermostat - without Program-Driven Optimization</v>
      </c>
      <c r="AY234" s="1307"/>
      <c r="AZ234" s="1376" t="str">
        <f t="shared" si="206"/>
        <v>600100</v>
      </c>
      <c r="BA234" s="1229" t="s">
        <v>2158</v>
      </c>
      <c r="BB234" s="1229" t="s">
        <v>2158</v>
      </c>
      <c r="BC234" s="1229" t="s">
        <v>2158</v>
      </c>
      <c r="BD234" s="1229" t="s">
        <v>2158</v>
      </c>
      <c r="BE234" s="1234"/>
      <c r="BF234" s="1229" t="s">
        <v>2158</v>
      </c>
      <c r="BG234" s="1229" t="s">
        <v>2158</v>
      </c>
      <c r="BH234" s="1229" t="s">
        <v>2158</v>
      </c>
      <c r="BI234" s="1230" t="s">
        <v>2158</v>
      </c>
      <c r="BJ234" s="1234"/>
      <c r="BK234" s="1229" t="s">
        <v>2158</v>
      </c>
      <c r="BL234" s="1230" t="s">
        <v>2158</v>
      </c>
      <c r="BM234" s="1229" t="s">
        <v>2158</v>
      </c>
      <c r="BN234" s="1230" t="s">
        <v>2158</v>
      </c>
    </row>
    <row r="235" spans="1:66" s="39" customFormat="1" x14ac:dyDescent="0.25">
      <c r="A235" s="671" t="str">
        <f t="shared" si="198"/>
        <v>600110</v>
      </c>
      <c r="B235" s="657" t="str">
        <f>'Demand Response Deemed Table'!C10</f>
        <v>600110_2023_12_</v>
      </c>
      <c r="C235" s="656" t="str">
        <f>'Demand Response Deemed Table'!E10</f>
        <v>Winter Demand Response Advanced Thermostat - without Program-Driven Optimization</v>
      </c>
      <c r="D235" s="656"/>
      <c r="E235" s="656"/>
      <c r="F235" s="656"/>
      <c r="G235" s="656" t="str">
        <f>'Demand Response Deemed Table'!E10</f>
        <v>Winter Demand Response Advanced Thermostat - without Program-Driven Optimization</v>
      </c>
      <c r="H235" s="662" t="str">
        <f>'Demand Response Deemed Table'!D10</f>
        <v>DR</v>
      </c>
      <c r="I235" s="660">
        <f>'Demand Response Deemed Table'!F10</f>
        <v>0</v>
      </c>
      <c r="J235" s="660"/>
      <c r="K235" s="658"/>
      <c r="L235" s="658"/>
      <c r="M235" s="658"/>
      <c r="N235" s="658"/>
      <c r="O235" s="661" t="str">
        <f>'Demand Response Deemed Table'!I10</f>
        <v>-</v>
      </c>
      <c r="P235" s="661"/>
      <c r="Q235" s="663"/>
      <c r="R235" s="663"/>
      <c r="S235" s="663"/>
      <c r="T235" s="663"/>
      <c r="U235" s="753" t="str">
        <f t="shared" si="199"/>
        <v>-</v>
      </c>
      <c r="V235" s="753">
        <f t="shared" si="200"/>
        <v>0</v>
      </c>
      <c r="W235" s="753">
        <f t="shared" si="201"/>
        <v>0</v>
      </c>
      <c r="X235" s="654">
        <f>'Demand Response Deemed Table'!K10</f>
        <v>1</v>
      </c>
      <c r="Y235" s="654"/>
      <c r="Z235" s="654">
        <f t="shared" si="202"/>
        <v>1</v>
      </c>
      <c r="AA235" s="1219" t="str">
        <f>'Demand Response Deemed Table'!DG10</f>
        <v/>
      </c>
      <c r="AB235" s="746">
        <f>'Demand Response Deemed Table'!L10</f>
        <v>0</v>
      </c>
      <c r="AC235" s="749">
        <f t="shared" si="203"/>
        <v>0</v>
      </c>
      <c r="AD235" s="749">
        <f t="shared" si="204"/>
        <v>0</v>
      </c>
      <c r="AE235" s="1061">
        <f>'Demand Response Deemed Table'!DI10</f>
        <v>0</v>
      </c>
      <c r="AF235" s="664"/>
      <c r="AG235" s="664"/>
      <c r="AH235" s="664"/>
      <c r="AI235" s="657" t="str">
        <f>'Demand Response Deemed Table'!M10</f>
        <v>per thermostat</v>
      </c>
      <c r="AJ235" s="656"/>
      <c r="AM235"/>
      <c r="AN235"/>
      <c r="AO235"/>
      <c r="AP235"/>
      <c r="AQ235"/>
      <c r="AR235"/>
      <c r="AS235"/>
      <c r="AT235"/>
      <c r="AU235"/>
      <c r="AV235"/>
      <c r="AW235"/>
      <c r="AX235" s="1284" t="str">
        <f t="shared" si="205"/>
        <v>Winter Demand Response Advanced Thermostat - without Program-Driven Optimization</v>
      </c>
      <c r="AY235" s="1307"/>
      <c r="AZ235" s="1376" t="str">
        <f t="shared" si="206"/>
        <v>600110</v>
      </c>
      <c r="BA235" s="1229" t="s">
        <v>2158</v>
      </c>
      <c r="BB235" s="1229" t="s">
        <v>2158</v>
      </c>
      <c r="BC235" s="1229" t="s">
        <v>2158</v>
      </c>
      <c r="BD235" s="1229" t="s">
        <v>2158</v>
      </c>
      <c r="BE235" s="1235"/>
      <c r="BF235" s="1229" t="s">
        <v>2158</v>
      </c>
      <c r="BG235" s="1229" t="s">
        <v>2158</v>
      </c>
      <c r="BH235" s="1229" t="s">
        <v>2158</v>
      </c>
      <c r="BI235" s="1230" t="s">
        <v>2158</v>
      </c>
      <c r="BJ235" s="1234"/>
      <c r="BK235" s="1229" t="s">
        <v>2158</v>
      </c>
      <c r="BL235" s="1230" t="s">
        <v>2158</v>
      </c>
      <c r="BM235" s="1229" t="s">
        <v>2158</v>
      </c>
      <c r="BN235" s="1230" t="s">
        <v>2158</v>
      </c>
    </row>
    <row r="236" spans="1:66" s="39" customFormat="1" x14ac:dyDescent="0.25">
      <c r="A236" s="49" t="str">
        <f>LEFT(B236,6)</f>
        <v>600401</v>
      </c>
      <c r="B236" s="1371" t="str">
        <f>'Demand Response Deemed Table'!C28</f>
        <v>600401_2024_12_</v>
      </c>
      <c r="C236" s="1307" t="str">
        <f>'Demand Response Deemed Table'!E28</f>
        <v>Demand Response Heat Pump Water Heater Switch</v>
      </c>
      <c r="D236" s="1307"/>
      <c r="E236" s="1307"/>
      <c r="F236" s="1307"/>
      <c r="G236" s="1307" t="str">
        <f>'Demand Response Deemed Table'!E28</f>
        <v>Demand Response Heat Pump Water Heater Switch</v>
      </c>
      <c r="H236" s="18" t="str">
        <f>'Demand Response Deemed Table'!D28</f>
        <v>DR</v>
      </c>
      <c r="I236" s="750">
        <f>'Demand Response Deemed Table'!F28</f>
        <v>0</v>
      </c>
      <c r="J236" s="750"/>
      <c r="K236" s="189"/>
      <c r="L236" s="189"/>
      <c r="M236" s="189"/>
      <c r="N236" s="189"/>
      <c r="O236" s="751">
        <f>'Demand Response Deemed Table'!I28</f>
        <v>0.27</v>
      </c>
      <c r="P236" s="751"/>
      <c r="Q236" s="752"/>
      <c r="R236" s="752"/>
      <c r="S236" s="752"/>
      <c r="T236" s="752"/>
      <c r="U236" s="753">
        <f t="shared" si="199"/>
        <v>0.27</v>
      </c>
      <c r="V236" s="753">
        <f t="shared" si="200"/>
        <v>0</v>
      </c>
      <c r="W236" s="753">
        <f t="shared" si="201"/>
        <v>0</v>
      </c>
      <c r="X236" s="22">
        <f>'Demand Response Deemed Table'!K28</f>
        <v>1</v>
      </c>
      <c r="Y236" s="22"/>
      <c r="Z236" s="22">
        <f>Y236+X236</f>
        <v>1</v>
      </c>
      <c r="AA236" s="871">
        <f>'Demand Response Deemed Table'!DG28</f>
        <v>0</v>
      </c>
      <c r="AB236" s="246">
        <f>'Demand Response Deemed Table'!L28</f>
        <v>149</v>
      </c>
      <c r="AC236" s="862">
        <f>AE236+AF236</f>
        <v>0</v>
      </c>
      <c r="AD236" s="862">
        <f>AG236+AH236</f>
        <v>0</v>
      </c>
      <c r="AE236" s="872">
        <f>'Demand Response Deemed Table'!DI11</f>
        <v>0</v>
      </c>
      <c r="AF236" s="195"/>
      <c r="AG236" s="195"/>
      <c r="AH236" s="195"/>
      <c r="AI236" s="1371" t="str">
        <f>'Demand Response Deemed Table'!M28</f>
        <v>per unit</v>
      </c>
      <c r="AJ236" s="656"/>
      <c r="AM236"/>
      <c r="AN236"/>
      <c r="AO236"/>
      <c r="AP236"/>
      <c r="AQ236"/>
      <c r="AR236"/>
      <c r="AS236"/>
      <c r="AT236"/>
      <c r="AU236"/>
      <c r="AV236"/>
      <c r="AW236"/>
      <c r="AX236" s="1284" t="str">
        <f t="shared" ref="AX236" si="207">G236</f>
        <v>Demand Response Heat Pump Water Heater Switch</v>
      </c>
      <c r="AY236" s="1307"/>
      <c r="AZ236" s="1376" t="str">
        <f t="shared" ref="AZ236" si="208">A236</f>
        <v>600401</v>
      </c>
      <c r="BA236" s="1229" t="s">
        <v>2158</v>
      </c>
      <c r="BB236" s="1229" t="s">
        <v>2158</v>
      </c>
      <c r="BC236" s="1229" t="s">
        <v>2158</v>
      </c>
      <c r="BD236" s="1229" t="s">
        <v>2158</v>
      </c>
      <c r="BE236" s="1235"/>
      <c r="BF236" s="1229" t="s">
        <v>2158</v>
      </c>
      <c r="BG236" s="1229" t="s">
        <v>2158</v>
      </c>
      <c r="BH236" s="1229" t="s">
        <v>2158</v>
      </c>
      <c r="BI236" s="1230" t="s">
        <v>2158</v>
      </c>
      <c r="BJ236" s="1234"/>
      <c r="BK236" s="1229" t="s">
        <v>2158</v>
      </c>
      <c r="BL236" s="1230" t="s">
        <v>2158</v>
      </c>
      <c r="BM236" s="1229" t="s">
        <v>2158</v>
      </c>
      <c r="BN236" s="1230" t="s">
        <v>2158</v>
      </c>
    </row>
    <row r="237" spans="1:66" s="39" customFormat="1" x14ac:dyDescent="0.25">
      <c r="A237" s="49" t="str">
        <f>LEFT(B237,6)</f>
        <v>600402</v>
      </c>
      <c r="B237" s="1371" t="str">
        <f>'Demand Response Deemed Table'!C29</f>
        <v>600402_2024_12_</v>
      </c>
      <c r="C237" s="1307" t="str">
        <f>'Demand Response Deemed Table'!E29</f>
        <v>Demand Response Electric Resistance Water Heater Switch</v>
      </c>
      <c r="D237" s="1307"/>
      <c r="E237" s="1307"/>
      <c r="F237" s="1307"/>
      <c r="G237" s="1307" t="str">
        <f>'Demand Response Deemed Table'!E29</f>
        <v>Demand Response Electric Resistance Water Heater Switch</v>
      </c>
      <c r="H237" s="18" t="str">
        <f>'Demand Response Deemed Table'!D29</f>
        <v>DR</v>
      </c>
      <c r="I237" s="750">
        <f>'Demand Response Deemed Table'!F29</f>
        <v>0</v>
      </c>
      <c r="J237" s="750"/>
      <c r="K237" s="189"/>
      <c r="L237" s="189"/>
      <c r="M237" s="189"/>
      <c r="N237" s="189"/>
      <c r="O237" s="751">
        <f>'Demand Response Deemed Table'!I29</f>
        <v>0.22</v>
      </c>
      <c r="P237" s="751"/>
      <c r="Q237" s="752"/>
      <c r="R237" s="752"/>
      <c r="S237" s="752"/>
      <c r="T237" s="752"/>
      <c r="U237" s="753">
        <f t="shared" si="199"/>
        <v>0.22</v>
      </c>
      <c r="V237" s="753">
        <f t="shared" si="200"/>
        <v>0</v>
      </c>
      <c r="W237" s="753">
        <f t="shared" si="201"/>
        <v>0</v>
      </c>
      <c r="X237" s="22">
        <f>'Demand Response Deemed Table'!K29</f>
        <v>1</v>
      </c>
      <c r="Y237" s="22"/>
      <c r="Z237" s="22">
        <f>Y237+X237</f>
        <v>1</v>
      </c>
      <c r="AA237" s="871">
        <f>'Demand Response Deemed Table'!DG29</f>
        <v>0</v>
      </c>
      <c r="AB237" s="246">
        <f>'Demand Response Deemed Table'!L29</f>
        <v>149</v>
      </c>
      <c r="AC237" s="862">
        <f>AE237+AF237</f>
        <v>0</v>
      </c>
      <c r="AD237" s="862">
        <f>AG237+AH237</f>
        <v>0</v>
      </c>
      <c r="AE237" s="872">
        <f>'Demand Response Deemed Table'!DI12</f>
        <v>0</v>
      </c>
      <c r="AF237" s="195"/>
      <c r="AG237" s="195"/>
      <c r="AH237" s="195"/>
      <c r="AI237" s="1371" t="str">
        <f>'Demand Response Deemed Table'!M29</f>
        <v>per unit</v>
      </c>
      <c r="AJ237" s="656"/>
      <c r="AM237"/>
      <c r="AN237"/>
      <c r="AO237"/>
      <c r="AP237"/>
      <c r="AQ237"/>
      <c r="AR237"/>
      <c r="AS237"/>
      <c r="AT237"/>
      <c r="AU237"/>
      <c r="AV237"/>
      <c r="AW237"/>
      <c r="AX237" s="1284" t="str">
        <f t="shared" ref="AX237" si="209">G237</f>
        <v>Demand Response Electric Resistance Water Heater Switch</v>
      </c>
      <c r="AY237" s="1307"/>
      <c r="AZ237" s="1376" t="str">
        <f t="shared" ref="AZ237" si="210">A237</f>
        <v>600402</v>
      </c>
      <c r="BA237" s="1229" t="s">
        <v>2158</v>
      </c>
      <c r="BB237" s="1229" t="s">
        <v>2158</v>
      </c>
      <c r="BC237" s="1229" t="s">
        <v>2158</v>
      </c>
      <c r="BD237" s="1229" t="s">
        <v>2158</v>
      </c>
      <c r="BE237" s="1235"/>
      <c r="BF237" s="1229" t="s">
        <v>2158</v>
      </c>
      <c r="BG237" s="1229" t="s">
        <v>2158</v>
      </c>
      <c r="BH237" s="1229" t="s">
        <v>2158</v>
      </c>
      <c r="BI237" s="1230" t="s">
        <v>2158</v>
      </c>
      <c r="BJ237" s="1234"/>
      <c r="BK237" s="1229" t="s">
        <v>2158</v>
      </c>
      <c r="BL237" s="1230" t="s">
        <v>2158</v>
      </c>
      <c r="BM237" s="1229" t="s">
        <v>2158</v>
      </c>
      <c r="BN237" s="1230" t="s">
        <v>2158</v>
      </c>
    </row>
    <row r="238" spans="1:66" x14ac:dyDescent="0.25">
      <c r="A238" s="49" t="str">
        <f t="shared" si="198"/>
        <v>800050</v>
      </c>
      <c r="B238" s="1371" t="str">
        <f>'BUS Deemed Savings Table'!C9</f>
        <v>800050_2024_12_</v>
      </c>
      <c r="C238" s="1307" t="str">
        <f>'BUS Deemed Savings Table'!G9</f>
        <v>Lighting BUS</v>
      </c>
      <c r="D238" s="1307"/>
      <c r="E238" s="1307"/>
      <c r="F238" s="1307"/>
      <c r="G238" s="1307" t="str">
        <f>'BUS Deemed Savings Table'!E9</f>
        <v>LED &lt;=11 Watt Lamp Replacing Interior Halogen A 28-52 Watt Lamp</v>
      </c>
      <c r="H238" s="18" t="str">
        <f>'BUS Deemed Savings Table'!D9</f>
        <v>BSS/MFIE</v>
      </c>
      <c r="I238" s="750">
        <f>'BUS Deemed Savings Table'!F9</f>
        <v>20.75</v>
      </c>
      <c r="J238" s="750"/>
      <c r="K238" s="189"/>
      <c r="L238" s="189"/>
      <c r="M238" s="189"/>
      <c r="N238" s="189"/>
      <c r="O238" s="751">
        <f>'BUS Deemed Savings Table'!I9</f>
        <v>4.0679999999999996E-3</v>
      </c>
      <c r="P238" s="751"/>
      <c r="Q238" s="752"/>
      <c r="R238" s="752"/>
      <c r="S238" s="752"/>
      <c r="T238" s="752"/>
      <c r="U238" s="753">
        <f t="shared" si="199"/>
        <v>0</v>
      </c>
      <c r="V238" s="753">
        <f t="shared" si="200"/>
        <v>4.0679999999999996E-3</v>
      </c>
      <c r="W238" s="753">
        <f t="shared" si="201"/>
        <v>0</v>
      </c>
      <c r="X238" s="22">
        <f>'BUS Deemed Savings Table'!J9</f>
        <v>10</v>
      </c>
      <c r="Y238" s="22"/>
      <c r="Z238" s="22">
        <f t="shared" si="202"/>
        <v>10</v>
      </c>
      <c r="AA238" s="17">
        <f>'BUS Deemed Savings Table'!DG9</f>
        <v>3.6574447966762897</v>
      </c>
      <c r="AB238" s="246">
        <f>'BUS Deemed Savings Table'!K9</f>
        <v>3.26</v>
      </c>
      <c r="AC238" s="755">
        <f t="shared" si="203"/>
        <v>11.923270037164704</v>
      </c>
      <c r="AD238" s="755">
        <f t="shared" si="204"/>
        <v>0</v>
      </c>
      <c r="AE238" s="592">
        <f>'BUS Deemed Savings Table'!DI9</f>
        <v>11.923270037164704</v>
      </c>
      <c r="AF238" s="195"/>
      <c r="AG238" s="195"/>
      <c r="AH238" s="195"/>
      <c r="AI238" s="1371" t="str">
        <f>'BUS Deemed Savings Table'!L9</f>
        <v>per measure</v>
      </c>
      <c r="AJ238" s="68"/>
      <c r="AX238" s="1284" t="str">
        <f t="shared" si="205"/>
        <v>LED &lt;=11 Watt Lamp Replacing Interior Halogen A 28-52 Watt Lamp</v>
      </c>
      <c r="AY238" s="1307"/>
      <c r="AZ238" s="1376" t="str">
        <f t="shared" si="206"/>
        <v>800050</v>
      </c>
      <c r="BA238" s="1229" t="s">
        <v>2158</v>
      </c>
      <c r="BB238" s="1229" t="s">
        <v>2158</v>
      </c>
      <c r="BC238" s="1229" t="s">
        <v>2158</v>
      </c>
      <c r="BD238" s="1229" t="s">
        <v>2158</v>
      </c>
      <c r="BE238" s="1234"/>
      <c r="BF238" s="1229" t="s">
        <v>2158</v>
      </c>
      <c r="BG238" s="1229" t="s">
        <v>2158</v>
      </c>
      <c r="BH238" s="1229" t="s">
        <v>2158</v>
      </c>
      <c r="BI238" s="1230" t="s">
        <v>2158</v>
      </c>
      <c r="BJ238" s="1234"/>
      <c r="BK238" s="1229" t="s">
        <v>2158</v>
      </c>
      <c r="BL238" s="1230" t="s">
        <v>2158</v>
      </c>
      <c r="BM238" s="1229" t="s">
        <v>2158</v>
      </c>
      <c r="BN238" s="1230" t="s">
        <v>2158</v>
      </c>
    </row>
    <row r="239" spans="1:66" x14ac:dyDescent="0.25">
      <c r="A239" s="49" t="str">
        <f t="shared" si="198"/>
        <v>800100</v>
      </c>
      <c r="B239" s="1371" t="str">
        <f>'BUS Deemed Savings Table'!C10</f>
        <v>800100_2024_12_</v>
      </c>
      <c r="C239" s="1307" t="str">
        <f>'BUS Deemed Savings Table'!G10</f>
        <v>Lighting BUS</v>
      </c>
      <c r="D239" s="1307"/>
      <c r="E239" s="1307"/>
      <c r="F239" s="1307"/>
      <c r="G239" s="1307" t="str">
        <f>'BUS Deemed Savings Table'!E10</f>
        <v>LED 7-20 Watt Lamp Replacing Interior Halogen 53-70 Watt Lamp</v>
      </c>
      <c r="H239" s="18" t="str">
        <f>'BUS Deemed Savings Table'!D10</f>
        <v>BSS/MFIE</v>
      </c>
      <c r="I239" s="750">
        <f>'BUS Deemed Savings Table'!F10</f>
        <v>77.77</v>
      </c>
      <c r="J239" s="750"/>
      <c r="K239" s="189"/>
      <c r="L239" s="189"/>
      <c r="M239" s="189"/>
      <c r="N239" s="189"/>
      <c r="O239" s="751">
        <f>'BUS Deemed Savings Table'!I10</f>
        <v>1.5245999999999999E-2</v>
      </c>
      <c r="P239" s="751"/>
      <c r="Q239" s="752"/>
      <c r="R239" s="752"/>
      <c r="S239" s="752"/>
      <c r="T239" s="752"/>
      <c r="U239" s="753">
        <f t="shared" si="199"/>
        <v>0</v>
      </c>
      <c r="V239" s="753">
        <f t="shared" si="200"/>
        <v>1.5245999999999999E-2</v>
      </c>
      <c r="W239" s="753">
        <f t="shared" si="201"/>
        <v>0</v>
      </c>
      <c r="X239" s="22">
        <f>'BUS Deemed Savings Table'!J10</f>
        <v>10</v>
      </c>
      <c r="Y239" s="22"/>
      <c r="Z239" s="22">
        <f t="shared" si="202"/>
        <v>10</v>
      </c>
      <c r="AA239" s="17">
        <f>'BUS Deemed Savings Table'!DG10</f>
        <v>13.707926835542892</v>
      </c>
      <c r="AB239" s="246">
        <f>'BUS Deemed Savings Table'!K10</f>
        <v>3.26</v>
      </c>
      <c r="AC239" s="755">
        <f t="shared" si="203"/>
        <v>44.687841483869825</v>
      </c>
      <c r="AD239" s="755">
        <f t="shared" si="204"/>
        <v>0</v>
      </c>
      <c r="AE239" s="592">
        <f>'BUS Deemed Savings Table'!DI10</f>
        <v>44.687841483869825</v>
      </c>
      <c r="AF239" s="195"/>
      <c r="AG239" s="195"/>
      <c r="AH239" s="195"/>
      <c r="AI239" s="1371" t="str">
        <f>'BUS Deemed Savings Table'!L10</f>
        <v>per measure</v>
      </c>
      <c r="AJ239" s="68"/>
      <c r="AX239" s="1284" t="str">
        <f t="shared" si="205"/>
        <v>LED 7-20 Watt Lamp Replacing Interior Halogen 53-70 Watt Lamp</v>
      </c>
      <c r="AY239" s="1307"/>
      <c r="AZ239" s="1376" t="str">
        <f t="shared" si="206"/>
        <v>800100</v>
      </c>
      <c r="BA239" s="1229" t="s">
        <v>2158</v>
      </c>
      <c r="BB239" s="1229" t="s">
        <v>2158</v>
      </c>
      <c r="BC239" s="1229" t="s">
        <v>2158</v>
      </c>
      <c r="BD239" s="1229" t="s">
        <v>2158</v>
      </c>
      <c r="BE239" s="1234"/>
      <c r="BF239" s="1229" t="s">
        <v>2158</v>
      </c>
      <c r="BG239" s="1229" t="s">
        <v>2158</v>
      </c>
      <c r="BH239" s="1229" t="s">
        <v>2158</v>
      </c>
      <c r="BI239" s="1230" t="s">
        <v>2158</v>
      </c>
      <c r="BJ239" s="1234"/>
      <c r="BK239" s="1229" t="s">
        <v>2158</v>
      </c>
      <c r="BL239" s="1230" t="s">
        <v>2158</v>
      </c>
      <c r="BM239" s="1229" t="s">
        <v>2158</v>
      </c>
      <c r="BN239" s="1230" t="s">
        <v>2158</v>
      </c>
    </row>
    <row r="240" spans="1:66" x14ac:dyDescent="0.25">
      <c r="A240" s="49" t="str">
        <f t="shared" si="198"/>
        <v>800150</v>
      </c>
      <c r="B240" s="1371" t="str">
        <f>'BUS Deemed Savings Table'!C11</f>
        <v>800150_2024_12_</v>
      </c>
      <c r="C240" s="1307" t="str">
        <f>'BUS Deemed Savings Table'!G11</f>
        <v>Lighting BUS</v>
      </c>
      <c r="D240" s="1307"/>
      <c r="E240" s="1307"/>
      <c r="F240" s="1307"/>
      <c r="G240" s="1307" t="str">
        <f>'BUS Deemed Savings Table'!E11</f>
        <v>LED &lt;=14 Watt Lamp Replacing Interior Halogen BR/R 45-65 Watt Lamp</v>
      </c>
      <c r="H240" s="18" t="str">
        <f>'BUS Deemed Savings Table'!D11</f>
        <v>BSS/MFIE</v>
      </c>
      <c r="I240" s="750">
        <f>'BUS Deemed Savings Table'!F11</f>
        <v>27.67</v>
      </c>
      <c r="J240" s="750"/>
      <c r="K240" s="189"/>
      <c r="L240" s="189"/>
      <c r="M240" s="189"/>
      <c r="N240" s="189"/>
      <c r="O240" s="751">
        <f>'BUS Deemed Savings Table'!I11</f>
        <v>5.424E-3</v>
      </c>
      <c r="P240" s="751"/>
      <c r="Q240" s="752"/>
      <c r="R240" s="752"/>
      <c r="S240" s="752"/>
      <c r="T240" s="752"/>
      <c r="U240" s="753">
        <f t="shared" si="199"/>
        <v>0</v>
      </c>
      <c r="V240" s="753">
        <f t="shared" si="200"/>
        <v>5.424E-3</v>
      </c>
      <c r="W240" s="753">
        <f t="shared" si="201"/>
        <v>0</v>
      </c>
      <c r="X240" s="22">
        <f>'BUS Deemed Savings Table'!J11</f>
        <v>10</v>
      </c>
      <c r="Y240" s="22"/>
      <c r="Z240" s="22">
        <f t="shared" si="202"/>
        <v>10</v>
      </c>
      <c r="AA240" s="17">
        <f>'BUS Deemed Savings Table'!DG11</f>
        <v>4.8771806035678527</v>
      </c>
      <c r="AB240" s="246">
        <f>'BUS Deemed Savings Table'!K11</f>
        <v>3.26</v>
      </c>
      <c r="AC240" s="755">
        <f t="shared" si="203"/>
        <v>15.899608767631198</v>
      </c>
      <c r="AD240" s="755">
        <f t="shared" si="204"/>
        <v>0</v>
      </c>
      <c r="AE240" s="592">
        <f>'BUS Deemed Savings Table'!DI11</f>
        <v>15.899608767631198</v>
      </c>
      <c r="AF240" s="195"/>
      <c r="AG240" s="195"/>
      <c r="AH240" s="195"/>
      <c r="AI240" s="1371" t="str">
        <f>'BUS Deemed Savings Table'!L11</f>
        <v>per measure</v>
      </c>
      <c r="AJ240" s="68"/>
      <c r="AX240" s="1284" t="str">
        <f t="shared" si="205"/>
        <v>LED &lt;=14 Watt Lamp Replacing Interior Halogen BR/R 45-65 Watt Lamp</v>
      </c>
      <c r="AY240" s="1307"/>
      <c r="AZ240" s="1376" t="str">
        <f t="shared" si="206"/>
        <v>800150</v>
      </c>
      <c r="BA240" s="1229" t="s">
        <v>2158</v>
      </c>
      <c r="BB240" s="1229" t="s">
        <v>2158</v>
      </c>
      <c r="BC240" s="1229" t="s">
        <v>2158</v>
      </c>
      <c r="BD240" s="1229" t="s">
        <v>2158</v>
      </c>
      <c r="BE240" s="1234"/>
      <c r="BF240" s="1229" t="s">
        <v>2158</v>
      </c>
      <c r="BG240" s="1229" t="s">
        <v>2158</v>
      </c>
      <c r="BH240" s="1229" t="s">
        <v>2158</v>
      </c>
      <c r="BI240" s="1230" t="s">
        <v>2158</v>
      </c>
      <c r="BJ240" s="1234"/>
      <c r="BK240" s="1229" t="s">
        <v>2158</v>
      </c>
      <c r="BL240" s="1230" t="s">
        <v>2158</v>
      </c>
      <c r="BM240" s="1229" t="s">
        <v>2158</v>
      </c>
      <c r="BN240" s="1230" t="s">
        <v>2158</v>
      </c>
    </row>
    <row r="241" spans="1:66" x14ac:dyDescent="0.25">
      <c r="A241" s="49" t="str">
        <f t="shared" si="198"/>
        <v>800200</v>
      </c>
      <c r="B241" s="1371" t="str">
        <f>'BUS Deemed Savings Table'!C12</f>
        <v>800200_2024_12_</v>
      </c>
      <c r="C241" s="1307" t="str">
        <f>'BUS Deemed Savings Table'!G12</f>
        <v>Lighting BUS</v>
      </c>
      <c r="D241" s="1307"/>
      <c r="E241" s="1307"/>
      <c r="F241" s="1307"/>
      <c r="G241" s="1307" t="str">
        <f>'BUS Deemed Savings Table'!E12</f>
        <v>LED &lt;=13 Watt Lamp Replacing Interior Halogen MR-16 35-50 Watt Lamp</v>
      </c>
      <c r="H241" s="18" t="str">
        <f>'BUS Deemed Savings Table'!D12</f>
        <v>BSS/MFIE</v>
      </c>
      <c r="I241" s="750">
        <f>'BUS Deemed Savings Table'!F12</f>
        <v>175.07</v>
      </c>
      <c r="J241" s="750"/>
      <c r="K241" s="189"/>
      <c r="L241" s="189"/>
      <c r="M241" s="189"/>
      <c r="N241" s="189"/>
      <c r="O241" s="751">
        <f>'BUS Deemed Savings Table'!I12</f>
        <v>3.4320999999999997E-2</v>
      </c>
      <c r="P241" s="751"/>
      <c r="Q241" s="752"/>
      <c r="R241" s="752"/>
      <c r="S241" s="752"/>
      <c r="T241" s="752"/>
      <c r="U241" s="753">
        <f t="shared" si="199"/>
        <v>0</v>
      </c>
      <c r="V241" s="753">
        <f t="shared" si="200"/>
        <v>3.4320999999999997E-2</v>
      </c>
      <c r="W241" s="753">
        <f t="shared" si="201"/>
        <v>0</v>
      </c>
      <c r="X241" s="22">
        <f>'BUS Deemed Savings Table'!J12</f>
        <v>10</v>
      </c>
      <c r="Y241" s="22"/>
      <c r="Z241" s="22">
        <f t="shared" si="202"/>
        <v>10</v>
      </c>
      <c r="AA241" s="17">
        <f>'BUS Deemed Savings Table'!DG12</f>
        <v>30.858258339957494</v>
      </c>
      <c r="AB241" s="246">
        <f>'BUS Deemed Savings Table'!K12</f>
        <v>3.26</v>
      </c>
      <c r="AC241" s="755">
        <f t="shared" si="203"/>
        <v>100.59792218826142</v>
      </c>
      <c r="AD241" s="755">
        <f t="shared" si="204"/>
        <v>0</v>
      </c>
      <c r="AE241" s="592">
        <f>'BUS Deemed Savings Table'!DI12</f>
        <v>100.59792218826142</v>
      </c>
      <c r="AF241" s="195"/>
      <c r="AG241" s="195"/>
      <c r="AH241" s="195"/>
      <c r="AI241" s="1371" t="str">
        <f>'BUS Deemed Savings Table'!L12</f>
        <v>per measure</v>
      </c>
      <c r="AJ241" s="68"/>
      <c r="AX241" s="1284" t="str">
        <f t="shared" si="205"/>
        <v>LED &lt;=13 Watt Lamp Replacing Interior Halogen MR-16 35-50 Watt Lamp</v>
      </c>
      <c r="AY241" s="1307"/>
      <c r="AZ241" s="1376" t="str">
        <f t="shared" si="206"/>
        <v>800200</v>
      </c>
      <c r="BA241" s="1229" t="s">
        <v>2158</v>
      </c>
      <c r="BB241" s="1229" t="s">
        <v>2158</v>
      </c>
      <c r="BC241" s="1229" t="s">
        <v>2158</v>
      </c>
      <c r="BD241" s="1229" t="s">
        <v>2158</v>
      </c>
      <c r="BE241" s="1234"/>
      <c r="BF241" s="1229" t="s">
        <v>2158</v>
      </c>
      <c r="BG241" s="1229" t="s">
        <v>2158</v>
      </c>
      <c r="BH241" s="1229" t="s">
        <v>2158</v>
      </c>
      <c r="BI241" s="1230" t="s">
        <v>2158</v>
      </c>
      <c r="BJ241" s="1234"/>
      <c r="BK241" s="1229" t="s">
        <v>2158</v>
      </c>
      <c r="BL241" s="1230" t="s">
        <v>2158</v>
      </c>
      <c r="BM241" s="1229" t="s">
        <v>2158</v>
      </c>
      <c r="BN241" s="1230" t="s">
        <v>2158</v>
      </c>
    </row>
    <row r="242" spans="1:66" x14ac:dyDescent="0.25">
      <c r="A242" s="49" t="str">
        <f t="shared" si="198"/>
        <v>800250</v>
      </c>
      <c r="B242" s="1371" t="str">
        <f>'BUS Deemed Savings Table'!C13</f>
        <v>800250_2024_12_</v>
      </c>
      <c r="C242" s="1307" t="str">
        <f>'BUS Deemed Savings Table'!G13</f>
        <v>Lighting BUS</v>
      </c>
      <c r="D242" s="1307"/>
      <c r="E242" s="1307"/>
      <c r="F242" s="1307"/>
      <c r="G242" s="1307" t="str">
        <f>'BUS Deemed Savings Table'!E13</f>
        <v xml:space="preserve">LED &lt;=20 Watt Lamp Replacing Interior Halogen PAR 48-90 Watt Lamp  </v>
      </c>
      <c r="H242" s="18" t="str">
        <f>'BUS Deemed Savings Table'!D13</f>
        <v>BSS/MFIE</v>
      </c>
      <c r="I242" s="750">
        <f>'BUS Deemed Savings Table'!F13</f>
        <v>40.340000000000003</v>
      </c>
      <c r="J242" s="750"/>
      <c r="K242" s="189"/>
      <c r="L242" s="189"/>
      <c r="M242" s="189"/>
      <c r="N242" s="189"/>
      <c r="O242" s="751">
        <f>'BUS Deemed Savings Table'!I13</f>
        <v>7.9080000000000001E-3</v>
      </c>
      <c r="P242" s="751"/>
      <c r="Q242" s="752"/>
      <c r="R242" s="752"/>
      <c r="S242" s="752"/>
      <c r="T242" s="752"/>
      <c r="U242" s="753">
        <f t="shared" si="199"/>
        <v>0</v>
      </c>
      <c r="V242" s="753">
        <f t="shared" si="200"/>
        <v>7.9080000000000001E-3</v>
      </c>
      <c r="W242" s="753">
        <f t="shared" si="201"/>
        <v>0</v>
      </c>
      <c r="X242" s="22">
        <f>'BUS Deemed Savings Table'!J13</f>
        <v>10</v>
      </c>
      <c r="Y242" s="22"/>
      <c r="Z242" s="22">
        <f t="shared" si="202"/>
        <v>10</v>
      </c>
      <c r="AA242" s="17">
        <f>'BUS Deemed Savings Table'!DG13</f>
        <v>7.1104252095383877</v>
      </c>
      <c r="AB242" s="246">
        <f>'BUS Deemed Savings Table'!K13</f>
        <v>3.26</v>
      </c>
      <c r="AC242" s="755">
        <f t="shared" si="203"/>
        <v>23.179986183095142</v>
      </c>
      <c r="AD242" s="755">
        <f t="shared" si="204"/>
        <v>0</v>
      </c>
      <c r="AE242" s="592">
        <f>'BUS Deemed Savings Table'!DI13</f>
        <v>23.179986183095142</v>
      </c>
      <c r="AF242" s="195"/>
      <c r="AG242" s="195"/>
      <c r="AH242" s="195"/>
      <c r="AI242" s="1371" t="str">
        <f>'BUS Deemed Savings Table'!L13</f>
        <v>per measure</v>
      </c>
      <c r="AJ242" s="68"/>
      <c r="AX242" s="1284" t="str">
        <f t="shared" si="205"/>
        <v xml:space="preserve">LED &lt;=20 Watt Lamp Replacing Interior Halogen PAR 48-90 Watt Lamp  </v>
      </c>
      <c r="AY242" s="1307"/>
      <c r="AZ242" s="1376" t="str">
        <f t="shared" si="206"/>
        <v>800250</v>
      </c>
      <c r="BA242" s="1229" t="s">
        <v>2158</v>
      </c>
      <c r="BB242" s="1229" t="s">
        <v>2158</v>
      </c>
      <c r="BC242" s="1229" t="s">
        <v>2158</v>
      </c>
      <c r="BD242" s="1229" t="s">
        <v>2158</v>
      </c>
      <c r="BE242" s="1234"/>
      <c r="BF242" s="1229" t="s">
        <v>2158</v>
      </c>
      <c r="BG242" s="1229" t="s">
        <v>2158</v>
      </c>
      <c r="BH242" s="1229" t="s">
        <v>2158</v>
      </c>
      <c r="BI242" s="1230" t="s">
        <v>2158</v>
      </c>
      <c r="BJ242" s="1234"/>
      <c r="BK242" s="1229" t="s">
        <v>2158</v>
      </c>
      <c r="BL242" s="1230" t="s">
        <v>2158</v>
      </c>
      <c r="BM242" s="1229" t="s">
        <v>2158</v>
      </c>
      <c r="BN242" s="1230" t="s">
        <v>2158</v>
      </c>
    </row>
    <row r="243" spans="1:66" x14ac:dyDescent="0.25">
      <c r="A243" s="49" t="str">
        <f t="shared" si="198"/>
        <v>800300</v>
      </c>
      <c r="B243" s="1371" t="str">
        <f>'BUS Deemed Savings Table'!C14</f>
        <v>800300_2024_12_</v>
      </c>
      <c r="C243" s="1307" t="str">
        <f>'BUS Deemed Savings Table'!G14</f>
        <v>Lighting BUS</v>
      </c>
      <c r="D243" s="1307"/>
      <c r="E243" s="1307"/>
      <c r="F243" s="1307"/>
      <c r="G243" s="1307" t="str">
        <f>'BUS Deemed Savings Table'!E14</f>
        <v>LED &lt;=80 Watt Lamp or Fixture Replacing Interior HID 100-175 Watt Lamp or Fixture</v>
      </c>
      <c r="H243" s="18" t="str">
        <f>'BUS Deemed Savings Table'!D14</f>
        <v>BSS/MFIE</v>
      </c>
      <c r="I243" s="750">
        <f>'BUS Deemed Savings Table'!F14</f>
        <v>716.61</v>
      </c>
      <c r="J243" s="750"/>
      <c r="K243" s="189"/>
      <c r="L243" s="189"/>
      <c r="M243" s="189"/>
      <c r="N243" s="189"/>
      <c r="O243" s="751">
        <f>'BUS Deemed Savings Table'!I14</f>
        <v>0.140486</v>
      </c>
      <c r="P243" s="751"/>
      <c r="Q243" s="752"/>
      <c r="R243" s="752"/>
      <c r="S243" s="752"/>
      <c r="T243" s="752"/>
      <c r="U243" s="753">
        <f t="shared" si="199"/>
        <v>0</v>
      </c>
      <c r="V243" s="753">
        <f t="shared" si="200"/>
        <v>0</v>
      </c>
      <c r="W243" s="753">
        <f t="shared" si="201"/>
        <v>0.140486</v>
      </c>
      <c r="X243" s="22">
        <f>'BUS Deemed Savings Table'!J14</f>
        <v>15</v>
      </c>
      <c r="Y243" s="22"/>
      <c r="Z243" s="22">
        <f t="shared" si="202"/>
        <v>15</v>
      </c>
      <c r="AA243" s="17">
        <f>'BUS Deemed Savings Table'!DG14</f>
        <v>8.1013171644147945</v>
      </c>
      <c r="AB243" s="246">
        <f>'BUS Deemed Savings Table'!K14</f>
        <v>68</v>
      </c>
      <c r="AC243" s="755">
        <f t="shared" si="203"/>
        <v>550.88956718020597</v>
      </c>
      <c r="AD243" s="755">
        <f t="shared" si="204"/>
        <v>0</v>
      </c>
      <c r="AE243" s="592">
        <f>'BUS Deemed Savings Table'!DI14</f>
        <v>550.88956718020597</v>
      </c>
      <c r="AF243" s="195"/>
      <c r="AG243" s="195"/>
      <c r="AH243" s="195"/>
      <c r="AI243" s="1371" t="str">
        <f>'BUS Deemed Savings Table'!L14</f>
        <v>per measure</v>
      </c>
      <c r="AJ243" s="68"/>
      <c r="AX243" s="1284" t="str">
        <f t="shared" si="205"/>
        <v>LED &lt;=80 Watt Lamp or Fixture Replacing Interior HID 100-175 Watt Lamp or Fixture</v>
      </c>
      <c r="AY243" s="1307"/>
      <c r="AZ243" s="1376" t="str">
        <f t="shared" si="206"/>
        <v>800300</v>
      </c>
      <c r="BA243" s="1229" t="s">
        <v>2158</v>
      </c>
      <c r="BB243" s="1229" t="s">
        <v>2158</v>
      </c>
      <c r="BC243" s="1229" t="s">
        <v>2158</v>
      </c>
      <c r="BD243" s="1229" t="s">
        <v>2158</v>
      </c>
      <c r="BE243" s="1234"/>
      <c r="BF243" s="1229" t="s">
        <v>2158</v>
      </c>
      <c r="BG243" s="1229" t="s">
        <v>2158</v>
      </c>
      <c r="BH243" s="1229" t="s">
        <v>2158</v>
      </c>
      <c r="BI243" s="1230" t="s">
        <v>2158</v>
      </c>
      <c r="BJ243" s="1234"/>
      <c r="BK243" s="1229" t="s">
        <v>2158</v>
      </c>
      <c r="BL243" s="1230" t="s">
        <v>2158</v>
      </c>
      <c r="BM243" s="1229" t="s">
        <v>2158</v>
      </c>
      <c r="BN243" s="1230" t="s">
        <v>2158</v>
      </c>
    </row>
    <row r="244" spans="1:66" x14ac:dyDescent="0.25">
      <c r="A244" s="49" t="str">
        <f t="shared" si="198"/>
        <v>800350</v>
      </c>
      <c r="B244" s="1371" t="str">
        <f>'BUS Deemed Savings Table'!C15</f>
        <v>800350_2024_12_</v>
      </c>
      <c r="C244" s="1307" t="str">
        <f>'BUS Deemed Savings Table'!G15</f>
        <v>Lighting BUS</v>
      </c>
      <c r="D244" s="1307"/>
      <c r="E244" s="1307"/>
      <c r="F244" s="1307"/>
      <c r="G244" s="1307" t="str">
        <f>'BUS Deemed Savings Table'!E15</f>
        <v>LED 62 - 130 Watt Lamp or Fixture Replacing Interior HID 176-300 Watt Lamp or Fixture</v>
      </c>
      <c r="H244" s="18" t="str">
        <f>'BUS Deemed Savings Table'!D15</f>
        <v>BSS/MFIE</v>
      </c>
      <c r="I244" s="750">
        <f>'BUS Deemed Savings Table'!F15</f>
        <v>798.17</v>
      </c>
      <c r="J244" s="750"/>
      <c r="K244" s="189"/>
      <c r="L244" s="189"/>
      <c r="M244" s="189"/>
      <c r="N244" s="189"/>
      <c r="O244" s="751">
        <f>'BUS Deemed Savings Table'!I15</f>
        <v>0.156475</v>
      </c>
      <c r="P244" s="751"/>
      <c r="Q244" s="752"/>
      <c r="R244" s="752"/>
      <c r="S244" s="752"/>
      <c r="T244" s="752"/>
      <c r="U244" s="753">
        <f t="shared" si="199"/>
        <v>0</v>
      </c>
      <c r="V244" s="753">
        <f t="shared" si="200"/>
        <v>0</v>
      </c>
      <c r="W244" s="753">
        <f t="shared" si="201"/>
        <v>0.156475</v>
      </c>
      <c r="X244" s="22">
        <f>'BUS Deemed Savings Table'!J15</f>
        <v>15</v>
      </c>
      <c r="Y244" s="22"/>
      <c r="Z244" s="22">
        <f t="shared" si="202"/>
        <v>15</v>
      </c>
      <c r="AA244" s="17">
        <f>'BUS Deemed Savings Table'!DG15</f>
        <v>10.226471996302614</v>
      </c>
      <c r="AB244" s="246">
        <f>'BUS Deemed Savings Table'!K15</f>
        <v>60</v>
      </c>
      <c r="AC244" s="755">
        <f t="shared" si="203"/>
        <v>613.5883197781568</v>
      </c>
      <c r="AD244" s="755">
        <f t="shared" si="204"/>
        <v>0</v>
      </c>
      <c r="AE244" s="592">
        <f>'BUS Deemed Savings Table'!DI15</f>
        <v>613.5883197781568</v>
      </c>
      <c r="AF244" s="195"/>
      <c r="AG244" s="195"/>
      <c r="AH244" s="195"/>
      <c r="AI244" s="1371" t="str">
        <f>'BUS Deemed Savings Table'!L15</f>
        <v>per measure</v>
      </c>
      <c r="AJ244" s="68"/>
      <c r="AX244" s="1284" t="str">
        <f t="shared" si="205"/>
        <v>LED 62 - 130 Watt Lamp or Fixture Replacing Interior HID 176-300 Watt Lamp or Fixture</v>
      </c>
      <c r="AY244" s="1307"/>
      <c r="AZ244" s="1376" t="str">
        <f t="shared" si="206"/>
        <v>800350</v>
      </c>
      <c r="BA244" s="1229" t="s">
        <v>2158</v>
      </c>
      <c r="BB244" s="1229" t="s">
        <v>2158</v>
      </c>
      <c r="BC244" s="1229" t="s">
        <v>2158</v>
      </c>
      <c r="BD244" s="1229" t="s">
        <v>2158</v>
      </c>
      <c r="BE244" s="1234"/>
      <c r="BF244" s="1229" t="s">
        <v>2158</v>
      </c>
      <c r="BG244" s="1229" t="s">
        <v>2158</v>
      </c>
      <c r="BH244" s="1229" t="s">
        <v>2158</v>
      </c>
      <c r="BI244" s="1230" t="s">
        <v>2158</v>
      </c>
      <c r="BJ244" s="1234"/>
      <c r="BK244" s="1229" t="s">
        <v>2158</v>
      </c>
      <c r="BL244" s="1230" t="s">
        <v>2158</v>
      </c>
      <c r="BM244" s="1229" t="s">
        <v>2158</v>
      </c>
      <c r="BN244" s="1230" t="s">
        <v>2158</v>
      </c>
    </row>
    <row r="245" spans="1:66" x14ac:dyDescent="0.25">
      <c r="A245" s="49" t="str">
        <f t="shared" si="198"/>
        <v>800400</v>
      </c>
      <c r="B245" s="1371" t="str">
        <f>'BUS Deemed Savings Table'!C16</f>
        <v>800400_2024_12_</v>
      </c>
      <c r="C245" s="1307" t="str">
        <f>'BUS Deemed Savings Table'!G16</f>
        <v>Lighting BUS</v>
      </c>
      <c r="D245" s="1307"/>
      <c r="E245" s="1307"/>
      <c r="F245" s="1307"/>
      <c r="G245" s="1307" t="str">
        <f>'BUS Deemed Savings Table'!E16</f>
        <v>LED 85 - 225 Watt Lamp or Fixture Replacing Interior HID 301-500 Watt Lamp or Fixture</v>
      </c>
      <c r="H245" s="18" t="str">
        <f>'BUS Deemed Savings Table'!D16</f>
        <v>BSS/MFIE</v>
      </c>
      <c r="I245" s="750">
        <f>'BUS Deemed Savings Table'!F16</f>
        <v>983.73</v>
      </c>
      <c r="J245" s="750"/>
      <c r="K245" s="189"/>
      <c r="L245" s="189"/>
      <c r="M245" s="189"/>
      <c r="N245" s="189"/>
      <c r="O245" s="751">
        <f>'BUS Deemed Savings Table'!I16</f>
        <v>0.192853</v>
      </c>
      <c r="P245" s="751"/>
      <c r="Q245" s="752"/>
      <c r="R245" s="752"/>
      <c r="S245" s="752"/>
      <c r="T245" s="752"/>
      <c r="U245" s="753">
        <f t="shared" si="199"/>
        <v>0</v>
      </c>
      <c r="V245" s="753">
        <f t="shared" si="200"/>
        <v>0</v>
      </c>
      <c r="W245" s="753">
        <f t="shared" si="201"/>
        <v>0.192853</v>
      </c>
      <c r="X245" s="22">
        <f>'BUS Deemed Savings Table'!J16</f>
        <v>15</v>
      </c>
      <c r="Y245" s="22"/>
      <c r="Z245" s="22">
        <f t="shared" si="202"/>
        <v>15</v>
      </c>
      <c r="AA245" s="17">
        <f>'BUS Deemed Savings Table'!DG16</f>
        <v>4.8476694751372467</v>
      </c>
      <c r="AB245" s="246">
        <f>'BUS Deemed Savings Table'!K16</f>
        <v>156</v>
      </c>
      <c r="AC245" s="755">
        <f t="shared" si="203"/>
        <v>756.23643812141052</v>
      </c>
      <c r="AD245" s="755">
        <f t="shared" si="204"/>
        <v>0</v>
      </c>
      <c r="AE245" s="592">
        <f>'BUS Deemed Savings Table'!DI16</f>
        <v>756.23643812141052</v>
      </c>
      <c r="AF245" s="195"/>
      <c r="AG245" s="195"/>
      <c r="AH245" s="195"/>
      <c r="AI245" s="1371" t="str">
        <f>'BUS Deemed Savings Table'!L16</f>
        <v>per measure</v>
      </c>
      <c r="AJ245" s="68"/>
      <c r="AX245" s="1284" t="str">
        <f t="shared" si="205"/>
        <v>LED 85 - 225 Watt Lamp or Fixture Replacing Interior HID 301-500 Watt Lamp or Fixture</v>
      </c>
      <c r="AY245" s="1307"/>
      <c r="AZ245" s="1376" t="str">
        <f t="shared" si="206"/>
        <v>800400</v>
      </c>
      <c r="BA245" s="1229" t="s">
        <v>2158</v>
      </c>
      <c r="BB245" s="1229" t="s">
        <v>2158</v>
      </c>
      <c r="BC245" s="1229" t="s">
        <v>2158</v>
      </c>
      <c r="BD245" s="1229" t="s">
        <v>2158</v>
      </c>
      <c r="BE245" s="1234"/>
      <c r="BF245" s="1229" t="s">
        <v>2158</v>
      </c>
      <c r="BG245" s="1229" t="s">
        <v>2158</v>
      </c>
      <c r="BH245" s="1229" t="s">
        <v>2158</v>
      </c>
      <c r="BI245" s="1230" t="s">
        <v>2158</v>
      </c>
      <c r="BJ245" s="1234"/>
      <c r="BK245" s="1229" t="s">
        <v>2158</v>
      </c>
      <c r="BL245" s="1230" t="s">
        <v>2158</v>
      </c>
      <c r="BM245" s="1229" t="s">
        <v>2158</v>
      </c>
      <c r="BN245" s="1230" t="s">
        <v>2158</v>
      </c>
    </row>
    <row r="246" spans="1:66" s="39" customFormat="1" x14ac:dyDescent="0.25">
      <c r="A246" s="49" t="str">
        <f t="shared" si="198"/>
        <v>800750</v>
      </c>
      <c r="B246" s="1371" t="str">
        <f>'BUS Deemed Savings Table'!C17</f>
        <v>800750_2024_12_</v>
      </c>
      <c r="C246" s="1307" t="str">
        <f>'BUS Deemed Savings Table'!G17</f>
        <v>Lighting BUS</v>
      </c>
      <c r="D246" s="1307"/>
      <c r="E246" s="1307"/>
      <c r="F246" s="1307"/>
      <c r="G246" s="1307" t="str">
        <f>'BUS Deemed Savings Table'!E17</f>
        <v>LED or Electroluminescent Replacing Interior Incandescent/CFL Exit Sign</v>
      </c>
      <c r="H246" s="18" t="str">
        <f>'BUS Deemed Savings Table'!D17</f>
        <v>BSS/MFIE</v>
      </c>
      <c r="I246" s="750">
        <f>'BUS Deemed Savings Table'!F17</f>
        <v>243.01</v>
      </c>
      <c r="J246" s="750"/>
      <c r="K246" s="189"/>
      <c r="L246" s="189"/>
      <c r="M246" s="189"/>
      <c r="N246" s="189"/>
      <c r="O246" s="751">
        <f>'BUS Deemed Savings Table'!I17</f>
        <v>4.7640000000000002E-2</v>
      </c>
      <c r="P246" s="751"/>
      <c r="Q246" s="752"/>
      <c r="R246" s="752"/>
      <c r="S246" s="752"/>
      <c r="T246" s="752"/>
      <c r="U246" s="753">
        <f t="shared" si="199"/>
        <v>4.7640000000000002E-2</v>
      </c>
      <c r="V246" s="753">
        <f t="shared" si="200"/>
        <v>0</v>
      </c>
      <c r="W246" s="753">
        <f t="shared" si="201"/>
        <v>0</v>
      </c>
      <c r="X246" s="22">
        <f>'BUS Deemed Savings Table'!J17</f>
        <v>7</v>
      </c>
      <c r="Y246" s="22"/>
      <c r="Z246" s="22">
        <f t="shared" si="202"/>
        <v>7</v>
      </c>
      <c r="AA246" s="17">
        <f>'BUS Deemed Savings Table'!DG17</f>
        <v>2.3213842325206708</v>
      </c>
      <c r="AB246" s="246">
        <f>'BUS Deemed Savings Table'!K17</f>
        <v>45.25</v>
      </c>
      <c r="AC246" s="755">
        <f t="shared" si="203"/>
        <v>105.04263652156035</v>
      </c>
      <c r="AD246" s="755">
        <f t="shared" si="204"/>
        <v>0</v>
      </c>
      <c r="AE246" s="592">
        <f>'BUS Deemed Savings Table'!DI17</f>
        <v>105.04263652156035</v>
      </c>
      <c r="AF246" s="195"/>
      <c r="AG246" s="195"/>
      <c r="AH246" s="195"/>
      <c r="AI246" s="1371" t="str">
        <f>'BUS Deemed Savings Table'!L17</f>
        <v>per measure</v>
      </c>
      <c r="AJ246" s="68"/>
      <c r="AK246"/>
      <c r="AL246"/>
      <c r="AM246"/>
      <c r="AN246"/>
      <c r="AO246"/>
      <c r="AP246"/>
      <c r="AQ246"/>
      <c r="AR246"/>
      <c r="AS246"/>
      <c r="AT246"/>
      <c r="AU246"/>
      <c r="AV246"/>
      <c r="AW246"/>
      <c r="AX246" s="1284" t="str">
        <f t="shared" si="205"/>
        <v>LED or Electroluminescent Replacing Interior Incandescent/CFL Exit Sign</v>
      </c>
      <c r="AY246" s="1307"/>
      <c r="AZ246" s="1376" t="str">
        <f t="shared" si="206"/>
        <v>800750</v>
      </c>
      <c r="BA246" s="1229" t="s">
        <v>2158</v>
      </c>
      <c r="BB246" s="1229" t="s">
        <v>2158</v>
      </c>
      <c r="BC246" s="1229" t="s">
        <v>2158</v>
      </c>
      <c r="BD246" s="1229" t="s">
        <v>2158</v>
      </c>
      <c r="BE246" s="1235"/>
      <c r="BF246" s="1229" t="s">
        <v>2158</v>
      </c>
      <c r="BG246" s="1229" t="s">
        <v>2158</v>
      </c>
      <c r="BH246" s="1229" t="s">
        <v>2158</v>
      </c>
      <c r="BI246" s="1230" t="s">
        <v>2158</v>
      </c>
      <c r="BJ246" s="1234"/>
      <c r="BK246" s="1229" t="s">
        <v>2158</v>
      </c>
      <c r="BL246" s="1230" t="s">
        <v>2158</v>
      </c>
      <c r="BM246" s="1229" t="s">
        <v>2158</v>
      </c>
      <c r="BN246" s="1230" t="s">
        <v>2158</v>
      </c>
    </row>
    <row r="247" spans="1:66" s="39" customFormat="1" x14ac:dyDescent="0.25">
      <c r="A247" s="49" t="str">
        <f t="shared" ref="A247:A253" si="211">LEFT(B247,6)</f>
        <v>800800</v>
      </c>
      <c r="B247" s="1371" t="str">
        <f>'BUS Deemed Savings Table'!C18</f>
        <v>800800_2024_12_</v>
      </c>
      <c r="C247" s="1307" t="str">
        <f>'BUS Deemed Savings Table'!G18</f>
        <v>Lighting BUS</v>
      </c>
      <c r="D247" s="1307"/>
      <c r="E247" s="1307"/>
      <c r="F247" s="1307"/>
      <c r="G247" s="1307" t="str">
        <f>'BUS Deemed Savings Table'!E18</f>
        <v xml:space="preserve">LED Replacing Interior T5 Fluorescent (Type A / Hybrid) </v>
      </c>
      <c r="H247" s="18" t="str">
        <f>'BUS Deemed Savings Table'!D18</f>
        <v>BSS</v>
      </c>
      <c r="I247" s="750">
        <f>'BUS Deemed Savings Table'!F18</f>
        <v>290.27999999999997</v>
      </c>
      <c r="J247" s="750"/>
      <c r="K247" s="189"/>
      <c r="L247" s="189"/>
      <c r="M247" s="189"/>
      <c r="N247" s="189"/>
      <c r="O247" s="751">
        <f>'BUS Deemed Savings Table'!I18</f>
        <v>5.6906999999999999E-2</v>
      </c>
      <c r="P247" s="751"/>
      <c r="Q247" s="752"/>
      <c r="R247" s="752"/>
      <c r="S247" s="752"/>
      <c r="T247" s="752"/>
      <c r="U247" s="753">
        <f t="shared" ref="U247:U253" si="212">IFERROR(IF(V247+W247&gt;0,0,IF(Z247&gt;0,O247,0)),0)</f>
        <v>0</v>
      </c>
      <c r="V247" s="753">
        <f t="shared" ref="V247:V253" si="213">IF(W247&gt;0,0,IF(Z247&gt;9,O247,0))</f>
        <v>5.6906999999999999E-2</v>
      </c>
      <c r="W247" s="753">
        <f t="shared" ref="W247:W253" si="214">IF(Z247&gt;14,O247,0)</f>
        <v>0</v>
      </c>
      <c r="X247" s="22">
        <f>'BUS Deemed Savings Table'!J18</f>
        <v>10</v>
      </c>
      <c r="Y247" s="22"/>
      <c r="Z247" s="22">
        <f t="shared" ref="Z247:Z253" si="215">Y247+X247</f>
        <v>10</v>
      </c>
      <c r="AA247" s="17">
        <f>'BUS Deemed Savings Table'!DG18</f>
        <v>3.6861738149644356</v>
      </c>
      <c r="AB247" s="246">
        <f>'BUS Deemed Savings Table'!K18</f>
        <v>45.25</v>
      </c>
      <c r="AC247" s="755">
        <f t="shared" ref="AC247:AC253" si="216">AE247+AF247</f>
        <v>166.7993651271407</v>
      </c>
      <c r="AD247" s="755">
        <f t="shared" ref="AD247:AD253" si="217">AG247+AH247</f>
        <v>0</v>
      </c>
      <c r="AE247" s="592">
        <f>'BUS Deemed Savings Table'!DI18</f>
        <v>166.7993651271407</v>
      </c>
      <c r="AF247" s="195"/>
      <c r="AG247" s="195"/>
      <c r="AH247" s="195"/>
      <c r="AI247" s="1371" t="str">
        <f>'BUS Deemed Savings Table'!L18</f>
        <v>per measure</v>
      </c>
      <c r="AJ247" s="68"/>
      <c r="AK247"/>
      <c r="AL247"/>
      <c r="AM247"/>
      <c r="AN247"/>
      <c r="AO247"/>
      <c r="AP247"/>
      <c r="AQ247"/>
      <c r="AR247"/>
      <c r="AS247"/>
      <c r="AT247"/>
      <c r="AU247"/>
      <c r="AV247"/>
      <c r="AW247"/>
      <c r="AX247" s="1284" t="str">
        <f t="shared" ref="AX247:AX253" si="218">G247</f>
        <v xml:space="preserve">LED Replacing Interior T5 Fluorescent (Type A / Hybrid) </v>
      </c>
      <c r="AY247" s="1307"/>
      <c r="AZ247" s="1376" t="str">
        <f t="shared" ref="AZ247:AZ253" si="219">A247</f>
        <v>800800</v>
      </c>
      <c r="BA247" s="1229" t="s">
        <v>2158</v>
      </c>
      <c r="BB247" s="1229" t="s">
        <v>2158</v>
      </c>
      <c r="BC247" s="1229" t="s">
        <v>2158</v>
      </c>
      <c r="BD247" s="1229" t="s">
        <v>2158</v>
      </c>
      <c r="BE247" s="1235"/>
      <c r="BF247" s="1229" t="s">
        <v>2158</v>
      </c>
      <c r="BG247" s="1229" t="s">
        <v>2158</v>
      </c>
      <c r="BH247" s="1229" t="s">
        <v>2158</v>
      </c>
      <c r="BI247" s="1230" t="s">
        <v>2158</v>
      </c>
      <c r="BJ247" s="1234"/>
      <c r="BK247" s="1229" t="s">
        <v>2158</v>
      </c>
      <c r="BL247" s="1230" t="s">
        <v>2158</v>
      </c>
      <c r="BM247" s="1229" t="s">
        <v>2158</v>
      </c>
      <c r="BN247" s="1230" t="s">
        <v>2158</v>
      </c>
    </row>
    <row r="248" spans="1:66" s="39" customFormat="1" x14ac:dyDescent="0.25">
      <c r="A248" s="49" t="str">
        <f t="shared" si="211"/>
        <v>800801</v>
      </c>
      <c r="B248" s="1371" t="str">
        <f>'BUS Deemed Savings Table'!C19</f>
        <v>800801_2024_12_</v>
      </c>
      <c r="C248" s="1307" t="str">
        <f>'BUS Deemed Savings Table'!G19</f>
        <v>Lighting BUS</v>
      </c>
      <c r="D248" s="1307"/>
      <c r="E248" s="1307"/>
      <c r="F248" s="1307"/>
      <c r="G248" s="1307" t="str">
        <f>'BUS Deemed Savings Table'!E19</f>
        <v>LED Replacing Interior T5 Fluorescent (Type B, Kits, and Fixtures)</v>
      </c>
      <c r="H248" s="18" t="str">
        <f>'BUS Deemed Savings Table'!D19</f>
        <v>BSS</v>
      </c>
      <c r="I248" s="750">
        <f>'BUS Deemed Savings Table'!F19</f>
        <v>473.41</v>
      </c>
      <c r="J248" s="750"/>
      <c r="K248" s="189"/>
      <c r="L248" s="189"/>
      <c r="M248" s="189"/>
      <c r="N248" s="189"/>
      <c r="O248" s="751">
        <f>'BUS Deemed Savings Table'!I19</f>
        <v>9.2808000000000002E-2</v>
      </c>
      <c r="P248" s="751"/>
      <c r="Q248" s="752"/>
      <c r="R248" s="752"/>
      <c r="S248" s="752"/>
      <c r="T248" s="752"/>
      <c r="U248" s="753">
        <f t="shared" si="212"/>
        <v>0</v>
      </c>
      <c r="V248" s="753">
        <f t="shared" si="213"/>
        <v>0</v>
      </c>
      <c r="W248" s="753">
        <f t="shared" si="214"/>
        <v>9.2808000000000002E-2</v>
      </c>
      <c r="X248" s="22">
        <f>'BUS Deemed Savings Table'!J19</f>
        <v>15</v>
      </c>
      <c r="Y248" s="22"/>
      <c r="Z248" s="22">
        <f t="shared" si="215"/>
        <v>15</v>
      </c>
      <c r="AA248" s="17">
        <f>'BUS Deemed Savings Table'!DG19</f>
        <v>27.994696181570848</v>
      </c>
      <c r="AB248" s="246">
        <f>'BUS Deemed Savings Table'!K19</f>
        <v>13</v>
      </c>
      <c r="AC248" s="755">
        <f t="shared" si="216"/>
        <v>363.93105036042101</v>
      </c>
      <c r="AD248" s="755">
        <f t="shared" si="217"/>
        <v>0</v>
      </c>
      <c r="AE248" s="592">
        <f>'BUS Deemed Savings Table'!DI19</f>
        <v>363.93105036042101</v>
      </c>
      <c r="AF248" s="195"/>
      <c r="AG248" s="195"/>
      <c r="AH248" s="195"/>
      <c r="AI248" s="1371" t="str">
        <f>'BUS Deemed Savings Table'!L19</f>
        <v>per measure</v>
      </c>
      <c r="AJ248" s="68"/>
      <c r="AK248"/>
      <c r="AL248"/>
      <c r="AM248"/>
      <c r="AN248"/>
      <c r="AO248"/>
      <c r="AP248"/>
      <c r="AQ248"/>
      <c r="AR248"/>
      <c r="AS248"/>
      <c r="AT248"/>
      <c r="AU248"/>
      <c r="AV248"/>
      <c r="AW248"/>
      <c r="AX248" s="1284" t="str">
        <f t="shared" si="218"/>
        <v>LED Replacing Interior T5 Fluorescent (Type B, Kits, and Fixtures)</v>
      </c>
      <c r="AY248" s="1307"/>
      <c r="AZ248" s="1376" t="str">
        <f t="shared" si="219"/>
        <v>800801</v>
      </c>
      <c r="BA248" s="1229" t="s">
        <v>2158</v>
      </c>
      <c r="BB248" s="1229" t="s">
        <v>2158</v>
      </c>
      <c r="BC248" s="1229" t="s">
        <v>2158</v>
      </c>
      <c r="BD248" s="1229" t="s">
        <v>2158</v>
      </c>
      <c r="BE248" s="1235"/>
      <c r="BF248" s="1229" t="s">
        <v>2158</v>
      </c>
      <c r="BG248" s="1229" t="s">
        <v>2158</v>
      </c>
      <c r="BH248" s="1229" t="s">
        <v>2158</v>
      </c>
      <c r="BI248" s="1230" t="s">
        <v>2158</v>
      </c>
      <c r="BJ248" s="1234"/>
      <c r="BK248" s="1229" t="s">
        <v>2158</v>
      </c>
      <c r="BL248" s="1230" t="s">
        <v>2158</v>
      </c>
      <c r="BM248" s="1229" t="s">
        <v>2158</v>
      </c>
      <c r="BN248" s="1230" t="s">
        <v>2158</v>
      </c>
    </row>
    <row r="249" spans="1:66" s="39" customFormat="1" x14ac:dyDescent="0.25">
      <c r="A249" s="49" t="str">
        <f t="shared" si="211"/>
        <v>800850</v>
      </c>
      <c r="B249" s="1371" t="str">
        <f>'BUS Deemed Savings Table'!C20</f>
        <v>800850_2024_12_</v>
      </c>
      <c r="C249" s="1307" t="str">
        <f>'BUS Deemed Savings Table'!G20</f>
        <v>Lighting BUS</v>
      </c>
      <c r="D249" s="1307"/>
      <c r="E249" s="1307"/>
      <c r="F249" s="1307"/>
      <c r="G249" s="1307" t="str">
        <f>'BUS Deemed Savings Table'!E20</f>
        <v xml:space="preserve">LED Replacing Interior T8 Fluorescent (Type A / Hybrid) </v>
      </c>
      <c r="H249" s="18" t="str">
        <f>'BUS Deemed Savings Table'!D20</f>
        <v>BSS</v>
      </c>
      <c r="I249" s="750">
        <f>'BUS Deemed Savings Table'!F20</f>
        <v>220.32</v>
      </c>
      <c r="J249" s="750"/>
      <c r="K249" s="189"/>
      <c r="L249" s="189"/>
      <c r="M249" s="189"/>
      <c r="N249" s="189"/>
      <c r="O249" s="751">
        <f>'BUS Deemed Savings Table'!I20</f>
        <v>4.3192000000000001E-2</v>
      </c>
      <c r="P249" s="751"/>
      <c r="Q249" s="752"/>
      <c r="R249" s="752"/>
      <c r="S249" s="752"/>
      <c r="T249" s="752"/>
      <c r="U249" s="753">
        <f t="shared" si="212"/>
        <v>0</v>
      </c>
      <c r="V249" s="753">
        <f t="shared" si="213"/>
        <v>4.3192000000000001E-2</v>
      </c>
      <c r="W249" s="753">
        <f t="shared" si="214"/>
        <v>0</v>
      </c>
      <c r="X249" s="22">
        <f>'BUS Deemed Savings Table'!J20</f>
        <v>10</v>
      </c>
      <c r="Y249" s="22"/>
      <c r="Z249" s="22">
        <f t="shared" si="215"/>
        <v>10</v>
      </c>
      <c r="AA249" s="17">
        <f>'BUS Deemed Savings Table'!DG20</f>
        <v>9.0428050071880453</v>
      </c>
      <c r="AB249" s="246">
        <f>'BUS Deemed Savings Table'!K20</f>
        <v>14</v>
      </c>
      <c r="AC249" s="755">
        <f t="shared" si="216"/>
        <v>126.59927010063264</v>
      </c>
      <c r="AD249" s="755">
        <f t="shared" si="217"/>
        <v>0</v>
      </c>
      <c r="AE249" s="592">
        <f>'BUS Deemed Savings Table'!DI20</f>
        <v>126.59927010063264</v>
      </c>
      <c r="AF249" s="195"/>
      <c r="AG249" s="195"/>
      <c r="AH249" s="195"/>
      <c r="AI249" s="1371" t="str">
        <f>'BUS Deemed Savings Table'!L20</f>
        <v>per measure</v>
      </c>
      <c r="AJ249" s="68"/>
      <c r="AK249"/>
      <c r="AL249"/>
      <c r="AM249"/>
      <c r="AN249"/>
      <c r="AO249"/>
      <c r="AP249"/>
      <c r="AQ249"/>
      <c r="AR249"/>
      <c r="AS249"/>
      <c r="AT249"/>
      <c r="AU249"/>
      <c r="AV249"/>
      <c r="AW249"/>
      <c r="AX249" s="1284" t="str">
        <f t="shared" si="218"/>
        <v xml:space="preserve">LED Replacing Interior T8 Fluorescent (Type A / Hybrid) </v>
      </c>
      <c r="AY249" s="1307"/>
      <c r="AZ249" s="1376" t="str">
        <f t="shared" si="219"/>
        <v>800850</v>
      </c>
      <c r="BA249" s="1229" t="s">
        <v>2158</v>
      </c>
      <c r="BB249" s="1229" t="s">
        <v>2158</v>
      </c>
      <c r="BC249" s="1229" t="s">
        <v>2158</v>
      </c>
      <c r="BD249" s="1229" t="s">
        <v>2158</v>
      </c>
      <c r="BE249" s="1235"/>
      <c r="BF249" s="1229" t="s">
        <v>2158</v>
      </c>
      <c r="BG249" s="1229" t="s">
        <v>2158</v>
      </c>
      <c r="BH249" s="1229" t="s">
        <v>2158</v>
      </c>
      <c r="BI249" s="1230" t="s">
        <v>2158</v>
      </c>
      <c r="BJ249" s="1234"/>
      <c r="BK249" s="1229" t="s">
        <v>2158</v>
      </c>
      <c r="BL249" s="1230" t="s">
        <v>2158</v>
      </c>
      <c r="BM249" s="1229" t="s">
        <v>2158</v>
      </c>
      <c r="BN249" s="1230" t="s">
        <v>2158</v>
      </c>
    </row>
    <row r="250" spans="1:66" s="39" customFormat="1" x14ac:dyDescent="0.25">
      <c r="A250" s="49" t="str">
        <f t="shared" si="211"/>
        <v>800851</v>
      </c>
      <c r="B250" s="1371" t="str">
        <f>'BUS Deemed Savings Table'!C21</f>
        <v>800851_2024_12_</v>
      </c>
      <c r="C250" s="1307" t="str">
        <f>'BUS Deemed Savings Table'!G21</f>
        <v>Lighting BUS</v>
      </c>
      <c r="D250" s="1307"/>
      <c r="E250" s="1307"/>
      <c r="F250" s="1307"/>
      <c r="G250" s="1307" t="str">
        <f>'BUS Deemed Savings Table'!E21</f>
        <v>LED Replacting Interior T8 Fluorescent (Type B, Kits, and Fixtures)</v>
      </c>
      <c r="H250" s="18" t="str">
        <f>'BUS Deemed Savings Table'!D21</f>
        <v>BSS/MFIE</v>
      </c>
      <c r="I250" s="750">
        <f>'BUS Deemed Savings Table'!F21</f>
        <v>200.02</v>
      </c>
      <c r="J250" s="750"/>
      <c r="K250" s="189"/>
      <c r="L250" s="189"/>
      <c r="M250" s="189"/>
      <c r="N250" s="189"/>
      <c r="O250" s="751">
        <f>'BUS Deemed Savings Table'!I21</f>
        <v>3.9211999999999997E-2</v>
      </c>
      <c r="P250" s="751"/>
      <c r="Q250" s="752"/>
      <c r="R250" s="752"/>
      <c r="S250" s="752"/>
      <c r="T250" s="752"/>
      <c r="U250" s="753">
        <f t="shared" si="212"/>
        <v>0</v>
      </c>
      <c r="V250" s="753">
        <f t="shared" si="213"/>
        <v>0</v>
      </c>
      <c r="W250" s="753">
        <f t="shared" si="214"/>
        <v>3.9211999999999997E-2</v>
      </c>
      <c r="X250" s="22">
        <f>'BUS Deemed Savings Table'!J21</f>
        <v>15</v>
      </c>
      <c r="Y250" s="22"/>
      <c r="Z250" s="22">
        <f t="shared" si="215"/>
        <v>15</v>
      </c>
      <c r="AA250" s="17">
        <f>'BUS Deemed Savings Table'!DG21</f>
        <v>10.250943677163756</v>
      </c>
      <c r="AB250" s="246">
        <f>'BUS Deemed Savings Table'!K21</f>
        <v>15</v>
      </c>
      <c r="AC250" s="755">
        <f t="shared" si="216"/>
        <v>153.76415515745634</v>
      </c>
      <c r="AD250" s="755">
        <f t="shared" si="217"/>
        <v>0</v>
      </c>
      <c r="AE250" s="592">
        <f>'BUS Deemed Savings Table'!DI21</f>
        <v>153.76415515745634</v>
      </c>
      <c r="AF250" s="195"/>
      <c r="AG250" s="195"/>
      <c r="AH250" s="195"/>
      <c r="AI250" s="1371" t="str">
        <f>'BUS Deemed Savings Table'!L21</f>
        <v>per measure</v>
      </c>
      <c r="AJ250" s="68"/>
      <c r="AK250"/>
      <c r="AL250"/>
      <c r="AM250"/>
      <c r="AN250"/>
      <c r="AO250"/>
      <c r="AP250"/>
      <c r="AQ250"/>
      <c r="AR250"/>
      <c r="AS250"/>
      <c r="AT250"/>
      <c r="AU250"/>
      <c r="AV250"/>
      <c r="AW250"/>
      <c r="AX250" s="1284" t="str">
        <f t="shared" si="218"/>
        <v>LED Replacting Interior T8 Fluorescent (Type B, Kits, and Fixtures)</v>
      </c>
      <c r="AY250" s="1307"/>
      <c r="AZ250" s="1376" t="str">
        <f t="shared" si="219"/>
        <v>800851</v>
      </c>
      <c r="BA250" s="1229" t="s">
        <v>2158</v>
      </c>
      <c r="BB250" s="1229" t="s">
        <v>2158</v>
      </c>
      <c r="BC250" s="1229" t="s">
        <v>2158</v>
      </c>
      <c r="BD250" s="1229" t="s">
        <v>2158</v>
      </c>
      <c r="BE250" s="1235"/>
      <c r="BF250" s="1229" t="s">
        <v>2158</v>
      </c>
      <c r="BG250" s="1229" t="s">
        <v>2158</v>
      </c>
      <c r="BH250" s="1229" t="s">
        <v>2158</v>
      </c>
      <c r="BI250" s="1230" t="s">
        <v>2158</v>
      </c>
      <c r="BJ250" s="1234"/>
      <c r="BK250" s="1229" t="s">
        <v>2158</v>
      </c>
      <c r="BL250" s="1230" t="s">
        <v>2158</v>
      </c>
      <c r="BM250" s="1229" t="s">
        <v>2158</v>
      </c>
      <c r="BN250" s="1230" t="s">
        <v>2158</v>
      </c>
    </row>
    <row r="251" spans="1:66" s="39" customFormat="1" x14ac:dyDescent="0.25">
      <c r="A251" s="49" t="str">
        <f t="shared" si="211"/>
        <v>800900</v>
      </c>
      <c r="B251" s="1371" t="str">
        <f>'BUS Deemed Savings Table'!C22</f>
        <v>800900_2024_12_</v>
      </c>
      <c r="C251" s="1307" t="str">
        <f>'BUS Deemed Savings Table'!G22</f>
        <v>Lighting BUS</v>
      </c>
      <c r="D251" s="1307"/>
      <c r="E251" s="1307"/>
      <c r="F251" s="1307"/>
      <c r="G251" s="1307" t="str">
        <f>'BUS Deemed Savings Table'!E22</f>
        <v xml:space="preserve">LED Replacing Interior T12 Fluorescent (Type A / Hybrid) </v>
      </c>
      <c r="H251" s="18" t="str">
        <f>'BUS Deemed Savings Table'!D22</f>
        <v>BSS</v>
      </c>
      <c r="I251" s="750">
        <f>'BUS Deemed Savings Table'!F22</f>
        <v>186.88</v>
      </c>
      <c r="J251" s="750"/>
      <c r="K251" s="189"/>
      <c r="L251" s="189"/>
      <c r="M251" s="189"/>
      <c r="N251" s="189"/>
      <c r="O251" s="751">
        <f>'BUS Deemed Savings Table'!I22</f>
        <v>3.6636000000000002E-2</v>
      </c>
      <c r="P251" s="751"/>
      <c r="Q251" s="752"/>
      <c r="R251" s="752"/>
      <c r="S251" s="752"/>
      <c r="T251" s="752"/>
      <c r="U251" s="753">
        <f t="shared" si="212"/>
        <v>0</v>
      </c>
      <c r="V251" s="753">
        <f t="shared" si="213"/>
        <v>3.6636000000000002E-2</v>
      </c>
      <c r="W251" s="753">
        <f t="shared" si="214"/>
        <v>0</v>
      </c>
      <c r="X251" s="22">
        <f>'BUS Deemed Savings Table'!J22</f>
        <v>10</v>
      </c>
      <c r="Y251" s="22"/>
      <c r="Z251" s="22">
        <f t="shared" si="215"/>
        <v>10</v>
      </c>
      <c r="AA251" s="17">
        <f>'BUS Deemed Savings Table'!DG22</f>
        <v>6.7115081462209023</v>
      </c>
      <c r="AB251" s="246">
        <f>'BUS Deemed Savings Table'!K22</f>
        <v>16</v>
      </c>
      <c r="AC251" s="755">
        <f t="shared" si="216"/>
        <v>107.38413033953444</v>
      </c>
      <c r="AD251" s="755">
        <f t="shared" si="217"/>
        <v>0</v>
      </c>
      <c r="AE251" s="592">
        <f>'BUS Deemed Savings Table'!DI22</f>
        <v>107.38413033953444</v>
      </c>
      <c r="AF251" s="195"/>
      <c r="AG251" s="195"/>
      <c r="AH251" s="195"/>
      <c r="AI251" s="1371" t="str">
        <f>'BUS Deemed Savings Table'!L22</f>
        <v>per measure</v>
      </c>
      <c r="AJ251" s="68"/>
      <c r="AK251"/>
      <c r="AL251"/>
      <c r="AM251"/>
      <c r="AN251"/>
      <c r="AO251"/>
      <c r="AP251"/>
      <c r="AQ251"/>
      <c r="AR251"/>
      <c r="AS251"/>
      <c r="AT251"/>
      <c r="AU251"/>
      <c r="AV251"/>
      <c r="AW251"/>
      <c r="AX251" s="1284" t="str">
        <f t="shared" si="218"/>
        <v xml:space="preserve">LED Replacing Interior T12 Fluorescent (Type A / Hybrid) </v>
      </c>
      <c r="AY251" s="1307"/>
      <c r="AZ251" s="1376" t="str">
        <f t="shared" si="219"/>
        <v>800900</v>
      </c>
      <c r="BA251" s="1229" t="s">
        <v>2158</v>
      </c>
      <c r="BB251" s="1229" t="s">
        <v>2158</v>
      </c>
      <c r="BC251" s="1229" t="s">
        <v>2158</v>
      </c>
      <c r="BD251" s="1229" t="s">
        <v>2158</v>
      </c>
      <c r="BE251" s="1235"/>
      <c r="BF251" s="1229" t="s">
        <v>2158</v>
      </c>
      <c r="BG251" s="1229" t="s">
        <v>2158</v>
      </c>
      <c r="BH251" s="1229" t="s">
        <v>2158</v>
      </c>
      <c r="BI251" s="1230" t="s">
        <v>2158</v>
      </c>
      <c r="BJ251" s="1234"/>
      <c r="BK251" s="1229" t="s">
        <v>2158</v>
      </c>
      <c r="BL251" s="1230" t="s">
        <v>2158</v>
      </c>
      <c r="BM251" s="1229" t="s">
        <v>2158</v>
      </c>
      <c r="BN251" s="1230" t="s">
        <v>2158</v>
      </c>
    </row>
    <row r="252" spans="1:66" s="39" customFormat="1" x14ac:dyDescent="0.25">
      <c r="A252" s="49" t="str">
        <f t="shared" si="211"/>
        <v>800901</v>
      </c>
      <c r="B252" s="1371" t="str">
        <f>'BUS Deemed Savings Table'!C23</f>
        <v>800901_2024_12_</v>
      </c>
      <c r="C252" s="1307" t="str">
        <f>'BUS Deemed Savings Table'!G23</f>
        <v>Lighting BUS</v>
      </c>
      <c r="D252" s="1307"/>
      <c r="E252" s="1307"/>
      <c r="F252" s="1307"/>
      <c r="G252" s="1307" t="str">
        <f>'BUS Deemed Savings Table'!E23</f>
        <v xml:space="preserve">LED Replacing Interior T12 Fluorescent (Type B, Kits, and Fixtures) </v>
      </c>
      <c r="H252" s="18" t="str">
        <f>'BUS Deemed Savings Table'!D23</f>
        <v>BSS</v>
      </c>
      <c r="I252" s="750">
        <f>'BUS Deemed Savings Table'!F23</f>
        <v>254.96</v>
      </c>
      <c r="J252" s="750"/>
      <c r="K252" s="189"/>
      <c r="L252" s="189"/>
      <c r="M252" s="189"/>
      <c r="N252" s="189"/>
      <c r="O252" s="751">
        <f>'BUS Deemed Savings Table'!I23</f>
        <v>4.9983E-2</v>
      </c>
      <c r="P252" s="751"/>
      <c r="Q252" s="752"/>
      <c r="R252" s="752"/>
      <c r="S252" s="752"/>
      <c r="T252" s="752"/>
      <c r="U252" s="753">
        <f t="shared" si="212"/>
        <v>0</v>
      </c>
      <c r="V252" s="753">
        <f t="shared" si="213"/>
        <v>0</v>
      </c>
      <c r="W252" s="753">
        <f t="shared" si="214"/>
        <v>4.9983E-2</v>
      </c>
      <c r="X252" s="22">
        <f>'BUS Deemed Savings Table'!J23</f>
        <v>15</v>
      </c>
      <c r="Y252" s="22"/>
      <c r="Z252" s="22">
        <f t="shared" si="215"/>
        <v>15</v>
      </c>
      <c r="AA252" s="17">
        <f>'BUS Deemed Savings Table'!DG23</f>
        <v>11.529349711777373</v>
      </c>
      <c r="AB252" s="246">
        <f>'BUS Deemed Savings Table'!K23</f>
        <v>17</v>
      </c>
      <c r="AC252" s="755">
        <f t="shared" si="216"/>
        <v>195.99894510021534</v>
      </c>
      <c r="AD252" s="755">
        <f t="shared" si="217"/>
        <v>0</v>
      </c>
      <c r="AE252" s="592">
        <f>'BUS Deemed Savings Table'!DI23</f>
        <v>195.99894510021534</v>
      </c>
      <c r="AF252" s="195"/>
      <c r="AG252" s="195"/>
      <c r="AH252" s="195"/>
      <c r="AI252" s="1371" t="str">
        <f>'BUS Deemed Savings Table'!L23</f>
        <v>per measure</v>
      </c>
      <c r="AJ252" s="68"/>
      <c r="AK252"/>
      <c r="AL252"/>
      <c r="AM252"/>
      <c r="AN252"/>
      <c r="AO252"/>
      <c r="AP252"/>
      <c r="AQ252"/>
      <c r="AR252"/>
      <c r="AS252"/>
      <c r="AT252"/>
      <c r="AU252"/>
      <c r="AV252"/>
      <c r="AW252"/>
      <c r="AX252" s="1284" t="str">
        <f t="shared" si="218"/>
        <v xml:space="preserve">LED Replacing Interior T12 Fluorescent (Type B, Kits, and Fixtures) </v>
      </c>
      <c r="AY252" s="1307"/>
      <c r="AZ252" s="1376" t="str">
        <f t="shared" si="219"/>
        <v>800901</v>
      </c>
      <c r="BA252" s="1229" t="s">
        <v>2158</v>
      </c>
      <c r="BB252" s="1229" t="s">
        <v>2158</v>
      </c>
      <c r="BC252" s="1229" t="s">
        <v>2158</v>
      </c>
      <c r="BD252" s="1229" t="s">
        <v>2158</v>
      </c>
      <c r="BE252" s="1235"/>
      <c r="BF252" s="1229" t="s">
        <v>2158</v>
      </c>
      <c r="BG252" s="1229" t="s">
        <v>2158</v>
      </c>
      <c r="BH252" s="1229" t="s">
        <v>2158</v>
      </c>
      <c r="BI252" s="1230" t="s">
        <v>2158</v>
      </c>
      <c r="BJ252" s="1234"/>
      <c r="BK252" s="1229" t="s">
        <v>2158</v>
      </c>
      <c r="BL252" s="1230" t="s">
        <v>2158</v>
      </c>
      <c r="BM252" s="1229" t="s">
        <v>2158</v>
      </c>
      <c r="BN252" s="1230" t="s">
        <v>2158</v>
      </c>
    </row>
    <row r="253" spans="1:66" s="39" customFormat="1" x14ac:dyDescent="0.25">
      <c r="A253" s="49" t="str">
        <f t="shared" si="211"/>
        <v>800950</v>
      </c>
      <c r="B253" s="1371" t="str">
        <f>'BUS Deemed Savings Table'!C24</f>
        <v>800950_2024_12_</v>
      </c>
      <c r="C253" s="1307" t="str">
        <f>'BUS Deemed Savings Table'!G24</f>
        <v>Lighting BUS</v>
      </c>
      <c r="D253" s="1307"/>
      <c r="E253" s="1307"/>
      <c r="F253" s="1307"/>
      <c r="G253" s="1307" t="str">
        <f>'BUS Deemed Savings Table'!E24</f>
        <v xml:space="preserve">LED Specialty Lamp </v>
      </c>
      <c r="H253" s="18" t="str">
        <f>'BUS Deemed Savings Table'!D24</f>
        <v>BSS/MFIE</v>
      </c>
      <c r="I253" s="750">
        <f>'BUS Deemed Savings Table'!F24</f>
        <v>94.51</v>
      </c>
      <c r="J253" s="750"/>
      <c r="K253" s="189"/>
      <c r="L253" s="189"/>
      <c r="M253" s="189"/>
      <c r="N253" s="189"/>
      <c r="O253" s="751">
        <f>'BUS Deemed Savings Table'!I24</f>
        <v>1.8527999999999999E-2</v>
      </c>
      <c r="P253" s="751"/>
      <c r="Q253" s="752"/>
      <c r="R253" s="752"/>
      <c r="S253" s="752"/>
      <c r="T253" s="752"/>
      <c r="U253" s="753">
        <f t="shared" si="212"/>
        <v>0</v>
      </c>
      <c r="V253" s="753">
        <f t="shared" si="213"/>
        <v>1.8527999999999999E-2</v>
      </c>
      <c r="W253" s="753">
        <f t="shared" si="214"/>
        <v>0</v>
      </c>
      <c r="X253" s="22">
        <f>'BUS Deemed Savings Table'!J24</f>
        <v>10</v>
      </c>
      <c r="Y253" s="22"/>
      <c r="Z253" s="22">
        <f t="shared" si="215"/>
        <v>10</v>
      </c>
      <c r="AA253" s="17">
        <f>'BUS Deemed Savings Table'!DG24</f>
        <v>3.0170502040493603</v>
      </c>
      <c r="AB253" s="246">
        <f>'BUS Deemed Savings Table'!K24</f>
        <v>18</v>
      </c>
      <c r="AC253" s="755">
        <f t="shared" si="216"/>
        <v>54.306903672888488</v>
      </c>
      <c r="AD253" s="755">
        <f t="shared" si="217"/>
        <v>0</v>
      </c>
      <c r="AE253" s="592">
        <f>'BUS Deemed Savings Table'!DI24</f>
        <v>54.306903672888488</v>
      </c>
      <c r="AF253" s="195"/>
      <c r="AG253" s="195"/>
      <c r="AH253" s="195"/>
      <c r="AI253" s="1371" t="str">
        <f>'BUS Deemed Savings Table'!L24</f>
        <v>per measure</v>
      </c>
      <c r="AJ253" s="68"/>
      <c r="AK253"/>
      <c r="AL253"/>
      <c r="AM253"/>
      <c r="AN253"/>
      <c r="AO253"/>
      <c r="AP253"/>
      <c r="AQ253"/>
      <c r="AR253"/>
      <c r="AS253"/>
      <c r="AT253"/>
      <c r="AU253"/>
      <c r="AV253"/>
      <c r="AW253"/>
      <c r="AX253" s="1284" t="str">
        <f t="shared" si="218"/>
        <v xml:space="preserve">LED Specialty Lamp </v>
      </c>
      <c r="AY253" s="1307"/>
      <c r="AZ253" s="1376" t="str">
        <f t="shared" si="219"/>
        <v>800950</v>
      </c>
      <c r="BA253" s="1229" t="s">
        <v>2158</v>
      </c>
      <c r="BB253" s="1229" t="s">
        <v>2158</v>
      </c>
      <c r="BC253" s="1229" t="s">
        <v>2158</v>
      </c>
      <c r="BD253" s="1229" t="s">
        <v>2158</v>
      </c>
      <c r="BE253" s="1235"/>
      <c r="BF253" s="1229" t="s">
        <v>2158</v>
      </c>
      <c r="BG253" s="1229" t="s">
        <v>2158</v>
      </c>
      <c r="BH253" s="1229" t="s">
        <v>2158</v>
      </c>
      <c r="BI253" s="1230" t="s">
        <v>2158</v>
      </c>
      <c r="BJ253" s="1234"/>
      <c r="BK253" s="1229" t="s">
        <v>2158</v>
      </c>
      <c r="BL253" s="1230" t="s">
        <v>2158</v>
      </c>
      <c r="BM253" s="1229" t="s">
        <v>2158</v>
      </c>
      <c r="BN253" s="1230" t="s">
        <v>2158</v>
      </c>
    </row>
    <row r="254" spans="1:66" s="39" customFormat="1" x14ac:dyDescent="0.25">
      <c r="A254" s="49" t="str">
        <f t="shared" si="198"/>
        <v>801010</v>
      </c>
      <c r="B254" s="1371" t="str">
        <f>'BUS Deemed Savings Table'!C60</f>
        <v>801010_2024_12_</v>
      </c>
      <c r="C254" s="1307" t="str">
        <f>'BUS Deemed Savings Table'!G60</f>
        <v>Lighting BUS</v>
      </c>
      <c r="D254" s="1307"/>
      <c r="E254" s="1307"/>
      <c r="F254" s="1307"/>
      <c r="G254" s="1307" t="str">
        <f>'BUS Deemed Savings Table'!E60</f>
        <v>Fixture Mounted Occupancy Sensor Controlling &gt; 60 Watts, &lt;200 Watts</v>
      </c>
      <c r="H254" s="18" t="str">
        <f>'BUS Deemed Savings Table'!D60</f>
        <v>BSS</v>
      </c>
      <c r="I254" s="750">
        <f>'BUS Deemed Savings Table'!F60</f>
        <v>150.15</v>
      </c>
      <c r="J254" s="750"/>
      <c r="K254" s="189"/>
      <c r="L254" s="189"/>
      <c r="M254" s="189"/>
      <c r="N254" s="189"/>
      <c r="O254" s="751">
        <f>'BUS Deemed Savings Table'!I60</f>
        <v>2.9436E-2</v>
      </c>
      <c r="P254" s="751"/>
      <c r="Q254" s="752"/>
      <c r="R254" s="752"/>
      <c r="S254" s="752"/>
      <c r="T254" s="752"/>
      <c r="U254" s="753">
        <f t="shared" si="199"/>
        <v>0</v>
      </c>
      <c r="V254" s="753">
        <f t="shared" si="200"/>
        <v>2.9436E-2</v>
      </c>
      <c r="W254" s="753">
        <f t="shared" si="201"/>
        <v>0</v>
      </c>
      <c r="X254" s="22">
        <f>'BUS Deemed Savings Table'!J60</f>
        <v>10</v>
      </c>
      <c r="Y254" s="22"/>
      <c r="Z254" s="22">
        <f t="shared" si="202"/>
        <v>10</v>
      </c>
      <c r="AA254" s="17">
        <f>'BUS Deemed Savings Table'!DG60</f>
        <v>1.3273616282337573</v>
      </c>
      <c r="AB254" s="246">
        <f>'BUS Deemed Savings Table'!K60</f>
        <v>65</v>
      </c>
      <c r="AC254" s="755">
        <f t="shared" si="203"/>
        <v>86.278505835194224</v>
      </c>
      <c r="AD254" s="755">
        <f t="shared" si="204"/>
        <v>0</v>
      </c>
      <c r="AE254" s="592">
        <f>'BUS Deemed Savings Table'!DI60</f>
        <v>86.278505835194224</v>
      </c>
      <c r="AF254" s="195"/>
      <c r="AG254" s="195"/>
      <c r="AH254" s="195"/>
      <c r="AI254" s="1371" t="str">
        <f>'BUS Deemed Savings Table'!L60</f>
        <v>per measure</v>
      </c>
      <c r="AJ254" s="1307"/>
      <c r="AK254" s="50"/>
      <c r="AL254" s="50"/>
      <c r="AM254"/>
      <c r="AN254"/>
      <c r="AO254"/>
      <c r="AP254"/>
      <c r="AQ254"/>
      <c r="AR254"/>
      <c r="AS254"/>
      <c r="AT254"/>
      <c r="AU254"/>
      <c r="AV254"/>
      <c r="AW254"/>
      <c r="AX254" s="1284" t="str">
        <f t="shared" si="205"/>
        <v>Fixture Mounted Occupancy Sensor Controlling &gt; 60 Watts, &lt;200 Watts</v>
      </c>
      <c r="AY254" s="1307"/>
      <c r="AZ254" s="1376" t="str">
        <f t="shared" si="206"/>
        <v>801010</v>
      </c>
      <c r="BA254" s="1229" t="s">
        <v>2158</v>
      </c>
      <c r="BB254" s="1229" t="s">
        <v>2158</v>
      </c>
      <c r="BC254" s="1229" t="s">
        <v>2158</v>
      </c>
      <c r="BD254" s="1229" t="s">
        <v>2158</v>
      </c>
      <c r="BE254" s="1235"/>
      <c r="BF254" s="1229" t="s">
        <v>2158</v>
      </c>
      <c r="BG254" s="1229" t="s">
        <v>2158</v>
      </c>
      <c r="BH254" s="1229" t="s">
        <v>2158</v>
      </c>
      <c r="BI254" s="1230" t="s">
        <v>2158</v>
      </c>
      <c r="BJ254" s="1234"/>
      <c r="BK254" s="1229" t="s">
        <v>2158</v>
      </c>
      <c r="BL254" s="1230" t="s">
        <v>2158</v>
      </c>
      <c r="BM254" s="1229" t="s">
        <v>2158</v>
      </c>
      <c r="BN254" s="1230" t="s">
        <v>2158</v>
      </c>
    </row>
    <row r="255" spans="1:66" s="39" customFormat="1" x14ac:dyDescent="0.25">
      <c r="A255" s="49" t="str">
        <f t="shared" si="198"/>
        <v>801020</v>
      </c>
      <c r="B255" s="1371" t="str">
        <f>'BUS Deemed Savings Table'!C61</f>
        <v>801020_2024_12_</v>
      </c>
      <c r="C255" s="1307" t="str">
        <f>'BUS Deemed Savings Table'!G61</f>
        <v>Lighting BUS</v>
      </c>
      <c r="D255" s="1307"/>
      <c r="E255" s="1307"/>
      <c r="F255" s="1307"/>
      <c r="G255" s="1307" t="str">
        <f>'BUS Deemed Savings Table'!E61</f>
        <v>Remote Mounted Occupancy Sensor Controlling &gt; 150 Watts</v>
      </c>
      <c r="H255" s="18" t="str">
        <f>'BUS Deemed Savings Table'!D61</f>
        <v>BSS</v>
      </c>
      <c r="I255" s="750">
        <f>'BUS Deemed Savings Table'!F61</f>
        <v>545.92999999999995</v>
      </c>
      <c r="J255" s="750"/>
      <c r="K255" s="189"/>
      <c r="L255" s="189"/>
      <c r="M255" s="189"/>
      <c r="N255" s="189"/>
      <c r="O255" s="751">
        <f>'BUS Deemed Savings Table'!I61</f>
        <v>0.107025</v>
      </c>
      <c r="P255" s="751"/>
      <c r="Q255" s="752"/>
      <c r="R255" s="752"/>
      <c r="S255" s="752"/>
      <c r="T255" s="752"/>
      <c r="U255" s="753">
        <f t="shared" si="199"/>
        <v>0</v>
      </c>
      <c r="V255" s="753">
        <f t="shared" si="200"/>
        <v>0.107025</v>
      </c>
      <c r="W255" s="753">
        <f t="shared" si="201"/>
        <v>0</v>
      </c>
      <c r="X255" s="22">
        <f>'BUS Deemed Savings Table'!J61</f>
        <v>10</v>
      </c>
      <c r="Y255" s="22"/>
      <c r="Z255" s="22">
        <f t="shared" si="202"/>
        <v>10</v>
      </c>
      <c r="AA255" s="17">
        <f>'BUS Deemed Savings Table'!DG61</f>
        <v>2.9876171251356629</v>
      </c>
      <c r="AB255" s="246">
        <f>'BUS Deemed Savings Table'!K61</f>
        <v>105</v>
      </c>
      <c r="AC255" s="755">
        <f t="shared" si="203"/>
        <v>313.69979813924459</v>
      </c>
      <c r="AD255" s="755">
        <f t="shared" si="204"/>
        <v>0</v>
      </c>
      <c r="AE255" s="592">
        <f>'BUS Deemed Savings Table'!DI61</f>
        <v>313.69979813924459</v>
      </c>
      <c r="AF255" s="195"/>
      <c r="AG255" s="195"/>
      <c r="AH255" s="195"/>
      <c r="AI255" s="1371" t="str">
        <f>'BUS Deemed Savings Table'!L61</f>
        <v>per measure</v>
      </c>
      <c r="AJ255" s="1307"/>
      <c r="AK255" s="50"/>
      <c r="AL255" s="50"/>
      <c r="AM255"/>
      <c r="AN255"/>
      <c r="AO255"/>
      <c r="AP255"/>
      <c r="AQ255"/>
      <c r="AR255"/>
      <c r="AS255"/>
      <c r="AT255"/>
      <c r="AU255"/>
      <c r="AV255"/>
      <c r="AW255"/>
      <c r="AX255" s="1284" t="str">
        <f t="shared" si="205"/>
        <v>Remote Mounted Occupancy Sensor Controlling &gt; 150 Watts</v>
      </c>
      <c r="AY255" s="1307"/>
      <c r="AZ255" s="1376" t="str">
        <f t="shared" si="206"/>
        <v>801020</v>
      </c>
      <c r="BA255" s="1229" t="s">
        <v>2158</v>
      </c>
      <c r="BB255" s="1229" t="s">
        <v>2158</v>
      </c>
      <c r="BC255" s="1229" t="s">
        <v>2158</v>
      </c>
      <c r="BD255" s="1229" t="s">
        <v>2158</v>
      </c>
      <c r="BE255" s="1235"/>
      <c r="BF255" s="1229" t="s">
        <v>2158</v>
      </c>
      <c r="BG255" s="1229" t="s">
        <v>2158</v>
      </c>
      <c r="BH255" s="1229" t="s">
        <v>2158</v>
      </c>
      <c r="BI255" s="1230" t="s">
        <v>2158</v>
      </c>
      <c r="BJ255" s="1234"/>
      <c r="BK255" s="1229" t="s">
        <v>2158</v>
      </c>
      <c r="BL255" s="1230" t="s">
        <v>2158</v>
      </c>
      <c r="BM255" s="1229" t="s">
        <v>2158</v>
      </c>
      <c r="BN255" s="1230" t="s">
        <v>2158</v>
      </c>
    </row>
    <row r="256" spans="1:66" x14ac:dyDescent="0.25">
      <c r="A256" s="49" t="str">
        <f t="shared" si="198"/>
        <v>801250</v>
      </c>
      <c r="B256" s="1371" t="str">
        <f>'BUS Deemed Savings Table'!C82</f>
        <v>801250_2024_12_</v>
      </c>
      <c r="C256" s="1307" t="str">
        <f>'BUS Deemed Savings Table'!G82</f>
        <v>Refrigeration BUS</v>
      </c>
      <c r="D256" s="1307"/>
      <c r="E256" s="1307"/>
      <c r="F256" s="1307"/>
      <c r="G256" s="1307" t="str">
        <f>'BUS Deemed Savings Table'!E82</f>
        <v>0 &lt; V &lt; 15 - Vertical Closed - Solid Door Refrigerator</v>
      </c>
      <c r="H256" s="18" t="str">
        <f>'BUS Deemed Savings Table'!D82</f>
        <v>Standard</v>
      </c>
      <c r="I256" s="750">
        <f>'BUS Deemed Savings Table'!F82</f>
        <v>329.82</v>
      </c>
      <c r="J256" s="750"/>
      <c r="K256" s="189"/>
      <c r="L256" s="189"/>
      <c r="M256" s="189"/>
      <c r="N256" s="189"/>
      <c r="O256" s="751">
        <f>'BUS Deemed Savings Table'!I82</f>
        <v>4.4769000000000003E-2</v>
      </c>
      <c r="P256" s="751"/>
      <c r="Q256" s="752"/>
      <c r="R256" s="752"/>
      <c r="S256" s="752"/>
      <c r="T256" s="752"/>
      <c r="U256" s="753">
        <f t="shared" ref="U256:U289" si="220">IFERROR(IF(V256+W256&gt;0,0,IF(Z256&gt;0,O256,0)),0)</f>
        <v>0</v>
      </c>
      <c r="V256" s="753">
        <f t="shared" ref="V256:V289" si="221">IF(W256&gt;0,0,IF(Z256&gt;9,O256,0))</f>
        <v>4.4769000000000003E-2</v>
      </c>
      <c r="W256" s="753">
        <f t="shared" ref="W256:W289" si="222">IF(Z256&gt;14,O256,0)</f>
        <v>0</v>
      </c>
      <c r="X256" s="22">
        <f>'BUS Deemed Savings Table'!J82</f>
        <v>12</v>
      </c>
      <c r="Y256" s="22"/>
      <c r="Z256" s="22">
        <f t="shared" si="202"/>
        <v>12</v>
      </c>
      <c r="AA256" s="17">
        <f>'BUS Deemed Savings Table'!DG82</f>
        <v>1.3324016354481989</v>
      </c>
      <c r="AB256" s="246">
        <f>'BUS Deemed Savings Table'!K82</f>
        <v>150</v>
      </c>
      <c r="AC256" s="755">
        <f t="shared" si="203"/>
        <v>199.86024531722984</v>
      </c>
      <c r="AD256" s="755">
        <f t="shared" si="204"/>
        <v>0</v>
      </c>
      <c r="AE256" s="592">
        <f>'BUS Deemed Savings Table'!DI82</f>
        <v>199.86024531722984</v>
      </c>
      <c r="AF256" s="195"/>
      <c r="AG256" s="195"/>
      <c r="AH256" s="195"/>
      <c r="AI256" s="1371" t="str">
        <f>'BUS Deemed Savings Table'!L82</f>
        <v>per measure</v>
      </c>
      <c r="AJ256" s="68"/>
      <c r="AX256" s="1284" t="str">
        <f t="shared" si="205"/>
        <v>0 &lt; V &lt; 15 - Vertical Closed - Solid Door Refrigerator</v>
      </c>
      <c r="AY256" s="1307"/>
      <c r="AZ256" s="1376" t="str">
        <f t="shared" si="206"/>
        <v>801250</v>
      </c>
      <c r="BA256" s="1229" t="s">
        <v>2158</v>
      </c>
      <c r="BB256" s="1229" t="s">
        <v>2158</v>
      </c>
      <c r="BC256" s="1229" t="s">
        <v>2158</v>
      </c>
      <c r="BD256" s="1229" t="s">
        <v>2158</v>
      </c>
      <c r="BE256" s="1234"/>
      <c r="BF256" s="1229" t="s">
        <v>2158</v>
      </c>
      <c r="BG256" s="1229" t="s">
        <v>2158</v>
      </c>
      <c r="BH256" s="1229" t="s">
        <v>2158</v>
      </c>
      <c r="BI256" s="1230" t="s">
        <v>2158</v>
      </c>
      <c r="BJ256" s="1234"/>
      <c r="BK256" s="1229" t="s">
        <v>2158</v>
      </c>
      <c r="BL256" s="1230" t="s">
        <v>2158</v>
      </c>
      <c r="BM256" s="1229" t="s">
        <v>2158</v>
      </c>
      <c r="BN256" s="1230" t="s">
        <v>2158</v>
      </c>
    </row>
    <row r="257" spans="1:66" x14ac:dyDescent="0.25">
      <c r="A257" s="49" t="str">
        <f t="shared" si="198"/>
        <v>801750</v>
      </c>
      <c r="B257" s="1371" t="str">
        <f>'BUS Deemed Savings Table'!C83</f>
        <v>801750_2024_12_</v>
      </c>
      <c r="C257" s="1307" t="str">
        <f>'BUS Deemed Savings Table'!G83</f>
        <v>Refrigeration BUS</v>
      </c>
      <c r="D257" s="1307"/>
      <c r="E257" s="1307"/>
      <c r="F257" s="1307"/>
      <c r="G257" s="1307" t="str">
        <f>'BUS Deemed Savings Table'!E83</f>
        <v>15 ≤ V &lt; 30 - Vertical Closed - Solid Door Freezer</v>
      </c>
      <c r="H257" s="18" t="str">
        <f>'BUS Deemed Savings Table'!D83</f>
        <v>Standard</v>
      </c>
      <c r="I257" s="750">
        <f>'BUS Deemed Savings Table'!F83</f>
        <v>575.27</v>
      </c>
      <c r="J257" s="750"/>
      <c r="K257" s="189"/>
      <c r="L257" s="189"/>
      <c r="M257" s="189"/>
      <c r="N257" s="189"/>
      <c r="O257" s="751">
        <f>'BUS Deemed Savings Table'!I83</f>
        <v>7.8086000000000003E-2</v>
      </c>
      <c r="P257" s="751"/>
      <c r="Q257" s="752"/>
      <c r="R257" s="752"/>
      <c r="S257" s="752"/>
      <c r="T257" s="752"/>
      <c r="U257" s="753">
        <f t="shared" si="220"/>
        <v>0</v>
      </c>
      <c r="V257" s="753">
        <f t="shared" si="221"/>
        <v>7.8086000000000003E-2</v>
      </c>
      <c r="W257" s="753">
        <f t="shared" si="222"/>
        <v>0</v>
      </c>
      <c r="X257" s="22">
        <f>'BUS Deemed Savings Table'!J83</f>
        <v>12</v>
      </c>
      <c r="Y257" s="22"/>
      <c r="Z257" s="22">
        <f t="shared" si="202"/>
        <v>12</v>
      </c>
      <c r="AA257" s="17">
        <f>'BUS Deemed Savings Table'!DG83</f>
        <v>0.99598571795561908</v>
      </c>
      <c r="AB257" s="246">
        <f>'BUS Deemed Savings Table'!K83</f>
        <v>350</v>
      </c>
      <c r="AC257" s="755">
        <f t="shared" si="203"/>
        <v>348.59500128446666</v>
      </c>
      <c r="AD257" s="755">
        <f t="shared" si="204"/>
        <v>0</v>
      </c>
      <c r="AE257" s="592">
        <f>'BUS Deemed Savings Table'!DI83</f>
        <v>348.59500128446666</v>
      </c>
      <c r="AF257" s="195"/>
      <c r="AG257" s="195"/>
      <c r="AH257" s="195"/>
      <c r="AI257" s="1371" t="str">
        <f>'BUS Deemed Savings Table'!L83</f>
        <v>per measure</v>
      </c>
      <c r="AJ257" s="68"/>
      <c r="AX257" s="1284" t="str">
        <f t="shared" si="205"/>
        <v>15 ≤ V &lt; 30 - Vertical Closed - Solid Door Freezer</v>
      </c>
      <c r="AY257" s="1307"/>
      <c r="AZ257" s="1376" t="str">
        <f t="shared" si="206"/>
        <v>801750</v>
      </c>
      <c r="BA257" s="1229" t="s">
        <v>2158</v>
      </c>
      <c r="BB257" s="1229" t="s">
        <v>2158</v>
      </c>
      <c r="BC257" s="1229" t="s">
        <v>2158</v>
      </c>
      <c r="BD257" s="1229" t="s">
        <v>2158</v>
      </c>
      <c r="BE257" s="1234"/>
      <c r="BF257" s="1229" t="s">
        <v>2158</v>
      </c>
      <c r="BG257" s="1229" t="s">
        <v>2158</v>
      </c>
      <c r="BH257" s="1229" t="s">
        <v>2158</v>
      </c>
      <c r="BI257" s="1230" t="s">
        <v>2158</v>
      </c>
      <c r="BJ257" s="1234"/>
      <c r="BK257" s="1229" t="s">
        <v>2158</v>
      </c>
      <c r="BL257" s="1230" t="s">
        <v>2158</v>
      </c>
      <c r="BM257" s="1229" t="s">
        <v>2158</v>
      </c>
      <c r="BN257" s="1230" t="s">
        <v>2158</v>
      </c>
    </row>
    <row r="258" spans="1:66" x14ac:dyDescent="0.25">
      <c r="A258" s="49" t="str">
        <f t="shared" si="198"/>
        <v>801800</v>
      </c>
      <c r="B258" s="1371" t="str">
        <f>'BUS Deemed Savings Table'!C84</f>
        <v>801800_2024_12_</v>
      </c>
      <c r="C258" s="1307" t="str">
        <f>'BUS Deemed Savings Table'!G84</f>
        <v>Refrigeration BUS</v>
      </c>
      <c r="D258" s="1307"/>
      <c r="E258" s="1307"/>
      <c r="F258" s="1307"/>
      <c r="G258" s="1307" t="str">
        <f>'BUS Deemed Savings Table'!E84</f>
        <v>30 ≤ V &lt; 50 - Vertical Closed - Solid Door Freezer</v>
      </c>
      <c r="H258" s="18" t="str">
        <f>'BUS Deemed Savings Table'!D84</f>
        <v>Standard</v>
      </c>
      <c r="I258" s="750">
        <f>'BUS Deemed Savings Table'!F84</f>
        <v>1117.67</v>
      </c>
      <c r="J258" s="750"/>
      <c r="K258" s="189"/>
      <c r="L258" s="189"/>
      <c r="M258" s="189"/>
      <c r="N258" s="189"/>
      <c r="O258" s="751">
        <f>'BUS Deemed Savings Table'!I84</f>
        <v>0.15171100000000001</v>
      </c>
      <c r="P258" s="751"/>
      <c r="Q258" s="752"/>
      <c r="R258" s="752"/>
      <c r="S258" s="752"/>
      <c r="T258" s="752"/>
      <c r="U258" s="753">
        <f t="shared" si="220"/>
        <v>0</v>
      </c>
      <c r="V258" s="753">
        <f t="shared" si="221"/>
        <v>0.15171100000000001</v>
      </c>
      <c r="W258" s="753">
        <f t="shared" si="222"/>
        <v>0</v>
      </c>
      <c r="X258" s="22">
        <f>'BUS Deemed Savings Table'!J84</f>
        <v>12</v>
      </c>
      <c r="Y258" s="22"/>
      <c r="Z258" s="22">
        <f t="shared" si="202"/>
        <v>12</v>
      </c>
      <c r="AA258" s="17">
        <f>'BUS Deemed Savings Table'!DG84</f>
        <v>1.3545436928246213</v>
      </c>
      <c r="AB258" s="246">
        <f>'BUS Deemed Savings Table'!K84</f>
        <v>500</v>
      </c>
      <c r="AC258" s="755">
        <f t="shared" si="203"/>
        <v>677.27184641231065</v>
      </c>
      <c r="AD258" s="755">
        <f t="shared" si="204"/>
        <v>0</v>
      </c>
      <c r="AE258" s="592">
        <f>'BUS Deemed Savings Table'!DI84</f>
        <v>677.27184641231065</v>
      </c>
      <c r="AF258" s="195"/>
      <c r="AG258" s="195"/>
      <c r="AH258" s="195"/>
      <c r="AI258" s="1371" t="str">
        <f>'BUS Deemed Savings Table'!L84</f>
        <v>per measure</v>
      </c>
      <c r="AJ258" s="68"/>
      <c r="AX258" s="1284" t="str">
        <f t="shared" ref="AX258:AX314" si="223">G258</f>
        <v>30 ≤ V &lt; 50 - Vertical Closed - Solid Door Freezer</v>
      </c>
      <c r="AY258" s="1307"/>
      <c r="AZ258" s="1376" t="str">
        <f t="shared" ref="AZ258:AZ314" si="224">A258</f>
        <v>801800</v>
      </c>
      <c r="BA258" s="1229" t="s">
        <v>2158</v>
      </c>
      <c r="BB258" s="1229" t="s">
        <v>2158</v>
      </c>
      <c r="BC258" s="1229" t="s">
        <v>2158</v>
      </c>
      <c r="BD258" s="1229" t="s">
        <v>2158</v>
      </c>
      <c r="BE258" s="1234"/>
      <c r="BF258" s="1229" t="s">
        <v>2158</v>
      </c>
      <c r="BG258" s="1229" t="s">
        <v>2158</v>
      </c>
      <c r="BH258" s="1229" t="s">
        <v>2158</v>
      </c>
      <c r="BI258" s="1230" t="s">
        <v>2158</v>
      </c>
      <c r="BJ258" s="1234"/>
      <c r="BK258" s="1229" t="s">
        <v>2158</v>
      </c>
      <c r="BL258" s="1230" t="s">
        <v>2158</v>
      </c>
      <c r="BM258" s="1229" t="s">
        <v>2158</v>
      </c>
      <c r="BN258" s="1230" t="s">
        <v>2158</v>
      </c>
    </row>
    <row r="259" spans="1:66" x14ac:dyDescent="0.25">
      <c r="A259" s="49" t="str">
        <f t="shared" si="198"/>
        <v>801850</v>
      </c>
      <c r="B259" s="1371" t="str">
        <f>'BUS Deemed Savings Table'!C85</f>
        <v>801850_2024_12_</v>
      </c>
      <c r="C259" s="1307" t="str">
        <f>'BUS Deemed Savings Table'!G85</f>
        <v>Refrigeration BUS</v>
      </c>
      <c r="D259" s="1307"/>
      <c r="E259" s="1307"/>
      <c r="F259" s="1307"/>
      <c r="G259" s="1307" t="str">
        <f>'BUS Deemed Savings Table'!E85</f>
        <v>V ≥ 50 - Vertical Closed - Solid Door Freezer</v>
      </c>
      <c r="H259" s="18" t="str">
        <f>'BUS Deemed Savings Table'!D85</f>
        <v>Standard</v>
      </c>
      <c r="I259" s="750">
        <f>'BUS Deemed Savings Table'!F85</f>
        <v>1504.46</v>
      </c>
      <c r="J259" s="750"/>
      <c r="K259" s="189"/>
      <c r="L259" s="189"/>
      <c r="M259" s="189"/>
      <c r="N259" s="189"/>
      <c r="O259" s="751">
        <f>'BUS Deemed Savings Table'!I85</f>
        <v>0.20421300000000001</v>
      </c>
      <c r="P259" s="751"/>
      <c r="Q259" s="752"/>
      <c r="R259" s="752"/>
      <c r="S259" s="752"/>
      <c r="T259" s="752"/>
      <c r="U259" s="753">
        <f t="shared" si="220"/>
        <v>0</v>
      </c>
      <c r="V259" s="753">
        <f t="shared" si="221"/>
        <v>0.20421300000000001</v>
      </c>
      <c r="W259" s="753">
        <f t="shared" si="222"/>
        <v>0</v>
      </c>
      <c r="X259" s="22">
        <f>'BUS Deemed Savings Table'!J85</f>
        <v>12</v>
      </c>
      <c r="Y259" s="22"/>
      <c r="Z259" s="22">
        <f t="shared" si="202"/>
        <v>12</v>
      </c>
      <c r="AA259" s="17">
        <f>'BUS Deemed Savings Table'!DG85</f>
        <v>1.5194234464756515</v>
      </c>
      <c r="AB259" s="246">
        <f>'BUS Deemed Savings Table'!K85</f>
        <v>600</v>
      </c>
      <c r="AC259" s="755">
        <f t="shared" si="203"/>
        <v>911.65406788539087</v>
      </c>
      <c r="AD259" s="755">
        <f t="shared" si="204"/>
        <v>0</v>
      </c>
      <c r="AE259" s="592">
        <f>'BUS Deemed Savings Table'!DI85</f>
        <v>911.65406788539087</v>
      </c>
      <c r="AF259" s="195"/>
      <c r="AG259" s="195"/>
      <c r="AH259" s="195"/>
      <c r="AI259" s="1371" t="str">
        <f>'BUS Deemed Savings Table'!L85</f>
        <v>per measure</v>
      </c>
      <c r="AJ259" s="68"/>
      <c r="AX259" s="1284" t="str">
        <f t="shared" si="223"/>
        <v>V ≥ 50 - Vertical Closed - Solid Door Freezer</v>
      </c>
      <c r="AY259" s="1307"/>
      <c r="AZ259" s="1376" t="str">
        <f t="shared" si="224"/>
        <v>801850</v>
      </c>
      <c r="BA259" s="1229" t="s">
        <v>2158</v>
      </c>
      <c r="BB259" s="1229" t="s">
        <v>2158</v>
      </c>
      <c r="BC259" s="1229" t="s">
        <v>2158</v>
      </c>
      <c r="BD259" s="1229" t="s">
        <v>2158</v>
      </c>
      <c r="BE259" s="1234"/>
      <c r="BF259" s="1229" t="s">
        <v>2158</v>
      </c>
      <c r="BG259" s="1229" t="s">
        <v>2158</v>
      </c>
      <c r="BH259" s="1229" t="s">
        <v>2158</v>
      </c>
      <c r="BI259" s="1230" t="s">
        <v>2158</v>
      </c>
      <c r="BJ259" s="1234"/>
      <c r="BK259" s="1229" t="s">
        <v>2158</v>
      </c>
      <c r="BL259" s="1230" t="s">
        <v>2158</v>
      </c>
      <c r="BM259" s="1229" t="s">
        <v>2158</v>
      </c>
      <c r="BN259" s="1230" t="s">
        <v>2158</v>
      </c>
    </row>
    <row r="260" spans="1:66" x14ac:dyDescent="0.25">
      <c r="A260" s="49" t="str">
        <f t="shared" si="198"/>
        <v>801900</v>
      </c>
      <c r="B260" s="1371" t="str">
        <f>'BUS Deemed Savings Table'!C86</f>
        <v>801900_2024_12_</v>
      </c>
      <c r="C260" s="1307" t="str">
        <f>'BUS Deemed Savings Table'!G86</f>
        <v>Refrigeration BUS</v>
      </c>
      <c r="D260" s="1307"/>
      <c r="E260" s="1307"/>
      <c r="F260" s="1307"/>
      <c r="G260" s="1307" t="str">
        <f>'BUS Deemed Savings Table'!E86</f>
        <v>0 &lt; V &lt; 15 - Vertical Closed - Glass Door Freezer</v>
      </c>
      <c r="H260" s="18" t="str">
        <f>'BUS Deemed Savings Table'!D86</f>
        <v>Standard</v>
      </c>
      <c r="I260" s="750">
        <f>'BUS Deemed Savings Table'!F86</f>
        <v>558.83000000000004</v>
      </c>
      <c r="J260" s="750"/>
      <c r="K260" s="189"/>
      <c r="L260" s="189"/>
      <c r="M260" s="189"/>
      <c r="N260" s="189"/>
      <c r="O260" s="751">
        <f>'BUS Deemed Savings Table'!I86</f>
        <v>7.5855000000000006E-2</v>
      </c>
      <c r="P260" s="751"/>
      <c r="Q260" s="752"/>
      <c r="R260" s="752"/>
      <c r="S260" s="752"/>
      <c r="T260" s="752"/>
      <c r="U260" s="753">
        <f t="shared" si="220"/>
        <v>0</v>
      </c>
      <c r="V260" s="753">
        <f t="shared" si="221"/>
        <v>7.5855000000000006E-2</v>
      </c>
      <c r="W260" s="753">
        <f t="shared" si="222"/>
        <v>0</v>
      </c>
      <c r="X260" s="22">
        <f>'BUS Deemed Savings Table'!J86</f>
        <v>12</v>
      </c>
      <c r="Y260" s="22"/>
      <c r="Z260" s="22">
        <f t="shared" si="202"/>
        <v>12</v>
      </c>
      <c r="AA260" s="17">
        <f>'BUS Deemed Savings Table'!DG86</f>
        <v>6.7726578673596238</v>
      </c>
      <c r="AB260" s="246">
        <f>'BUS Deemed Savings Table'!K86</f>
        <v>50</v>
      </c>
      <c r="AC260" s="755">
        <f t="shared" si="203"/>
        <v>338.63289336798118</v>
      </c>
      <c r="AD260" s="755">
        <f t="shared" si="204"/>
        <v>0</v>
      </c>
      <c r="AE260" s="592">
        <f>'BUS Deemed Savings Table'!DI86</f>
        <v>338.63289336798118</v>
      </c>
      <c r="AF260" s="195"/>
      <c r="AG260" s="195"/>
      <c r="AH260" s="195"/>
      <c r="AI260" s="1371" t="str">
        <f>'BUS Deemed Savings Table'!L86</f>
        <v>per measure</v>
      </c>
      <c r="AJ260" s="68"/>
      <c r="AX260" s="1284" t="str">
        <f t="shared" si="223"/>
        <v>0 &lt; V &lt; 15 - Vertical Closed - Glass Door Freezer</v>
      </c>
      <c r="AY260" s="1307"/>
      <c r="AZ260" s="1376" t="str">
        <f t="shared" si="224"/>
        <v>801900</v>
      </c>
      <c r="BA260" s="1229" t="s">
        <v>2158</v>
      </c>
      <c r="BB260" s="1229" t="s">
        <v>2158</v>
      </c>
      <c r="BC260" s="1229" t="s">
        <v>2158</v>
      </c>
      <c r="BD260" s="1229" t="s">
        <v>2158</v>
      </c>
      <c r="BE260" s="1234"/>
      <c r="BF260" s="1229" t="s">
        <v>2158</v>
      </c>
      <c r="BG260" s="1229" t="s">
        <v>2158</v>
      </c>
      <c r="BH260" s="1229" t="s">
        <v>2158</v>
      </c>
      <c r="BI260" s="1230" t="s">
        <v>2158</v>
      </c>
      <c r="BJ260" s="1234"/>
      <c r="BK260" s="1229" t="s">
        <v>2158</v>
      </c>
      <c r="BL260" s="1230" t="s">
        <v>2158</v>
      </c>
      <c r="BM260" s="1229" t="s">
        <v>2158</v>
      </c>
      <c r="BN260" s="1230" t="s">
        <v>2158</v>
      </c>
    </row>
    <row r="261" spans="1:66" x14ac:dyDescent="0.25">
      <c r="A261" s="49" t="str">
        <f t="shared" si="198"/>
        <v>801950</v>
      </c>
      <c r="B261" s="1371" t="str">
        <f>'BUS Deemed Savings Table'!C87</f>
        <v>801950_2024_12_</v>
      </c>
      <c r="C261" s="1307" t="str">
        <f>'BUS Deemed Savings Table'!G87</f>
        <v>Refrigeration BUS</v>
      </c>
      <c r="D261" s="1307"/>
      <c r="E261" s="1307"/>
      <c r="F261" s="1307"/>
      <c r="G261" s="1307" t="str">
        <f>'BUS Deemed Savings Table'!E87</f>
        <v>15 ≤ V &lt; 30 - Vertical Closed - Glass Door Freezer</v>
      </c>
      <c r="H261" s="18" t="str">
        <f>'BUS Deemed Savings Table'!D87</f>
        <v>Standard</v>
      </c>
      <c r="I261" s="750">
        <f>'BUS Deemed Savings Table'!F87</f>
        <v>974.85</v>
      </c>
      <c r="J261" s="750"/>
      <c r="K261" s="189"/>
      <c r="L261" s="189"/>
      <c r="M261" s="189"/>
      <c r="N261" s="189"/>
      <c r="O261" s="751">
        <f>'BUS Deemed Savings Table'!I87</f>
        <v>0.132324</v>
      </c>
      <c r="P261" s="751"/>
      <c r="Q261" s="752"/>
      <c r="R261" s="752"/>
      <c r="S261" s="752"/>
      <c r="T261" s="752"/>
      <c r="U261" s="753">
        <f t="shared" si="220"/>
        <v>0</v>
      </c>
      <c r="V261" s="753">
        <f t="shared" si="221"/>
        <v>0.132324</v>
      </c>
      <c r="W261" s="753">
        <f t="shared" si="222"/>
        <v>0</v>
      </c>
      <c r="X261" s="22">
        <f>'BUS Deemed Savings Table'!J87</f>
        <v>12</v>
      </c>
      <c r="Y261" s="22"/>
      <c r="Z261" s="22">
        <f t="shared" si="202"/>
        <v>12</v>
      </c>
      <c r="AA261" s="17">
        <f>'BUS Deemed Savings Table'!DG87</f>
        <v>5.9072754880692955</v>
      </c>
      <c r="AB261" s="246">
        <f>'BUS Deemed Savings Table'!K87</f>
        <v>100</v>
      </c>
      <c r="AC261" s="755">
        <f t="shared" si="203"/>
        <v>590.72754880692958</v>
      </c>
      <c r="AD261" s="755">
        <f t="shared" si="204"/>
        <v>0</v>
      </c>
      <c r="AE261" s="592">
        <f>'BUS Deemed Savings Table'!DI87</f>
        <v>590.72754880692958</v>
      </c>
      <c r="AF261" s="195"/>
      <c r="AG261" s="195"/>
      <c r="AH261" s="195"/>
      <c r="AI261" s="1371" t="str">
        <f>'BUS Deemed Savings Table'!L87</f>
        <v>per measure</v>
      </c>
      <c r="AJ261" s="68"/>
      <c r="AX261" s="1284" t="str">
        <f t="shared" si="223"/>
        <v>15 ≤ V &lt; 30 - Vertical Closed - Glass Door Freezer</v>
      </c>
      <c r="AY261" s="1307"/>
      <c r="AZ261" s="1376" t="str">
        <f t="shared" si="224"/>
        <v>801950</v>
      </c>
      <c r="BA261" s="1229" t="s">
        <v>2158</v>
      </c>
      <c r="BB261" s="1229" t="s">
        <v>2158</v>
      </c>
      <c r="BC261" s="1229" t="s">
        <v>2158</v>
      </c>
      <c r="BD261" s="1229" t="s">
        <v>2158</v>
      </c>
      <c r="BE261" s="1234"/>
      <c r="BF261" s="1229" t="s">
        <v>2158</v>
      </c>
      <c r="BG261" s="1229" t="s">
        <v>2158</v>
      </c>
      <c r="BH261" s="1229" t="s">
        <v>2158</v>
      </c>
      <c r="BI261" s="1230" t="s">
        <v>2158</v>
      </c>
      <c r="BJ261" s="1234"/>
      <c r="BK261" s="1229" t="s">
        <v>2158</v>
      </c>
      <c r="BL261" s="1230" t="s">
        <v>2158</v>
      </c>
      <c r="BM261" s="1229" t="s">
        <v>2158</v>
      </c>
      <c r="BN261" s="1230" t="s">
        <v>2158</v>
      </c>
    </row>
    <row r="262" spans="1:66" x14ac:dyDescent="0.25">
      <c r="A262" s="49" t="str">
        <f t="shared" si="198"/>
        <v>802000</v>
      </c>
      <c r="B262" s="1371" t="str">
        <f>'BUS Deemed Savings Table'!C88</f>
        <v>802000_2024_12_</v>
      </c>
      <c r="C262" s="1307" t="str">
        <f>'BUS Deemed Savings Table'!G88</f>
        <v>Refrigeration BUS</v>
      </c>
      <c r="D262" s="1307"/>
      <c r="E262" s="1307"/>
      <c r="F262" s="1307"/>
      <c r="G262" s="1307" t="str">
        <f>'BUS Deemed Savings Table'!E88</f>
        <v>30 ≤ V &lt; 50 - Vertical Closed - Glass Door Freezer</v>
      </c>
      <c r="H262" s="18" t="str">
        <f>'BUS Deemed Savings Table'!D88</f>
        <v>Standard</v>
      </c>
      <c r="I262" s="750">
        <f>'BUS Deemed Savings Table'!F88</f>
        <v>1579.34</v>
      </c>
      <c r="J262" s="750"/>
      <c r="K262" s="189"/>
      <c r="L262" s="189"/>
      <c r="M262" s="189"/>
      <c r="N262" s="189"/>
      <c r="O262" s="751">
        <f>'BUS Deemed Savings Table'!I88</f>
        <v>0.21437700000000001</v>
      </c>
      <c r="P262" s="751"/>
      <c r="Q262" s="752"/>
      <c r="R262" s="752"/>
      <c r="S262" s="752"/>
      <c r="T262" s="752"/>
      <c r="U262" s="753">
        <f t="shared" si="220"/>
        <v>0</v>
      </c>
      <c r="V262" s="753">
        <f t="shared" si="221"/>
        <v>0.21437700000000001</v>
      </c>
      <c r="W262" s="753">
        <f t="shared" si="222"/>
        <v>0</v>
      </c>
      <c r="X262" s="22">
        <f>'BUS Deemed Savings Table'!J88</f>
        <v>12</v>
      </c>
      <c r="Y262" s="22"/>
      <c r="Z262" s="22">
        <f t="shared" si="202"/>
        <v>12</v>
      </c>
      <c r="AA262" s="17">
        <f>'BUS Deemed Savings Table'!DG88</f>
        <v>3.1900964146030537</v>
      </c>
      <c r="AB262" s="246">
        <f>'BUS Deemed Savings Table'!K88</f>
        <v>300</v>
      </c>
      <c r="AC262" s="755">
        <f t="shared" si="203"/>
        <v>957.02892438091612</v>
      </c>
      <c r="AD262" s="755">
        <f t="shared" si="204"/>
        <v>0</v>
      </c>
      <c r="AE262" s="592">
        <f>'BUS Deemed Savings Table'!DI88</f>
        <v>957.02892438091612</v>
      </c>
      <c r="AF262" s="195"/>
      <c r="AG262" s="195"/>
      <c r="AH262" s="195"/>
      <c r="AI262" s="1371" t="str">
        <f>'BUS Deemed Savings Table'!L88</f>
        <v>per measure</v>
      </c>
      <c r="AJ262" s="68"/>
      <c r="AX262" s="1284" t="str">
        <f t="shared" si="223"/>
        <v>30 ≤ V &lt; 50 - Vertical Closed - Glass Door Freezer</v>
      </c>
      <c r="AY262" s="1307"/>
      <c r="AZ262" s="1376" t="str">
        <f t="shared" si="224"/>
        <v>802000</v>
      </c>
      <c r="BA262" s="1229" t="s">
        <v>2158</v>
      </c>
      <c r="BB262" s="1229" t="s">
        <v>2158</v>
      </c>
      <c r="BC262" s="1229" t="s">
        <v>2158</v>
      </c>
      <c r="BD262" s="1229" t="s">
        <v>2158</v>
      </c>
      <c r="BE262" s="1234"/>
      <c r="BF262" s="1229" t="s">
        <v>2158</v>
      </c>
      <c r="BG262" s="1229" t="s">
        <v>2158</v>
      </c>
      <c r="BH262" s="1229" t="s">
        <v>2158</v>
      </c>
      <c r="BI262" s="1230" t="s">
        <v>2158</v>
      </c>
      <c r="BJ262" s="1234"/>
      <c r="BK262" s="1229" t="s">
        <v>2158</v>
      </c>
      <c r="BL262" s="1230" t="s">
        <v>2158</v>
      </c>
      <c r="BM262" s="1229" t="s">
        <v>2158</v>
      </c>
      <c r="BN262" s="1230" t="s">
        <v>2158</v>
      </c>
    </row>
    <row r="263" spans="1:66" x14ac:dyDescent="0.25">
      <c r="A263" s="49" t="str">
        <f t="shared" si="198"/>
        <v>802050</v>
      </c>
      <c r="B263" s="1371" t="str">
        <f>'BUS Deemed Savings Table'!C89</f>
        <v>802050_2024_12_</v>
      </c>
      <c r="C263" s="1307" t="str">
        <f>'BUS Deemed Savings Table'!G89</f>
        <v>Refrigeration BUS</v>
      </c>
      <c r="D263" s="1307"/>
      <c r="E263" s="1307"/>
      <c r="F263" s="1307"/>
      <c r="G263" s="1307" t="str">
        <f>'BUS Deemed Savings Table'!E89</f>
        <v>V ≥ 50 - Vertical Closed - Glass Door Freezer</v>
      </c>
      <c r="H263" s="18" t="str">
        <f>'BUS Deemed Savings Table'!D89</f>
        <v>Standard</v>
      </c>
      <c r="I263" s="750">
        <f>'BUS Deemed Savings Table'!F89</f>
        <v>3149.19</v>
      </c>
      <c r="J263" s="750"/>
      <c r="K263" s="189"/>
      <c r="L263" s="189"/>
      <c r="M263" s="189"/>
      <c r="N263" s="189"/>
      <c r="O263" s="751">
        <f>'BUS Deemed Savings Table'!I89</f>
        <v>0.42746600000000001</v>
      </c>
      <c r="P263" s="751"/>
      <c r="Q263" s="752"/>
      <c r="R263" s="752"/>
      <c r="S263" s="752"/>
      <c r="T263" s="752"/>
      <c r="U263" s="753">
        <f t="shared" si="220"/>
        <v>0</v>
      </c>
      <c r="V263" s="753">
        <f t="shared" si="221"/>
        <v>0.42746600000000001</v>
      </c>
      <c r="W263" s="753">
        <f t="shared" si="222"/>
        <v>0</v>
      </c>
      <c r="X263" s="22">
        <f>'BUS Deemed Savings Table'!J89</f>
        <v>12</v>
      </c>
      <c r="Y263" s="22"/>
      <c r="Z263" s="22">
        <f t="shared" si="202"/>
        <v>12</v>
      </c>
      <c r="AA263" s="17">
        <f>'BUS Deemed Savings Table'!DG89</f>
        <v>3.8166144318147293</v>
      </c>
      <c r="AB263" s="246">
        <f>'BUS Deemed Savings Table'!K89</f>
        <v>500</v>
      </c>
      <c r="AC263" s="755">
        <f t="shared" si="203"/>
        <v>1908.3072159073647</v>
      </c>
      <c r="AD263" s="755">
        <f t="shared" si="204"/>
        <v>0</v>
      </c>
      <c r="AE263" s="592">
        <f>'BUS Deemed Savings Table'!DI89</f>
        <v>1908.3072159073647</v>
      </c>
      <c r="AF263" s="195"/>
      <c r="AG263" s="195"/>
      <c r="AH263" s="195"/>
      <c r="AI263" s="1371" t="str">
        <f>'BUS Deemed Savings Table'!L89</f>
        <v>per measure</v>
      </c>
      <c r="AJ263" s="68"/>
      <c r="AX263" s="1284" t="str">
        <f t="shared" si="223"/>
        <v>V ≥ 50 - Vertical Closed - Glass Door Freezer</v>
      </c>
      <c r="AY263" s="1307"/>
      <c r="AZ263" s="1376" t="str">
        <f t="shared" si="224"/>
        <v>802050</v>
      </c>
      <c r="BA263" s="1229" t="s">
        <v>2158</v>
      </c>
      <c r="BB263" s="1229" t="s">
        <v>2158</v>
      </c>
      <c r="BC263" s="1229" t="s">
        <v>2158</v>
      </c>
      <c r="BD263" s="1229" t="s">
        <v>2158</v>
      </c>
      <c r="BE263" s="1234"/>
      <c r="BF263" s="1229" t="s">
        <v>2158</v>
      </c>
      <c r="BG263" s="1229" t="s">
        <v>2158</v>
      </c>
      <c r="BH263" s="1229" t="s">
        <v>2158</v>
      </c>
      <c r="BI263" s="1230" t="s">
        <v>2158</v>
      </c>
      <c r="BJ263" s="1234"/>
      <c r="BK263" s="1229" t="s">
        <v>2158</v>
      </c>
      <c r="BL263" s="1230" t="s">
        <v>2158</v>
      </c>
      <c r="BM263" s="1229" t="s">
        <v>2158</v>
      </c>
      <c r="BN263" s="1230" t="s">
        <v>2158</v>
      </c>
    </row>
    <row r="264" spans="1:66" x14ac:dyDescent="0.25">
      <c r="A264" s="49" t="str">
        <f t="shared" ref="A264" si="225">LEFT(B264,6)</f>
        <v>801650</v>
      </c>
      <c r="B264" s="1371" t="str">
        <f>'BUS Deemed Savings Table'!C90</f>
        <v>801650_2024_12_</v>
      </c>
      <c r="C264" s="1307" t="str">
        <f>'BUS Deemed Savings Table'!G90</f>
        <v>Refrigeration BUS</v>
      </c>
      <c r="D264" s="1307"/>
      <c r="E264" s="1307"/>
      <c r="F264" s="1307"/>
      <c r="G264" s="1307" t="str">
        <f>'BUS Deemed Savings Table'!E90</f>
        <v>Horizontal Closed - Solid Door Refrigerator  - All Volumes</v>
      </c>
      <c r="H264" s="18" t="str">
        <f>'BUS Deemed Savings Table'!D90</f>
        <v>Standard</v>
      </c>
      <c r="I264" s="750">
        <f>'BUS Deemed Savings Table'!F90</f>
        <v>290.01</v>
      </c>
      <c r="J264" s="750"/>
      <c r="K264" s="189"/>
      <c r="L264" s="189"/>
      <c r="M264" s="189"/>
      <c r="N264" s="189"/>
      <c r="O264" s="751">
        <f>'BUS Deemed Savings Table'!I90</f>
        <v>3.9364999999999997E-2</v>
      </c>
      <c r="P264" s="751"/>
      <c r="Q264" s="752"/>
      <c r="R264" s="752"/>
      <c r="S264" s="752"/>
      <c r="T264" s="752"/>
      <c r="U264" s="753">
        <f t="shared" si="220"/>
        <v>0</v>
      </c>
      <c r="V264" s="753">
        <f t="shared" si="221"/>
        <v>3.9364999999999997E-2</v>
      </c>
      <c r="W264" s="753">
        <f t="shared" si="222"/>
        <v>0</v>
      </c>
      <c r="X264" s="22">
        <f>'BUS Deemed Savings Table'!J90</f>
        <v>12</v>
      </c>
      <c r="Y264" s="22"/>
      <c r="Z264" s="22">
        <f t="shared" ref="Z264" si="226">Y264+X264</f>
        <v>12</v>
      </c>
      <c r="AA264" s="17" t="str">
        <f>'BUS Deemed Savings Table'!DG90</f>
        <v>n/a</v>
      </c>
      <c r="AB264" s="246">
        <f>'BUS Deemed Savings Table'!K90</f>
        <v>0</v>
      </c>
      <c r="AC264" s="755">
        <f t="shared" ref="AC264" si="227">AE264+AF264</f>
        <v>175.73667377493732</v>
      </c>
      <c r="AD264" s="755">
        <f t="shared" ref="AD264" si="228">AG264+AH264</f>
        <v>0</v>
      </c>
      <c r="AE264" s="592">
        <f>'BUS Deemed Savings Table'!DI90</f>
        <v>175.73667377493732</v>
      </c>
      <c r="AF264" s="195"/>
      <c r="AG264" s="195"/>
      <c r="AH264" s="195"/>
      <c r="AI264" s="1371" t="str">
        <f>'BUS Deemed Savings Table'!L90</f>
        <v>per measure</v>
      </c>
      <c r="AJ264" s="68"/>
      <c r="AX264" s="1284" t="str">
        <f t="shared" ref="AX264" si="229">G264</f>
        <v>Horizontal Closed - Solid Door Refrigerator  - All Volumes</v>
      </c>
      <c r="AY264" s="1307"/>
      <c r="AZ264" s="1376" t="str">
        <f t="shared" ref="AZ264" si="230">A264</f>
        <v>801650</v>
      </c>
      <c r="BA264" s="1229" t="s">
        <v>2158</v>
      </c>
      <c r="BB264" s="1229" t="s">
        <v>2158</v>
      </c>
      <c r="BC264" s="1229" t="s">
        <v>2158</v>
      </c>
      <c r="BD264" s="1229" t="s">
        <v>2158</v>
      </c>
      <c r="BE264" s="1234"/>
      <c r="BF264" s="1229" t="s">
        <v>2158</v>
      </c>
      <c r="BG264" s="1229" t="s">
        <v>2158</v>
      </c>
      <c r="BH264" s="1229" t="s">
        <v>2158</v>
      </c>
      <c r="BI264" s="1230" t="s">
        <v>2158</v>
      </c>
      <c r="BJ264" s="1234"/>
      <c r="BK264" s="1229" t="s">
        <v>2158</v>
      </c>
      <c r="BL264" s="1230" t="s">
        <v>2158</v>
      </c>
      <c r="BM264" s="1229" t="s">
        <v>2158</v>
      </c>
      <c r="BN264" s="1230" t="s">
        <v>2158</v>
      </c>
    </row>
    <row r="265" spans="1:66" x14ac:dyDescent="0.25">
      <c r="A265" s="49" t="str">
        <f t="shared" si="198"/>
        <v>801655</v>
      </c>
      <c r="B265" s="1371" t="str">
        <f>'BUS Deemed Savings Table'!C91</f>
        <v>801655_2024_12_</v>
      </c>
      <c r="C265" s="1307" t="str">
        <f>'BUS Deemed Savings Table'!G91</f>
        <v>Refrigeration BUS</v>
      </c>
      <c r="D265" s="1307"/>
      <c r="E265" s="1307"/>
      <c r="F265" s="1307"/>
      <c r="G265" s="1307" t="str">
        <f>'BUS Deemed Savings Table'!E91</f>
        <v>Horizontal Closed - Glass Door Refrigerator  - All Volumes</v>
      </c>
      <c r="H265" s="18" t="str">
        <f>'BUS Deemed Savings Table'!D91</f>
        <v>Standard</v>
      </c>
      <c r="I265" s="750">
        <f>'BUS Deemed Savings Table'!F91</f>
        <v>172.4</v>
      </c>
      <c r="J265" s="750"/>
      <c r="K265" s="189"/>
      <c r="L265" s="189"/>
      <c r="M265" s="189"/>
      <c r="N265" s="189"/>
      <c r="O265" s="751">
        <f>'BUS Deemed Savings Table'!I91</f>
        <v>2.3401000000000002E-2</v>
      </c>
      <c r="P265" s="751"/>
      <c r="Q265" s="752"/>
      <c r="R265" s="752"/>
      <c r="S265" s="752"/>
      <c r="T265" s="752"/>
      <c r="U265" s="753">
        <f t="shared" si="220"/>
        <v>0</v>
      </c>
      <c r="V265" s="753">
        <f t="shared" si="221"/>
        <v>2.3401000000000002E-2</v>
      </c>
      <c r="W265" s="753">
        <f t="shared" si="222"/>
        <v>0</v>
      </c>
      <c r="X265" s="22">
        <f>'BUS Deemed Savings Table'!J91</f>
        <v>12</v>
      </c>
      <c r="Y265" s="22"/>
      <c r="Z265" s="22">
        <f t="shared" si="202"/>
        <v>12</v>
      </c>
      <c r="AA265" s="17" t="str">
        <f>'BUS Deemed Savings Table'!DG91</f>
        <v>n/a</v>
      </c>
      <c r="AB265" s="246">
        <f>'BUS Deemed Savings Table'!K91</f>
        <v>0</v>
      </c>
      <c r="AC265" s="755">
        <f t="shared" si="203"/>
        <v>104.46882024343709</v>
      </c>
      <c r="AD265" s="755">
        <f t="shared" si="204"/>
        <v>0</v>
      </c>
      <c r="AE265" s="592">
        <f>'BUS Deemed Savings Table'!DI91</f>
        <v>104.46882024343709</v>
      </c>
      <c r="AF265" s="195"/>
      <c r="AG265" s="195"/>
      <c r="AH265" s="195"/>
      <c r="AI265" s="1371" t="str">
        <f>'BUS Deemed Savings Table'!L91</f>
        <v>per measure</v>
      </c>
      <c r="AJ265" s="68"/>
      <c r="AX265" s="1284" t="str">
        <f t="shared" si="223"/>
        <v>Horizontal Closed - Glass Door Refrigerator  - All Volumes</v>
      </c>
      <c r="AY265" s="1307"/>
      <c r="AZ265" s="1376" t="str">
        <f t="shared" si="224"/>
        <v>801655</v>
      </c>
      <c r="BA265" s="1229" t="s">
        <v>2158</v>
      </c>
      <c r="BB265" s="1229" t="s">
        <v>2158</v>
      </c>
      <c r="BC265" s="1229" t="s">
        <v>2158</v>
      </c>
      <c r="BD265" s="1229" t="s">
        <v>2158</v>
      </c>
      <c r="BE265" s="1234"/>
      <c r="BF265" s="1229" t="s">
        <v>2158</v>
      </c>
      <c r="BG265" s="1229" t="s">
        <v>2158</v>
      </c>
      <c r="BH265" s="1229" t="s">
        <v>2158</v>
      </c>
      <c r="BI265" s="1230" t="s">
        <v>2158</v>
      </c>
      <c r="BJ265" s="1234"/>
      <c r="BK265" s="1229" t="s">
        <v>2158</v>
      </c>
      <c r="BL265" s="1230" t="s">
        <v>2158</v>
      </c>
      <c r="BM265" s="1229" t="s">
        <v>2158</v>
      </c>
      <c r="BN265" s="1230" t="s">
        <v>2158</v>
      </c>
    </row>
    <row r="266" spans="1:66" x14ac:dyDescent="0.25">
      <c r="A266" s="49" t="str">
        <f t="shared" ref="A266" si="231">LEFT(B266,6)</f>
        <v>802100</v>
      </c>
      <c r="B266" s="1371" t="str">
        <f>'BUS Deemed Savings Table'!C92</f>
        <v>802100_2024_12_</v>
      </c>
      <c r="C266" s="1307" t="str">
        <f>'BUS Deemed Savings Table'!G92</f>
        <v>Refrigeration BUS</v>
      </c>
      <c r="D266" s="1307"/>
      <c r="E266" s="1307"/>
      <c r="F266" s="1307"/>
      <c r="G266" s="1307" t="str">
        <f>'BUS Deemed Savings Table'!E92</f>
        <v>Horizontal Closed - Solid Door Freezer  - All Volumes</v>
      </c>
      <c r="H266" s="18" t="str">
        <f>'BUS Deemed Savings Table'!D92</f>
        <v>Standard</v>
      </c>
      <c r="I266" s="750">
        <f>'BUS Deemed Savings Table'!F92</f>
        <v>228.65</v>
      </c>
      <c r="J266" s="750"/>
      <c r="K266" s="189"/>
      <c r="L266" s="189"/>
      <c r="M266" s="189"/>
      <c r="N266" s="189"/>
      <c r="O266" s="751">
        <f>'BUS Deemed Savings Table'!I92</f>
        <v>3.1036999999999999E-2</v>
      </c>
      <c r="P266" s="751"/>
      <c r="Q266" s="752"/>
      <c r="R266" s="752"/>
      <c r="S266" s="752"/>
      <c r="T266" s="752"/>
      <c r="U266" s="753">
        <f t="shared" si="220"/>
        <v>0</v>
      </c>
      <c r="V266" s="753">
        <f t="shared" si="221"/>
        <v>3.1036999999999999E-2</v>
      </c>
      <c r="W266" s="753">
        <f t="shared" si="222"/>
        <v>0</v>
      </c>
      <c r="X266" s="22">
        <f>'BUS Deemed Savings Table'!J92</f>
        <v>12</v>
      </c>
      <c r="Y266" s="22"/>
      <c r="Z266" s="22">
        <f t="shared" ref="Z266" si="232">Y266+X266</f>
        <v>12</v>
      </c>
      <c r="AA266" s="17" t="str">
        <f>'BUS Deemed Savings Table'!DG92</f>
        <v>n/a</v>
      </c>
      <c r="AB266" s="246">
        <f>'BUS Deemed Savings Table'!K92</f>
        <v>0</v>
      </c>
      <c r="AC266" s="755">
        <f t="shared" ref="AC266" si="233">AE266+AF266</f>
        <v>138.55449970221517</v>
      </c>
      <c r="AD266" s="755">
        <f t="shared" ref="AD266" si="234">AG266+AH266</f>
        <v>0</v>
      </c>
      <c r="AE266" s="592">
        <f>'BUS Deemed Savings Table'!DI92</f>
        <v>138.55449970221517</v>
      </c>
      <c r="AF266" s="195"/>
      <c r="AG266" s="195"/>
      <c r="AH266" s="195"/>
      <c r="AI266" s="1371" t="str">
        <f>'BUS Deemed Savings Table'!L92</f>
        <v>per measure</v>
      </c>
      <c r="AJ266" s="68"/>
      <c r="AX266" s="1284" t="str">
        <f t="shared" ref="AX266" si="235">G266</f>
        <v>Horizontal Closed - Solid Door Freezer  - All Volumes</v>
      </c>
      <c r="AY266" s="1307"/>
      <c r="AZ266" s="1376" t="str">
        <f t="shared" ref="AZ266" si="236">A266</f>
        <v>802100</v>
      </c>
      <c r="BA266" s="1229" t="s">
        <v>2158</v>
      </c>
      <c r="BB266" s="1229" t="s">
        <v>2158</v>
      </c>
      <c r="BC266" s="1229" t="s">
        <v>2158</v>
      </c>
      <c r="BD266" s="1229" t="s">
        <v>2158</v>
      </c>
      <c r="BE266" s="1234"/>
      <c r="BF266" s="1229" t="s">
        <v>2158</v>
      </c>
      <c r="BG266" s="1229" t="s">
        <v>2158</v>
      </c>
      <c r="BH266" s="1229" t="s">
        <v>2158</v>
      </c>
      <c r="BI266" s="1230" t="s">
        <v>2158</v>
      </c>
      <c r="BJ266" s="1234"/>
      <c r="BK266" s="1229" t="s">
        <v>2158</v>
      </c>
      <c r="BL266" s="1230" t="s">
        <v>2158</v>
      </c>
      <c r="BM266" s="1229" t="s">
        <v>2158</v>
      </c>
      <c r="BN266" s="1230" t="s">
        <v>2158</v>
      </c>
    </row>
    <row r="267" spans="1:66" x14ac:dyDescent="0.25">
      <c r="A267" s="49" t="str">
        <f t="shared" ref="A267:A320" si="237">LEFT(B267,6)</f>
        <v>802150</v>
      </c>
      <c r="B267" s="1371" t="str">
        <f>'BUS Deemed Savings Table'!C120</f>
        <v>802150_2024_12_</v>
      </c>
      <c r="C267" s="1307" t="str">
        <f>'BUS Deemed Savings Table'!G120</f>
        <v>Refrigeration BUS</v>
      </c>
      <c r="D267" s="1307"/>
      <c r="E267" s="1307"/>
      <c r="F267" s="1307"/>
      <c r="G267" s="1307" t="str">
        <f>'BUS Deemed Savings Table'!E120</f>
        <v>Anti-Sweat Heater Controls Refrigerator</v>
      </c>
      <c r="H267" s="18" t="str">
        <f>'BUS Deemed Savings Table'!D120</f>
        <v>Standard</v>
      </c>
      <c r="I267" s="750">
        <f>'BUS Deemed Savings Table'!F120</f>
        <v>668.14</v>
      </c>
      <c r="J267" s="750"/>
      <c r="K267" s="189"/>
      <c r="L267" s="189"/>
      <c r="M267" s="189"/>
      <c r="N267" s="189"/>
      <c r="O267" s="751">
        <f>'BUS Deemed Savings Table'!I120</f>
        <v>9.0691999999999995E-2</v>
      </c>
      <c r="P267" s="751"/>
      <c r="Q267" s="752"/>
      <c r="R267" s="752"/>
      <c r="S267" s="752"/>
      <c r="T267" s="752"/>
      <c r="U267" s="753">
        <f t="shared" si="220"/>
        <v>0</v>
      </c>
      <c r="V267" s="753">
        <f t="shared" si="221"/>
        <v>9.0691999999999995E-2</v>
      </c>
      <c r="W267" s="753">
        <f t="shared" si="222"/>
        <v>0</v>
      </c>
      <c r="X267" s="22">
        <f>'BUS Deemed Savings Table'!J120</f>
        <v>12</v>
      </c>
      <c r="Y267" s="22"/>
      <c r="Z267" s="22">
        <f t="shared" ref="Z267:Z320" si="238">Y267+X267</f>
        <v>12</v>
      </c>
      <c r="AA267" s="17">
        <f>'BUS Deemed Savings Table'!DG120</f>
        <v>2.6991414368696853</v>
      </c>
      <c r="AB267" s="246">
        <f>'BUS Deemed Savings Table'!K120</f>
        <v>150</v>
      </c>
      <c r="AC267" s="755">
        <f t="shared" ref="AC267:AC320" si="239">AE267+AF267</f>
        <v>404.87121553045279</v>
      </c>
      <c r="AD267" s="755">
        <f t="shared" ref="AD267:AD320" si="240">AG267+AH267</f>
        <v>0</v>
      </c>
      <c r="AE267" s="592">
        <f>'BUS Deemed Savings Table'!DI120</f>
        <v>404.87121553045279</v>
      </c>
      <c r="AF267" s="195"/>
      <c r="AG267" s="195"/>
      <c r="AH267" s="195"/>
      <c r="AI267" s="1371" t="str">
        <f>'BUS Deemed Savings Table'!L120</f>
        <v>per door</v>
      </c>
      <c r="AJ267" s="68"/>
      <c r="AX267" s="1284" t="str">
        <f t="shared" si="223"/>
        <v>Anti-Sweat Heater Controls Refrigerator</v>
      </c>
      <c r="AY267" s="1307"/>
      <c r="AZ267" s="1376" t="str">
        <f t="shared" si="224"/>
        <v>802150</v>
      </c>
      <c r="BA267" s="1229" t="s">
        <v>2158</v>
      </c>
      <c r="BB267" s="1229" t="s">
        <v>2158</v>
      </c>
      <c r="BC267" s="1229" t="s">
        <v>2158</v>
      </c>
      <c r="BD267" s="1229" t="s">
        <v>2158</v>
      </c>
      <c r="BE267" s="1234"/>
      <c r="BF267" s="1229" t="s">
        <v>2158</v>
      </c>
      <c r="BG267" s="1229" t="s">
        <v>2158</v>
      </c>
      <c r="BH267" s="1229" t="s">
        <v>2158</v>
      </c>
      <c r="BI267" s="1230" t="s">
        <v>2158</v>
      </c>
      <c r="BJ267" s="1234"/>
      <c r="BK267" s="1229" t="s">
        <v>2158</v>
      </c>
      <c r="BL267" s="1230" t="s">
        <v>2158</v>
      </c>
      <c r="BM267" s="1229" t="s">
        <v>2158</v>
      </c>
      <c r="BN267" s="1230" t="s">
        <v>2158</v>
      </c>
    </row>
    <row r="268" spans="1:66" x14ac:dyDescent="0.25">
      <c r="A268" s="49" t="str">
        <f t="shared" si="237"/>
        <v>802200</v>
      </c>
      <c r="B268" s="1371" t="str">
        <f>'BUS Deemed Savings Table'!C121</f>
        <v>802200_2024_12_</v>
      </c>
      <c r="C268" s="1307" t="str">
        <f>'BUS Deemed Savings Table'!G121</f>
        <v>Refrigeration BUS</v>
      </c>
      <c r="D268" s="1307"/>
      <c r="E268" s="1307"/>
      <c r="F268" s="1307"/>
      <c r="G268" s="1307" t="str">
        <f>'BUS Deemed Savings Table'!E121</f>
        <v>Anti-Sweat Heater Controls Freezer</v>
      </c>
      <c r="H268" s="18" t="str">
        <f>'BUS Deemed Savings Table'!D121</f>
        <v>Standard</v>
      </c>
      <c r="I268" s="750">
        <f>'BUS Deemed Savings Table'!F121</f>
        <v>770.93</v>
      </c>
      <c r="J268" s="750"/>
      <c r="K268" s="189"/>
      <c r="L268" s="189"/>
      <c r="M268" s="189"/>
      <c r="N268" s="189"/>
      <c r="O268" s="751">
        <f>'BUS Deemed Savings Table'!I121</f>
        <v>0.104645</v>
      </c>
      <c r="P268" s="751"/>
      <c r="Q268" s="752"/>
      <c r="R268" s="752"/>
      <c r="S268" s="752"/>
      <c r="T268" s="752"/>
      <c r="U268" s="753">
        <f t="shared" si="220"/>
        <v>0</v>
      </c>
      <c r="V268" s="753">
        <f t="shared" si="221"/>
        <v>0.104645</v>
      </c>
      <c r="W268" s="753">
        <f t="shared" si="222"/>
        <v>0</v>
      </c>
      <c r="X268" s="22">
        <f>'BUS Deemed Savings Table'!J121</f>
        <v>12</v>
      </c>
      <c r="Y268" s="22"/>
      <c r="Z268" s="22">
        <f t="shared" si="238"/>
        <v>12</v>
      </c>
      <c r="AA268" s="17">
        <f>'BUS Deemed Savings Table'!DG121</f>
        <v>3.114390858092535</v>
      </c>
      <c r="AB268" s="246">
        <f>'BUS Deemed Savings Table'!K121</f>
        <v>150</v>
      </c>
      <c r="AC268" s="755">
        <f t="shared" si="239"/>
        <v>467.15862871388026</v>
      </c>
      <c r="AD268" s="755">
        <f t="shared" si="240"/>
        <v>0</v>
      </c>
      <c r="AE268" s="592">
        <f>'BUS Deemed Savings Table'!DI121</f>
        <v>467.15862871388026</v>
      </c>
      <c r="AF268" s="195"/>
      <c r="AG268" s="195"/>
      <c r="AH268" s="195"/>
      <c r="AI268" s="1371" t="str">
        <f>'BUS Deemed Savings Table'!L121</f>
        <v>per door</v>
      </c>
      <c r="AJ268" s="68"/>
      <c r="AX268" s="1284" t="str">
        <f t="shared" si="223"/>
        <v>Anti-Sweat Heater Controls Freezer</v>
      </c>
      <c r="AY268" s="1307"/>
      <c r="AZ268" s="1376" t="str">
        <f t="shared" si="224"/>
        <v>802200</v>
      </c>
      <c r="BA268" s="1229" t="s">
        <v>2158</v>
      </c>
      <c r="BB268" s="1229" t="s">
        <v>2158</v>
      </c>
      <c r="BC268" s="1229" t="s">
        <v>2158</v>
      </c>
      <c r="BD268" s="1229" t="s">
        <v>2158</v>
      </c>
      <c r="BE268" s="1234"/>
      <c r="BF268" s="1229" t="s">
        <v>2158</v>
      </c>
      <c r="BG268" s="1229" t="s">
        <v>2158</v>
      </c>
      <c r="BH268" s="1229" t="s">
        <v>2158</v>
      </c>
      <c r="BI268" s="1230" t="s">
        <v>2158</v>
      </c>
      <c r="BJ268" s="1234"/>
      <c r="BK268" s="1229" t="s">
        <v>2158</v>
      </c>
      <c r="BL268" s="1230" t="s">
        <v>2158</v>
      </c>
      <c r="BM268" s="1229" t="s">
        <v>2158</v>
      </c>
      <c r="BN268" s="1230" t="s">
        <v>2158</v>
      </c>
    </row>
    <row r="269" spans="1:66" x14ac:dyDescent="0.25">
      <c r="A269" s="49" t="str">
        <f t="shared" si="237"/>
        <v>802250</v>
      </c>
      <c r="B269" s="1371" t="str">
        <f>'BUS Deemed Savings Table'!C139</f>
        <v>802250_2024_12_</v>
      </c>
      <c r="C269" s="1307" t="str">
        <f>'BUS Deemed Savings Table'!G139</f>
        <v>Water Heating BUS</v>
      </c>
      <c r="D269" s="1307"/>
      <c r="E269" s="1307"/>
      <c r="F269" s="1307"/>
      <c r="G269" s="1307" t="str">
        <f>'BUS Deemed Savings Table'!E139</f>
        <v>Heat Pump Water Heater replacing 98% Efficiency 2.9-14.6 kW (10 to 50 MBH)</v>
      </c>
      <c r="H269" s="18" t="str">
        <f>'BUS Deemed Savings Table'!D139</f>
        <v>Standard</v>
      </c>
      <c r="I269" s="750">
        <f>'BUS Deemed Savings Table'!F139</f>
        <v>18785.38</v>
      </c>
      <c r="J269" s="750"/>
      <c r="K269" s="189"/>
      <c r="L269" s="189"/>
      <c r="M269" s="189"/>
      <c r="N269" s="189"/>
      <c r="O269" s="751">
        <f>'BUS Deemed Savings Table'!I139</f>
        <v>3.4030559999999999</v>
      </c>
      <c r="P269" s="751"/>
      <c r="Q269" s="752"/>
      <c r="R269" s="752"/>
      <c r="S269" s="752"/>
      <c r="T269" s="752"/>
      <c r="U269" s="753">
        <f t="shared" si="220"/>
        <v>0</v>
      </c>
      <c r="V269" s="753">
        <f t="shared" si="221"/>
        <v>0</v>
      </c>
      <c r="W269" s="753">
        <f t="shared" si="222"/>
        <v>3.4030559999999999</v>
      </c>
      <c r="X269" s="22">
        <f>'BUS Deemed Savings Table'!J139</f>
        <v>15</v>
      </c>
      <c r="Y269" s="22"/>
      <c r="Z269" s="22">
        <f t="shared" si="238"/>
        <v>15</v>
      </c>
      <c r="AA269" s="17">
        <f>'BUS Deemed Savings Table'!DG139</f>
        <v>3.9210604174884565</v>
      </c>
      <c r="AB269" s="246">
        <f>'BUS Deemed Savings Table'!K139</f>
        <v>4000</v>
      </c>
      <c r="AC269" s="755">
        <f t="shared" si="239"/>
        <v>15684.241669953826</v>
      </c>
      <c r="AD269" s="755">
        <f t="shared" si="240"/>
        <v>0</v>
      </c>
      <c r="AE269" s="592">
        <f>'BUS Deemed Savings Table'!DI139</f>
        <v>15684.241669953826</v>
      </c>
      <c r="AF269" s="195"/>
      <c r="AG269" s="195"/>
      <c r="AH269" s="195"/>
      <c r="AI269" s="1371" t="str">
        <f>'BUS Deemed Savings Table'!L139</f>
        <v>per measure</v>
      </c>
      <c r="AJ269" s="68"/>
      <c r="AX269" s="1284" t="str">
        <f t="shared" si="223"/>
        <v>Heat Pump Water Heater replacing 98% Efficiency 2.9-14.6 kW (10 to 50 MBH)</v>
      </c>
      <c r="AY269" s="1307"/>
      <c r="AZ269" s="1376" t="str">
        <f t="shared" si="224"/>
        <v>802250</v>
      </c>
      <c r="BA269" s="1229" t="s">
        <v>2158</v>
      </c>
      <c r="BB269" s="1229" t="s">
        <v>2158</v>
      </c>
      <c r="BC269" s="1229" t="s">
        <v>2158</v>
      </c>
      <c r="BD269" s="1229" t="s">
        <v>2158</v>
      </c>
      <c r="BE269" s="1234"/>
      <c r="BF269" s="1229" t="s">
        <v>2158</v>
      </c>
      <c r="BG269" s="1229" t="s">
        <v>2158</v>
      </c>
      <c r="BH269" s="1229" t="s">
        <v>2158</v>
      </c>
      <c r="BI269" s="1230" t="s">
        <v>2158</v>
      </c>
      <c r="BJ269" s="1234"/>
      <c r="BK269" s="1229" t="s">
        <v>2158</v>
      </c>
      <c r="BL269" s="1230" t="s">
        <v>2158</v>
      </c>
      <c r="BM269" s="1229" t="s">
        <v>2158</v>
      </c>
      <c r="BN269" s="1230" t="s">
        <v>2158</v>
      </c>
    </row>
    <row r="270" spans="1:66" x14ac:dyDescent="0.25">
      <c r="A270" s="49" t="str">
        <f t="shared" si="237"/>
        <v>802300</v>
      </c>
      <c r="B270" s="1371" t="str">
        <f>'BUS Deemed Savings Table'!C140</f>
        <v>802300_2024_12_</v>
      </c>
      <c r="C270" s="1307" t="str">
        <f>'BUS Deemed Savings Table'!G140</f>
        <v>Water Heating BUS</v>
      </c>
      <c r="D270" s="1307"/>
      <c r="E270" s="1307"/>
      <c r="F270" s="1307"/>
      <c r="G270" s="1307" t="str">
        <f>'BUS Deemed Savings Table'!E140</f>
        <v>Heat Pump Water Heater replacing 98% Efficiency 14.7-29.3 kW (50 to 100 MBH)</v>
      </c>
      <c r="H270" s="18" t="str">
        <f>'BUS Deemed Savings Table'!D140</f>
        <v>Standard</v>
      </c>
      <c r="I270" s="750">
        <f>'BUS Deemed Savings Table'!F140</f>
        <v>48912.79</v>
      </c>
      <c r="J270" s="750"/>
      <c r="K270" s="189"/>
      <c r="L270" s="189"/>
      <c r="M270" s="189"/>
      <c r="N270" s="189"/>
      <c r="O270" s="751">
        <f>'BUS Deemed Savings Table'!I140</f>
        <v>8.8607720000000008</v>
      </c>
      <c r="P270" s="751"/>
      <c r="Q270" s="752"/>
      <c r="R270" s="752"/>
      <c r="S270" s="752"/>
      <c r="T270" s="752"/>
      <c r="U270" s="753">
        <f t="shared" si="220"/>
        <v>0</v>
      </c>
      <c r="V270" s="753">
        <f t="shared" si="221"/>
        <v>0</v>
      </c>
      <c r="W270" s="753">
        <f t="shared" si="222"/>
        <v>8.8607720000000008</v>
      </c>
      <c r="X270" s="22">
        <f>'BUS Deemed Savings Table'!J140</f>
        <v>15</v>
      </c>
      <c r="Y270" s="22"/>
      <c r="Z270" s="22">
        <f t="shared" si="238"/>
        <v>15</v>
      </c>
      <c r="AA270" s="17">
        <f>'BUS Deemed Savings Table'!DG140</f>
        <v>5.8340203096519048</v>
      </c>
      <c r="AB270" s="246">
        <f>'BUS Deemed Savings Table'!K140</f>
        <v>7000</v>
      </c>
      <c r="AC270" s="755">
        <f t="shared" si="239"/>
        <v>40838.142167563332</v>
      </c>
      <c r="AD270" s="755">
        <f t="shared" si="240"/>
        <v>0</v>
      </c>
      <c r="AE270" s="592">
        <f>'BUS Deemed Savings Table'!DI140</f>
        <v>40838.142167563332</v>
      </c>
      <c r="AF270" s="195"/>
      <c r="AG270" s="195"/>
      <c r="AH270" s="195"/>
      <c r="AI270" s="1371" t="str">
        <f>'BUS Deemed Savings Table'!L140</f>
        <v>per measure</v>
      </c>
      <c r="AJ270" s="68"/>
      <c r="AX270" s="1284" t="str">
        <f t="shared" si="223"/>
        <v>Heat Pump Water Heater replacing 98% Efficiency 14.7-29.3 kW (50 to 100 MBH)</v>
      </c>
      <c r="AY270" s="1307"/>
      <c r="AZ270" s="1376" t="str">
        <f t="shared" si="224"/>
        <v>802300</v>
      </c>
      <c r="BA270" s="1229" t="s">
        <v>2158</v>
      </c>
      <c r="BB270" s="1229" t="s">
        <v>2158</v>
      </c>
      <c r="BC270" s="1229" t="s">
        <v>2158</v>
      </c>
      <c r="BD270" s="1229" t="s">
        <v>2158</v>
      </c>
      <c r="BE270" s="1234"/>
      <c r="BF270" s="1229" t="s">
        <v>2158</v>
      </c>
      <c r="BG270" s="1229" t="s">
        <v>2158</v>
      </c>
      <c r="BH270" s="1229" t="s">
        <v>2158</v>
      </c>
      <c r="BI270" s="1230" t="s">
        <v>2158</v>
      </c>
      <c r="BJ270" s="1234"/>
      <c r="BK270" s="1229" t="s">
        <v>2158</v>
      </c>
      <c r="BL270" s="1230" t="s">
        <v>2158</v>
      </c>
      <c r="BM270" s="1229" t="s">
        <v>2158</v>
      </c>
      <c r="BN270" s="1230" t="s">
        <v>2158</v>
      </c>
    </row>
    <row r="271" spans="1:66" x14ac:dyDescent="0.25">
      <c r="A271" s="49" t="str">
        <f t="shared" si="237"/>
        <v>802350</v>
      </c>
      <c r="B271" s="1371" t="str">
        <f>'BUS Deemed Savings Table'!C141</f>
        <v>802350_2024_12_</v>
      </c>
      <c r="C271" s="1307" t="str">
        <f>'BUS Deemed Savings Table'!G141</f>
        <v>Water Heating BUS</v>
      </c>
      <c r="D271" s="1307"/>
      <c r="E271" s="1307"/>
      <c r="F271" s="1307"/>
      <c r="G271" s="1307" t="str">
        <f>'BUS Deemed Savings Table'!E141</f>
        <v>Heat Pump Water Heater replacing 98% Efficiency 29.4-87.9 kW (100 to 300 MBH)</v>
      </c>
      <c r="H271" s="18" t="str">
        <f>'BUS Deemed Savings Table'!D141</f>
        <v>Standard</v>
      </c>
      <c r="I271" s="750">
        <f>'BUS Deemed Savings Table'!F141</f>
        <v>129087.64</v>
      </c>
      <c r="J271" s="750"/>
      <c r="K271" s="189"/>
      <c r="L271" s="189"/>
      <c r="M271" s="189"/>
      <c r="N271" s="189"/>
      <c r="O271" s="751">
        <f>'BUS Deemed Savings Table'!I141</f>
        <v>23.384806999999999</v>
      </c>
      <c r="P271" s="751"/>
      <c r="Q271" s="752"/>
      <c r="R271" s="752"/>
      <c r="S271" s="752"/>
      <c r="T271" s="752"/>
      <c r="U271" s="753">
        <f t="shared" si="220"/>
        <v>0</v>
      </c>
      <c r="V271" s="753">
        <f t="shared" si="221"/>
        <v>0</v>
      </c>
      <c r="W271" s="753">
        <f t="shared" si="222"/>
        <v>23.384806999999999</v>
      </c>
      <c r="X271" s="22">
        <f>'BUS Deemed Savings Table'!J141</f>
        <v>15</v>
      </c>
      <c r="Y271" s="22"/>
      <c r="Z271" s="22">
        <f t="shared" si="238"/>
        <v>15</v>
      </c>
      <c r="AA271" s="17">
        <f>'BUS Deemed Savings Table'!DG141</f>
        <v>10.777752392360433</v>
      </c>
      <c r="AB271" s="246">
        <f>'BUS Deemed Savings Table'!K141</f>
        <v>10000</v>
      </c>
      <c r="AC271" s="755">
        <f t="shared" si="239"/>
        <v>107777.52392360433</v>
      </c>
      <c r="AD271" s="755">
        <f t="shared" si="240"/>
        <v>0</v>
      </c>
      <c r="AE271" s="592">
        <f>'BUS Deemed Savings Table'!DI141</f>
        <v>107777.52392360433</v>
      </c>
      <c r="AF271" s="195"/>
      <c r="AG271" s="195"/>
      <c r="AH271" s="195"/>
      <c r="AI271" s="1371" t="str">
        <f>'BUS Deemed Savings Table'!L141</f>
        <v>per measure</v>
      </c>
      <c r="AJ271" s="68"/>
      <c r="AX271" s="1284" t="str">
        <f t="shared" si="223"/>
        <v>Heat Pump Water Heater replacing 98% Efficiency 29.4-87.9 kW (100 to 300 MBH)</v>
      </c>
      <c r="AY271" s="1307"/>
      <c r="AZ271" s="1376" t="str">
        <f t="shared" si="224"/>
        <v>802350</v>
      </c>
      <c r="BA271" s="1229" t="s">
        <v>2158</v>
      </c>
      <c r="BB271" s="1229" t="s">
        <v>2158</v>
      </c>
      <c r="BC271" s="1229" t="s">
        <v>2158</v>
      </c>
      <c r="BD271" s="1229" t="s">
        <v>2158</v>
      </c>
      <c r="BE271" s="1234"/>
      <c r="BF271" s="1229" t="s">
        <v>2158</v>
      </c>
      <c r="BG271" s="1229" t="s">
        <v>2158</v>
      </c>
      <c r="BH271" s="1229" t="s">
        <v>2158</v>
      </c>
      <c r="BI271" s="1230" t="s">
        <v>2158</v>
      </c>
      <c r="BJ271" s="1234"/>
      <c r="BK271" s="1229" t="s">
        <v>2158</v>
      </c>
      <c r="BL271" s="1230" t="s">
        <v>2158</v>
      </c>
      <c r="BM271" s="1229" t="s">
        <v>2158</v>
      </c>
      <c r="BN271" s="1230" t="s">
        <v>2158</v>
      </c>
    </row>
    <row r="272" spans="1:66" x14ac:dyDescent="0.25">
      <c r="A272" s="49" t="str">
        <f t="shared" si="237"/>
        <v>802400</v>
      </c>
      <c r="B272" s="1371" t="str">
        <f>'BUS Deemed Savings Table'!C142</f>
        <v>802400_2024_12_</v>
      </c>
      <c r="C272" s="1307" t="str">
        <f>'BUS Deemed Savings Table'!G142</f>
        <v>Water Heating BUS</v>
      </c>
      <c r="D272" s="1307"/>
      <c r="E272" s="1307"/>
      <c r="F272" s="1307"/>
      <c r="G272" s="1307" t="str">
        <f>'BUS Deemed Savings Table'!E142</f>
        <v>Heat Pump Water Heater replacing 98% Efficiency 88-146.5 kW (300 to 500 MBH)</v>
      </c>
      <c r="H272" s="18" t="str">
        <f>'BUS Deemed Savings Table'!D142</f>
        <v>Standard</v>
      </c>
      <c r="I272" s="750">
        <f>'BUS Deemed Savings Table'!F142</f>
        <v>255265</v>
      </c>
      <c r="J272" s="750"/>
      <c r="K272" s="189"/>
      <c r="L272" s="189"/>
      <c r="M272" s="189"/>
      <c r="N272" s="189"/>
      <c r="O272" s="751">
        <f>'BUS Deemed Savings Table'!I142</f>
        <v>46.242403000000003</v>
      </c>
      <c r="P272" s="751"/>
      <c r="Q272" s="752"/>
      <c r="R272" s="752"/>
      <c r="S272" s="752"/>
      <c r="T272" s="752"/>
      <c r="U272" s="753">
        <f t="shared" si="220"/>
        <v>0</v>
      </c>
      <c r="V272" s="753">
        <f t="shared" si="221"/>
        <v>0</v>
      </c>
      <c r="W272" s="753">
        <f t="shared" si="222"/>
        <v>46.242403000000003</v>
      </c>
      <c r="X272" s="22">
        <f>'BUS Deemed Savings Table'!J142</f>
        <v>15</v>
      </c>
      <c r="Y272" s="22"/>
      <c r="Z272" s="22">
        <f t="shared" si="238"/>
        <v>15</v>
      </c>
      <c r="AA272" s="17">
        <f>'BUS Deemed Savings Table'!DG142</f>
        <v>15.223228876775309</v>
      </c>
      <c r="AB272" s="246">
        <f>'BUS Deemed Savings Table'!K142</f>
        <v>14000</v>
      </c>
      <c r="AC272" s="755">
        <f t="shared" si="239"/>
        <v>213125.20427485433</v>
      </c>
      <c r="AD272" s="755">
        <f t="shared" si="240"/>
        <v>0</v>
      </c>
      <c r="AE272" s="592">
        <f>'BUS Deemed Savings Table'!DI142</f>
        <v>213125.20427485433</v>
      </c>
      <c r="AF272" s="195"/>
      <c r="AG272" s="195"/>
      <c r="AH272" s="195"/>
      <c r="AI272" s="1371" t="str">
        <f>'BUS Deemed Savings Table'!L142</f>
        <v>per measure</v>
      </c>
      <c r="AJ272" s="68"/>
      <c r="AX272" s="1284" t="str">
        <f t="shared" si="223"/>
        <v>Heat Pump Water Heater replacing 98% Efficiency 88-146.5 kW (300 to 500 MBH)</v>
      </c>
      <c r="AY272" s="1307"/>
      <c r="AZ272" s="1376" t="str">
        <f t="shared" si="224"/>
        <v>802400</v>
      </c>
      <c r="BA272" s="1229" t="s">
        <v>2158</v>
      </c>
      <c r="BB272" s="1229" t="s">
        <v>2158</v>
      </c>
      <c r="BC272" s="1229" t="s">
        <v>2158</v>
      </c>
      <c r="BD272" s="1229" t="s">
        <v>2158</v>
      </c>
      <c r="BE272" s="1234"/>
      <c r="BF272" s="1229" t="s">
        <v>2158</v>
      </c>
      <c r="BG272" s="1229" t="s">
        <v>2158</v>
      </c>
      <c r="BH272" s="1229" t="s">
        <v>2158</v>
      </c>
      <c r="BI272" s="1230" t="s">
        <v>2158</v>
      </c>
      <c r="BJ272" s="1234"/>
      <c r="BK272" s="1229" t="s">
        <v>2158</v>
      </c>
      <c r="BL272" s="1230" t="s">
        <v>2158</v>
      </c>
      <c r="BM272" s="1229" t="s">
        <v>2158</v>
      </c>
      <c r="BN272" s="1230" t="s">
        <v>2158</v>
      </c>
    </row>
    <row r="273" spans="1:66" x14ac:dyDescent="0.25">
      <c r="A273" s="49" t="str">
        <f t="shared" si="237"/>
        <v>802450</v>
      </c>
      <c r="B273" s="1371" t="str">
        <f>'BUS Deemed Savings Table'!C143</f>
        <v>802450_2024_12_</v>
      </c>
      <c r="C273" s="1307" t="str">
        <f>'BUS Deemed Savings Table'!G143</f>
        <v>Water Heating BUS</v>
      </c>
      <c r="D273" s="1307"/>
      <c r="E273" s="1307"/>
      <c r="F273" s="1307"/>
      <c r="G273" s="1307" t="str">
        <f>'BUS Deemed Savings Table'!E143</f>
        <v>Heat Pump Water Heater replacing 98% Efficiency &gt;146.6 kW (above 500 MBH)</v>
      </c>
      <c r="H273" s="18" t="str">
        <f>'BUS Deemed Savings Table'!D143</f>
        <v>Standard</v>
      </c>
      <c r="I273" s="750">
        <f>'BUS Deemed Savings Table'!F143</f>
        <v>382897.95</v>
      </c>
      <c r="J273" s="750"/>
      <c r="K273" s="189"/>
      <c r="L273" s="189"/>
      <c r="M273" s="189"/>
      <c r="N273" s="189"/>
      <c r="O273" s="751">
        <f>'BUS Deemed Savings Table'!I143</f>
        <v>69.363686999999999</v>
      </c>
      <c r="P273" s="751"/>
      <c r="Q273" s="752"/>
      <c r="R273" s="752"/>
      <c r="S273" s="752"/>
      <c r="T273" s="752"/>
      <c r="U273" s="753">
        <f t="shared" si="220"/>
        <v>0</v>
      </c>
      <c r="V273" s="753">
        <f t="shared" si="221"/>
        <v>0</v>
      </c>
      <c r="W273" s="753">
        <f t="shared" si="222"/>
        <v>69.363686999999999</v>
      </c>
      <c r="X273" s="22">
        <f>'BUS Deemed Savings Table'!J143</f>
        <v>15</v>
      </c>
      <c r="Y273" s="22"/>
      <c r="Z273" s="22">
        <f t="shared" si="238"/>
        <v>15</v>
      </c>
      <c r="AA273" s="17">
        <f>'BUS Deemed Savings Table'!DG143</f>
        <v>17.760454562507583</v>
      </c>
      <c r="AB273" s="246">
        <f>'BUS Deemed Savings Table'!K143</f>
        <v>18000</v>
      </c>
      <c r="AC273" s="755">
        <f t="shared" si="239"/>
        <v>319688.18212513649</v>
      </c>
      <c r="AD273" s="755">
        <f t="shared" si="240"/>
        <v>0</v>
      </c>
      <c r="AE273" s="592">
        <f>'BUS Deemed Savings Table'!DI143</f>
        <v>319688.18212513649</v>
      </c>
      <c r="AF273" s="195"/>
      <c r="AG273" s="195"/>
      <c r="AH273" s="195"/>
      <c r="AI273" s="1371" t="str">
        <f>'BUS Deemed Savings Table'!L143</f>
        <v>per measure</v>
      </c>
      <c r="AJ273" s="68"/>
      <c r="AX273" s="1284" t="str">
        <f t="shared" si="223"/>
        <v>Heat Pump Water Heater replacing 98% Efficiency &gt;146.6 kW (above 500 MBH)</v>
      </c>
      <c r="AY273" s="1307"/>
      <c r="AZ273" s="1376" t="str">
        <f t="shared" si="224"/>
        <v>802450</v>
      </c>
      <c r="BA273" s="1229" t="s">
        <v>2158</v>
      </c>
      <c r="BB273" s="1229" t="s">
        <v>2158</v>
      </c>
      <c r="BC273" s="1229" t="s">
        <v>2158</v>
      </c>
      <c r="BD273" s="1229" t="s">
        <v>2158</v>
      </c>
      <c r="BE273" s="1234"/>
      <c r="BF273" s="1229" t="s">
        <v>2158</v>
      </c>
      <c r="BG273" s="1229" t="s">
        <v>2158</v>
      </c>
      <c r="BH273" s="1229" t="s">
        <v>2158</v>
      </c>
      <c r="BI273" s="1230" t="s">
        <v>2158</v>
      </c>
      <c r="BJ273" s="1234"/>
      <c r="BK273" s="1229" t="s">
        <v>2158</v>
      </c>
      <c r="BL273" s="1230" t="s">
        <v>2158</v>
      </c>
      <c r="BM273" s="1229" t="s">
        <v>2158</v>
      </c>
      <c r="BN273" s="1230" t="s">
        <v>2158</v>
      </c>
    </row>
    <row r="274" spans="1:66" x14ac:dyDescent="0.25">
      <c r="A274" s="49" t="str">
        <f t="shared" ref="A274:A275" si="241">LEFT(B274,6)</f>
        <v>802455</v>
      </c>
      <c r="B274" s="1371" t="str">
        <f>'BUS Deemed Savings Table'!C144</f>
        <v>802455_2024_12_</v>
      </c>
      <c r="C274" s="1307" t="str">
        <f>'BUS Deemed Savings Table'!G144</f>
        <v>Water Heating BUS</v>
      </c>
      <c r="D274" s="1307"/>
      <c r="E274" s="1307"/>
      <c r="F274" s="1307"/>
      <c r="G274" s="1307" t="str">
        <f>'BUS Deemed Savings Table'!E144</f>
        <v>Heat Pump Water Heater replacing 98% Efficiency, ≤55 gal, medium draw</v>
      </c>
      <c r="H274" s="18" t="str">
        <f>'BUS Deemed Savings Table'!D144</f>
        <v>Standard</v>
      </c>
      <c r="I274" s="750">
        <f>'BUS Deemed Savings Table'!F144</f>
        <v>3363.29</v>
      </c>
      <c r="J274" s="750"/>
      <c r="K274" s="189"/>
      <c r="L274" s="189"/>
      <c r="M274" s="189"/>
      <c r="N274" s="189"/>
      <c r="O274" s="751">
        <f>'BUS Deemed Savings Table'!I144</f>
        <v>0.60927500000000001</v>
      </c>
      <c r="P274" s="751"/>
      <c r="Q274" s="752"/>
      <c r="R274" s="752"/>
      <c r="S274" s="752"/>
      <c r="T274" s="752"/>
      <c r="U274" s="753">
        <f t="shared" si="220"/>
        <v>0</v>
      </c>
      <c r="V274" s="753">
        <f t="shared" si="221"/>
        <v>0</v>
      </c>
      <c r="W274" s="753">
        <f t="shared" si="222"/>
        <v>0.60927500000000001</v>
      </c>
      <c r="X274" s="22">
        <f>'BUS Deemed Savings Table'!J144</f>
        <v>15</v>
      </c>
      <c r="Y274" s="22"/>
      <c r="Z274" s="22">
        <f t="shared" ref="Z274:Z275" si="242">Y274+X274</f>
        <v>15</v>
      </c>
      <c r="AA274" s="17">
        <f>'BUS Deemed Savings Table'!DG144</f>
        <v>0.15600386271468972</v>
      </c>
      <c r="AB274" s="246">
        <f>'BUS Deemed Savings Table'!K144</f>
        <v>18000</v>
      </c>
      <c r="AC274" s="755">
        <f t="shared" ref="AC274:AC275" si="243">AE274+AF274</f>
        <v>2808.0695288644147</v>
      </c>
      <c r="AD274" s="755">
        <f t="shared" ref="AD274:AD275" si="244">AG274+AH274</f>
        <v>0</v>
      </c>
      <c r="AE274" s="592">
        <f>'BUS Deemed Savings Table'!DI144</f>
        <v>2808.0695288644147</v>
      </c>
      <c r="AF274" s="195"/>
      <c r="AG274" s="195"/>
      <c r="AH274" s="195"/>
      <c r="AI274" s="1371" t="str">
        <f>'BUS Deemed Savings Table'!L144</f>
        <v>per measure</v>
      </c>
      <c r="AJ274" s="68"/>
      <c r="AX274" s="1284" t="str">
        <f t="shared" ref="AX274:AX275" si="245">G274</f>
        <v>Heat Pump Water Heater replacing 98% Efficiency, ≤55 gal, medium draw</v>
      </c>
      <c r="AY274" s="1307"/>
      <c r="AZ274" s="1376" t="str">
        <f t="shared" ref="AZ274:AZ275" si="246">A274</f>
        <v>802455</v>
      </c>
      <c r="BA274" s="1229" t="s">
        <v>2158</v>
      </c>
      <c r="BB274" s="1229" t="s">
        <v>2158</v>
      </c>
      <c r="BC274" s="1229" t="s">
        <v>2158</v>
      </c>
      <c r="BD274" s="1229" t="s">
        <v>2158</v>
      </c>
      <c r="BE274" s="1234"/>
      <c r="BF274" s="1229" t="s">
        <v>2158</v>
      </c>
      <c r="BG274" s="1229" t="s">
        <v>2158</v>
      </c>
      <c r="BH274" s="1229" t="s">
        <v>2158</v>
      </c>
      <c r="BI274" s="1230" t="s">
        <v>2158</v>
      </c>
      <c r="BJ274" s="1234"/>
      <c r="BK274" s="1229" t="s">
        <v>2158</v>
      </c>
      <c r="BL274" s="1230" t="s">
        <v>2158</v>
      </c>
      <c r="BM274" s="1229" t="s">
        <v>2158</v>
      </c>
      <c r="BN274" s="1230" t="s">
        <v>2158</v>
      </c>
    </row>
    <row r="275" spans="1:66" x14ac:dyDescent="0.25">
      <c r="A275" s="49" t="str">
        <f t="shared" si="241"/>
        <v>802460</v>
      </c>
      <c r="B275" s="1371" t="str">
        <f>'BUS Deemed Savings Table'!C145</f>
        <v>802460_2024_12_</v>
      </c>
      <c r="C275" s="1307" t="str">
        <f>'BUS Deemed Savings Table'!G145</f>
        <v>Water Heating BUS</v>
      </c>
      <c r="D275" s="1307"/>
      <c r="E275" s="1307"/>
      <c r="F275" s="1307"/>
      <c r="G275" s="1307" t="str">
        <f>'BUS Deemed Savings Table'!E145</f>
        <v>Heat Pump Water Heater replacing 98% Efficiency, &gt;55 gal and ≤ 120 gal, medium draw</v>
      </c>
      <c r="H275" s="18" t="str">
        <f>'BUS Deemed Savings Table'!D145</f>
        <v>Standard</v>
      </c>
      <c r="I275" s="750">
        <f>'BUS Deemed Savings Table'!F145</f>
        <v>5044.93</v>
      </c>
      <c r="J275" s="750"/>
      <c r="K275" s="189"/>
      <c r="L275" s="189"/>
      <c r="M275" s="189"/>
      <c r="N275" s="189"/>
      <c r="O275" s="751">
        <f>'BUS Deemed Savings Table'!I145</f>
        <v>0.91391199999999995</v>
      </c>
      <c r="P275" s="751"/>
      <c r="Q275" s="752"/>
      <c r="R275" s="752"/>
      <c r="S275" s="752"/>
      <c r="T275" s="752"/>
      <c r="U275" s="753">
        <f t="shared" si="220"/>
        <v>0</v>
      </c>
      <c r="V275" s="753">
        <f t="shared" si="221"/>
        <v>0</v>
      </c>
      <c r="W275" s="753">
        <f t="shared" si="222"/>
        <v>0.91391199999999995</v>
      </c>
      <c r="X275" s="22">
        <f>'BUS Deemed Savings Table'!J145</f>
        <v>15</v>
      </c>
      <c r="Y275" s="22"/>
      <c r="Z275" s="22">
        <f t="shared" si="242"/>
        <v>15</v>
      </c>
      <c r="AA275" s="17">
        <f>'BUS Deemed Savings Table'!DG145</f>
        <v>0.23400556215051918</v>
      </c>
      <c r="AB275" s="246">
        <f>'BUS Deemed Savings Table'!K145</f>
        <v>18000</v>
      </c>
      <c r="AC275" s="755">
        <f t="shared" si="243"/>
        <v>4212.1001187093452</v>
      </c>
      <c r="AD275" s="755">
        <f t="shared" si="244"/>
        <v>0</v>
      </c>
      <c r="AE275" s="592">
        <f>'BUS Deemed Savings Table'!DI145</f>
        <v>4212.1001187093452</v>
      </c>
      <c r="AF275" s="195"/>
      <c r="AG275" s="195"/>
      <c r="AH275" s="195"/>
      <c r="AI275" s="1371" t="str">
        <f>'BUS Deemed Savings Table'!L145</f>
        <v>per measure</v>
      </c>
      <c r="AJ275" s="68"/>
      <c r="AX275" s="1284" t="str">
        <f t="shared" si="245"/>
        <v>Heat Pump Water Heater replacing 98% Efficiency, &gt;55 gal and ≤ 120 gal, medium draw</v>
      </c>
      <c r="AY275" s="1307"/>
      <c r="AZ275" s="1376" t="str">
        <f t="shared" si="246"/>
        <v>802460</v>
      </c>
      <c r="BA275" s="1229" t="s">
        <v>2158</v>
      </c>
      <c r="BB275" s="1229" t="s">
        <v>2158</v>
      </c>
      <c r="BC275" s="1229" t="s">
        <v>2158</v>
      </c>
      <c r="BD275" s="1229" t="s">
        <v>2158</v>
      </c>
      <c r="BE275" s="1234"/>
      <c r="BF275" s="1229" t="s">
        <v>2158</v>
      </c>
      <c r="BG275" s="1229" t="s">
        <v>2158</v>
      </c>
      <c r="BH275" s="1229" t="s">
        <v>2158</v>
      </c>
      <c r="BI275" s="1230" t="s">
        <v>2158</v>
      </c>
      <c r="BJ275" s="1234"/>
      <c r="BK275" s="1229" t="s">
        <v>2158</v>
      </c>
      <c r="BL275" s="1230" t="s">
        <v>2158</v>
      </c>
      <c r="BM275" s="1229" t="s">
        <v>2158</v>
      </c>
      <c r="BN275" s="1230" t="s">
        <v>2158</v>
      </c>
    </row>
    <row r="276" spans="1:66" x14ac:dyDescent="0.25">
      <c r="A276" s="49" t="str">
        <f t="shared" si="237"/>
        <v>802600</v>
      </c>
      <c r="B276" s="1371" t="str">
        <f>'BUS Deemed Savings Table'!C167</f>
        <v>802600_2019_12_</v>
      </c>
      <c r="C276" s="1307" t="str">
        <f>'BUS Deemed Savings Table'!G167</f>
        <v>Motors BUS</v>
      </c>
      <c r="D276" s="1307"/>
      <c r="E276" s="1307"/>
      <c r="F276" s="1307"/>
      <c r="G276" s="1307" t="str">
        <f>'BUS Deemed Savings Table'!E167</f>
        <v>Pool Pump w/ Variable Frequency Drive per HP</v>
      </c>
      <c r="H276" s="18" t="str">
        <f>'BUS Deemed Savings Table'!D167</f>
        <v>BSS/MFIE</v>
      </c>
      <c r="I276" s="750">
        <f>'BUS Deemed Savings Table'!F167</f>
        <v>1747</v>
      </c>
      <c r="J276" s="750"/>
      <c r="K276" s="189"/>
      <c r="L276" s="189"/>
      <c r="M276" s="189"/>
      <c r="N276" s="189"/>
      <c r="O276" s="751">
        <f>'BUS Deemed Savings Table'!I167</f>
        <v>0.24098800000000001</v>
      </c>
      <c r="P276" s="751"/>
      <c r="Q276" s="752"/>
      <c r="R276" s="752"/>
      <c r="S276" s="752"/>
      <c r="T276" s="752"/>
      <c r="U276" s="753">
        <f t="shared" si="220"/>
        <v>0</v>
      </c>
      <c r="V276" s="753">
        <f t="shared" si="221"/>
        <v>0.24098800000000001</v>
      </c>
      <c r="W276" s="753">
        <f t="shared" si="222"/>
        <v>0</v>
      </c>
      <c r="X276" s="22">
        <f>'BUS Deemed Savings Table'!J167</f>
        <v>10</v>
      </c>
      <c r="Y276" s="22"/>
      <c r="Z276" s="22">
        <f t="shared" si="238"/>
        <v>10</v>
      </c>
      <c r="AA276" s="17">
        <f>'BUS Deemed Savings Table'!DG167</f>
        <v>3.786650095230387</v>
      </c>
      <c r="AB276" s="246">
        <f>'BUS Deemed Savings Table'!K167</f>
        <v>246</v>
      </c>
      <c r="AC276" s="755">
        <f t="shared" si="239"/>
        <v>931.51592342667516</v>
      </c>
      <c r="AD276" s="755">
        <f t="shared" si="240"/>
        <v>0</v>
      </c>
      <c r="AE276" s="592">
        <f>'BUS Deemed Savings Table'!DI167</f>
        <v>931.51592342667516</v>
      </c>
      <c r="AF276" s="195"/>
      <c r="AG276" s="195"/>
      <c r="AH276" s="195"/>
      <c r="AI276" s="1371" t="str">
        <f>'BUS Deemed Savings Table'!L167</f>
        <v>per HP</v>
      </c>
      <c r="AJ276" s="68"/>
      <c r="AX276" s="1284" t="str">
        <f t="shared" si="223"/>
        <v>Pool Pump w/ Variable Frequency Drive per HP</v>
      </c>
      <c r="AY276" s="1307"/>
      <c r="AZ276" s="1376" t="str">
        <f t="shared" si="224"/>
        <v>802600</v>
      </c>
      <c r="BA276" s="1229" t="s">
        <v>2158</v>
      </c>
      <c r="BB276" s="1229" t="s">
        <v>2158</v>
      </c>
      <c r="BC276" s="1229" t="s">
        <v>2158</v>
      </c>
      <c r="BD276" s="1229" t="s">
        <v>2158</v>
      </c>
      <c r="BE276" s="1234"/>
      <c r="BF276" s="1229" t="s">
        <v>2158</v>
      </c>
      <c r="BG276" s="1229" t="s">
        <v>2158</v>
      </c>
      <c r="BH276" s="1229" t="s">
        <v>2158</v>
      </c>
      <c r="BI276" s="1230" t="s">
        <v>2158</v>
      </c>
      <c r="BJ276" s="1234"/>
      <c r="BK276" s="1229" t="s">
        <v>2158</v>
      </c>
      <c r="BL276" s="1230" t="s">
        <v>2158</v>
      </c>
      <c r="BM276" s="1229" t="s">
        <v>2158</v>
      </c>
      <c r="BN276" s="1230" t="s">
        <v>2158</v>
      </c>
    </row>
    <row r="277" spans="1:66" x14ac:dyDescent="0.25">
      <c r="A277" s="49" t="str">
        <f t="shared" si="237"/>
        <v>802700</v>
      </c>
      <c r="B277" s="1371" t="str">
        <f>'BUS Deemed Savings Table'!C183</f>
        <v>802700_2024_12_</v>
      </c>
      <c r="C277" s="1307" t="str">
        <f>'BUS Deemed Savings Table'!G183</f>
        <v>Cooking BUS</v>
      </c>
      <c r="D277" s="1307"/>
      <c r="E277" s="1307"/>
      <c r="F277" s="1307"/>
      <c r="G277" s="1307" t="str">
        <f>'BUS Deemed Savings Table'!E183</f>
        <v>3 Pan ENERGY STAR Steam Cooker</v>
      </c>
      <c r="H277" s="18" t="str">
        <f>'BUS Deemed Savings Table'!D183</f>
        <v>Standard</v>
      </c>
      <c r="I277" s="750">
        <f>'BUS Deemed Savings Table'!F183</f>
        <v>7383.26</v>
      </c>
      <c r="J277" s="750"/>
      <c r="K277" s="189"/>
      <c r="L277" s="189"/>
      <c r="M277" s="189"/>
      <c r="N277" s="189"/>
      <c r="O277" s="751">
        <f>'BUS Deemed Savings Table'!I183</f>
        <v>1.475876</v>
      </c>
      <c r="P277" s="751"/>
      <c r="Q277" s="752"/>
      <c r="R277" s="752"/>
      <c r="S277" s="752"/>
      <c r="T277" s="752"/>
      <c r="U277" s="753">
        <f t="shared" si="220"/>
        <v>0</v>
      </c>
      <c r="V277" s="753">
        <f t="shared" si="221"/>
        <v>1.475876</v>
      </c>
      <c r="W277" s="753">
        <f t="shared" si="222"/>
        <v>0</v>
      </c>
      <c r="X277" s="22">
        <f>'BUS Deemed Savings Table'!J183</f>
        <v>12</v>
      </c>
      <c r="Y277" s="22"/>
      <c r="Z277" s="22">
        <f t="shared" si="238"/>
        <v>12</v>
      </c>
      <c r="AA277" s="17">
        <f>'BUS Deemed Savings Table'!DG183</f>
        <v>2.6007745812285687</v>
      </c>
      <c r="AB277" s="246">
        <f>'BUS Deemed Savings Table'!K183</f>
        <v>2000</v>
      </c>
      <c r="AC277" s="755">
        <f t="shared" si="239"/>
        <v>5201.5491624571378</v>
      </c>
      <c r="AD277" s="755">
        <f t="shared" si="240"/>
        <v>0</v>
      </c>
      <c r="AE277" s="592">
        <f>'BUS Deemed Savings Table'!DI183</f>
        <v>5201.5491624571378</v>
      </c>
      <c r="AF277" s="195"/>
      <c r="AG277" s="195"/>
      <c r="AH277" s="195"/>
      <c r="AI277" s="1371" t="str">
        <f>'BUS Deemed Savings Table'!L183</f>
        <v>per measure</v>
      </c>
      <c r="AJ277" s="68"/>
      <c r="AX277" s="1284" t="str">
        <f t="shared" si="223"/>
        <v>3 Pan ENERGY STAR Steam Cooker</v>
      </c>
      <c r="AY277" s="1307"/>
      <c r="AZ277" s="1376" t="str">
        <f t="shared" si="224"/>
        <v>802700</v>
      </c>
      <c r="BA277" s="1229" t="s">
        <v>2158</v>
      </c>
      <c r="BB277" s="1229" t="s">
        <v>2158</v>
      </c>
      <c r="BC277" s="1229" t="s">
        <v>2158</v>
      </c>
      <c r="BD277" s="1229" t="s">
        <v>2158</v>
      </c>
      <c r="BE277" s="1234"/>
      <c r="BF277" s="1229" t="s">
        <v>2158</v>
      </c>
      <c r="BG277" s="1229" t="s">
        <v>2158</v>
      </c>
      <c r="BH277" s="1229" t="s">
        <v>2158</v>
      </c>
      <c r="BI277" s="1230" t="s">
        <v>2158</v>
      </c>
      <c r="BJ277" s="1234"/>
      <c r="BK277" s="1229" t="s">
        <v>2158</v>
      </c>
      <c r="BL277" s="1230" t="s">
        <v>2158</v>
      </c>
      <c r="BM277" s="1229" t="s">
        <v>2158</v>
      </c>
      <c r="BN277" s="1230" t="s">
        <v>2158</v>
      </c>
    </row>
    <row r="278" spans="1:66" x14ac:dyDescent="0.25">
      <c r="A278" s="49" t="str">
        <f t="shared" si="237"/>
        <v>802750</v>
      </c>
      <c r="B278" s="1371" t="str">
        <f>'BUS Deemed Savings Table'!C184</f>
        <v>802750_2024_12_</v>
      </c>
      <c r="C278" s="1307" t="str">
        <f>'BUS Deemed Savings Table'!G184</f>
        <v>Cooking BUS</v>
      </c>
      <c r="D278" s="1307"/>
      <c r="E278" s="1307"/>
      <c r="F278" s="1307"/>
      <c r="G278" s="1307" t="str">
        <f>'BUS Deemed Savings Table'!E184</f>
        <v>4 Pan ENERGY STAR Steam Cooker</v>
      </c>
      <c r="H278" s="18" t="str">
        <f>'BUS Deemed Savings Table'!D184</f>
        <v>Standard</v>
      </c>
      <c r="I278" s="750">
        <f>'BUS Deemed Savings Table'!F184</f>
        <v>8568.5499999999993</v>
      </c>
      <c r="J278" s="750"/>
      <c r="K278" s="189"/>
      <c r="L278" s="189"/>
      <c r="M278" s="189"/>
      <c r="N278" s="189"/>
      <c r="O278" s="751">
        <f>'BUS Deemed Savings Table'!I184</f>
        <v>1.712809</v>
      </c>
      <c r="P278" s="751"/>
      <c r="Q278" s="752"/>
      <c r="R278" s="752"/>
      <c r="S278" s="752"/>
      <c r="T278" s="752"/>
      <c r="U278" s="753">
        <f t="shared" si="220"/>
        <v>0</v>
      </c>
      <c r="V278" s="753">
        <f t="shared" si="221"/>
        <v>1.712809</v>
      </c>
      <c r="W278" s="753">
        <f t="shared" si="222"/>
        <v>0</v>
      </c>
      <c r="X278" s="22">
        <f>'BUS Deemed Savings Table'!J184</f>
        <v>12</v>
      </c>
      <c r="Y278" s="22"/>
      <c r="Z278" s="22">
        <f t="shared" si="238"/>
        <v>12</v>
      </c>
      <c r="AA278" s="17">
        <f>'BUS Deemed Savings Table'!DG184</f>
        <v>3.0182963945446932</v>
      </c>
      <c r="AB278" s="246">
        <f>'BUS Deemed Savings Table'!K184</f>
        <v>2000</v>
      </c>
      <c r="AC278" s="755">
        <f t="shared" si="239"/>
        <v>6036.5927890893863</v>
      </c>
      <c r="AD278" s="755">
        <f t="shared" si="240"/>
        <v>0</v>
      </c>
      <c r="AE278" s="592">
        <f>'BUS Deemed Savings Table'!DI184</f>
        <v>6036.5927890893863</v>
      </c>
      <c r="AF278" s="195"/>
      <c r="AG278" s="195"/>
      <c r="AH278" s="195"/>
      <c r="AI278" s="1371" t="str">
        <f>'BUS Deemed Savings Table'!L184</f>
        <v>per measure</v>
      </c>
      <c r="AJ278" s="68"/>
      <c r="AX278" s="1284" t="str">
        <f t="shared" si="223"/>
        <v>4 Pan ENERGY STAR Steam Cooker</v>
      </c>
      <c r="AY278" s="1307"/>
      <c r="AZ278" s="1376" t="str">
        <f t="shared" si="224"/>
        <v>802750</v>
      </c>
      <c r="BA278" s="1229" t="s">
        <v>2158</v>
      </c>
      <c r="BB278" s="1229" t="s">
        <v>2158</v>
      </c>
      <c r="BC278" s="1229" t="s">
        <v>2158</v>
      </c>
      <c r="BD278" s="1229" t="s">
        <v>2158</v>
      </c>
      <c r="BE278" s="1234"/>
      <c r="BF278" s="1229" t="s">
        <v>2158</v>
      </c>
      <c r="BG278" s="1229" t="s">
        <v>2158</v>
      </c>
      <c r="BH278" s="1229" t="s">
        <v>2158</v>
      </c>
      <c r="BI278" s="1230" t="s">
        <v>2158</v>
      </c>
      <c r="BJ278" s="1234"/>
      <c r="BK278" s="1229" t="s">
        <v>2158</v>
      </c>
      <c r="BL278" s="1230" t="s">
        <v>2158</v>
      </c>
      <c r="BM278" s="1229" t="s">
        <v>2158</v>
      </c>
      <c r="BN278" s="1230" t="s">
        <v>2158</v>
      </c>
    </row>
    <row r="279" spans="1:66" x14ac:dyDescent="0.25">
      <c r="A279" s="49" t="str">
        <f t="shared" si="237"/>
        <v>802800</v>
      </c>
      <c r="B279" s="1371" t="str">
        <f>'BUS Deemed Savings Table'!C185</f>
        <v>802800_2024_12_</v>
      </c>
      <c r="C279" s="1307" t="str">
        <f>'BUS Deemed Savings Table'!G185</f>
        <v>Cooking BUS</v>
      </c>
      <c r="D279" s="1307"/>
      <c r="E279" s="1307"/>
      <c r="F279" s="1307"/>
      <c r="G279" s="1307" t="str">
        <f>'BUS Deemed Savings Table'!E185</f>
        <v>5 Pan ENERGY STAR Steam Cooker</v>
      </c>
      <c r="H279" s="18" t="str">
        <f>'BUS Deemed Savings Table'!D185</f>
        <v>Standard</v>
      </c>
      <c r="I279" s="750">
        <f>'BUS Deemed Savings Table'!F185</f>
        <v>9692.98</v>
      </c>
      <c r="J279" s="750"/>
      <c r="K279" s="189"/>
      <c r="L279" s="189"/>
      <c r="M279" s="189"/>
      <c r="N279" s="189"/>
      <c r="O279" s="751">
        <f>'BUS Deemed Savings Table'!I185</f>
        <v>1.9375770000000001</v>
      </c>
      <c r="P279" s="751"/>
      <c r="Q279" s="752"/>
      <c r="R279" s="752"/>
      <c r="S279" s="752"/>
      <c r="T279" s="752"/>
      <c r="U279" s="753">
        <f t="shared" si="220"/>
        <v>0</v>
      </c>
      <c r="V279" s="753">
        <f t="shared" si="221"/>
        <v>1.9375770000000001</v>
      </c>
      <c r="W279" s="753">
        <f t="shared" si="222"/>
        <v>0</v>
      </c>
      <c r="X279" s="22">
        <f>'BUS Deemed Savings Table'!J185</f>
        <v>12</v>
      </c>
      <c r="Y279" s="22"/>
      <c r="Z279" s="22">
        <f t="shared" si="238"/>
        <v>12</v>
      </c>
      <c r="AA279" s="17">
        <f>'BUS Deemed Savings Table'!DG185</f>
        <v>3.4143800977287664</v>
      </c>
      <c r="AB279" s="246">
        <f>'BUS Deemed Savings Table'!K185</f>
        <v>2000</v>
      </c>
      <c r="AC279" s="755">
        <f t="shared" si="239"/>
        <v>6828.760195457533</v>
      </c>
      <c r="AD279" s="755">
        <f t="shared" si="240"/>
        <v>0</v>
      </c>
      <c r="AE279" s="592">
        <f>'BUS Deemed Savings Table'!DI185</f>
        <v>6828.760195457533</v>
      </c>
      <c r="AF279" s="195"/>
      <c r="AG279" s="195"/>
      <c r="AH279" s="195"/>
      <c r="AI279" s="1371" t="str">
        <f>'BUS Deemed Savings Table'!L185</f>
        <v>per measure</v>
      </c>
      <c r="AJ279" s="68"/>
      <c r="AX279" s="1284" t="str">
        <f t="shared" si="223"/>
        <v>5 Pan ENERGY STAR Steam Cooker</v>
      </c>
      <c r="AY279" s="1307"/>
      <c r="AZ279" s="1376" t="str">
        <f t="shared" si="224"/>
        <v>802800</v>
      </c>
      <c r="BA279" s="1229" t="s">
        <v>2158</v>
      </c>
      <c r="BB279" s="1229" t="s">
        <v>2158</v>
      </c>
      <c r="BC279" s="1229" t="s">
        <v>2158</v>
      </c>
      <c r="BD279" s="1229" t="s">
        <v>2158</v>
      </c>
      <c r="BE279" s="1234"/>
      <c r="BF279" s="1229" t="s">
        <v>2158</v>
      </c>
      <c r="BG279" s="1229" t="s">
        <v>2158</v>
      </c>
      <c r="BH279" s="1229" t="s">
        <v>2158</v>
      </c>
      <c r="BI279" s="1230" t="s">
        <v>2158</v>
      </c>
      <c r="BJ279" s="1234"/>
      <c r="BK279" s="1229" t="s">
        <v>2158</v>
      </c>
      <c r="BL279" s="1230" t="s">
        <v>2158</v>
      </c>
      <c r="BM279" s="1229" t="s">
        <v>2158</v>
      </c>
      <c r="BN279" s="1230" t="s">
        <v>2158</v>
      </c>
    </row>
    <row r="280" spans="1:66" x14ac:dyDescent="0.25">
      <c r="A280" s="49" t="str">
        <f t="shared" si="237"/>
        <v>802850</v>
      </c>
      <c r="B280" s="1371" t="str">
        <f>'BUS Deemed Savings Table'!C186</f>
        <v>802850_2024_12_</v>
      </c>
      <c r="C280" s="1307" t="str">
        <f>'BUS Deemed Savings Table'!G186</f>
        <v>Cooking BUS</v>
      </c>
      <c r="D280" s="1307"/>
      <c r="E280" s="1307"/>
      <c r="F280" s="1307"/>
      <c r="G280" s="1307" t="str">
        <f>'BUS Deemed Savings Table'!E186</f>
        <v>6 Pan ENERGY STAR Steam Cooker</v>
      </c>
      <c r="H280" s="18" t="str">
        <f>'BUS Deemed Savings Table'!D186</f>
        <v>Standard</v>
      </c>
      <c r="I280" s="750">
        <f>'BUS Deemed Savings Table'!F186</f>
        <v>10822.05</v>
      </c>
      <c r="J280" s="750"/>
      <c r="K280" s="189"/>
      <c r="L280" s="189"/>
      <c r="M280" s="189"/>
      <c r="N280" s="189"/>
      <c r="O280" s="751">
        <f>'BUS Deemed Savings Table'!I186</f>
        <v>2.1632729999999998</v>
      </c>
      <c r="P280" s="751"/>
      <c r="Q280" s="752"/>
      <c r="R280" s="752"/>
      <c r="S280" s="752"/>
      <c r="T280" s="752"/>
      <c r="U280" s="753">
        <f t="shared" si="220"/>
        <v>0</v>
      </c>
      <c r="V280" s="753">
        <f t="shared" si="221"/>
        <v>2.1632729999999998</v>
      </c>
      <c r="W280" s="753">
        <f t="shared" si="222"/>
        <v>0</v>
      </c>
      <c r="X280" s="22">
        <f>'BUS Deemed Savings Table'!J186</f>
        <v>12</v>
      </c>
      <c r="Y280" s="22"/>
      <c r="Z280" s="22">
        <f t="shared" si="238"/>
        <v>12</v>
      </c>
      <c r="AA280" s="17">
        <f>'BUS Deemed Savings Table'!DG186</f>
        <v>3.8120982542650035</v>
      </c>
      <c r="AB280" s="246">
        <f>'BUS Deemed Savings Table'!K186</f>
        <v>2000</v>
      </c>
      <c r="AC280" s="755">
        <f t="shared" si="239"/>
        <v>7624.1965085300071</v>
      </c>
      <c r="AD280" s="755">
        <f t="shared" si="240"/>
        <v>0</v>
      </c>
      <c r="AE280" s="592">
        <f>'BUS Deemed Savings Table'!DI186</f>
        <v>7624.1965085300071</v>
      </c>
      <c r="AF280" s="195"/>
      <c r="AG280" s="195"/>
      <c r="AH280" s="195"/>
      <c r="AI280" s="1371" t="str">
        <f>'BUS Deemed Savings Table'!L186</f>
        <v>per measure</v>
      </c>
      <c r="AJ280" s="68"/>
      <c r="AX280" s="1284" t="str">
        <f t="shared" si="223"/>
        <v>6 Pan ENERGY STAR Steam Cooker</v>
      </c>
      <c r="AY280" s="1307"/>
      <c r="AZ280" s="1376" t="str">
        <f t="shared" si="224"/>
        <v>802850</v>
      </c>
      <c r="BA280" s="1229" t="s">
        <v>2158</v>
      </c>
      <c r="BB280" s="1229" t="s">
        <v>2158</v>
      </c>
      <c r="BC280" s="1229" t="s">
        <v>2158</v>
      </c>
      <c r="BD280" s="1229" t="s">
        <v>2158</v>
      </c>
      <c r="BE280" s="1234"/>
      <c r="BF280" s="1229" t="s">
        <v>2158</v>
      </c>
      <c r="BG280" s="1229" t="s">
        <v>2158</v>
      </c>
      <c r="BH280" s="1229" t="s">
        <v>2158</v>
      </c>
      <c r="BI280" s="1230" t="s">
        <v>2158</v>
      </c>
      <c r="BJ280" s="1234"/>
      <c r="BK280" s="1229" t="s">
        <v>2158</v>
      </c>
      <c r="BL280" s="1230" t="s">
        <v>2158</v>
      </c>
      <c r="BM280" s="1229" t="s">
        <v>2158</v>
      </c>
      <c r="BN280" s="1230" t="s">
        <v>2158</v>
      </c>
    </row>
    <row r="281" spans="1:66" x14ac:dyDescent="0.25">
      <c r="A281" s="49" t="str">
        <f t="shared" si="237"/>
        <v>802900</v>
      </c>
      <c r="B281" s="1371" t="str">
        <f>'BUS Deemed Savings Table'!C206</f>
        <v>802900_2024_12_</v>
      </c>
      <c r="C281" s="1307" t="str">
        <f>'BUS Deemed Savings Table'!G206</f>
        <v>Cooking BUS</v>
      </c>
      <c r="D281" s="1307"/>
      <c r="E281" s="1307"/>
      <c r="F281" s="1307"/>
      <c r="G281" s="1307" t="str">
        <f>'BUS Deemed Savings Table'!E206</f>
        <v>ENERGY STAR Hot Holding Cabinet (0 &lt; V &lt;13)</v>
      </c>
      <c r="H281" s="18" t="str">
        <f>'BUS Deemed Savings Table'!D206</f>
        <v>Standard</v>
      </c>
      <c r="I281" s="750">
        <f>'BUS Deemed Savings Table'!F206</f>
        <v>325.99</v>
      </c>
      <c r="J281" s="750"/>
      <c r="K281" s="189"/>
      <c r="L281" s="189"/>
      <c r="M281" s="189"/>
      <c r="N281" s="189"/>
      <c r="O281" s="751">
        <f>'BUS Deemed Savings Table'!I206</f>
        <v>6.5164E-2</v>
      </c>
      <c r="P281" s="751"/>
      <c r="Q281" s="752"/>
      <c r="R281" s="752"/>
      <c r="S281" s="752"/>
      <c r="T281" s="752"/>
      <c r="U281" s="753">
        <f t="shared" si="220"/>
        <v>0</v>
      </c>
      <c r="V281" s="753">
        <f t="shared" si="221"/>
        <v>6.5164E-2</v>
      </c>
      <c r="W281" s="753">
        <f t="shared" si="222"/>
        <v>0</v>
      </c>
      <c r="X281" s="22">
        <f>'BUS Deemed Savings Table'!J206</f>
        <v>12</v>
      </c>
      <c r="Y281" s="22"/>
      <c r="Z281" s="22">
        <f t="shared" si="238"/>
        <v>12</v>
      </c>
      <c r="AA281" s="17">
        <f>'BUS Deemed Savings Table'!DG206</f>
        <v>0.22966183115174088</v>
      </c>
      <c r="AB281" s="246">
        <f>'BUS Deemed Savings Table'!K206</f>
        <v>1000</v>
      </c>
      <c r="AC281" s="755">
        <f t="shared" si="239"/>
        <v>229.66183115174087</v>
      </c>
      <c r="AD281" s="755">
        <f t="shared" si="240"/>
        <v>0</v>
      </c>
      <c r="AE281" s="592">
        <f>'BUS Deemed Savings Table'!DI206</f>
        <v>229.66183115174087</v>
      </c>
      <c r="AF281" s="195"/>
      <c r="AG281" s="195"/>
      <c r="AH281" s="195"/>
      <c r="AI281" s="1371" t="str">
        <f>'BUS Deemed Savings Table'!L206</f>
        <v>per measure</v>
      </c>
      <c r="AJ281" s="68"/>
      <c r="AX281" s="1284" t="str">
        <f t="shared" si="223"/>
        <v>ENERGY STAR Hot Holding Cabinet (0 &lt; V &lt;13)</v>
      </c>
      <c r="AY281" s="1307"/>
      <c r="AZ281" s="1376" t="str">
        <f t="shared" si="224"/>
        <v>802900</v>
      </c>
      <c r="BA281" s="1229" t="s">
        <v>2158</v>
      </c>
      <c r="BB281" s="1229" t="s">
        <v>2158</v>
      </c>
      <c r="BC281" s="1229" t="s">
        <v>2158</v>
      </c>
      <c r="BD281" s="1229" t="s">
        <v>2158</v>
      </c>
      <c r="BE281" s="1234"/>
      <c r="BF281" s="1229" t="s">
        <v>2158</v>
      </c>
      <c r="BG281" s="1229" t="s">
        <v>2158</v>
      </c>
      <c r="BH281" s="1229" t="s">
        <v>2158</v>
      </c>
      <c r="BI281" s="1230" t="s">
        <v>2158</v>
      </c>
      <c r="BJ281" s="1234"/>
      <c r="BK281" s="1229" t="s">
        <v>2158</v>
      </c>
      <c r="BL281" s="1230" t="s">
        <v>2158</v>
      </c>
      <c r="BM281" s="1229" t="s">
        <v>2158</v>
      </c>
      <c r="BN281" s="1230" t="s">
        <v>2158</v>
      </c>
    </row>
    <row r="282" spans="1:66" x14ac:dyDescent="0.25">
      <c r="A282" s="49" t="str">
        <f t="shared" si="237"/>
        <v>802950</v>
      </c>
      <c r="B282" s="1371" t="str">
        <f>'BUS Deemed Savings Table'!C207</f>
        <v>802950_2024_12_</v>
      </c>
      <c r="C282" s="1307" t="str">
        <f>'BUS Deemed Savings Table'!G207</f>
        <v>Cooking BUS</v>
      </c>
      <c r="D282" s="1307"/>
      <c r="E282" s="1307"/>
      <c r="F282" s="1307"/>
      <c r="G282" s="1307" t="str">
        <f>'BUS Deemed Savings Table'!E207</f>
        <v>ENERGY STAR Hot Holding Cabinet (13 ≤ V &lt;28)</v>
      </c>
      <c r="H282" s="18" t="str">
        <f>'BUS Deemed Savings Table'!D207</f>
        <v>Standard</v>
      </c>
      <c r="I282" s="750">
        <f>'BUS Deemed Savings Table'!F207</f>
        <v>1676.5</v>
      </c>
      <c r="J282" s="750"/>
      <c r="K282" s="189"/>
      <c r="L282" s="189"/>
      <c r="M282" s="189"/>
      <c r="N282" s="189"/>
      <c r="O282" s="751">
        <f>'BUS Deemed Savings Table'!I207</f>
        <v>0.33512399999999998</v>
      </c>
      <c r="P282" s="751"/>
      <c r="Q282" s="752"/>
      <c r="R282" s="752"/>
      <c r="S282" s="752"/>
      <c r="T282" s="752"/>
      <c r="U282" s="753">
        <f t="shared" si="220"/>
        <v>0</v>
      </c>
      <c r="V282" s="753">
        <f t="shared" si="221"/>
        <v>0.33512399999999998</v>
      </c>
      <c r="W282" s="753">
        <f t="shared" si="222"/>
        <v>0</v>
      </c>
      <c r="X282" s="22">
        <f>'BUS Deemed Savings Table'!J207</f>
        <v>12</v>
      </c>
      <c r="Y282" s="22"/>
      <c r="Z282" s="22">
        <f t="shared" si="238"/>
        <v>12</v>
      </c>
      <c r="AA282" s="17">
        <f>'BUS Deemed Savings Table'!DG207</f>
        <v>1.1811038986652769</v>
      </c>
      <c r="AB282" s="246">
        <f>'BUS Deemed Savings Table'!K207</f>
        <v>1000</v>
      </c>
      <c r="AC282" s="755">
        <f t="shared" si="239"/>
        <v>1181.1038986652768</v>
      </c>
      <c r="AD282" s="755">
        <f t="shared" si="240"/>
        <v>0</v>
      </c>
      <c r="AE282" s="592">
        <f>'BUS Deemed Savings Table'!DI207</f>
        <v>1181.1038986652768</v>
      </c>
      <c r="AF282" s="195"/>
      <c r="AG282" s="195"/>
      <c r="AH282" s="195"/>
      <c r="AI282" s="1371" t="str">
        <f>'BUS Deemed Savings Table'!L207</f>
        <v>per measure</v>
      </c>
      <c r="AJ282" s="68"/>
      <c r="AX282" s="1284" t="str">
        <f t="shared" si="223"/>
        <v>ENERGY STAR Hot Holding Cabinet (13 ≤ V &lt;28)</v>
      </c>
      <c r="AY282" s="1307"/>
      <c r="AZ282" s="1376" t="str">
        <f t="shared" si="224"/>
        <v>802950</v>
      </c>
      <c r="BA282" s="1229" t="s">
        <v>2158</v>
      </c>
      <c r="BB282" s="1229" t="s">
        <v>2158</v>
      </c>
      <c r="BC282" s="1229" t="s">
        <v>2158</v>
      </c>
      <c r="BD282" s="1229" t="s">
        <v>2158</v>
      </c>
      <c r="BE282" s="1234"/>
      <c r="BF282" s="1229" t="s">
        <v>2158</v>
      </c>
      <c r="BG282" s="1229" t="s">
        <v>2158</v>
      </c>
      <c r="BH282" s="1229" t="s">
        <v>2158</v>
      </c>
      <c r="BI282" s="1230" t="s">
        <v>2158</v>
      </c>
      <c r="BJ282" s="1234"/>
      <c r="BK282" s="1229" t="s">
        <v>2158</v>
      </c>
      <c r="BL282" s="1230" t="s">
        <v>2158</v>
      </c>
      <c r="BM282" s="1229" t="s">
        <v>2158</v>
      </c>
      <c r="BN282" s="1230" t="s">
        <v>2158</v>
      </c>
    </row>
    <row r="283" spans="1:66" x14ac:dyDescent="0.25">
      <c r="A283" s="49" t="str">
        <f t="shared" si="237"/>
        <v>803000</v>
      </c>
      <c r="B283" s="1371" t="str">
        <f>'BUS Deemed Savings Table'!C208</f>
        <v>803000_2024_12_</v>
      </c>
      <c r="C283" s="1307" t="str">
        <f>'BUS Deemed Savings Table'!G208</f>
        <v>Cooking BUS</v>
      </c>
      <c r="D283" s="1307"/>
      <c r="E283" s="1307"/>
      <c r="F283" s="1307"/>
      <c r="G283" s="1307" t="str">
        <f>'BUS Deemed Savings Table'!E208</f>
        <v>ENERGY STAR Hot Holding Cabinet (28 ≤ V)</v>
      </c>
      <c r="H283" s="18" t="str">
        <f>'BUS Deemed Savings Table'!D208</f>
        <v>Standard</v>
      </c>
      <c r="I283" s="750">
        <f>'BUS Deemed Savings Table'!F208</f>
        <v>2904.29</v>
      </c>
      <c r="J283" s="750"/>
      <c r="K283" s="189"/>
      <c r="L283" s="189"/>
      <c r="M283" s="189"/>
      <c r="N283" s="189"/>
      <c r="O283" s="751">
        <f>'BUS Deemed Savings Table'!I208</f>
        <v>0.58055299999999999</v>
      </c>
      <c r="P283" s="751"/>
      <c r="Q283" s="752"/>
      <c r="R283" s="752"/>
      <c r="S283" s="752"/>
      <c r="T283" s="752"/>
      <c r="U283" s="753">
        <f t="shared" si="220"/>
        <v>0</v>
      </c>
      <c r="V283" s="753">
        <f t="shared" si="221"/>
        <v>0.58055299999999999</v>
      </c>
      <c r="W283" s="753">
        <f t="shared" si="222"/>
        <v>0</v>
      </c>
      <c r="X283" s="22">
        <f>'BUS Deemed Savings Table'!J208</f>
        <v>12</v>
      </c>
      <c r="Y283" s="22"/>
      <c r="Z283" s="22">
        <f t="shared" si="238"/>
        <v>12</v>
      </c>
      <c r="AA283" s="17">
        <f>'BUS Deemed Savings Table'!DG208</f>
        <v>2.0460890198953634</v>
      </c>
      <c r="AB283" s="246">
        <f>'BUS Deemed Savings Table'!K208</f>
        <v>1000</v>
      </c>
      <c r="AC283" s="755">
        <f t="shared" si="239"/>
        <v>2046.0890198953634</v>
      </c>
      <c r="AD283" s="755">
        <f t="shared" si="240"/>
        <v>0</v>
      </c>
      <c r="AE283" s="592">
        <f>'BUS Deemed Savings Table'!DI208</f>
        <v>2046.0890198953634</v>
      </c>
      <c r="AF283" s="195"/>
      <c r="AG283" s="195"/>
      <c r="AH283" s="195"/>
      <c r="AI283" s="1371" t="str">
        <f>'BUS Deemed Savings Table'!L208</f>
        <v>per measure</v>
      </c>
      <c r="AJ283" s="68"/>
      <c r="AX283" s="1284" t="str">
        <f t="shared" si="223"/>
        <v>ENERGY STAR Hot Holding Cabinet (28 ≤ V)</v>
      </c>
      <c r="AY283" s="1307"/>
      <c r="AZ283" s="1376" t="str">
        <f t="shared" si="224"/>
        <v>803000</v>
      </c>
      <c r="BA283" s="1229" t="s">
        <v>2158</v>
      </c>
      <c r="BB283" s="1229" t="s">
        <v>2158</v>
      </c>
      <c r="BC283" s="1229" t="s">
        <v>2158</v>
      </c>
      <c r="BD283" s="1229" t="s">
        <v>2158</v>
      </c>
      <c r="BE283" s="1234"/>
      <c r="BF283" s="1229" t="s">
        <v>2158</v>
      </c>
      <c r="BG283" s="1229" t="s">
        <v>2158</v>
      </c>
      <c r="BH283" s="1229" t="s">
        <v>2158</v>
      </c>
      <c r="BI283" s="1230" t="s">
        <v>2158</v>
      </c>
      <c r="BJ283" s="1234"/>
      <c r="BK283" s="1229" t="s">
        <v>2158</v>
      </c>
      <c r="BL283" s="1230" t="s">
        <v>2158</v>
      </c>
      <c r="BM283" s="1229" t="s">
        <v>2158</v>
      </c>
      <c r="BN283" s="1230" t="s">
        <v>2158</v>
      </c>
    </row>
    <row r="284" spans="1:66" x14ac:dyDescent="0.25">
      <c r="A284" s="49" t="str">
        <f t="shared" si="237"/>
        <v>803050</v>
      </c>
      <c r="B284" s="1371" t="str">
        <f>'BUS Deemed Savings Table'!C226</f>
        <v>803050_2024_12_</v>
      </c>
      <c r="C284" s="1307" t="str">
        <f>'BUS Deemed Savings Table'!I226</f>
        <v>Cooling BUS</v>
      </c>
      <c r="D284" s="1307" t="str">
        <f>'BUS Deemed Savings Table'!J226</f>
        <v>Heating BUS</v>
      </c>
      <c r="E284" s="1307"/>
      <c r="F284" s="1307"/>
      <c r="G284" s="1307" t="str">
        <f>'BUS Deemed Savings Table'!E226</f>
        <v>Learning Thermostat, cooling and electric heat, per ton</v>
      </c>
      <c r="H284" s="18" t="str">
        <f>'BUS Deemed Savings Table'!D226</f>
        <v>BSS/Standard</v>
      </c>
      <c r="I284" s="750">
        <f>K284+L284</f>
        <v>0</v>
      </c>
      <c r="J284" s="750">
        <f>S284+T284</f>
        <v>0</v>
      </c>
      <c r="K284" s="849">
        <f>'BUS Deemed Savings Table'!G226</f>
        <v>0</v>
      </c>
      <c r="L284" s="1307">
        <f>'BUS Deemed Savings Table'!H226</f>
        <v>0</v>
      </c>
      <c r="M284" s="189"/>
      <c r="N284" s="189"/>
      <c r="O284" s="751">
        <f>Q284+R284</f>
        <v>0</v>
      </c>
      <c r="P284" s="751">
        <f>S284+T284</f>
        <v>0</v>
      </c>
      <c r="Q284" s="752">
        <f>'BUS Deemed Savings Table'!L226</f>
        <v>0</v>
      </c>
      <c r="R284" s="752">
        <v>0</v>
      </c>
      <c r="S284" s="752"/>
      <c r="T284" s="752"/>
      <c r="U284" s="753">
        <f t="shared" si="220"/>
        <v>0</v>
      </c>
      <c r="V284" s="753">
        <f t="shared" si="221"/>
        <v>0</v>
      </c>
      <c r="W284" s="753">
        <f t="shared" si="222"/>
        <v>0</v>
      </c>
      <c r="X284" s="22">
        <f>'BUS Deemed Savings Table'!M226</f>
        <v>9</v>
      </c>
      <c r="Y284" s="22"/>
      <c r="Z284" s="22">
        <f t="shared" si="238"/>
        <v>9</v>
      </c>
      <c r="AA284" s="17">
        <f>'BUS Deemed Savings Table'!DG226</f>
        <v>0</v>
      </c>
      <c r="AB284" s="246">
        <f>'BUS Deemed Savings Table'!N226</f>
        <v>105.6</v>
      </c>
      <c r="AC284" s="755">
        <f t="shared" si="239"/>
        <v>0</v>
      </c>
      <c r="AD284" s="755">
        <f t="shared" si="240"/>
        <v>0</v>
      </c>
      <c r="AE284" s="592">
        <f>'BUS Deemed Savings Table'!DI226</f>
        <v>0</v>
      </c>
      <c r="AF284" s="195"/>
      <c r="AG284" s="195"/>
      <c r="AH284" s="195"/>
      <c r="AI284" s="867" t="str">
        <f>'BUS Deemed Savings Table'!O226</f>
        <v>per ton</v>
      </c>
      <c r="AJ284" s="68"/>
      <c r="AX284" s="1284" t="str">
        <f t="shared" si="223"/>
        <v>Learning Thermostat, cooling and electric heat, per ton</v>
      </c>
      <c r="AY284" s="1307"/>
      <c r="AZ284" s="1376" t="str">
        <f t="shared" si="224"/>
        <v>803050</v>
      </c>
      <c r="BA284" s="1229" t="s">
        <v>2158</v>
      </c>
      <c r="BB284" s="1229" t="s">
        <v>2158</v>
      </c>
      <c r="BC284" s="1229" t="s">
        <v>2158</v>
      </c>
      <c r="BD284" s="1229" t="s">
        <v>2158</v>
      </c>
      <c r="BE284" s="1234"/>
      <c r="BF284" s="1229" t="s">
        <v>2158</v>
      </c>
      <c r="BG284" s="1229" t="s">
        <v>2158</v>
      </c>
      <c r="BH284" s="1229" t="s">
        <v>2158</v>
      </c>
      <c r="BI284" s="1230" t="s">
        <v>2158</v>
      </c>
      <c r="BJ284" s="1234"/>
      <c r="BK284" s="1229" t="s">
        <v>2158</v>
      </c>
      <c r="BL284" s="1230" t="s">
        <v>2158</v>
      </c>
      <c r="BM284" s="1229" t="s">
        <v>2158</v>
      </c>
      <c r="BN284" s="1230" t="s">
        <v>2158</v>
      </c>
    </row>
    <row r="285" spans="1:66" x14ac:dyDescent="0.25">
      <c r="A285" s="49" t="str">
        <f t="shared" ref="A285" si="247">LEFT(B285,6)</f>
        <v>803060</v>
      </c>
      <c r="B285" s="1371" t="str">
        <f>'BUS Deemed Savings Table'!C227</f>
        <v>803060_2024_12_</v>
      </c>
      <c r="C285" s="1307" t="str">
        <f>'BUS Deemed Savings Table'!I227</f>
        <v>Cooling BUS</v>
      </c>
      <c r="D285" s="1307" t="str">
        <f>'BUS Deemed Savings Table'!J227</f>
        <v>Heating BUS</v>
      </c>
      <c r="E285" s="1307"/>
      <c r="F285" s="1307"/>
      <c r="G285" s="1307" t="str">
        <f>'BUS Deemed Savings Table'!E227</f>
        <v>Learning Thermostat, cooling , per ton</v>
      </c>
      <c r="H285" s="18" t="str">
        <f>'BUS Deemed Savings Table'!D227</f>
        <v>BSS/Standard</v>
      </c>
      <c r="I285" s="750">
        <f>K285+L285</f>
        <v>0</v>
      </c>
      <c r="J285" s="750">
        <f>S285+T285</f>
        <v>0</v>
      </c>
      <c r="K285" s="849">
        <f>'BUS Deemed Savings Table'!G227</f>
        <v>0</v>
      </c>
      <c r="L285" s="1307">
        <f>'BUS Deemed Savings Table'!H227</f>
        <v>0</v>
      </c>
      <c r="M285" s="189"/>
      <c r="N285" s="189"/>
      <c r="O285" s="751">
        <f>Q285+R285</f>
        <v>0</v>
      </c>
      <c r="P285" s="751">
        <f>S285+T285</f>
        <v>0</v>
      </c>
      <c r="Q285" s="752">
        <f>'BUS Deemed Savings Table'!L227</f>
        <v>0</v>
      </c>
      <c r="R285" s="752">
        <v>0</v>
      </c>
      <c r="S285" s="752"/>
      <c r="T285" s="752"/>
      <c r="U285" s="753">
        <f t="shared" si="220"/>
        <v>0</v>
      </c>
      <c r="V285" s="753">
        <f t="shared" si="221"/>
        <v>0</v>
      </c>
      <c r="W285" s="753">
        <f t="shared" si="222"/>
        <v>0</v>
      </c>
      <c r="X285" s="22">
        <f>'BUS Deemed Savings Table'!M227</f>
        <v>9</v>
      </c>
      <c r="Y285" s="22"/>
      <c r="Z285" s="22">
        <f t="shared" ref="Z285" si="248">Y285+X285</f>
        <v>9</v>
      </c>
      <c r="AA285" s="17">
        <f>'BUS Deemed Savings Table'!DG227</f>
        <v>0</v>
      </c>
      <c r="AB285" s="246">
        <f>'BUS Deemed Savings Table'!N227</f>
        <v>105.6</v>
      </c>
      <c r="AC285" s="755">
        <f t="shared" ref="AC285" si="249">AE285+AF285</f>
        <v>0</v>
      </c>
      <c r="AD285" s="755">
        <f t="shared" ref="AD285" si="250">AG285+AH285</f>
        <v>0</v>
      </c>
      <c r="AE285" s="592">
        <f>'BUS Deemed Savings Table'!DI227</f>
        <v>0</v>
      </c>
      <c r="AF285" s="195"/>
      <c r="AG285" s="195"/>
      <c r="AH285" s="195"/>
      <c r="AI285" s="867" t="str">
        <f>'BUS Deemed Savings Table'!O227</f>
        <v>per ton</v>
      </c>
      <c r="AJ285" s="68"/>
      <c r="AX285" s="1284" t="str">
        <f t="shared" ref="AX285" si="251">G285</f>
        <v>Learning Thermostat, cooling , per ton</v>
      </c>
      <c r="AY285" s="1307"/>
      <c r="AZ285" s="1376" t="str">
        <f t="shared" ref="AZ285" si="252">A285</f>
        <v>803060</v>
      </c>
      <c r="BA285" s="1229" t="s">
        <v>2158</v>
      </c>
      <c r="BB285" s="1229" t="s">
        <v>2158</v>
      </c>
      <c r="BC285" s="1229" t="s">
        <v>2158</v>
      </c>
      <c r="BD285" s="1229" t="s">
        <v>2158</v>
      </c>
      <c r="BE285" s="1234"/>
      <c r="BF285" s="1229" t="s">
        <v>2158</v>
      </c>
      <c r="BG285" s="1229" t="s">
        <v>2158</v>
      </c>
      <c r="BH285" s="1229" t="s">
        <v>2158</v>
      </c>
      <c r="BI285" s="1230" t="s">
        <v>2158</v>
      </c>
      <c r="BJ285" s="1234"/>
      <c r="BK285" s="1229" t="s">
        <v>2158</v>
      </c>
      <c r="BL285" s="1230" t="s">
        <v>2158</v>
      </c>
      <c r="BM285" s="1229" t="s">
        <v>2158</v>
      </c>
      <c r="BN285" s="1230" t="s">
        <v>2158</v>
      </c>
    </row>
    <row r="286" spans="1:66" x14ac:dyDescent="0.25">
      <c r="A286" s="49" t="str">
        <f t="shared" si="237"/>
        <v>803100</v>
      </c>
      <c r="B286" s="1371" t="str">
        <f>'BUS Deemed Savings Table'!C241</f>
        <v>803100_2024_12_</v>
      </c>
      <c r="C286" s="1307" t="str">
        <f>'BUS Deemed Savings Table'!G241</f>
        <v>Cooling BUS</v>
      </c>
      <c r="D286" s="1307"/>
      <c r="E286" s="1307"/>
      <c r="F286" s="1307"/>
      <c r="G286" s="1307" t="str">
        <f>'BUS Deemed Savings Table'!E241</f>
        <v>VFD on Chilled Water Pump &gt;= 1HP, per Hp</v>
      </c>
      <c r="H286" s="18" t="str">
        <f>'BUS Deemed Savings Table'!D241</f>
        <v>BSS/Standard</v>
      </c>
      <c r="I286" s="750">
        <f>'BUS Deemed Savings Table'!F241</f>
        <v>1362.32</v>
      </c>
      <c r="J286" s="750"/>
      <c r="K286" s="189"/>
      <c r="L286" s="189"/>
      <c r="M286" s="189"/>
      <c r="N286" s="189"/>
      <c r="O286" s="751">
        <f>'BUS Deemed Savings Table'!I241</f>
        <v>1.2406429999999999</v>
      </c>
      <c r="P286" s="751"/>
      <c r="Q286" s="752"/>
      <c r="R286" s="752"/>
      <c r="S286" s="752"/>
      <c r="T286" s="752"/>
      <c r="U286" s="753">
        <f t="shared" si="220"/>
        <v>0</v>
      </c>
      <c r="V286" s="753">
        <f t="shared" si="221"/>
        <v>0</v>
      </c>
      <c r="W286" s="753">
        <f t="shared" si="222"/>
        <v>1.2406429999999999</v>
      </c>
      <c r="X286" s="22">
        <f>'BUS Deemed Savings Table'!J241</f>
        <v>15</v>
      </c>
      <c r="Y286" s="22"/>
      <c r="Z286" s="22">
        <f t="shared" si="238"/>
        <v>15</v>
      </c>
      <c r="AA286" s="17">
        <f>'BUS Deemed Savings Table'!DG241</f>
        <v>7.3182991924593015</v>
      </c>
      <c r="AB286" s="246">
        <f>'BUS Deemed Savings Table'!K241</f>
        <v>360</v>
      </c>
      <c r="AC286" s="755">
        <f t="shared" si="239"/>
        <v>2634.5877092853484</v>
      </c>
      <c r="AD286" s="755">
        <f t="shared" si="240"/>
        <v>0</v>
      </c>
      <c r="AE286" s="592">
        <f>'BUS Deemed Savings Table'!DI241</f>
        <v>2634.5877092853484</v>
      </c>
      <c r="AF286" s="195"/>
      <c r="AG286" s="195"/>
      <c r="AH286" s="195"/>
      <c r="AI286" s="873" t="str">
        <f>'BUS Deemed Savings Table'!L241</f>
        <v>per Hp</v>
      </c>
      <c r="AJ286" s="68"/>
      <c r="AX286" s="1284" t="str">
        <f t="shared" si="223"/>
        <v>VFD on Chilled Water Pump &gt;= 1HP, per Hp</v>
      </c>
      <c r="AY286" s="1307"/>
      <c r="AZ286" s="1376" t="str">
        <f t="shared" si="224"/>
        <v>803100</v>
      </c>
      <c r="BA286" s="1229" t="s">
        <v>2158</v>
      </c>
      <c r="BB286" s="1229" t="s">
        <v>2158</v>
      </c>
      <c r="BC286" s="1229" t="s">
        <v>2158</v>
      </c>
      <c r="BD286" s="1229" t="s">
        <v>2158</v>
      </c>
      <c r="BE286" s="1234"/>
      <c r="BF286" s="1229" t="s">
        <v>2158</v>
      </c>
      <c r="BG286" s="1229" t="s">
        <v>2158</v>
      </c>
      <c r="BH286" s="1229" t="s">
        <v>2158</v>
      </c>
      <c r="BI286" s="1230" t="s">
        <v>2158</v>
      </c>
      <c r="BJ286" s="1234"/>
      <c r="BK286" s="1229" t="s">
        <v>2158</v>
      </c>
      <c r="BL286" s="1230" t="s">
        <v>2158</v>
      </c>
      <c r="BM286" s="1229" t="s">
        <v>2158</v>
      </c>
      <c r="BN286" s="1230" t="s">
        <v>2158</v>
      </c>
    </row>
    <row r="287" spans="1:66" x14ac:dyDescent="0.25">
      <c r="A287" s="49" t="str">
        <f t="shared" si="237"/>
        <v>803150</v>
      </c>
      <c r="B287" s="1371" t="str">
        <f>'BUS Deemed Savings Table'!C242</f>
        <v>803150_2024_12_</v>
      </c>
      <c r="C287" s="1307" t="str">
        <f>'BUS Deemed Savings Table'!G242</f>
        <v>HVAC BUS</v>
      </c>
      <c r="D287" s="1307"/>
      <c r="E287" s="1307"/>
      <c r="F287" s="1307"/>
      <c r="G287" s="1307" t="str">
        <f>'BUS Deemed Savings Table'!E242</f>
        <v>VFD on Hot Water Pump &gt;= 1HP</v>
      </c>
      <c r="H287" s="18" t="str">
        <f>'BUS Deemed Savings Table'!D242</f>
        <v>Standard</v>
      </c>
      <c r="I287" s="750">
        <f>'BUS Deemed Savings Table'!F242</f>
        <v>1181.01</v>
      </c>
      <c r="J287" s="750"/>
      <c r="K287" s="189"/>
      <c r="L287" s="189"/>
      <c r="M287" s="189"/>
      <c r="N287" s="189"/>
      <c r="O287" s="751">
        <f>'BUS Deemed Savings Table'!I242</f>
        <v>0.52434800000000004</v>
      </c>
      <c r="P287" s="751"/>
      <c r="Q287" s="752"/>
      <c r="R287" s="752"/>
      <c r="S287" s="752"/>
      <c r="T287" s="752"/>
      <c r="U287" s="753">
        <f t="shared" si="220"/>
        <v>0</v>
      </c>
      <c r="V287" s="753">
        <f t="shared" si="221"/>
        <v>0</v>
      </c>
      <c r="W287" s="753">
        <f t="shared" si="222"/>
        <v>0.52434800000000004</v>
      </c>
      <c r="X287" s="22">
        <f>'BUS Deemed Savings Table'!J242</f>
        <v>15</v>
      </c>
      <c r="Y287" s="22"/>
      <c r="Z287" s="22">
        <f t="shared" si="238"/>
        <v>15</v>
      </c>
      <c r="AA287" s="17">
        <f>'BUS Deemed Savings Table'!DG242</f>
        <v>4.0001669388996595</v>
      </c>
      <c r="AB287" s="246">
        <f>'BUS Deemed Savings Table'!K242</f>
        <v>360</v>
      </c>
      <c r="AC287" s="755">
        <f t="shared" si="239"/>
        <v>1440.0600980038776</v>
      </c>
      <c r="AD287" s="755">
        <f t="shared" si="240"/>
        <v>0</v>
      </c>
      <c r="AE287" s="592">
        <f>'BUS Deemed Savings Table'!DI242</f>
        <v>1440.0600980038776</v>
      </c>
      <c r="AF287" s="195"/>
      <c r="AG287" s="195"/>
      <c r="AH287" s="195"/>
      <c r="AI287" s="873" t="str">
        <f>'BUS Deemed Savings Table'!L242</f>
        <v>per Hp</v>
      </c>
      <c r="AJ287" s="68"/>
      <c r="AX287" s="1284" t="str">
        <f t="shared" si="223"/>
        <v>VFD on Hot Water Pump &gt;= 1HP</v>
      </c>
      <c r="AY287" s="1307"/>
      <c r="AZ287" s="1376" t="str">
        <f t="shared" si="224"/>
        <v>803150</v>
      </c>
      <c r="BA287" s="1229" t="s">
        <v>2158</v>
      </c>
      <c r="BB287" s="1229" t="s">
        <v>2158</v>
      </c>
      <c r="BC287" s="1229" t="s">
        <v>2158</v>
      </c>
      <c r="BD287" s="1229" t="s">
        <v>2158</v>
      </c>
      <c r="BE287" s="1234"/>
      <c r="BF287" s="1229" t="s">
        <v>2158</v>
      </c>
      <c r="BG287" s="1229" t="s">
        <v>2158</v>
      </c>
      <c r="BH287" s="1229" t="s">
        <v>2158</v>
      </c>
      <c r="BI287" s="1230" t="s">
        <v>2158</v>
      </c>
      <c r="BJ287" s="1234"/>
      <c r="BK287" s="1229" t="s">
        <v>2158</v>
      </c>
      <c r="BL287" s="1230" t="s">
        <v>2158</v>
      </c>
      <c r="BM287" s="1229" t="s">
        <v>2158</v>
      </c>
      <c r="BN287" s="1230" t="s">
        <v>2158</v>
      </c>
    </row>
    <row r="288" spans="1:66" x14ac:dyDescent="0.25">
      <c r="A288" s="49" t="str">
        <f t="shared" si="237"/>
        <v>803155</v>
      </c>
      <c r="B288" s="1371" t="str">
        <f>'BUS Deemed Savings Table'!C243</f>
        <v>803155_2024_12_</v>
      </c>
      <c r="C288" s="1307" t="str">
        <f>'BUS Deemed Savings Table'!G243</f>
        <v>Cooling BUS</v>
      </c>
      <c r="D288" s="1307"/>
      <c r="E288" s="1307"/>
      <c r="F288" s="1307"/>
      <c r="G288" s="1307" t="str">
        <f>'BUS Deemed Savings Table'!E243</f>
        <v>VFD on Condenser Water Pump &gt;= 1HP</v>
      </c>
      <c r="H288" s="18" t="str">
        <f>'BUS Deemed Savings Table'!D243</f>
        <v>Standard</v>
      </c>
      <c r="I288" s="750">
        <f>'BUS Deemed Savings Table'!F243</f>
        <v>1362.32</v>
      </c>
      <c r="J288" s="750"/>
      <c r="K288" s="189"/>
      <c r="L288" s="189"/>
      <c r="M288" s="189"/>
      <c r="N288" s="189"/>
      <c r="O288" s="751">
        <f>'BUS Deemed Savings Table'!I243</f>
        <v>1.2406429999999999</v>
      </c>
      <c r="P288" s="751"/>
      <c r="Q288" s="752"/>
      <c r="R288" s="752"/>
      <c r="S288" s="752"/>
      <c r="T288" s="752"/>
      <c r="U288" s="753">
        <f t="shared" si="220"/>
        <v>0</v>
      </c>
      <c r="V288" s="753">
        <f t="shared" si="221"/>
        <v>0</v>
      </c>
      <c r="W288" s="753">
        <f t="shared" si="222"/>
        <v>1.2406429999999999</v>
      </c>
      <c r="X288" s="22">
        <f>'BUS Deemed Savings Table'!J243</f>
        <v>15</v>
      </c>
      <c r="Y288" s="22"/>
      <c r="Z288" s="22">
        <f t="shared" si="238"/>
        <v>15</v>
      </c>
      <c r="AA288" s="17">
        <f>'BUS Deemed Savings Table'!DG243</f>
        <v>7.3182991924593015</v>
      </c>
      <c r="AB288" s="246">
        <f>'BUS Deemed Savings Table'!K243</f>
        <v>360</v>
      </c>
      <c r="AC288" s="755">
        <f t="shared" si="239"/>
        <v>2634.5877092853484</v>
      </c>
      <c r="AD288" s="755">
        <f t="shared" si="240"/>
        <v>0</v>
      </c>
      <c r="AE288" s="592">
        <f>'BUS Deemed Savings Table'!DI243</f>
        <v>2634.5877092853484</v>
      </c>
      <c r="AF288" s="195"/>
      <c r="AG288" s="195"/>
      <c r="AH288" s="195"/>
      <c r="AI288" s="873" t="str">
        <f>'BUS Deemed Savings Table'!L243</f>
        <v>per Hp</v>
      </c>
      <c r="AJ288" s="68"/>
      <c r="AX288" s="1284" t="str">
        <f t="shared" si="223"/>
        <v>VFD on Condenser Water Pump &gt;= 1HP</v>
      </c>
      <c r="AY288" s="1307"/>
      <c r="AZ288" s="1376" t="str">
        <f t="shared" si="224"/>
        <v>803155</v>
      </c>
      <c r="BA288" s="1229" t="s">
        <v>2158</v>
      </c>
      <c r="BB288" s="1229" t="s">
        <v>2158</v>
      </c>
      <c r="BC288" s="1229" t="s">
        <v>2158</v>
      </c>
      <c r="BD288" s="1229" t="s">
        <v>2158</v>
      </c>
      <c r="BE288" s="1234"/>
      <c r="BF288" s="1229" t="s">
        <v>2158</v>
      </c>
      <c r="BG288" s="1229" t="s">
        <v>2158</v>
      </c>
      <c r="BH288" s="1229" t="s">
        <v>2158</v>
      </c>
      <c r="BI288" s="1230" t="s">
        <v>2158</v>
      </c>
      <c r="BJ288" s="1234"/>
      <c r="BK288" s="1229" t="s">
        <v>2158</v>
      </c>
      <c r="BL288" s="1230" t="s">
        <v>2158</v>
      </c>
      <c r="BM288" s="1229" t="s">
        <v>2158</v>
      </c>
      <c r="BN288" s="1230" t="s">
        <v>2158</v>
      </c>
    </row>
    <row r="289" spans="1:66" x14ac:dyDescent="0.25">
      <c r="A289" s="49" t="str">
        <f t="shared" si="237"/>
        <v>803160</v>
      </c>
      <c r="B289" s="1371" t="str">
        <f>'BUS Deemed Savings Table'!C244</f>
        <v>803160_2024_12_</v>
      </c>
      <c r="C289" s="1307" t="str">
        <f>'BUS Deemed Savings Table'!G244</f>
        <v>HVAC BUS</v>
      </c>
      <c r="D289" s="1307"/>
      <c r="E289" s="1307"/>
      <c r="F289" s="1307"/>
      <c r="G289" s="1307" t="str">
        <f>'BUS Deemed Savings Table'!E244</f>
        <v>VFD on Cooling Tower Fan &gt;= 1HP</v>
      </c>
      <c r="H289" s="18" t="str">
        <f>'BUS Deemed Savings Table'!D244</f>
        <v>Standard</v>
      </c>
      <c r="I289" s="750">
        <f>'BUS Deemed Savings Table'!F244</f>
        <v>1910.3</v>
      </c>
      <c r="J289" s="750"/>
      <c r="K289" s="189"/>
      <c r="L289" s="189"/>
      <c r="M289" s="189"/>
      <c r="N289" s="189"/>
      <c r="O289" s="751">
        <f>'BUS Deemed Savings Table'!I244</f>
        <v>0.84814100000000003</v>
      </c>
      <c r="P289" s="751"/>
      <c r="Q289" s="752"/>
      <c r="R289" s="752"/>
      <c r="S289" s="752"/>
      <c r="T289" s="752"/>
      <c r="U289" s="753">
        <f t="shared" si="220"/>
        <v>0</v>
      </c>
      <c r="V289" s="753">
        <f t="shared" si="221"/>
        <v>0</v>
      </c>
      <c r="W289" s="753">
        <f t="shared" si="222"/>
        <v>0.84814100000000003</v>
      </c>
      <c r="X289" s="22">
        <f>'BUS Deemed Savings Table'!J244</f>
        <v>15</v>
      </c>
      <c r="Y289" s="22"/>
      <c r="Z289" s="22">
        <f t="shared" si="238"/>
        <v>15</v>
      </c>
      <c r="AA289" s="17">
        <f>'BUS Deemed Savings Table'!DG244</f>
        <v>6.4703253176349218</v>
      </c>
      <c r="AB289" s="246">
        <f>'BUS Deemed Savings Table'!K244</f>
        <v>360</v>
      </c>
      <c r="AC289" s="755">
        <f t="shared" si="239"/>
        <v>2329.317114348572</v>
      </c>
      <c r="AD289" s="755">
        <f t="shared" si="240"/>
        <v>0</v>
      </c>
      <c r="AE289" s="592">
        <f>'BUS Deemed Savings Table'!DI244</f>
        <v>2329.317114348572</v>
      </c>
      <c r="AF289" s="195"/>
      <c r="AG289" s="195"/>
      <c r="AH289" s="195"/>
      <c r="AI289" s="873" t="str">
        <f>'BUS Deemed Savings Table'!L244</f>
        <v>per Hp</v>
      </c>
      <c r="AJ289" s="68"/>
      <c r="AX289" s="1284" t="str">
        <f t="shared" si="223"/>
        <v>VFD on Cooling Tower Fan &gt;= 1HP</v>
      </c>
      <c r="AY289" s="1307"/>
      <c r="AZ289" s="1376" t="str">
        <f t="shared" si="224"/>
        <v>803160</v>
      </c>
      <c r="BA289" s="1229" t="s">
        <v>2158</v>
      </c>
      <c r="BB289" s="1229" t="s">
        <v>2158</v>
      </c>
      <c r="BC289" s="1229" t="s">
        <v>2158</v>
      </c>
      <c r="BD289" s="1229" t="s">
        <v>2158</v>
      </c>
      <c r="BE289" s="1234"/>
      <c r="BF289" s="1229" t="s">
        <v>2158</v>
      </c>
      <c r="BG289" s="1229" t="s">
        <v>2158</v>
      </c>
      <c r="BH289" s="1229" t="s">
        <v>2158</v>
      </c>
      <c r="BI289" s="1230" t="s">
        <v>2158</v>
      </c>
      <c r="BJ289" s="1234"/>
      <c r="BK289" s="1229" t="s">
        <v>2158</v>
      </c>
      <c r="BL289" s="1230" t="s">
        <v>2158</v>
      </c>
      <c r="BM289" s="1229" t="s">
        <v>2158</v>
      </c>
      <c r="BN289" s="1230" t="s">
        <v>2158</v>
      </c>
    </row>
    <row r="290" spans="1:66" x14ac:dyDescent="0.25">
      <c r="A290" s="49" t="str">
        <f t="shared" si="237"/>
        <v>803200</v>
      </c>
      <c r="B290" s="1371" t="str">
        <f>'BUS Deemed Savings Table'!C261</f>
        <v>803200_2024_12_</v>
      </c>
      <c r="C290" s="1307" t="str">
        <f>'BUS Deemed Savings Table'!G261</f>
        <v>HVAC BUS</v>
      </c>
      <c r="D290" s="1307"/>
      <c r="E290" s="1307"/>
      <c r="F290" s="1307"/>
      <c r="G290" s="1307" t="str">
        <f>'BUS Deemed Savings Table'!E261</f>
        <v xml:space="preserve"> VFD on HVAC Fans &gt;= 1HP </v>
      </c>
      <c r="H290" s="18" t="str">
        <f>'BUS Deemed Savings Table'!D261</f>
        <v>BSS/Standard</v>
      </c>
      <c r="I290" s="750">
        <f>'BUS Deemed Savings Table'!F261</f>
        <v>939.75</v>
      </c>
      <c r="J290" s="750"/>
      <c r="K290" s="189"/>
      <c r="L290" s="189"/>
      <c r="M290" s="189"/>
      <c r="N290" s="189"/>
      <c r="O290" s="751">
        <f>'BUS Deemed Savings Table'!I261</f>
        <v>0.41723300000000002</v>
      </c>
      <c r="P290" s="751"/>
      <c r="Q290" s="752"/>
      <c r="R290" s="752"/>
      <c r="S290" s="752"/>
      <c r="T290" s="752"/>
      <c r="U290" s="753">
        <f t="shared" ref="U290:U312" si="253">IFERROR(IF(V290+W290&gt;0,0,IF(Z290&gt;0,O290,0)),0)</f>
        <v>0</v>
      </c>
      <c r="V290" s="753">
        <f t="shared" ref="V290:V312" si="254">IF(W290&gt;0,0,IF(Z290&gt;9,O290,0))</f>
        <v>0</v>
      </c>
      <c r="W290" s="753">
        <f t="shared" ref="W290:W312" si="255">IF(Z290&gt;14,O290,0)</f>
        <v>0.41723300000000002</v>
      </c>
      <c r="X290" s="22">
        <f>'BUS Deemed Savings Table'!J261</f>
        <v>15</v>
      </c>
      <c r="Y290" s="22"/>
      <c r="Z290" s="22">
        <f t="shared" si="238"/>
        <v>15</v>
      </c>
      <c r="AA290" s="17">
        <f>'BUS Deemed Savings Table'!DG261</f>
        <v>3.1830017365060037</v>
      </c>
      <c r="AB290" s="246">
        <f>'BUS Deemed Savings Table'!K261</f>
        <v>360</v>
      </c>
      <c r="AC290" s="755">
        <f t="shared" si="239"/>
        <v>1145.8806251421613</v>
      </c>
      <c r="AD290" s="755">
        <f t="shared" si="240"/>
        <v>0</v>
      </c>
      <c r="AE290" s="592">
        <f>'BUS Deemed Savings Table'!DI261</f>
        <v>1145.8806251421613</v>
      </c>
      <c r="AF290" s="195"/>
      <c r="AG290" s="195"/>
      <c r="AH290" s="195"/>
      <c r="AI290" s="873" t="str">
        <f>'BUS Deemed Savings Table'!L261</f>
        <v>per Hp</v>
      </c>
      <c r="AJ290" s="68"/>
      <c r="AX290" s="1284" t="str">
        <f t="shared" si="223"/>
        <v xml:space="preserve"> VFD on HVAC Fans &gt;= 1HP </v>
      </c>
      <c r="AY290" s="1307"/>
      <c r="AZ290" s="1376" t="str">
        <f t="shared" si="224"/>
        <v>803200</v>
      </c>
      <c r="BA290" s="1229" t="s">
        <v>2158</v>
      </c>
      <c r="BB290" s="1229" t="s">
        <v>2158</v>
      </c>
      <c r="BC290" s="1229" t="s">
        <v>2158</v>
      </c>
      <c r="BD290" s="1229" t="s">
        <v>2158</v>
      </c>
      <c r="BE290" s="1234"/>
      <c r="BF290" s="1229" t="s">
        <v>2158</v>
      </c>
      <c r="BG290" s="1229" t="s">
        <v>2158</v>
      </c>
      <c r="BH290" s="1229" t="s">
        <v>2158</v>
      </c>
      <c r="BI290" s="1230" t="s">
        <v>2158</v>
      </c>
      <c r="BJ290" s="1234"/>
      <c r="BK290" s="1229" t="s">
        <v>2158</v>
      </c>
      <c r="BL290" s="1230" t="s">
        <v>2158</v>
      </c>
      <c r="BM290" s="1229" t="s">
        <v>2158</v>
      </c>
      <c r="BN290" s="1230" t="s">
        <v>2158</v>
      </c>
    </row>
    <row r="291" spans="1:66" x14ac:dyDescent="0.25">
      <c r="A291" s="49" t="str">
        <f t="shared" si="237"/>
        <v>803250</v>
      </c>
      <c r="B291" s="1371" t="str">
        <f>'BUS Deemed Savings Table'!C291</f>
        <v>803250_2024_12_</v>
      </c>
      <c r="C291" s="1307" t="str">
        <f>'BUS Deemed Savings Table'!G291</f>
        <v>Cooling BUS</v>
      </c>
      <c r="D291" s="1307"/>
      <c r="E291" s="1307"/>
      <c r="F291" s="1307"/>
      <c r="G291" s="1307" t="str">
        <f>'BUS Deemed Savings Table'!E291</f>
        <v>Single Package or Split Sytem Unitary AC_DX 135 - 240kbtu</v>
      </c>
      <c r="H291" s="18" t="str">
        <f>'BUS Deemed Savings Table'!D291</f>
        <v>BSS/Standard</v>
      </c>
      <c r="I291" s="750">
        <f t="shared" ref="I291:I305" si="256">K291+L291</f>
        <v>117.73</v>
      </c>
      <c r="J291" s="750">
        <f t="shared" ref="J291:J305" si="257">S291+T291</f>
        <v>0</v>
      </c>
      <c r="K291" s="189">
        <f>'BUS Deemed Savings Table'!F291</f>
        <v>117.73</v>
      </c>
      <c r="L291" s="189"/>
      <c r="M291" s="189"/>
      <c r="N291" s="189"/>
      <c r="O291" s="751">
        <f t="shared" ref="O291:O305" si="258">Q291+R291</f>
        <v>0.107215</v>
      </c>
      <c r="P291" s="751">
        <f t="shared" ref="P291:P305" si="259">S291+T291</f>
        <v>0</v>
      </c>
      <c r="Q291" s="751">
        <f>'BUS Deemed Savings Table'!I291</f>
        <v>0.107215</v>
      </c>
      <c r="R291" s="752">
        <v>0</v>
      </c>
      <c r="S291" s="752"/>
      <c r="T291" s="752"/>
      <c r="U291" s="753">
        <f t="shared" si="253"/>
        <v>0</v>
      </c>
      <c r="V291" s="753">
        <f t="shared" si="254"/>
        <v>0</v>
      </c>
      <c r="W291" s="753">
        <f t="shared" si="255"/>
        <v>0.107215</v>
      </c>
      <c r="X291" s="22">
        <f>'BUS Deemed Savings Table'!J291</f>
        <v>15</v>
      </c>
      <c r="Y291" s="22"/>
      <c r="Z291" s="22">
        <f t="shared" si="238"/>
        <v>15</v>
      </c>
      <c r="AA291" s="17">
        <f>'BUS Deemed Savings Table'!DG291</f>
        <v>1.0424807373623386</v>
      </c>
      <c r="AB291" s="246">
        <f>'BUS Deemed Savings Table'!K291</f>
        <v>218.40000000000015</v>
      </c>
      <c r="AC291" s="755">
        <f t="shared" si="239"/>
        <v>227.6777930399349</v>
      </c>
      <c r="AD291" s="755">
        <f t="shared" si="240"/>
        <v>0</v>
      </c>
      <c r="AE291" s="592">
        <f>'BUS Deemed Savings Table'!DI291</f>
        <v>227.6777930399349</v>
      </c>
      <c r="AF291" s="195"/>
      <c r="AG291" s="195"/>
      <c r="AH291" s="195"/>
      <c r="AI291" s="873" t="str">
        <f>'BUS Deemed Savings Table'!L291</f>
        <v>per ton</v>
      </c>
      <c r="AJ291" s="68"/>
      <c r="AX291" s="1284" t="str">
        <f t="shared" si="223"/>
        <v>Single Package or Split Sytem Unitary AC_DX 135 - 240kbtu</v>
      </c>
      <c r="AY291" s="1307"/>
      <c r="AZ291" s="1376" t="str">
        <f t="shared" si="224"/>
        <v>803250</v>
      </c>
      <c r="BA291" s="1229" t="s">
        <v>2158</v>
      </c>
      <c r="BB291" s="1229" t="s">
        <v>2158</v>
      </c>
      <c r="BC291" s="1229" t="s">
        <v>2158</v>
      </c>
      <c r="BD291" s="1229" t="s">
        <v>2158</v>
      </c>
      <c r="BE291" s="1234"/>
      <c r="BF291" s="1229" t="s">
        <v>2158</v>
      </c>
      <c r="BG291" s="1229" t="s">
        <v>2158</v>
      </c>
      <c r="BH291" s="1229" t="s">
        <v>2158</v>
      </c>
      <c r="BI291" s="1230" t="s">
        <v>2158</v>
      </c>
      <c r="BJ291" s="1234"/>
      <c r="BK291" s="1229" t="s">
        <v>2158</v>
      </c>
      <c r="BL291" s="1230" t="s">
        <v>2158</v>
      </c>
      <c r="BM291" s="1229" t="s">
        <v>2158</v>
      </c>
      <c r="BN291" s="1230" t="s">
        <v>2158</v>
      </c>
    </row>
    <row r="292" spans="1:66" x14ac:dyDescent="0.25">
      <c r="A292" s="49" t="str">
        <f t="shared" si="237"/>
        <v>803300</v>
      </c>
      <c r="B292" s="1371" t="str">
        <f>'BUS Deemed Savings Table'!C292</f>
        <v>803300_2024_12_</v>
      </c>
      <c r="C292" s="1307" t="str">
        <f>'BUS Deemed Savings Table'!G292</f>
        <v>Cooling BUS</v>
      </c>
      <c r="D292" s="1307"/>
      <c r="E292" s="1307"/>
      <c r="F292" s="1307"/>
      <c r="G292" s="1307" t="str">
        <f>'BUS Deemed Savings Table'!E292</f>
        <v>Single Package or Split Sytem Unitary AC_DX 240 - 760kBTUh</v>
      </c>
      <c r="H292" s="18" t="str">
        <f>'BUS Deemed Savings Table'!D292</f>
        <v>BSS/Standard</v>
      </c>
      <c r="I292" s="750">
        <f t="shared" si="256"/>
        <v>179.28</v>
      </c>
      <c r="J292" s="750">
        <f t="shared" si="257"/>
        <v>0</v>
      </c>
      <c r="K292" s="189">
        <f>'BUS Deemed Savings Table'!F292</f>
        <v>179.28</v>
      </c>
      <c r="L292" s="189"/>
      <c r="M292" s="189"/>
      <c r="N292" s="189"/>
      <c r="O292" s="751">
        <f t="shared" si="258"/>
        <v>0.163267</v>
      </c>
      <c r="P292" s="751">
        <f t="shared" si="259"/>
        <v>0</v>
      </c>
      <c r="Q292" s="751">
        <f>'BUS Deemed Savings Table'!I292</f>
        <v>0.163267</v>
      </c>
      <c r="R292" s="752">
        <v>0</v>
      </c>
      <c r="S292" s="752"/>
      <c r="T292" s="752"/>
      <c r="U292" s="753">
        <f t="shared" si="253"/>
        <v>0</v>
      </c>
      <c r="V292" s="753">
        <f t="shared" si="254"/>
        <v>0</v>
      </c>
      <c r="W292" s="753">
        <f t="shared" si="255"/>
        <v>0.163267</v>
      </c>
      <c r="X292" s="22">
        <f>'BUS Deemed Savings Table'!J292</f>
        <v>15</v>
      </c>
      <c r="Y292" s="22"/>
      <c r="Z292" s="22">
        <f t="shared" si="238"/>
        <v>15</v>
      </c>
      <c r="AA292" s="17">
        <f>'BUS Deemed Savings Table'!DG292</f>
        <v>1.1339259722265245</v>
      </c>
      <c r="AB292" s="246">
        <f>'BUS Deemed Savings Table'!K292</f>
        <v>305.75999999999993</v>
      </c>
      <c r="AC292" s="755">
        <f t="shared" si="239"/>
        <v>346.70920526798204</v>
      </c>
      <c r="AD292" s="755">
        <f t="shared" si="240"/>
        <v>0</v>
      </c>
      <c r="AE292" s="592">
        <f>'BUS Deemed Savings Table'!DI292</f>
        <v>346.70920526798204</v>
      </c>
      <c r="AF292" s="195"/>
      <c r="AG292" s="195"/>
      <c r="AH292" s="195"/>
      <c r="AI292" s="873" t="str">
        <f>'BUS Deemed Savings Table'!L292</f>
        <v>per ton</v>
      </c>
      <c r="AJ292" s="68"/>
      <c r="AX292" s="1284" t="str">
        <f t="shared" si="223"/>
        <v>Single Package or Split Sytem Unitary AC_DX 240 - 760kBTUh</v>
      </c>
      <c r="AY292" s="1307"/>
      <c r="AZ292" s="1376" t="str">
        <f t="shared" si="224"/>
        <v>803300</v>
      </c>
      <c r="BA292" s="1229" t="s">
        <v>2158</v>
      </c>
      <c r="BB292" s="1229" t="s">
        <v>2158</v>
      </c>
      <c r="BC292" s="1229" t="s">
        <v>2158</v>
      </c>
      <c r="BD292" s="1229" t="s">
        <v>2158</v>
      </c>
      <c r="BE292" s="1234"/>
      <c r="BF292" s="1229" t="s">
        <v>2158</v>
      </c>
      <c r="BG292" s="1229" t="s">
        <v>2158</v>
      </c>
      <c r="BH292" s="1229" t="s">
        <v>2158</v>
      </c>
      <c r="BI292" s="1230" t="s">
        <v>2158</v>
      </c>
      <c r="BJ292" s="1234"/>
      <c r="BK292" s="1229" t="s">
        <v>2158</v>
      </c>
      <c r="BL292" s="1230" t="s">
        <v>2158</v>
      </c>
      <c r="BM292" s="1229" t="s">
        <v>2158</v>
      </c>
      <c r="BN292" s="1230" t="s">
        <v>2158</v>
      </c>
    </row>
    <row r="293" spans="1:66" x14ac:dyDescent="0.25">
      <c r="A293" s="49" t="str">
        <f t="shared" si="237"/>
        <v>803350</v>
      </c>
      <c r="B293" s="1371" t="str">
        <f>'BUS Deemed Savings Table'!C293</f>
        <v>803350_2024_12_</v>
      </c>
      <c r="C293" s="1307" t="str">
        <f>'BUS Deemed Savings Table'!G293</f>
        <v>Cooling BUS</v>
      </c>
      <c r="D293" s="1307"/>
      <c r="E293" s="1307"/>
      <c r="F293" s="1307"/>
      <c r="G293" s="1307" t="str">
        <f>'BUS Deemed Savings Table'!E293</f>
        <v>Single Package or Split Sytem Unitary AC_DX 65 -135kBTUh</v>
      </c>
      <c r="H293" s="18" t="str">
        <f>'BUS Deemed Savings Table'!D293</f>
        <v>BSS/Standard</v>
      </c>
      <c r="I293" s="750">
        <f t="shared" si="256"/>
        <v>102.44</v>
      </c>
      <c r="J293" s="750">
        <f t="shared" si="257"/>
        <v>0</v>
      </c>
      <c r="K293" s="189">
        <f>'BUS Deemed Savings Table'!F293</f>
        <v>102.44</v>
      </c>
      <c r="L293" s="189"/>
      <c r="M293" s="189"/>
      <c r="N293" s="189"/>
      <c r="O293" s="751">
        <f t="shared" si="258"/>
        <v>9.3289999999999998E-2</v>
      </c>
      <c r="P293" s="751">
        <f t="shared" si="259"/>
        <v>0</v>
      </c>
      <c r="Q293" s="751">
        <f>'BUS Deemed Savings Table'!I293</f>
        <v>9.3289999999999998E-2</v>
      </c>
      <c r="R293" s="752">
        <v>0</v>
      </c>
      <c r="S293" s="752"/>
      <c r="T293" s="752"/>
      <c r="U293" s="753">
        <f t="shared" si="253"/>
        <v>0</v>
      </c>
      <c r="V293" s="753">
        <f t="shared" si="254"/>
        <v>0</v>
      </c>
      <c r="W293" s="753">
        <f t="shared" si="255"/>
        <v>9.3289999999999998E-2</v>
      </c>
      <c r="X293" s="22">
        <f>'BUS Deemed Savings Table'!J293</f>
        <v>15</v>
      </c>
      <c r="Y293" s="22"/>
      <c r="Z293" s="22">
        <f t="shared" si="238"/>
        <v>15</v>
      </c>
      <c r="AA293" s="17">
        <f>'BUS Deemed Savings Table'!DG293</f>
        <v>0.97188233429455484</v>
      </c>
      <c r="AB293" s="246">
        <f>'BUS Deemed Savings Table'!K293</f>
        <v>203.83999999999992</v>
      </c>
      <c r="AC293" s="755">
        <f t="shared" si="239"/>
        <v>198.10849502260197</v>
      </c>
      <c r="AD293" s="755">
        <f t="shared" si="240"/>
        <v>0</v>
      </c>
      <c r="AE293" s="592">
        <f>'BUS Deemed Savings Table'!DI293</f>
        <v>198.10849502260197</v>
      </c>
      <c r="AF293" s="195"/>
      <c r="AG293" s="195"/>
      <c r="AH293" s="195"/>
      <c r="AI293" s="873" t="str">
        <f>'BUS Deemed Savings Table'!L293</f>
        <v>per ton</v>
      </c>
      <c r="AJ293" s="68"/>
      <c r="AX293" s="1284" t="str">
        <f t="shared" si="223"/>
        <v>Single Package or Split Sytem Unitary AC_DX 65 -135kBTUh</v>
      </c>
      <c r="AY293" s="1307"/>
      <c r="AZ293" s="1376" t="str">
        <f t="shared" si="224"/>
        <v>803350</v>
      </c>
      <c r="BA293" s="1229" t="s">
        <v>2158</v>
      </c>
      <c r="BB293" s="1229" t="s">
        <v>2158</v>
      </c>
      <c r="BC293" s="1229" t="s">
        <v>2158</v>
      </c>
      <c r="BD293" s="1229" t="s">
        <v>2158</v>
      </c>
      <c r="BE293" s="1234"/>
      <c r="BF293" s="1229" t="s">
        <v>2158</v>
      </c>
      <c r="BG293" s="1229" t="s">
        <v>2158</v>
      </c>
      <c r="BH293" s="1229" t="s">
        <v>2158</v>
      </c>
      <c r="BI293" s="1230" t="s">
        <v>2158</v>
      </c>
      <c r="BJ293" s="1234"/>
      <c r="BK293" s="1229" t="s">
        <v>2158</v>
      </c>
      <c r="BL293" s="1230" t="s">
        <v>2158</v>
      </c>
      <c r="BM293" s="1229" t="s">
        <v>2158</v>
      </c>
      <c r="BN293" s="1230" t="s">
        <v>2158</v>
      </c>
    </row>
    <row r="294" spans="1:66" x14ac:dyDescent="0.25">
      <c r="A294" s="49" t="str">
        <f t="shared" si="237"/>
        <v>803400</v>
      </c>
      <c r="B294" s="1371" t="str">
        <f>'BUS Deemed Savings Table'!C294</f>
        <v>803400_2024_12_</v>
      </c>
      <c r="C294" s="1307" t="str">
        <f>'BUS Deemed Savings Table'!G294</f>
        <v>Cooling BUS</v>
      </c>
      <c r="D294" s="1307"/>
      <c r="E294" s="1307"/>
      <c r="F294" s="1307"/>
      <c r="G294" s="1307" t="str">
        <f>'BUS Deemed Savings Table'!E294</f>
        <v>Single Package or Split Sytem Unitary AC_DX &gt;760kBTUh</v>
      </c>
      <c r="H294" s="18" t="str">
        <f>'BUS Deemed Savings Table'!D294</f>
        <v>BSS/Standard</v>
      </c>
      <c r="I294" s="750">
        <f t="shared" si="256"/>
        <v>10.35</v>
      </c>
      <c r="J294" s="750">
        <f t="shared" si="257"/>
        <v>0</v>
      </c>
      <c r="K294" s="189">
        <f>'BUS Deemed Savings Table'!F294</f>
        <v>10.35</v>
      </c>
      <c r="L294" s="189"/>
      <c r="M294" s="189"/>
      <c r="N294" s="189"/>
      <c r="O294" s="751">
        <f t="shared" si="258"/>
        <v>9.4260000000000004E-3</v>
      </c>
      <c r="P294" s="751">
        <f t="shared" si="259"/>
        <v>0</v>
      </c>
      <c r="Q294" s="751">
        <f>'BUS Deemed Savings Table'!I294</f>
        <v>9.4260000000000004E-3</v>
      </c>
      <c r="R294" s="752">
        <v>0</v>
      </c>
      <c r="S294" s="752"/>
      <c r="T294" s="752"/>
      <c r="U294" s="753">
        <f t="shared" si="253"/>
        <v>0</v>
      </c>
      <c r="V294" s="753">
        <f t="shared" si="254"/>
        <v>0</v>
      </c>
      <c r="W294" s="753">
        <f t="shared" si="255"/>
        <v>9.4260000000000004E-3</v>
      </c>
      <c r="X294" s="22">
        <f>'BUS Deemed Savings Table'!J294</f>
        <v>15</v>
      </c>
      <c r="Y294" s="22"/>
      <c r="Z294" s="22">
        <f t="shared" si="238"/>
        <v>15</v>
      </c>
      <c r="AA294" s="17">
        <f>'BUS Deemed Savings Table'!DG294</f>
        <v>1.9246002570772549</v>
      </c>
      <c r="AB294" s="246">
        <f>'BUS Deemed Savings Table'!K294</f>
        <v>10.399999999999963</v>
      </c>
      <c r="AC294" s="755">
        <f t="shared" si="239"/>
        <v>20.01584267360338</v>
      </c>
      <c r="AD294" s="755">
        <f t="shared" si="240"/>
        <v>0</v>
      </c>
      <c r="AE294" s="592">
        <f>'BUS Deemed Savings Table'!DI294</f>
        <v>20.01584267360338</v>
      </c>
      <c r="AF294" s="195"/>
      <c r="AG294" s="195"/>
      <c r="AH294" s="195"/>
      <c r="AI294" s="873" t="str">
        <f>'BUS Deemed Savings Table'!L294</f>
        <v>per ton</v>
      </c>
      <c r="AJ294" s="68"/>
      <c r="AX294" s="1284" t="str">
        <f t="shared" si="223"/>
        <v>Single Package or Split Sytem Unitary AC_DX &gt;760kBTUh</v>
      </c>
      <c r="AY294" s="1307"/>
      <c r="AZ294" s="1376" t="str">
        <f t="shared" si="224"/>
        <v>803400</v>
      </c>
      <c r="BA294" s="1229" t="s">
        <v>2158</v>
      </c>
      <c r="BB294" s="1229" t="s">
        <v>2158</v>
      </c>
      <c r="BC294" s="1229" t="s">
        <v>2158</v>
      </c>
      <c r="BD294" s="1229" t="s">
        <v>2158</v>
      </c>
      <c r="BE294" s="1234"/>
      <c r="BF294" s="1229" t="s">
        <v>2158</v>
      </c>
      <c r="BG294" s="1229" t="s">
        <v>2158</v>
      </c>
      <c r="BH294" s="1229" t="s">
        <v>2158</v>
      </c>
      <c r="BI294" s="1230" t="s">
        <v>2158</v>
      </c>
      <c r="BJ294" s="1234"/>
      <c r="BK294" s="1229" t="s">
        <v>2158</v>
      </c>
      <c r="BL294" s="1230" t="s">
        <v>2158</v>
      </c>
      <c r="BM294" s="1229" t="s">
        <v>2158</v>
      </c>
      <c r="BN294" s="1230" t="s">
        <v>2158</v>
      </c>
    </row>
    <row r="295" spans="1:66" x14ac:dyDescent="0.25">
      <c r="A295" s="49" t="str">
        <f t="shared" si="237"/>
        <v>803450</v>
      </c>
      <c r="B295" s="1371" t="str">
        <f>'BUS Deemed Savings Table'!C295</f>
        <v>803450_2024_12_</v>
      </c>
      <c r="C295" s="1307" t="str">
        <f>'BUS Deemed Savings Table'!G295</f>
        <v>Cooling BUS</v>
      </c>
      <c r="D295" s="1307"/>
      <c r="E295" s="1307"/>
      <c r="F295" s="1307"/>
      <c r="G295" s="1307" t="str">
        <f>'BUS Deemed Savings Table'!E295</f>
        <v>Single Package or Split Sytem Unitary AC_DX &lt;65kBTUh</v>
      </c>
      <c r="H295" s="18" t="str">
        <f>'BUS Deemed Savings Table'!D295</f>
        <v>BSS/Standard</v>
      </c>
      <c r="I295" s="750">
        <f t="shared" si="256"/>
        <v>149.76</v>
      </c>
      <c r="J295" s="750">
        <f t="shared" si="257"/>
        <v>0</v>
      </c>
      <c r="K295" s="189">
        <f>'BUS Deemed Savings Table'!F295</f>
        <v>149.76</v>
      </c>
      <c r="L295" s="189"/>
      <c r="M295" s="189"/>
      <c r="N295" s="189"/>
      <c r="O295" s="751">
        <f t="shared" si="258"/>
        <v>0.13638400000000001</v>
      </c>
      <c r="P295" s="751">
        <f t="shared" si="259"/>
        <v>0</v>
      </c>
      <c r="Q295" s="751">
        <f>'BUS Deemed Savings Table'!I295</f>
        <v>0.13638400000000001</v>
      </c>
      <c r="R295" s="752">
        <v>0</v>
      </c>
      <c r="S295" s="752"/>
      <c r="T295" s="752"/>
      <c r="U295" s="753">
        <f t="shared" si="253"/>
        <v>0</v>
      </c>
      <c r="V295" s="753">
        <f t="shared" si="254"/>
        <v>0</v>
      </c>
      <c r="W295" s="753">
        <f t="shared" si="255"/>
        <v>0.13638400000000001</v>
      </c>
      <c r="X295" s="22">
        <f>'BUS Deemed Savings Table'!J295</f>
        <v>15</v>
      </c>
      <c r="Y295" s="22"/>
      <c r="Z295" s="22">
        <f t="shared" si="238"/>
        <v>15</v>
      </c>
      <c r="AA295" s="17">
        <f>'BUS Deemed Savings Table'!DG295</f>
        <v>1.1007165587821073</v>
      </c>
      <c r="AB295" s="246">
        <f>'BUS Deemed Savings Table'!K295</f>
        <v>263.11999999999995</v>
      </c>
      <c r="AC295" s="755">
        <f t="shared" si="239"/>
        <v>289.62054094674801</v>
      </c>
      <c r="AD295" s="755">
        <f t="shared" si="240"/>
        <v>0</v>
      </c>
      <c r="AE295" s="592">
        <f>'BUS Deemed Savings Table'!DI295</f>
        <v>289.62054094674801</v>
      </c>
      <c r="AF295" s="195"/>
      <c r="AG295" s="195"/>
      <c r="AH295" s="195"/>
      <c r="AI295" s="873" t="str">
        <f>'BUS Deemed Savings Table'!L295</f>
        <v>per ton</v>
      </c>
      <c r="AJ295" s="68"/>
      <c r="AX295" s="1284" t="str">
        <f t="shared" si="223"/>
        <v>Single Package or Split Sytem Unitary AC_DX &lt;65kBTUh</v>
      </c>
      <c r="AY295" s="1307"/>
      <c r="AZ295" s="1376" t="str">
        <f t="shared" si="224"/>
        <v>803450</v>
      </c>
      <c r="BA295" s="1229" t="s">
        <v>2158</v>
      </c>
      <c r="BB295" s="1229" t="s">
        <v>2158</v>
      </c>
      <c r="BC295" s="1229" t="s">
        <v>2158</v>
      </c>
      <c r="BD295" s="1229" t="s">
        <v>2158</v>
      </c>
      <c r="BE295" s="1234"/>
      <c r="BF295" s="1229" t="s">
        <v>2158</v>
      </c>
      <c r="BG295" s="1229" t="s">
        <v>2158</v>
      </c>
      <c r="BH295" s="1229" t="s">
        <v>2158</v>
      </c>
      <c r="BI295" s="1230" t="s">
        <v>2158</v>
      </c>
      <c r="BJ295" s="1234"/>
      <c r="BK295" s="1229" t="s">
        <v>2158</v>
      </c>
      <c r="BL295" s="1230" t="s">
        <v>2158</v>
      </c>
      <c r="BM295" s="1229" t="s">
        <v>2158</v>
      </c>
      <c r="BN295" s="1230" t="s">
        <v>2158</v>
      </c>
    </row>
    <row r="296" spans="1:66" x14ac:dyDescent="0.25">
      <c r="A296" s="49" t="str">
        <f t="shared" ref="A296" si="260">LEFT(B296,6)</f>
        <v>803500</v>
      </c>
      <c r="B296" s="1371" t="str">
        <f>'BUS Deemed Savings Table'!C313</f>
        <v>803500_2024_12_</v>
      </c>
      <c r="C296" s="1307" t="str">
        <f>'BUS Deemed Savings Table'!I313</f>
        <v>Cooling BUS</v>
      </c>
      <c r="D296" s="1307" t="str">
        <f>'BUS Deemed Savings Table'!J313</f>
        <v>Heating BUS</v>
      </c>
      <c r="E296" s="1307"/>
      <c r="F296" s="1307"/>
      <c r="G296" s="1307" t="str">
        <f>'BUS Deemed Savings Table'!E313</f>
        <v xml:space="preserve">GSHP  </v>
      </c>
      <c r="H296" s="18" t="str">
        <f>'BUS Deemed Savings Table'!D313</f>
        <v>Standard</v>
      </c>
      <c r="I296" s="750">
        <f t="shared" ref="I296" si="261">K296+L296</f>
        <v>526.24</v>
      </c>
      <c r="J296" s="750">
        <f t="shared" ref="J296" si="262">S296+T296</f>
        <v>0</v>
      </c>
      <c r="K296" s="189">
        <f>'BUS Deemed Savings Table'!G313</f>
        <v>430.9</v>
      </c>
      <c r="L296" s="189">
        <f>'BUS Deemed Savings Table'!H313</f>
        <v>95.34</v>
      </c>
      <c r="M296" s="189"/>
      <c r="N296" s="189"/>
      <c r="O296" s="751">
        <f t="shared" ref="O296" si="263">Q296+R296</f>
        <v>0.39241399999999999</v>
      </c>
      <c r="P296" s="751">
        <f t="shared" ref="P296" si="264">S296+T296</f>
        <v>0</v>
      </c>
      <c r="Q296" s="752">
        <f>'BUS Deemed Savings Table'!L313</f>
        <v>0.39241399999999999</v>
      </c>
      <c r="R296" s="752">
        <v>0</v>
      </c>
      <c r="S296" s="752"/>
      <c r="T296" s="752"/>
      <c r="U296" s="753">
        <f t="shared" ref="U296" si="265">IFERROR(IF(V296+W296&gt;0,0,IF(Z296&gt;0,O296,0)),0)</f>
        <v>0</v>
      </c>
      <c r="V296" s="753">
        <f t="shared" ref="V296" si="266">IF(W296&gt;0,0,IF(Z296&gt;9,O296,0))</f>
        <v>0</v>
      </c>
      <c r="W296" s="753">
        <f t="shared" ref="W296" si="267">IF(Z296&gt;14,O296,0)</f>
        <v>0.39241399999999999</v>
      </c>
      <c r="X296" s="22">
        <f>'BUS Deemed Savings Table'!M313</f>
        <v>15</v>
      </c>
      <c r="Y296" s="22"/>
      <c r="Z296" s="22">
        <f t="shared" ref="Z296" si="268">Y296+X296</f>
        <v>15</v>
      </c>
      <c r="AA296" s="17">
        <f>'BUS Deemed Savings Table'!DG313</f>
        <v>2.1226929220263142</v>
      </c>
      <c r="AB296" s="246">
        <f>'BUS Deemed Savings Table'!N313</f>
        <v>416</v>
      </c>
      <c r="AC296" s="755">
        <f t="shared" ref="AC296" si="269">AE296+AF296</f>
        <v>833.31658048847305</v>
      </c>
      <c r="AD296" s="755">
        <f t="shared" ref="AD296" si="270">AG296+AH296</f>
        <v>0</v>
      </c>
      <c r="AE296" s="592">
        <f>'BUS Deemed Savings Table'!DI313</f>
        <v>833.31658048847305</v>
      </c>
      <c r="AF296" s="195"/>
      <c r="AG296" s="195"/>
      <c r="AH296" s="195"/>
      <c r="AI296" s="874" t="str">
        <f>'BUS Deemed Savings Table'!O313</f>
        <v xml:space="preserve">per ton   </v>
      </c>
      <c r="AJ296" s="68"/>
      <c r="AX296" s="1284" t="str">
        <f t="shared" si="223"/>
        <v xml:space="preserve">GSHP  </v>
      </c>
      <c r="AY296" s="1307"/>
      <c r="AZ296" s="1376" t="str">
        <f t="shared" si="224"/>
        <v>803500</v>
      </c>
      <c r="BA296" s="1229" t="s">
        <v>2158</v>
      </c>
      <c r="BB296" s="1229" t="s">
        <v>2158</v>
      </c>
      <c r="BC296" s="1229" t="s">
        <v>2158</v>
      </c>
      <c r="BD296" s="1229" t="s">
        <v>2158</v>
      </c>
      <c r="BE296" s="1234"/>
      <c r="BF296" s="1229" t="s">
        <v>2158</v>
      </c>
      <c r="BG296" s="1229" t="s">
        <v>2158</v>
      </c>
      <c r="BH296" s="1229" t="s">
        <v>2158</v>
      </c>
      <c r="BI296" s="1230" t="s">
        <v>2158</v>
      </c>
      <c r="BJ296" s="1234"/>
      <c r="BK296" s="1229" t="s">
        <v>2158</v>
      </c>
      <c r="BL296" s="1230" t="s">
        <v>2158</v>
      </c>
      <c r="BM296" s="1229" t="s">
        <v>2158</v>
      </c>
      <c r="BN296" s="1230" t="s">
        <v>2158</v>
      </c>
    </row>
    <row r="297" spans="1:66" x14ac:dyDescent="0.25">
      <c r="A297" s="49" t="str">
        <f t="shared" si="237"/>
        <v>803570</v>
      </c>
      <c r="B297" s="1371" t="str">
        <f>'BUS Deemed Savings Table'!C314</f>
        <v>803570_2024_12_</v>
      </c>
      <c r="C297" s="1307" t="str">
        <f>'BUS Deemed Savings Table'!I314</f>
        <v>Cooling BUS</v>
      </c>
      <c r="D297" s="1307" t="str">
        <f>'BUS Deemed Savings Table'!J314</f>
        <v>Heating BUS</v>
      </c>
      <c r="E297" s="1307"/>
      <c r="F297" s="1307"/>
      <c r="G297" s="1307" t="str">
        <f>'BUS Deemed Savings Table'!E314</f>
        <v>WSHP &lt;17 kBTUh per ton</v>
      </c>
      <c r="H297" s="18" t="str">
        <f>'BUS Deemed Savings Table'!D314</f>
        <v>Standard</v>
      </c>
      <c r="I297" s="750">
        <f t="shared" si="256"/>
        <v>291.85000000000002</v>
      </c>
      <c r="J297" s="750">
        <f t="shared" si="257"/>
        <v>0</v>
      </c>
      <c r="K297" s="189">
        <f>'BUS Deemed Savings Table'!G314</f>
        <v>253.32</v>
      </c>
      <c r="L297" s="189">
        <f>'BUS Deemed Savings Table'!H314</f>
        <v>38.53</v>
      </c>
      <c r="M297" s="189"/>
      <c r="N297" s="189"/>
      <c r="O297" s="751">
        <f t="shared" si="258"/>
        <v>0.23069400000000001</v>
      </c>
      <c r="P297" s="751">
        <f t="shared" si="259"/>
        <v>0</v>
      </c>
      <c r="Q297" s="752">
        <f>'BUS Deemed Savings Table'!L314</f>
        <v>0.23069400000000001</v>
      </c>
      <c r="R297" s="752">
        <v>0</v>
      </c>
      <c r="S297" s="752"/>
      <c r="T297" s="752"/>
      <c r="U297" s="753">
        <f t="shared" si="253"/>
        <v>0</v>
      </c>
      <c r="V297" s="753">
        <f t="shared" si="254"/>
        <v>0</v>
      </c>
      <c r="W297" s="753">
        <f t="shared" si="255"/>
        <v>0.23069400000000001</v>
      </c>
      <c r="X297" s="22">
        <f>'BUS Deemed Savings Table'!M314</f>
        <v>15</v>
      </c>
      <c r="Y297" s="22"/>
      <c r="Z297" s="22">
        <f t="shared" si="238"/>
        <v>15</v>
      </c>
      <c r="AA297" s="17">
        <f>'BUS Deemed Savings Table'!DG314</f>
        <v>2.4518748007493518</v>
      </c>
      <c r="AB297" s="246">
        <f>'BUS Deemed Savings Table'!N314</f>
        <v>208</v>
      </c>
      <c r="AC297" s="755">
        <f t="shared" si="239"/>
        <v>489.89500155335344</v>
      </c>
      <c r="AD297" s="755">
        <f t="shared" si="240"/>
        <v>0</v>
      </c>
      <c r="AE297" s="592">
        <f>'BUS Deemed Savings Table'!DI314</f>
        <v>489.89500155335344</v>
      </c>
      <c r="AF297" s="195"/>
      <c r="AG297" s="195"/>
      <c r="AH297" s="195"/>
      <c r="AI297" s="874" t="str">
        <f>'BUS Deemed Savings Table'!O314</f>
        <v xml:space="preserve">per ton   </v>
      </c>
      <c r="AJ297" s="68"/>
      <c r="AX297" s="1284" t="str">
        <f t="shared" si="223"/>
        <v>WSHP &lt;17 kBTUh per ton</v>
      </c>
      <c r="AY297" s="1307"/>
      <c r="AZ297" s="1376" t="str">
        <f t="shared" si="224"/>
        <v>803570</v>
      </c>
      <c r="BA297" s="1229" t="s">
        <v>2158</v>
      </c>
      <c r="BB297" s="1229" t="s">
        <v>2158</v>
      </c>
      <c r="BC297" s="1229" t="s">
        <v>2158</v>
      </c>
      <c r="BD297" s="1229" t="s">
        <v>2158</v>
      </c>
      <c r="BE297" s="1234"/>
      <c r="BF297" s="1229" t="s">
        <v>2158</v>
      </c>
      <c r="BG297" s="1229" t="s">
        <v>2158</v>
      </c>
      <c r="BH297" s="1229" t="s">
        <v>2158</v>
      </c>
      <c r="BI297" s="1230" t="s">
        <v>2158</v>
      </c>
      <c r="BJ297" s="1234"/>
      <c r="BK297" s="1229" t="s">
        <v>2158</v>
      </c>
      <c r="BL297" s="1230" t="s">
        <v>2158</v>
      </c>
      <c r="BM297" s="1229" t="s">
        <v>2158</v>
      </c>
      <c r="BN297" s="1230" t="s">
        <v>2158</v>
      </c>
    </row>
    <row r="298" spans="1:66" x14ac:dyDescent="0.25">
      <c r="A298" s="49" t="str">
        <f t="shared" ref="A298:A299" si="271">LEFT(B298,6)</f>
        <v>803575</v>
      </c>
      <c r="B298" s="1371" t="str">
        <f>'BUS Deemed Savings Table'!C315</f>
        <v>803575_2024_12_</v>
      </c>
      <c r="C298" s="1307" t="str">
        <f>'BUS Deemed Savings Table'!I315</f>
        <v>Cooling BUS</v>
      </c>
      <c r="D298" s="1307" t="str">
        <f>'BUS Deemed Savings Table'!J315</f>
        <v>Heating BUS</v>
      </c>
      <c r="E298" s="1307"/>
      <c r="F298" s="1307"/>
      <c r="G298" s="1307" t="str">
        <f>'BUS Deemed Savings Table'!E315</f>
        <v>WSHP ≥17 kBTUh and &lt;65 kBTUh per ton</v>
      </c>
      <c r="H298" s="18" t="str">
        <f>'BUS Deemed Savings Table'!D315</f>
        <v>Standard</v>
      </c>
      <c r="I298" s="750">
        <f t="shared" ref="I298:I299" si="272">K298+L298</f>
        <v>228.12</v>
      </c>
      <c r="J298" s="750">
        <f t="shared" ref="J298:J299" si="273">S298+T298</f>
        <v>0</v>
      </c>
      <c r="K298" s="189">
        <f>'BUS Deemed Savings Table'!G315</f>
        <v>189.59</v>
      </c>
      <c r="L298" s="189">
        <f>'BUS Deemed Savings Table'!H315</f>
        <v>38.53</v>
      </c>
      <c r="M298" s="189"/>
      <c r="N298" s="189"/>
      <c r="O298" s="751">
        <f t="shared" ref="O298:O299" si="274">Q298+R298</f>
        <v>0.172657</v>
      </c>
      <c r="P298" s="751">
        <f t="shared" ref="P298:P299" si="275">S298+T298</f>
        <v>0</v>
      </c>
      <c r="Q298" s="752">
        <f>'BUS Deemed Savings Table'!L315</f>
        <v>0.172657</v>
      </c>
      <c r="R298" s="752">
        <v>0</v>
      </c>
      <c r="S298" s="752"/>
      <c r="T298" s="752"/>
      <c r="U298" s="753">
        <f t="shared" si="253"/>
        <v>0</v>
      </c>
      <c r="V298" s="753">
        <f t="shared" si="254"/>
        <v>0</v>
      </c>
      <c r="W298" s="753">
        <f t="shared" si="255"/>
        <v>0.172657</v>
      </c>
      <c r="X298" s="22">
        <f>'BUS Deemed Savings Table'!M315</f>
        <v>15</v>
      </c>
      <c r="Y298" s="22"/>
      <c r="Z298" s="22">
        <f t="shared" ref="Z298:Z299" si="276">Y298+X298</f>
        <v>15</v>
      </c>
      <c r="AA298" s="17">
        <f>'BUS Deemed Savings Table'!DG315</f>
        <v>1.8593396587999169</v>
      </c>
      <c r="AB298" s="246">
        <f>'BUS Deemed Savings Table'!N315</f>
        <v>208</v>
      </c>
      <c r="AC298" s="755">
        <f t="shared" ref="AC298:AC299" si="277">AE298+AF298</f>
        <v>366.64769202787102</v>
      </c>
      <c r="AD298" s="755">
        <f t="shared" ref="AD298:AD299" si="278">AG298+AH298</f>
        <v>0</v>
      </c>
      <c r="AE298" s="592">
        <f>'BUS Deemed Savings Table'!DI315</f>
        <v>366.64769202787102</v>
      </c>
      <c r="AF298" s="195"/>
      <c r="AG298" s="195"/>
      <c r="AH298" s="195"/>
      <c r="AI298" s="874" t="str">
        <f>'BUS Deemed Savings Table'!O315</f>
        <v xml:space="preserve">per ton   </v>
      </c>
      <c r="AJ298" s="68"/>
      <c r="AX298" s="1284" t="str">
        <f t="shared" ref="AX298:AX299" si="279">G298</f>
        <v>WSHP ≥17 kBTUh and &lt;65 kBTUh per ton</v>
      </c>
      <c r="AY298" s="1307"/>
      <c r="AZ298" s="1376" t="str">
        <f t="shared" ref="AZ298:AZ299" si="280">A298</f>
        <v>803575</v>
      </c>
      <c r="BA298" s="1229" t="s">
        <v>2158</v>
      </c>
      <c r="BB298" s="1229" t="s">
        <v>2158</v>
      </c>
      <c r="BC298" s="1229" t="s">
        <v>2158</v>
      </c>
      <c r="BD298" s="1229" t="s">
        <v>2158</v>
      </c>
      <c r="BE298" s="1234"/>
      <c r="BF298" s="1229" t="s">
        <v>2158</v>
      </c>
      <c r="BG298" s="1229" t="s">
        <v>2158</v>
      </c>
      <c r="BH298" s="1229" t="s">
        <v>2158</v>
      </c>
      <c r="BI298" s="1230" t="s">
        <v>2158</v>
      </c>
      <c r="BJ298" s="1234"/>
      <c r="BK298" s="1229" t="s">
        <v>2158</v>
      </c>
      <c r="BL298" s="1230" t="s">
        <v>2158</v>
      </c>
      <c r="BM298" s="1229" t="s">
        <v>2158</v>
      </c>
      <c r="BN298" s="1230" t="s">
        <v>2158</v>
      </c>
    </row>
    <row r="299" spans="1:66" x14ac:dyDescent="0.25">
      <c r="A299" s="49" t="str">
        <f t="shared" si="271"/>
        <v>803580</v>
      </c>
      <c r="B299" s="1371" t="str">
        <f>'BUS Deemed Savings Table'!C316</f>
        <v>803580_2024_12_</v>
      </c>
      <c r="C299" s="1307" t="str">
        <f>'BUS Deemed Savings Table'!I316</f>
        <v>Cooling BUS</v>
      </c>
      <c r="D299" s="1307" t="str">
        <f>'BUS Deemed Savings Table'!J316</f>
        <v>Heating BUS</v>
      </c>
      <c r="E299" s="1307"/>
      <c r="F299" s="1307"/>
      <c r="G299" s="1307" t="str">
        <f>'BUS Deemed Savings Table'!E316</f>
        <v xml:space="preserve">WSHP ≥65kBTUh and &lt;135 kBTUh per ton </v>
      </c>
      <c r="H299" s="18" t="str">
        <f>'BUS Deemed Savings Table'!D316</f>
        <v>Standard</v>
      </c>
      <c r="I299" s="750">
        <f t="shared" si="272"/>
        <v>228.12</v>
      </c>
      <c r="J299" s="750">
        <f t="shared" si="273"/>
        <v>0</v>
      </c>
      <c r="K299" s="189">
        <f>'BUS Deemed Savings Table'!G316</f>
        <v>189.59</v>
      </c>
      <c r="L299" s="189">
        <f>'BUS Deemed Savings Table'!H316</f>
        <v>38.53</v>
      </c>
      <c r="M299" s="189"/>
      <c r="N299" s="189"/>
      <c r="O299" s="751">
        <f t="shared" si="274"/>
        <v>0.172657</v>
      </c>
      <c r="P299" s="751">
        <f t="shared" si="275"/>
        <v>0</v>
      </c>
      <c r="Q299" s="752">
        <f>'BUS Deemed Savings Table'!L316</f>
        <v>0.172657</v>
      </c>
      <c r="R299" s="752">
        <v>0</v>
      </c>
      <c r="S299" s="752"/>
      <c r="T299" s="752"/>
      <c r="U299" s="753">
        <f t="shared" si="253"/>
        <v>0</v>
      </c>
      <c r="V299" s="753">
        <f t="shared" si="254"/>
        <v>0</v>
      </c>
      <c r="W299" s="753">
        <f t="shared" si="255"/>
        <v>0.172657</v>
      </c>
      <c r="X299" s="22">
        <f>'BUS Deemed Savings Table'!M316</f>
        <v>15</v>
      </c>
      <c r="Y299" s="22"/>
      <c r="Z299" s="22">
        <f t="shared" si="276"/>
        <v>15</v>
      </c>
      <c r="AA299" s="17">
        <f>'BUS Deemed Savings Table'!DG316</f>
        <v>1.8593396587999169</v>
      </c>
      <c r="AB299" s="246">
        <f>'BUS Deemed Savings Table'!N316</f>
        <v>208</v>
      </c>
      <c r="AC299" s="755">
        <f t="shared" si="277"/>
        <v>366.64769202787102</v>
      </c>
      <c r="AD299" s="755">
        <f t="shared" si="278"/>
        <v>0</v>
      </c>
      <c r="AE299" s="592">
        <f>'BUS Deemed Savings Table'!DI316</f>
        <v>366.64769202787102</v>
      </c>
      <c r="AF299" s="195"/>
      <c r="AG299" s="195"/>
      <c r="AH299" s="195"/>
      <c r="AI299" s="874" t="str">
        <f>'BUS Deemed Savings Table'!O316</f>
        <v xml:space="preserve">per ton   </v>
      </c>
      <c r="AJ299" s="68"/>
      <c r="AX299" s="1284" t="str">
        <f t="shared" si="279"/>
        <v xml:space="preserve">WSHP ≥65kBTUh and &lt;135 kBTUh per ton </v>
      </c>
      <c r="AY299" s="1307"/>
      <c r="AZ299" s="1376" t="str">
        <f t="shared" si="280"/>
        <v>803580</v>
      </c>
      <c r="BA299" s="1229" t="s">
        <v>2158</v>
      </c>
      <c r="BB299" s="1229" t="s">
        <v>2158</v>
      </c>
      <c r="BC299" s="1229" t="s">
        <v>2158</v>
      </c>
      <c r="BD299" s="1229" t="s">
        <v>2158</v>
      </c>
      <c r="BE299" s="1234"/>
      <c r="BF299" s="1229" t="s">
        <v>2158</v>
      </c>
      <c r="BG299" s="1229" t="s">
        <v>2158</v>
      </c>
      <c r="BH299" s="1229" t="s">
        <v>2158</v>
      </c>
      <c r="BI299" s="1230" t="s">
        <v>2158</v>
      </c>
      <c r="BJ299" s="1234"/>
      <c r="BK299" s="1229" t="s">
        <v>2158</v>
      </c>
      <c r="BL299" s="1230" t="s">
        <v>2158</v>
      </c>
      <c r="BM299" s="1229" t="s">
        <v>2158</v>
      </c>
      <c r="BN299" s="1230" t="s">
        <v>2158</v>
      </c>
    </row>
    <row r="300" spans="1:66" x14ac:dyDescent="0.25">
      <c r="A300" s="49" t="str">
        <f t="shared" si="237"/>
        <v>803600</v>
      </c>
      <c r="B300" s="1371" t="str">
        <f>'BUS Deemed Savings Table'!C317</f>
        <v>803600_2024_12_</v>
      </c>
      <c r="C300" s="1307" t="str">
        <f>'BUS Deemed Savings Table'!I317</f>
        <v>Cooling BUS</v>
      </c>
      <c r="D300" s="1307" t="str">
        <f>'BUS Deemed Savings Table'!J317</f>
        <v>Heating BUS</v>
      </c>
      <c r="E300" s="1307"/>
      <c r="F300" s="1307"/>
      <c r="G300" s="1307" t="str">
        <f>'BUS Deemed Savings Table'!E317</f>
        <v xml:space="preserve">ASHP ≥65kBTUh and &lt;135 kBTUh per ton </v>
      </c>
      <c r="H300" s="18" t="str">
        <f>'BUS Deemed Savings Table'!D317</f>
        <v>BSS/Standard</v>
      </c>
      <c r="I300" s="750">
        <f t="shared" si="256"/>
        <v>169.55</v>
      </c>
      <c r="J300" s="750">
        <f t="shared" si="257"/>
        <v>0</v>
      </c>
      <c r="K300" s="189">
        <f>'BUS Deemed Savings Table'!G317</f>
        <v>117.34</v>
      </c>
      <c r="L300" s="189">
        <f>'BUS Deemed Savings Table'!H317</f>
        <v>52.21</v>
      </c>
      <c r="M300" s="189"/>
      <c r="N300" s="189"/>
      <c r="O300" s="751">
        <f t="shared" si="258"/>
        <v>0.10686</v>
      </c>
      <c r="P300" s="751">
        <f t="shared" si="259"/>
        <v>0</v>
      </c>
      <c r="Q300" s="752">
        <f>'BUS Deemed Savings Table'!L317</f>
        <v>0.10686</v>
      </c>
      <c r="R300" s="752">
        <v>0</v>
      </c>
      <c r="S300" s="752"/>
      <c r="T300" s="752"/>
      <c r="U300" s="753">
        <f t="shared" si="253"/>
        <v>0</v>
      </c>
      <c r="V300" s="753">
        <f t="shared" si="254"/>
        <v>0</v>
      </c>
      <c r="W300" s="753">
        <f t="shared" si="255"/>
        <v>0.10686</v>
      </c>
      <c r="X300" s="22">
        <f>'BUS Deemed Savings Table'!M317</f>
        <v>15</v>
      </c>
      <c r="Y300" s="22"/>
      <c r="Z300" s="22">
        <f t="shared" si="238"/>
        <v>15</v>
      </c>
      <c r="AA300" s="17">
        <f>'BUS Deemed Savings Table'!DG317</f>
        <v>1.1863013651494656</v>
      </c>
      <c r="AB300" s="246">
        <f>'BUS Deemed Savings Table'!N317</f>
        <v>214.24000000000007</v>
      </c>
      <c r="AC300" s="755">
        <f t="shared" si="239"/>
        <v>226.9235728812194</v>
      </c>
      <c r="AD300" s="755">
        <f t="shared" si="240"/>
        <v>0</v>
      </c>
      <c r="AE300" s="592">
        <f>'BUS Deemed Savings Table'!DI317</f>
        <v>226.9235728812194</v>
      </c>
      <c r="AF300" s="195"/>
      <c r="AG300" s="195"/>
      <c r="AH300" s="195"/>
      <c r="AI300" s="874" t="str">
        <f>'BUS Deemed Savings Table'!O317</f>
        <v xml:space="preserve">per ton   </v>
      </c>
      <c r="AJ300" s="68"/>
      <c r="AX300" s="1284" t="str">
        <f t="shared" si="223"/>
        <v xml:space="preserve">ASHP ≥65kBTUh and &lt;135 kBTUh per ton </v>
      </c>
      <c r="AY300" s="1307"/>
      <c r="AZ300" s="1376" t="str">
        <f t="shared" si="224"/>
        <v>803600</v>
      </c>
      <c r="BA300" s="1229" t="s">
        <v>2158</v>
      </c>
      <c r="BB300" s="1229" t="s">
        <v>2158</v>
      </c>
      <c r="BC300" s="1229" t="s">
        <v>2158</v>
      </c>
      <c r="BD300" s="1229" t="s">
        <v>2158</v>
      </c>
      <c r="BE300" s="1234"/>
      <c r="BF300" s="1229" t="s">
        <v>2158</v>
      </c>
      <c r="BG300" s="1229" t="s">
        <v>2158</v>
      </c>
      <c r="BH300" s="1229" t="s">
        <v>2158</v>
      </c>
      <c r="BI300" s="1230" t="s">
        <v>2158</v>
      </c>
      <c r="BJ300" s="1234"/>
      <c r="BK300" s="1229" t="s">
        <v>2158</v>
      </c>
      <c r="BL300" s="1230" t="s">
        <v>2158</v>
      </c>
      <c r="BM300" s="1229" t="s">
        <v>2158</v>
      </c>
      <c r="BN300" s="1230" t="s">
        <v>2158</v>
      </c>
    </row>
    <row r="301" spans="1:66" x14ac:dyDescent="0.25">
      <c r="A301" s="49" t="str">
        <f t="shared" si="237"/>
        <v>803650</v>
      </c>
      <c r="B301" s="1371" t="str">
        <f>'BUS Deemed Savings Table'!C318</f>
        <v>803650_2024_12_</v>
      </c>
      <c r="C301" s="1307" t="str">
        <f>'BUS Deemed Savings Table'!I318</f>
        <v>Cooling BUS</v>
      </c>
      <c r="D301" s="1307" t="str">
        <f>'BUS Deemed Savings Table'!J318</f>
        <v>Heating BUS</v>
      </c>
      <c r="E301" s="1307"/>
      <c r="F301" s="1307"/>
      <c r="G301" s="1307" t="str">
        <f>'BUS Deemed Savings Table'!E318</f>
        <v xml:space="preserve">ASHP ≥135kBTUh and &lt;240 kBTUh per ton </v>
      </c>
      <c r="H301" s="18" t="str">
        <f>'BUS Deemed Savings Table'!D318</f>
        <v>Standard</v>
      </c>
      <c r="I301" s="750">
        <f t="shared" si="256"/>
        <v>204.57999999999998</v>
      </c>
      <c r="J301" s="750">
        <f t="shared" si="257"/>
        <v>0</v>
      </c>
      <c r="K301" s="189">
        <f>'BUS Deemed Savings Table'!G318</f>
        <v>168.14</v>
      </c>
      <c r="L301" s="189">
        <f>'BUS Deemed Savings Table'!H318</f>
        <v>36.44</v>
      </c>
      <c r="M301" s="189"/>
      <c r="N301" s="189"/>
      <c r="O301" s="751">
        <f t="shared" si="258"/>
        <v>0.15312200000000001</v>
      </c>
      <c r="P301" s="751">
        <f t="shared" si="259"/>
        <v>0</v>
      </c>
      <c r="Q301" s="752">
        <f>'BUS Deemed Savings Table'!L318</f>
        <v>0.15312200000000001</v>
      </c>
      <c r="R301" s="752">
        <v>0</v>
      </c>
      <c r="S301" s="752"/>
      <c r="T301" s="752"/>
      <c r="U301" s="753">
        <f t="shared" si="253"/>
        <v>0</v>
      </c>
      <c r="V301" s="753">
        <f t="shared" si="254"/>
        <v>0</v>
      </c>
      <c r="W301" s="753">
        <f t="shared" si="255"/>
        <v>0.15312200000000001</v>
      </c>
      <c r="X301" s="22">
        <f>'BUS Deemed Savings Table'!M318</f>
        <v>15</v>
      </c>
      <c r="Y301" s="22"/>
      <c r="Z301" s="22">
        <f t="shared" si="238"/>
        <v>15</v>
      </c>
      <c r="AA301" s="17">
        <f>'BUS Deemed Savings Table'!DG318</f>
        <v>1.1571090659381082</v>
      </c>
      <c r="AB301" s="246">
        <f>'BUS Deemed Savings Table'!N318</f>
        <v>297.43999999999994</v>
      </c>
      <c r="AC301" s="755">
        <f t="shared" si="239"/>
        <v>325.16558329851904</v>
      </c>
      <c r="AD301" s="755">
        <f t="shared" si="240"/>
        <v>0</v>
      </c>
      <c r="AE301" s="592">
        <f>'BUS Deemed Savings Table'!DI318</f>
        <v>325.16558329851904</v>
      </c>
      <c r="AF301" s="195"/>
      <c r="AG301" s="195"/>
      <c r="AH301" s="195"/>
      <c r="AI301" s="874" t="str">
        <f>'BUS Deemed Savings Table'!O318</f>
        <v xml:space="preserve">per ton   </v>
      </c>
      <c r="AJ301" s="68"/>
      <c r="AX301" s="1284" t="str">
        <f t="shared" si="223"/>
        <v xml:space="preserve">ASHP ≥135kBTUh and &lt;240 kBTUh per ton </v>
      </c>
      <c r="AY301" s="1307"/>
      <c r="AZ301" s="1376" t="str">
        <f t="shared" si="224"/>
        <v>803650</v>
      </c>
      <c r="BA301" s="1229" t="s">
        <v>2158</v>
      </c>
      <c r="BB301" s="1229" t="s">
        <v>2158</v>
      </c>
      <c r="BC301" s="1229" t="s">
        <v>2158</v>
      </c>
      <c r="BD301" s="1229" t="s">
        <v>2158</v>
      </c>
      <c r="BE301" s="1234"/>
      <c r="BF301" s="1229" t="s">
        <v>2158</v>
      </c>
      <c r="BG301" s="1229" t="s">
        <v>2158</v>
      </c>
      <c r="BH301" s="1229" t="s">
        <v>2158</v>
      </c>
      <c r="BI301" s="1230" t="s">
        <v>2158</v>
      </c>
      <c r="BJ301" s="1234"/>
      <c r="BK301" s="1229" t="s">
        <v>2158</v>
      </c>
      <c r="BL301" s="1230" t="s">
        <v>2158</v>
      </c>
      <c r="BM301" s="1229" t="s">
        <v>2158</v>
      </c>
      <c r="BN301" s="1230" t="s">
        <v>2158</v>
      </c>
    </row>
    <row r="302" spans="1:66" x14ac:dyDescent="0.25">
      <c r="A302" s="49" t="str">
        <f t="shared" si="237"/>
        <v>803700</v>
      </c>
      <c r="B302" s="1371" t="str">
        <f>'BUS Deemed Savings Table'!C319</f>
        <v>803700_2024_12_</v>
      </c>
      <c r="C302" s="1307" t="str">
        <f>'BUS Deemed Savings Table'!I319</f>
        <v>Cooling BUS</v>
      </c>
      <c r="D302" s="1307" t="str">
        <f>'BUS Deemed Savings Table'!J319</f>
        <v>Heating BUS</v>
      </c>
      <c r="E302" s="1307"/>
      <c r="F302" s="1307"/>
      <c r="G302" s="1307" t="str">
        <f>'BUS Deemed Savings Table'!E319</f>
        <v>ASHP &gt;240kBTUh per ton</v>
      </c>
      <c r="H302" s="18" t="str">
        <f>'BUS Deemed Savings Table'!D319</f>
        <v>BSS/Standard</v>
      </c>
      <c r="I302" s="750">
        <f t="shared" si="256"/>
        <v>386.41999999999996</v>
      </c>
      <c r="J302" s="750">
        <f t="shared" si="257"/>
        <v>0</v>
      </c>
      <c r="K302" s="189">
        <f>'BUS Deemed Savings Table'!G319</f>
        <v>327.64999999999998</v>
      </c>
      <c r="L302" s="189">
        <f>'BUS Deemed Savings Table'!H319</f>
        <v>58.77</v>
      </c>
      <c r="M302" s="189"/>
      <c r="N302" s="189"/>
      <c r="O302" s="751">
        <f t="shared" si="258"/>
        <v>0.29838599999999998</v>
      </c>
      <c r="P302" s="751">
        <f t="shared" si="259"/>
        <v>0</v>
      </c>
      <c r="Q302" s="752">
        <f>'BUS Deemed Savings Table'!L319</f>
        <v>0.29838599999999998</v>
      </c>
      <c r="R302" s="752">
        <v>0</v>
      </c>
      <c r="S302" s="752"/>
      <c r="T302" s="752"/>
      <c r="U302" s="753">
        <f t="shared" si="253"/>
        <v>0</v>
      </c>
      <c r="V302" s="753">
        <f t="shared" si="254"/>
        <v>0</v>
      </c>
      <c r="W302" s="753">
        <f t="shared" si="255"/>
        <v>0.29838599999999998</v>
      </c>
      <c r="X302" s="22">
        <f>'BUS Deemed Savings Table'!M319</f>
        <v>15</v>
      </c>
      <c r="Y302" s="22"/>
      <c r="Z302" s="22">
        <f t="shared" si="238"/>
        <v>15</v>
      </c>
      <c r="AA302" s="17">
        <f>'BUS Deemed Savings Table'!DG319</f>
        <v>1.5968571291906939</v>
      </c>
      <c r="AB302" s="246">
        <f>'BUS Deemed Savings Table'!N319</f>
        <v>416</v>
      </c>
      <c r="AC302" s="755">
        <f t="shared" si="239"/>
        <v>633.64162821315438</v>
      </c>
      <c r="AD302" s="755">
        <f t="shared" si="240"/>
        <v>0</v>
      </c>
      <c r="AE302" s="592">
        <f>'BUS Deemed Savings Table'!DI319</f>
        <v>633.64162821315438</v>
      </c>
      <c r="AF302" s="195"/>
      <c r="AG302" s="195"/>
      <c r="AH302" s="195"/>
      <c r="AI302" s="874" t="str">
        <f>'BUS Deemed Savings Table'!O319</f>
        <v xml:space="preserve">per ton   </v>
      </c>
      <c r="AJ302" s="68"/>
      <c r="AX302" s="1284" t="str">
        <f t="shared" si="223"/>
        <v>ASHP &gt;240kBTUh per ton</v>
      </c>
      <c r="AY302" s="1307"/>
      <c r="AZ302" s="1376" t="str">
        <f t="shared" si="224"/>
        <v>803700</v>
      </c>
      <c r="BA302" s="1229" t="s">
        <v>2158</v>
      </c>
      <c r="BB302" s="1229" t="s">
        <v>2158</v>
      </c>
      <c r="BC302" s="1229" t="s">
        <v>2158</v>
      </c>
      <c r="BD302" s="1229" t="s">
        <v>2158</v>
      </c>
      <c r="BE302" s="1234"/>
      <c r="BF302" s="1229" t="s">
        <v>2158</v>
      </c>
      <c r="BG302" s="1229" t="s">
        <v>2158</v>
      </c>
      <c r="BH302" s="1229" t="s">
        <v>2158</v>
      </c>
      <c r="BI302" s="1230" t="s">
        <v>2158</v>
      </c>
      <c r="BJ302" s="1234"/>
      <c r="BK302" s="1229" t="s">
        <v>2158</v>
      </c>
      <c r="BL302" s="1230" t="s">
        <v>2158</v>
      </c>
      <c r="BM302" s="1229" t="s">
        <v>2158</v>
      </c>
      <c r="BN302" s="1230" t="s">
        <v>2158</v>
      </c>
    </row>
    <row r="303" spans="1:66" s="39" customFormat="1" x14ac:dyDescent="0.25">
      <c r="A303" s="49" t="str">
        <f t="shared" si="237"/>
        <v>803750</v>
      </c>
      <c r="B303" s="1371" t="str">
        <f>'BUS Deemed Savings Table'!C320</f>
        <v>803750_2024_12_</v>
      </c>
      <c r="C303" s="1307" t="str">
        <f>'BUS Deemed Savings Table'!I320</f>
        <v>Cooling BUS</v>
      </c>
      <c r="D303" s="1307" t="str">
        <f>'BUS Deemed Savings Table'!J320</f>
        <v>Heating BUS</v>
      </c>
      <c r="E303" s="1307"/>
      <c r="F303" s="1307"/>
      <c r="G303" s="1307" t="str">
        <f>'BUS Deemed Savings Table'!E320</f>
        <v xml:space="preserve">ASHP &lt;65kBTUh per ton </v>
      </c>
      <c r="H303" s="18" t="str">
        <f>'BUS Deemed Savings Table'!D320</f>
        <v>BSS/Standard</v>
      </c>
      <c r="I303" s="750">
        <f t="shared" si="256"/>
        <v>223.37</v>
      </c>
      <c r="J303" s="750">
        <f t="shared" si="257"/>
        <v>0</v>
      </c>
      <c r="K303" s="189">
        <f>'BUS Deemed Savings Table'!G320</f>
        <v>158.13999999999999</v>
      </c>
      <c r="L303" s="189">
        <f>'BUS Deemed Savings Table'!H320</f>
        <v>65.23</v>
      </c>
      <c r="M303" s="189"/>
      <c r="N303" s="189"/>
      <c r="O303" s="751">
        <f t="shared" si="258"/>
        <v>0.14401600000000001</v>
      </c>
      <c r="P303" s="751">
        <f t="shared" si="259"/>
        <v>0</v>
      </c>
      <c r="Q303" s="752">
        <f>'BUS Deemed Savings Table'!L320</f>
        <v>0.14401600000000001</v>
      </c>
      <c r="R303" s="752">
        <v>0</v>
      </c>
      <c r="S303" s="752"/>
      <c r="T303" s="752"/>
      <c r="U303" s="753">
        <f t="shared" si="253"/>
        <v>0</v>
      </c>
      <c r="V303" s="753">
        <f t="shared" si="254"/>
        <v>0</v>
      </c>
      <c r="W303" s="753">
        <f t="shared" si="255"/>
        <v>0.14401600000000001</v>
      </c>
      <c r="X303" s="22">
        <f>'BUS Deemed Savings Table'!M320</f>
        <v>15</v>
      </c>
      <c r="Y303" s="22"/>
      <c r="Z303" s="22">
        <f t="shared" si="238"/>
        <v>15</v>
      </c>
      <c r="AA303" s="17">
        <f>'BUS Deemed Savings Table'!DG320</f>
        <v>1.2102802503129362</v>
      </c>
      <c r="AB303" s="246">
        <f>'BUS Deemed Savings Table'!N320</f>
        <v>280.80000000000013</v>
      </c>
      <c r="AC303" s="755">
        <f t="shared" si="239"/>
        <v>305.82660486991676</v>
      </c>
      <c r="AD303" s="755">
        <f t="shared" si="240"/>
        <v>0</v>
      </c>
      <c r="AE303" s="592">
        <f>'BUS Deemed Savings Table'!DI320</f>
        <v>305.82660486991676</v>
      </c>
      <c r="AF303" s="195"/>
      <c r="AG303" s="195"/>
      <c r="AH303" s="195"/>
      <c r="AI303" s="874" t="str">
        <f>'BUS Deemed Savings Table'!O320</f>
        <v xml:space="preserve">per ton   </v>
      </c>
      <c r="AJ303" s="68"/>
      <c r="AK303"/>
      <c r="AL303"/>
      <c r="AM303"/>
      <c r="AN303"/>
      <c r="AO303"/>
      <c r="AP303"/>
      <c r="AQ303"/>
      <c r="AR303"/>
      <c r="AS303"/>
      <c r="AT303"/>
      <c r="AU303"/>
      <c r="AV303"/>
      <c r="AW303"/>
      <c r="AX303" s="1284" t="str">
        <f t="shared" si="223"/>
        <v xml:space="preserve">ASHP &lt;65kBTUh per ton </v>
      </c>
      <c r="AY303" s="1307"/>
      <c r="AZ303" s="1376" t="str">
        <f t="shared" si="224"/>
        <v>803750</v>
      </c>
      <c r="BA303" s="1229" t="s">
        <v>2158</v>
      </c>
      <c r="BB303" s="1229" t="s">
        <v>2158</v>
      </c>
      <c r="BC303" s="1229" t="s">
        <v>2158</v>
      </c>
      <c r="BD303" s="1229" t="s">
        <v>2158</v>
      </c>
      <c r="BE303" s="1235"/>
      <c r="BF303" s="1229" t="s">
        <v>2158</v>
      </c>
      <c r="BG303" s="1229" t="s">
        <v>2158</v>
      </c>
      <c r="BH303" s="1229" t="s">
        <v>2158</v>
      </c>
      <c r="BI303" s="1230" t="s">
        <v>2158</v>
      </c>
      <c r="BJ303" s="1234"/>
      <c r="BK303" s="1229" t="s">
        <v>2158</v>
      </c>
      <c r="BL303" s="1230" t="s">
        <v>2158</v>
      </c>
      <c r="BM303" s="1229" t="s">
        <v>2158</v>
      </c>
      <c r="BN303" s="1230" t="s">
        <v>2158</v>
      </c>
    </row>
    <row r="304" spans="1:66" x14ac:dyDescent="0.25">
      <c r="A304" s="49" t="str">
        <f t="shared" si="237"/>
        <v>803800</v>
      </c>
      <c r="B304" s="1371" t="str">
        <f>'BUS Deemed Savings Table'!C342</f>
        <v>803800_2024_12_</v>
      </c>
      <c r="C304" s="1307" t="str">
        <f>'BUS Deemed Savings Table'!G342</f>
        <v>Cooling BUS</v>
      </c>
      <c r="D304" s="1307"/>
      <c r="E304" s="1307"/>
      <c r="F304" s="1307"/>
      <c r="G304" s="1307" t="str">
        <f>'BUS Deemed Savings Table'!E342</f>
        <v>Air Cooled Chiller</v>
      </c>
      <c r="H304" s="18" t="str">
        <f>'BUS Deemed Savings Table'!D342</f>
        <v>BSS/Standard</v>
      </c>
      <c r="I304" s="750">
        <f t="shared" si="256"/>
        <v>321.48</v>
      </c>
      <c r="J304" s="750">
        <f t="shared" si="257"/>
        <v>0</v>
      </c>
      <c r="K304" s="189">
        <f>'BUS Deemed Savings Table'!F342</f>
        <v>321.48</v>
      </c>
      <c r="L304" s="189"/>
      <c r="M304" s="189"/>
      <c r="N304" s="189"/>
      <c r="O304" s="751">
        <f t="shared" si="258"/>
        <v>0.292767</v>
      </c>
      <c r="P304" s="751">
        <f t="shared" si="259"/>
        <v>0</v>
      </c>
      <c r="Q304" s="751">
        <f>'BUS Deemed Savings Table'!I342</f>
        <v>0.292767</v>
      </c>
      <c r="R304" s="752">
        <v>0</v>
      </c>
      <c r="S304" s="752"/>
      <c r="T304" s="752"/>
      <c r="U304" s="753">
        <f t="shared" si="253"/>
        <v>0</v>
      </c>
      <c r="V304" s="753">
        <f t="shared" si="254"/>
        <v>0</v>
      </c>
      <c r="W304" s="753">
        <f t="shared" si="255"/>
        <v>0.292767</v>
      </c>
      <c r="X304" s="22">
        <f>'BUS Deemed Savings Table'!J342</f>
        <v>23</v>
      </c>
      <c r="Y304" s="22"/>
      <c r="Z304" s="22">
        <f t="shared" si="238"/>
        <v>23</v>
      </c>
      <c r="AA304" s="17">
        <f>'BUS Deemed Savings Table'!DG342</f>
        <v>0.94937896665443189</v>
      </c>
      <c r="AB304" s="246">
        <f>'BUS Deemed Savings Table'!K342</f>
        <v>854.83204137359746</v>
      </c>
      <c r="AC304" s="755">
        <f t="shared" si="239"/>
        <v>811.55956010236457</v>
      </c>
      <c r="AD304" s="755">
        <f t="shared" si="240"/>
        <v>0</v>
      </c>
      <c r="AE304" s="592">
        <f>'BUS Deemed Savings Table'!DI342</f>
        <v>811.55956010236457</v>
      </c>
      <c r="AF304" s="195"/>
      <c r="AG304" s="195"/>
      <c r="AH304" s="195"/>
      <c r="AI304" s="873" t="str">
        <f>'BUS Deemed Savings Table'!L342</f>
        <v>per ton</v>
      </c>
      <c r="AJ304" s="68"/>
      <c r="AX304" s="1284" t="str">
        <f t="shared" si="223"/>
        <v>Air Cooled Chiller</v>
      </c>
      <c r="AY304" s="1307"/>
      <c r="AZ304" s="1376" t="str">
        <f t="shared" si="224"/>
        <v>803800</v>
      </c>
      <c r="BA304" s="1229" t="s">
        <v>2158</v>
      </c>
      <c r="BB304" s="1229" t="s">
        <v>2158</v>
      </c>
      <c r="BC304" s="1229" t="s">
        <v>2158</v>
      </c>
      <c r="BD304" s="1229" t="s">
        <v>2158</v>
      </c>
      <c r="BE304" s="1234"/>
      <c r="BF304" s="1229" t="s">
        <v>2158</v>
      </c>
      <c r="BG304" s="1229" t="s">
        <v>2158</v>
      </c>
      <c r="BH304" s="1229" t="s">
        <v>2158</v>
      </c>
      <c r="BI304" s="1230" t="s">
        <v>2158</v>
      </c>
      <c r="BJ304" s="1234"/>
      <c r="BK304" s="1229" t="s">
        <v>2158</v>
      </c>
      <c r="BL304" s="1230" t="s">
        <v>2158</v>
      </c>
      <c r="BM304" s="1229" t="s">
        <v>2158</v>
      </c>
      <c r="BN304" s="1230" t="s">
        <v>2158</v>
      </c>
    </row>
    <row r="305" spans="1:66" x14ac:dyDescent="0.25">
      <c r="A305" s="49" t="str">
        <f t="shared" si="237"/>
        <v>803810</v>
      </c>
      <c r="B305" s="1371" t="str">
        <f>'BUS Deemed Savings Table'!C343</f>
        <v>803810_2024_12_</v>
      </c>
      <c r="C305" s="1307" t="str">
        <f>'BUS Deemed Savings Table'!G343</f>
        <v>Cooling BUS</v>
      </c>
      <c r="D305" s="1307"/>
      <c r="E305" s="1307"/>
      <c r="F305" s="1307"/>
      <c r="G305" s="1307" t="str">
        <f>'BUS Deemed Savings Table'!E343</f>
        <v>Water Cooled Chiller</v>
      </c>
      <c r="H305" s="18" t="str">
        <f>'BUS Deemed Savings Table'!D343</f>
        <v>Standard</v>
      </c>
      <c r="I305" s="750">
        <f t="shared" si="256"/>
        <v>113.72</v>
      </c>
      <c r="J305" s="750">
        <f t="shared" si="257"/>
        <v>0</v>
      </c>
      <c r="K305" s="189">
        <f>'BUS Deemed Savings Table'!F343</f>
        <v>113.72</v>
      </c>
      <c r="L305" s="189"/>
      <c r="M305" s="189"/>
      <c r="N305" s="189"/>
      <c r="O305" s="751">
        <f t="shared" si="258"/>
        <v>0.103563</v>
      </c>
      <c r="P305" s="751">
        <f t="shared" si="259"/>
        <v>0</v>
      </c>
      <c r="Q305" s="751">
        <f>'BUS Deemed Savings Table'!I343</f>
        <v>0.103563</v>
      </c>
      <c r="R305" s="752">
        <v>0</v>
      </c>
      <c r="S305" s="752"/>
      <c r="T305" s="752"/>
      <c r="U305" s="753">
        <f t="shared" si="253"/>
        <v>0</v>
      </c>
      <c r="V305" s="753">
        <f t="shared" si="254"/>
        <v>0</v>
      </c>
      <c r="W305" s="753">
        <f t="shared" si="255"/>
        <v>0.103563</v>
      </c>
      <c r="X305" s="22">
        <f>'BUS Deemed Savings Table'!J343</f>
        <v>23</v>
      </c>
      <c r="Y305" s="22"/>
      <c r="Z305" s="22">
        <f t="shared" si="238"/>
        <v>23</v>
      </c>
      <c r="AA305" s="17">
        <f>'BUS Deemed Savings Table'!DG343</f>
        <v>0.75947151480323571</v>
      </c>
      <c r="AB305" s="246">
        <f>'BUS Deemed Savings Table'!K343</f>
        <v>377.99999999999994</v>
      </c>
      <c r="AC305" s="755">
        <f t="shared" si="239"/>
        <v>287.08023259562304</v>
      </c>
      <c r="AD305" s="755">
        <f t="shared" si="240"/>
        <v>0</v>
      </c>
      <c r="AE305" s="592">
        <f>'BUS Deemed Savings Table'!DI343</f>
        <v>287.08023259562304</v>
      </c>
      <c r="AF305" s="195"/>
      <c r="AG305" s="195"/>
      <c r="AH305" s="195"/>
      <c r="AI305" s="873" t="str">
        <f>'BUS Deemed Savings Table'!L343</f>
        <v>per ton</v>
      </c>
      <c r="AJ305" s="656"/>
      <c r="AK305" s="39"/>
      <c r="AL305" s="39"/>
      <c r="AX305" s="1284" t="str">
        <f t="shared" si="223"/>
        <v>Water Cooled Chiller</v>
      </c>
      <c r="AY305" s="1307"/>
      <c r="AZ305" s="1376" t="str">
        <f t="shared" si="224"/>
        <v>803810</v>
      </c>
      <c r="BA305" s="1229" t="s">
        <v>2158</v>
      </c>
      <c r="BB305" s="1229" t="s">
        <v>2158</v>
      </c>
      <c r="BC305" s="1229" t="s">
        <v>2158</v>
      </c>
      <c r="BD305" s="1229" t="s">
        <v>2158</v>
      </c>
      <c r="BE305" s="1234"/>
      <c r="BF305" s="1229" t="s">
        <v>2158</v>
      </c>
      <c r="BG305" s="1229" t="s">
        <v>2158</v>
      </c>
      <c r="BH305" s="1229" t="s">
        <v>2158</v>
      </c>
      <c r="BI305" s="1230" t="s">
        <v>2158</v>
      </c>
      <c r="BJ305" s="1234"/>
      <c r="BK305" s="1229" t="s">
        <v>2158</v>
      </c>
      <c r="BL305" s="1230" t="s">
        <v>2158</v>
      </c>
      <c r="BM305" s="1229" t="s">
        <v>2158</v>
      </c>
      <c r="BN305" s="1230" t="s">
        <v>2158</v>
      </c>
    </row>
    <row r="306" spans="1:66" x14ac:dyDescent="0.25">
      <c r="A306" s="49" t="str">
        <f t="shared" si="237"/>
        <v>804300</v>
      </c>
      <c r="B306" s="1371" t="str">
        <f>'BUS Deemed Savings Table'!C363</f>
        <v>804300_2024_12_</v>
      </c>
      <c r="C306" s="1307" t="str">
        <f>'BUS Deemed Savings Table'!G363</f>
        <v>Air Comp BUS</v>
      </c>
      <c r="D306" s="1307"/>
      <c r="E306" s="1307"/>
      <c r="F306" s="1307"/>
      <c r="G306" s="1307" t="str">
        <f>'BUS Deemed Savings Table'!E363</f>
        <v>No Loss Condensate Drain (Reciprocating - On/off Control)</v>
      </c>
      <c r="H306" s="18" t="str">
        <f>'BUS Deemed Savings Table'!D363</f>
        <v>Standard</v>
      </c>
      <c r="I306" s="750">
        <f>'BUS Deemed Savings Table'!F363</f>
        <v>3272.26</v>
      </c>
      <c r="J306" s="750"/>
      <c r="K306" s="189"/>
      <c r="L306" s="189"/>
      <c r="M306" s="189"/>
      <c r="N306" s="189"/>
      <c r="O306" s="751">
        <f>'BUS Deemed Savings Table'!I363</f>
        <v>0.45138800000000001</v>
      </c>
      <c r="P306" s="751"/>
      <c r="Q306" s="752"/>
      <c r="R306" s="752"/>
      <c r="S306" s="752"/>
      <c r="T306" s="752"/>
      <c r="U306" s="753">
        <f t="shared" si="253"/>
        <v>0</v>
      </c>
      <c r="V306" s="753">
        <f t="shared" si="254"/>
        <v>0.45138800000000001</v>
      </c>
      <c r="W306" s="753">
        <f t="shared" si="255"/>
        <v>0</v>
      </c>
      <c r="X306" s="22">
        <f>'BUS Deemed Savings Table'!J363</f>
        <v>13</v>
      </c>
      <c r="Y306" s="22"/>
      <c r="Z306" s="22">
        <f t="shared" si="238"/>
        <v>13</v>
      </c>
      <c r="AA306" s="17">
        <f>'BUS Deemed Savings Table'!DG363</f>
        <v>2.718076455610043</v>
      </c>
      <c r="AB306" s="246">
        <f>'BUS Deemed Savings Table'!K363</f>
        <v>778</v>
      </c>
      <c r="AC306" s="755">
        <f t="shared" si="239"/>
        <v>2114.6634824646135</v>
      </c>
      <c r="AD306" s="755">
        <f t="shared" si="240"/>
        <v>0</v>
      </c>
      <c r="AE306" s="592">
        <f>'BUS Deemed Savings Table'!DI363</f>
        <v>2114.6634824646135</v>
      </c>
      <c r="AF306" s="195"/>
      <c r="AG306" s="195"/>
      <c r="AH306" s="195"/>
      <c r="AI306" s="873" t="str">
        <f>'BUS Deemed Savings Table'!L363</f>
        <v>per measure</v>
      </c>
      <c r="AJ306" s="68"/>
      <c r="AX306" s="1284" t="str">
        <f t="shared" si="223"/>
        <v>No Loss Condensate Drain (Reciprocating - On/off Control)</v>
      </c>
      <c r="AY306" s="1307"/>
      <c r="AZ306" s="1376" t="str">
        <f t="shared" si="224"/>
        <v>804300</v>
      </c>
      <c r="BA306" s="1229" t="s">
        <v>2158</v>
      </c>
      <c r="BB306" s="1229" t="s">
        <v>2158</v>
      </c>
      <c r="BC306" s="1229" t="s">
        <v>2158</v>
      </c>
      <c r="BD306" s="1229" t="s">
        <v>2158</v>
      </c>
      <c r="BE306" s="1234"/>
      <c r="BF306" s="1229" t="s">
        <v>2158</v>
      </c>
      <c r="BG306" s="1229" t="s">
        <v>2158</v>
      </c>
      <c r="BH306" s="1229" t="s">
        <v>2158</v>
      </c>
      <c r="BI306" s="1230" t="s">
        <v>2158</v>
      </c>
      <c r="BJ306" s="1234"/>
      <c r="BK306" s="1229" t="s">
        <v>2158</v>
      </c>
      <c r="BL306" s="1230" t="s">
        <v>2158</v>
      </c>
      <c r="BM306" s="1229" t="s">
        <v>2158</v>
      </c>
      <c r="BN306" s="1230" t="s">
        <v>2158</v>
      </c>
    </row>
    <row r="307" spans="1:66" x14ac:dyDescent="0.25">
      <c r="A307" s="49" t="str">
        <f t="shared" si="237"/>
        <v>804350</v>
      </c>
      <c r="B307" s="1371" t="str">
        <f>'BUS Deemed Savings Table'!C364</f>
        <v>804350_2024_12_</v>
      </c>
      <c r="C307" s="1307" t="str">
        <f>'BUS Deemed Savings Table'!G364</f>
        <v>Air Comp BUS</v>
      </c>
      <c r="D307" s="1307"/>
      <c r="E307" s="1307"/>
      <c r="F307" s="1307"/>
      <c r="G307" s="1307" t="str">
        <f>'BUS Deemed Savings Table'!E364</f>
        <v>No Loss Condensate Drain (Reciprocating - Load/Unload)</v>
      </c>
      <c r="H307" s="18" t="str">
        <f>'BUS Deemed Savings Table'!D364</f>
        <v>Standard</v>
      </c>
      <c r="I307" s="750">
        <f>'BUS Deemed Savings Table'!F364</f>
        <v>2418.62</v>
      </c>
      <c r="J307" s="750"/>
      <c r="K307" s="189"/>
      <c r="L307" s="189"/>
      <c r="M307" s="189"/>
      <c r="N307" s="189"/>
      <c r="O307" s="751">
        <f>'BUS Deemed Savings Table'!I364</f>
        <v>0.33363399999999999</v>
      </c>
      <c r="P307" s="751"/>
      <c r="Q307" s="752"/>
      <c r="R307" s="752"/>
      <c r="S307" s="752"/>
      <c r="T307" s="752"/>
      <c r="U307" s="753">
        <f t="shared" si="253"/>
        <v>0</v>
      </c>
      <c r="V307" s="753">
        <f t="shared" si="254"/>
        <v>0.33363399999999999</v>
      </c>
      <c r="W307" s="753">
        <f t="shared" si="255"/>
        <v>0</v>
      </c>
      <c r="X307" s="22">
        <f>'BUS Deemed Savings Table'!J364</f>
        <v>13</v>
      </c>
      <c r="Y307" s="22"/>
      <c r="Z307" s="22">
        <f t="shared" si="238"/>
        <v>13</v>
      </c>
      <c r="AA307" s="17">
        <f>'BUS Deemed Savings Table'!DG364</f>
        <v>2.0090072540285804</v>
      </c>
      <c r="AB307" s="246">
        <f>'BUS Deemed Savings Table'!K364</f>
        <v>778</v>
      </c>
      <c r="AC307" s="755">
        <f t="shared" si="239"/>
        <v>1563.0076436342354</v>
      </c>
      <c r="AD307" s="755">
        <f t="shared" si="240"/>
        <v>0</v>
      </c>
      <c r="AE307" s="592">
        <f>'BUS Deemed Savings Table'!DI364</f>
        <v>1563.0076436342354</v>
      </c>
      <c r="AF307" s="195"/>
      <c r="AG307" s="195"/>
      <c r="AH307" s="195"/>
      <c r="AI307" s="873" t="str">
        <f>'BUS Deemed Savings Table'!L364</f>
        <v>per measure</v>
      </c>
      <c r="AJ307" s="68"/>
      <c r="AX307" s="1284" t="str">
        <f t="shared" si="223"/>
        <v>No Loss Condensate Drain (Reciprocating - Load/Unload)</v>
      </c>
      <c r="AY307" s="1307"/>
      <c r="AZ307" s="1376" t="str">
        <f t="shared" si="224"/>
        <v>804350</v>
      </c>
      <c r="BA307" s="1229" t="s">
        <v>2158</v>
      </c>
      <c r="BB307" s="1229" t="s">
        <v>2158</v>
      </c>
      <c r="BC307" s="1229" t="s">
        <v>2158</v>
      </c>
      <c r="BD307" s="1229" t="s">
        <v>2158</v>
      </c>
      <c r="BE307" s="1234"/>
      <c r="BF307" s="1229" t="s">
        <v>2158</v>
      </c>
      <c r="BG307" s="1229" t="s">
        <v>2158</v>
      </c>
      <c r="BH307" s="1229" t="s">
        <v>2158</v>
      </c>
      <c r="BI307" s="1230" t="s">
        <v>2158</v>
      </c>
      <c r="BJ307" s="1234"/>
      <c r="BK307" s="1229" t="s">
        <v>2158</v>
      </c>
      <c r="BL307" s="1230" t="s">
        <v>2158</v>
      </c>
      <c r="BM307" s="1229" t="s">
        <v>2158</v>
      </c>
      <c r="BN307" s="1230" t="s">
        <v>2158</v>
      </c>
    </row>
    <row r="308" spans="1:66" x14ac:dyDescent="0.25">
      <c r="A308" s="49" t="str">
        <f t="shared" si="237"/>
        <v>804400</v>
      </c>
      <c r="B308" s="1371" t="str">
        <f>'BUS Deemed Savings Table'!C365</f>
        <v>804400_2024_12_</v>
      </c>
      <c r="C308" s="1307" t="str">
        <f>'BUS Deemed Savings Table'!G365</f>
        <v>Air Comp BUS</v>
      </c>
      <c r="D308" s="1307"/>
      <c r="E308" s="1307"/>
      <c r="F308" s="1307"/>
      <c r="G308" s="1307" t="str">
        <f>'BUS Deemed Savings Table'!E365</f>
        <v>No Loss Condensate Drain (Screw - Load/Unload)</v>
      </c>
      <c r="H308" s="18" t="str">
        <f>'BUS Deemed Savings Table'!D365</f>
        <v>Standard</v>
      </c>
      <c r="I308" s="750">
        <f>'BUS Deemed Savings Table'!F365</f>
        <v>2703.17</v>
      </c>
      <c r="J308" s="750"/>
      <c r="K308" s="189"/>
      <c r="L308" s="189"/>
      <c r="M308" s="189"/>
      <c r="N308" s="189"/>
      <c r="O308" s="751">
        <f>'BUS Deemed Savings Table'!I365</f>
        <v>0.372886</v>
      </c>
      <c r="P308" s="751"/>
      <c r="Q308" s="752"/>
      <c r="R308" s="752"/>
      <c r="S308" s="752"/>
      <c r="T308" s="752"/>
      <c r="U308" s="753">
        <f t="shared" si="253"/>
        <v>0</v>
      </c>
      <c r="V308" s="753">
        <f t="shared" si="254"/>
        <v>0.372886</v>
      </c>
      <c r="W308" s="753">
        <f t="shared" si="255"/>
        <v>0</v>
      </c>
      <c r="X308" s="22">
        <f>'BUS Deemed Savings Table'!J365</f>
        <v>13</v>
      </c>
      <c r="Y308" s="22"/>
      <c r="Z308" s="22">
        <f t="shared" si="238"/>
        <v>13</v>
      </c>
      <c r="AA308" s="17">
        <f>'BUS Deemed Savings Table'!DG365</f>
        <v>2.2453664233622632</v>
      </c>
      <c r="AB308" s="246">
        <f>'BUS Deemed Savings Table'!K365</f>
        <v>778</v>
      </c>
      <c r="AC308" s="755">
        <f t="shared" si="239"/>
        <v>1746.8950773758409</v>
      </c>
      <c r="AD308" s="755">
        <f t="shared" si="240"/>
        <v>0</v>
      </c>
      <c r="AE308" s="592">
        <f>'BUS Deemed Savings Table'!DI365</f>
        <v>1746.8950773758409</v>
      </c>
      <c r="AF308" s="195"/>
      <c r="AG308" s="195"/>
      <c r="AH308" s="195"/>
      <c r="AI308" s="873" t="str">
        <f>'BUS Deemed Savings Table'!L365</f>
        <v>per measure</v>
      </c>
      <c r="AJ308" s="68"/>
      <c r="AX308" s="1284" t="str">
        <f t="shared" si="223"/>
        <v>No Loss Condensate Drain (Screw - Load/Unload)</v>
      </c>
      <c r="AY308" s="1307"/>
      <c r="AZ308" s="1376" t="str">
        <f t="shared" si="224"/>
        <v>804400</v>
      </c>
      <c r="BA308" s="1229" t="s">
        <v>2158</v>
      </c>
      <c r="BB308" s="1229" t="s">
        <v>2158</v>
      </c>
      <c r="BC308" s="1229" t="s">
        <v>2158</v>
      </c>
      <c r="BD308" s="1229" t="s">
        <v>2158</v>
      </c>
      <c r="BE308" s="1234"/>
      <c r="BF308" s="1229" t="s">
        <v>2158</v>
      </c>
      <c r="BG308" s="1229" t="s">
        <v>2158</v>
      </c>
      <c r="BH308" s="1229" t="s">
        <v>2158</v>
      </c>
      <c r="BI308" s="1230" t="s">
        <v>2158</v>
      </c>
      <c r="BJ308" s="1234"/>
      <c r="BK308" s="1229" t="s">
        <v>2158</v>
      </c>
      <c r="BL308" s="1230" t="s">
        <v>2158</v>
      </c>
      <c r="BM308" s="1229" t="s">
        <v>2158</v>
      </c>
      <c r="BN308" s="1230" t="s">
        <v>2158</v>
      </c>
    </row>
    <row r="309" spans="1:66" x14ac:dyDescent="0.25">
      <c r="A309" s="49" t="str">
        <f t="shared" si="237"/>
        <v>804450</v>
      </c>
      <c r="B309" s="1371" t="str">
        <f>'BUS Deemed Savings Table'!C366</f>
        <v>804450_2024_12_</v>
      </c>
      <c r="C309" s="1307" t="str">
        <f>'BUS Deemed Savings Table'!G366</f>
        <v>Air Comp BUS</v>
      </c>
      <c r="D309" s="1307"/>
      <c r="E309" s="1307"/>
      <c r="F309" s="1307"/>
      <c r="G309" s="1307" t="str">
        <f>'BUS Deemed Savings Table'!E366</f>
        <v>No Loss Condensate Drain (Screw - Inlet Modulation)</v>
      </c>
      <c r="H309" s="18" t="str">
        <f>'BUS Deemed Savings Table'!D366</f>
        <v>Standard</v>
      </c>
      <c r="I309" s="750">
        <f>'BUS Deemed Savings Table'!F366</f>
        <v>978.12</v>
      </c>
      <c r="J309" s="750"/>
      <c r="K309" s="189"/>
      <c r="L309" s="189"/>
      <c r="M309" s="189"/>
      <c r="N309" s="189"/>
      <c r="O309" s="751">
        <f>'BUS Deemed Savings Table'!I366</f>
        <v>0.13492599999999999</v>
      </c>
      <c r="P309" s="751"/>
      <c r="Q309" s="752"/>
      <c r="R309" s="752"/>
      <c r="S309" s="752"/>
      <c r="T309" s="752"/>
      <c r="U309" s="753">
        <f t="shared" si="253"/>
        <v>0</v>
      </c>
      <c r="V309" s="753">
        <f t="shared" si="254"/>
        <v>0.13492599999999999</v>
      </c>
      <c r="W309" s="753">
        <f t="shared" si="255"/>
        <v>0</v>
      </c>
      <c r="X309" s="22">
        <f>'BUS Deemed Savings Table'!J366</f>
        <v>13</v>
      </c>
      <c r="Y309" s="22"/>
      <c r="Z309" s="22">
        <f t="shared" si="238"/>
        <v>13</v>
      </c>
      <c r="AA309" s="17">
        <f>'BUS Deemed Savings Table'!DG366</f>
        <v>0.81246751259413841</v>
      </c>
      <c r="AB309" s="246">
        <f>'BUS Deemed Savings Table'!K366</f>
        <v>778</v>
      </c>
      <c r="AC309" s="755">
        <f t="shared" si="239"/>
        <v>632.09972479823966</v>
      </c>
      <c r="AD309" s="755">
        <f t="shared" si="240"/>
        <v>0</v>
      </c>
      <c r="AE309" s="592">
        <f>'BUS Deemed Savings Table'!DI366</f>
        <v>632.09972479823966</v>
      </c>
      <c r="AF309" s="195"/>
      <c r="AG309" s="195"/>
      <c r="AH309" s="195"/>
      <c r="AI309" s="873" t="str">
        <f>'BUS Deemed Savings Table'!L366</f>
        <v>per measure</v>
      </c>
      <c r="AJ309" s="68"/>
      <c r="AX309" s="1284" t="str">
        <f t="shared" si="223"/>
        <v>No Loss Condensate Drain (Screw - Inlet Modulation)</v>
      </c>
      <c r="AY309" s="1307"/>
      <c r="AZ309" s="1376" t="str">
        <f t="shared" si="224"/>
        <v>804450</v>
      </c>
      <c r="BA309" s="1229" t="s">
        <v>2158</v>
      </c>
      <c r="BB309" s="1229" t="s">
        <v>2158</v>
      </c>
      <c r="BC309" s="1229" t="s">
        <v>2158</v>
      </c>
      <c r="BD309" s="1229" t="s">
        <v>2158</v>
      </c>
      <c r="BE309" s="1234"/>
      <c r="BF309" s="1229" t="s">
        <v>2158</v>
      </c>
      <c r="BG309" s="1229" t="s">
        <v>2158</v>
      </c>
      <c r="BH309" s="1229" t="s">
        <v>2158</v>
      </c>
      <c r="BI309" s="1230" t="s">
        <v>2158</v>
      </c>
      <c r="BJ309" s="1234"/>
      <c r="BK309" s="1229" t="s">
        <v>2158</v>
      </c>
      <c r="BL309" s="1230" t="s">
        <v>2158</v>
      </c>
      <c r="BM309" s="1229" t="s">
        <v>2158</v>
      </c>
      <c r="BN309" s="1230" t="s">
        <v>2158</v>
      </c>
    </row>
    <row r="310" spans="1:66" x14ac:dyDescent="0.25">
      <c r="A310" s="49" t="str">
        <f t="shared" si="237"/>
        <v>804500</v>
      </c>
      <c r="B310" s="1371" t="str">
        <f>'BUS Deemed Savings Table'!C367</f>
        <v>804500_2024_12_</v>
      </c>
      <c r="C310" s="1307" t="str">
        <f>'BUS Deemed Savings Table'!G367</f>
        <v>Air Comp BUS</v>
      </c>
      <c r="D310" s="1307"/>
      <c r="E310" s="1307"/>
      <c r="F310" s="1307"/>
      <c r="G310" s="1307" t="str">
        <f>'BUS Deemed Savings Table'!E367</f>
        <v>No Loss Condensate Drain (Screw - Inlet Modulation w/ Unloading)</v>
      </c>
      <c r="H310" s="18" t="str">
        <f>'BUS Deemed Savings Table'!D367</f>
        <v>Standard</v>
      </c>
      <c r="I310" s="750">
        <f>'BUS Deemed Savings Table'!F367</f>
        <v>978.12</v>
      </c>
      <c r="J310" s="750"/>
      <c r="K310" s="189"/>
      <c r="L310" s="189"/>
      <c r="M310" s="189"/>
      <c r="N310" s="189"/>
      <c r="O310" s="751">
        <f>'BUS Deemed Savings Table'!I367</f>
        <v>0.13492599999999999</v>
      </c>
      <c r="P310" s="751"/>
      <c r="Q310" s="752"/>
      <c r="R310" s="752"/>
      <c r="S310" s="752"/>
      <c r="T310" s="752"/>
      <c r="U310" s="753">
        <f t="shared" si="253"/>
        <v>0</v>
      </c>
      <c r="V310" s="753">
        <f t="shared" si="254"/>
        <v>0.13492599999999999</v>
      </c>
      <c r="W310" s="753">
        <f t="shared" si="255"/>
        <v>0</v>
      </c>
      <c r="X310" s="22">
        <f>'BUS Deemed Savings Table'!J367</f>
        <v>13</v>
      </c>
      <c r="Y310" s="22"/>
      <c r="Z310" s="22">
        <f t="shared" si="238"/>
        <v>13</v>
      </c>
      <c r="AA310" s="17">
        <f>'BUS Deemed Savings Table'!DG367</f>
        <v>0.81246751259413841</v>
      </c>
      <c r="AB310" s="246">
        <f>'BUS Deemed Savings Table'!K367</f>
        <v>778</v>
      </c>
      <c r="AC310" s="755">
        <f t="shared" si="239"/>
        <v>632.09972479823966</v>
      </c>
      <c r="AD310" s="755">
        <f t="shared" si="240"/>
        <v>0</v>
      </c>
      <c r="AE310" s="592">
        <f>'BUS Deemed Savings Table'!DI367</f>
        <v>632.09972479823966</v>
      </c>
      <c r="AF310" s="195"/>
      <c r="AG310" s="195"/>
      <c r="AH310" s="195"/>
      <c r="AI310" s="873" t="str">
        <f>'BUS Deemed Savings Table'!L367</f>
        <v>per measure</v>
      </c>
      <c r="AJ310" s="68"/>
      <c r="AX310" s="1284" t="str">
        <f t="shared" si="223"/>
        <v>No Loss Condensate Drain (Screw - Inlet Modulation w/ Unloading)</v>
      </c>
      <c r="AY310" s="1307"/>
      <c r="AZ310" s="1376" t="str">
        <f t="shared" si="224"/>
        <v>804500</v>
      </c>
      <c r="BA310" s="1229" t="s">
        <v>2158</v>
      </c>
      <c r="BB310" s="1229" t="s">
        <v>2158</v>
      </c>
      <c r="BC310" s="1229" t="s">
        <v>2158</v>
      </c>
      <c r="BD310" s="1229" t="s">
        <v>2158</v>
      </c>
      <c r="BE310" s="1234"/>
      <c r="BF310" s="1229" t="s">
        <v>2158</v>
      </c>
      <c r="BG310" s="1229" t="s">
        <v>2158</v>
      </c>
      <c r="BH310" s="1229" t="s">
        <v>2158</v>
      </c>
      <c r="BI310" s="1230" t="s">
        <v>2158</v>
      </c>
      <c r="BJ310" s="1234"/>
      <c r="BK310" s="1229" t="s">
        <v>2158</v>
      </c>
      <c r="BL310" s="1230" t="s">
        <v>2158</v>
      </c>
      <c r="BM310" s="1229" t="s">
        <v>2158</v>
      </c>
      <c r="BN310" s="1230" t="s">
        <v>2158</v>
      </c>
    </row>
    <row r="311" spans="1:66" x14ac:dyDescent="0.25">
      <c r="A311" s="49" t="str">
        <f t="shared" si="237"/>
        <v>804550</v>
      </c>
      <c r="B311" s="1371" t="str">
        <f>'BUS Deemed Savings Table'!C368</f>
        <v>804550_2024_12_</v>
      </c>
      <c r="C311" s="1307" t="str">
        <f>'BUS Deemed Savings Table'!G368</f>
        <v>Air Comp BUS</v>
      </c>
      <c r="D311" s="1307"/>
      <c r="E311" s="1307"/>
      <c r="F311" s="1307"/>
      <c r="G311" s="1307" t="str">
        <f>'BUS Deemed Savings Table'!E368</f>
        <v>No Loss Condensate Drain (Screw - Variable Displacement)</v>
      </c>
      <c r="H311" s="18" t="str">
        <f>'BUS Deemed Savings Table'!D368</f>
        <v>Standard</v>
      </c>
      <c r="I311" s="750">
        <f>'BUS Deemed Savings Table'!F368</f>
        <v>2720.95</v>
      </c>
      <c r="J311" s="750"/>
      <c r="K311" s="189"/>
      <c r="L311" s="189"/>
      <c r="M311" s="189"/>
      <c r="N311" s="189"/>
      <c r="O311" s="751">
        <f>'BUS Deemed Savings Table'!I368</f>
        <v>0.375338</v>
      </c>
      <c r="P311" s="751"/>
      <c r="Q311" s="752"/>
      <c r="R311" s="752"/>
      <c r="S311" s="752"/>
      <c r="T311" s="752"/>
      <c r="U311" s="753">
        <f t="shared" si="253"/>
        <v>0</v>
      </c>
      <c r="V311" s="753">
        <f t="shared" si="254"/>
        <v>0.375338</v>
      </c>
      <c r="W311" s="753">
        <f t="shared" si="255"/>
        <v>0</v>
      </c>
      <c r="X311" s="22">
        <f>'BUS Deemed Savings Table'!J368</f>
        <v>13</v>
      </c>
      <c r="Y311" s="22"/>
      <c r="Z311" s="22">
        <f t="shared" si="238"/>
        <v>13</v>
      </c>
      <c r="AA311" s="17">
        <f>'BUS Deemed Savings Table'!DG368</f>
        <v>2.2601352373870491</v>
      </c>
      <c r="AB311" s="246">
        <f>'BUS Deemed Savings Table'!K368</f>
        <v>778</v>
      </c>
      <c r="AC311" s="755">
        <f t="shared" si="239"/>
        <v>1758.3852146871243</v>
      </c>
      <c r="AD311" s="755">
        <f t="shared" si="240"/>
        <v>0</v>
      </c>
      <c r="AE311" s="592">
        <f>'BUS Deemed Savings Table'!DI368</f>
        <v>1758.3852146871243</v>
      </c>
      <c r="AF311" s="195"/>
      <c r="AG311" s="195"/>
      <c r="AH311" s="195"/>
      <c r="AI311" s="873" t="str">
        <f>'BUS Deemed Savings Table'!L368</f>
        <v>per measure</v>
      </c>
      <c r="AJ311" s="68"/>
      <c r="AX311" s="1284" t="str">
        <f t="shared" si="223"/>
        <v>No Loss Condensate Drain (Screw - Variable Displacement)</v>
      </c>
      <c r="AY311" s="1307"/>
      <c r="AZ311" s="1376" t="str">
        <f t="shared" si="224"/>
        <v>804550</v>
      </c>
      <c r="BA311" s="1229" t="s">
        <v>2158</v>
      </c>
      <c r="BB311" s="1229" t="s">
        <v>2158</v>
      </c>
      <c r="BC311" s="1229" t="s">
        <v>2158</v>
      </c>
      <c r="BD311" s="1229" t="s">
        <v>2158</v>
      </c>
      <c r="BE311" s="1234"/>
      <c r="BF311" s="1229" t="s">
        <v>2158</v>
      </c>
      <c r="BG311" s="1229" t="s">
        <v>2158</v>
      </c>
      <c r="BH311" s="1229" t="s">
        <v>2158</v>
      </c>
      <c r="BI311" s="1230" t="s">
        <v>2158</v>
      </c>
      <c r="BJ311" s="1234"/>
      <c r="BK311" s="1229" t="s">
        <v>2158</v>
      </c>
      <c r="BL311" s="1230" t="s">
        <v>2158</v>
      </c>
      <c r="BM311" s="1229" t="s">
        <v>2158</v>
      </c>
      <c r="BN311" s="1230" t="s">
        <v>2158</v>
      </c>
    </row>
    <row r="312" spans="1:66" x14ac:dyDescent="0.25">
      <c r="A312" s="49" t="str">
        <f t="shared" si="237"/>
        <v>804600</v>
      </c>
      <c r="B312" s="1371" t="str">
        <f>'BUS Deemed Savings Table'!C369</f>
        <v>804600_2024_12_</v>
      </c>
      <c r="C312" s="1307" t="str">
        <f>'BUS Deemed Savings Table'!G369</f>
        <v>Air Comp BUS</v>
      </c>
      <c r="D312" s="1307"/>
      <c r="E312" s="1307"/>
      <c r="F312" s="1307"/>
      <c r="G312" s="1307" t="str">
        <f>'BUS Deemed Savings Table'!E369</f>
        <v>No Loss Condensate Drain (Screw - VFD)</v>
      </c>
      <c r="H312" s="18" t="str">
        <f>'BUS Deemed Savings Table'!D369</f>
        <v>Standard</v>
      </c>
      <c r="I312" s="750">
        <f>'BUS Deemed Savings Table'!F369</f>
        <v>3165.55</v>
      </c>
      <c r="J312" s="750"/>
      <c r="K312" s="189"/>
      <c r="L312" s="189"/>
      <c r="M312" s="189"/>
      <c r="N312" s="189"/>
      <c r="O312" s="751">
        <f>'BUS Deemed Savings Table'!I369</f>
        <v>0.436668</v>
      </c>
      <c r="P312" s="751"/>
      <c r="Q312" s="752"/>
      <c r="R312" s="752"/>
      <c r="S312" s="752"/>
      <c r="T312" s="752"/>
      <c r="U312" s="753">
        <f t="shared" si="253"/>
        <v>0</v>
      </c>
      <c r="V312" s="753">
        <f t="shared" si="254"/>
        <v>0.436668</v>
      </c>
      <c r="W312" s="753">
        <f t="shared" si="255"/>
        <v>0</v>
      </c>
      <c r="X312" s="22">
        <f>'BUS Deemed Savings Table'!J369</f>
        <v>13</v>
      </c>
      <c r="Y312" s="22"/>
      <c r="Z312" s="22">
        <f t="shared" si="238"/>
        <v>13</v>
      </c>
      <c r="AA312" s="17">
        <f>'BUS Deemed Savings Table'!DG369</f>
        <v>2.629438652202567</v>
      </c>
      <c r="AB312" s="246">
        <f>'BUS Deemed Savings Table'!K369</f>
        <v>778</v>
      </c>
      <c r="AC312" s="755">
        <f t="shared" si="239"/>
        <v>2045.7032714135971</v>
      </c>
      <c r="AD312" s="755">
        <f t="shared" si="240"/>
        <v>0</v>
      </c>
      <c r="AE312" s="592">
        <f>'BUS Deemed Savings Table'!DI369</f>
        <v>2045.7032714135971</v>
      </c>
      <c r="AF312" s="195"/>
      <c r="AG312" s="195"/>
      <c r="AH312" s="195"/>
      <c r="AI312" s="873" t="str">
        <f>'BUS Deemed Savings Table'!L369</f>
        <v>per measure</v>
      </c>
      <c r="AJ312" s="68"/>
      <c r="AX312" s="1284" t="str">
        <f t="shared" si="223"/>
        <v>No Loss Condensate Drain (Screw - VFD)</v>
      </c>
      <c r="AY312" s="1307"/>
      <c r="AZ312" s="1376" t="str">
        <f t="shared" si="224"/>
        <v>804600</v>
      </c>
      <c r="BA312" s="1229" t="s">
        <v>2158</v>
      </c>
      <c r="BB312" s="1229" t="s">
        <v>2158</v>
      </c>
      <c r="BC312" s="1229" t="s">
        <v>2158</v>
      </c>
      <c r="BD312" s="1229" t="s">
        <v>2158</v>
      </c>
      <c r="BE312" s="1234"/>
      <c r="BF312" s="1229" t="s">
        <v>2158</v>
      </c>
      <c r="BG312" s="1229" t="s">
        <v>2158</v>
      </c>
      <c r="BH312" s="1229" t="s">
        <v>2158</v>
      </c>
      <c r="BI312" s="1230" t="s">
        <v>2158</v>
      </c>
      <c r="BJ312" s="1234"/>
      <c r="BK312" s="1229" t="s">
        <v>2158</v>
      </c>
      <c r="BL312" s="1230" t="s">
        <v>2158</v>
      </c>
      <c r="BM312" s="1229" t="s">
        <v>2158</v>
      </c>
      <c r="BN312" s="1230" t="s">
        <v>2158</v>
      </c>
    </row>
    <row r="313" spans="1:66" x14ac:dyDescent="0.25">
      <c r="A313" s="49" t="str">
        <f t="shared" si="237"/>
        <v>804650</v>
      </c>
      <c r="B313" s="1371" t="str">
        <f>'BUS Deemed Savings Table'!C389</f>
        <v>804650_2024_12_</v>
      </c>
      <c r="C313" s="1307" t="str">
        <f>'BUS Deemed Savings Table'!G389</f>
        <v>Air Comp BUS</v>
      </c>
      <c r="D313" s="1307"/>
      <c r="E313" s="1307"/>
      <c r="F313" s="1307"/>
      <c r="G313" s="1307" t="str">
        <f>'BUS Deemed Savings Table'!E389</f>
        <v>Compressed Air Nozzle (Reciprocating - On/off Control)</v>
      </c>
      <c r="H313" s="18" t="str">
        <f>'BUS Deemed Savings Table'!D389</f>
        <v>Standard</v>
      </c>
      <c r="I313" s="750">
        <f>'BUS Deemed Savings Table'!F389</f>
        <v>1633.16</v>
      </c>
      <c r="J313" s="750"/>
      <c r="K313" s="189"/>
      <c r="L313" s="189"/>
      <c r="M313" s="189"/>
      <c r="N313" s="189"/>
      <c r="O313" s="751">
        <f>'BUS Deemed Savings Table'!I389</f>
        <v>0.22528400000000001</v>
      </c>
      <c r="P313" s="751"/>
      <c r="Q313" s="752"/>
      <c r="R313" s="752"/>
      <c r="S313" s="752"/>
      <c r="T313" s="752"/>
      <c r="U313" s="753">
        <f t="shared" ref="U313:U322" si="281">IFERROR(IF(V313+W313&gt;0,0,IF(Z313&gt;0,O313,0)),0)</f>
        <v>0</v>
      </c>
      <c r="V313" s="753">
        <f t="shared" ref="V313:V322" si="282">IF(W313&gt;0,0,IF(Z313&gt;9,O313,0))</f>
        <v>0</v>
      </c>
      <c r="W313" s="753">
        <f t="shared" ref="W313:W322" si="283">IF(Z313&gt;14,O313,0)</f>
        <v>0.22528400000000001</v>
      </c>
      <c r="X313" s="22">
        <f>'BUS Deemed Savings Table'!J389</f>
        <v>15</v>
      </c>
      <c r="Y313" s="22"/>
      <c r="Z313" s="22">
        <f t="shared" si="238"/>
        <v>15</v>
      </c>
      <c r="AA313" s="17">
        <f>'BUS Deemed Savings Table'!DG389</f>
        <v>19.739175135871012</v>
      </c>
      <c r="AB313" s="246">
        <f>'BUS Deemed Savings Table'!K389</f>
        <v>59</v>
      </c>
      <c r="AC313" s="755">
        <f t="shared" si="239"/>
        <v>1164.6113330163896</v>
      </c>
      <c r="AD313" s="755">
        <f t="shared" si="240"/>
        <v>0</v>
      </c>
      <c r="AE313" s="592">
        <f>'BUS Deemed Savings Table'!DI389</f>
        <v>1164.6113330163896</v>
      </c>
      <c r="AF313" s="195"/>
      <c r="AG313" s="195"/>
      <c r="AH313" s="195"/>
      <c r="AI313" s="873" t="str">
        <f>'BUS Deemed Savings Table'!L389</f>
        <v>per measure</v>
      </c>
      <c r="AJ313" s="68"/>
      <c r="AX313" s="1284" t="str">
        <f t="shared" si="223"/>
        <v>Compressed Air Nozzle (Reciprocating - On/off Control)</v>
      </c>
      <c r="AY313" s="1307"/>
      <c r="AZ313" s="1376" t="str">
        <f t="shared" si="224"/>
        <v>804650</v>
      </c>
      <c r="BA313" s="1229" t="s">
        <v>2158</v>
      </c>
      <c r="BB313" s="1229" t="s">
        <v>2158</v>
      </c>
      <c r="BC313" s="1229" t="s">
        <v>2158</v>
      </c>
      <c r="BD313" s="1229" t="s">
        <v>2158</v>
      </c>
      <c r="BE313" s="1234"/>
      <c r="BF313" s="1229" t="s">
        <v>2158</v>
      </c>
      <c r="BG313" s="1229" t="s">
        <v>2158</v>
      </c>
      <c r="BH313" s="1229" t="s">
        <v>2158</v>
      </c>
      <c r="BI313" s="1230" t="s">
        <v>2158</v>
      </c>
      <c r="BJ313" s="1234"/>
      <c r="BK313" s="1229" t="s">
        <v>2158</v>
      </c>
      <c r="BL313" s="1230" t="s">
        <v>2158</v>
      </c>
      <c r="BM313" s="1229" t="s">
        <v>2158</v>
      </c>
      <c r="BN313" s="1230" t="s">
        <v>2158</v>
      </c>
    </row>
    <row r="314" spans="1:66" x14ac:dyDescent="0.25">
      <c r="A314" s="49" t="str">
        <f t="shared" si="237"/>
        <v>804700</v>
      </c>
      <c r="B314" s="1371" t="str">
        <f>'BUS Deemed Savings Table'!C390</f>
        <v>804700_2024_12_</v>
      </c>
      <c r="C314" s="1307" t="str">
        <f>'BUS Deemed Savings Table'!G390</f>
        <v>Air Comp BUS</v>
      </c>
      <c r="D314" s="1307"/>
      <c r="E314" s="1307"/>
      <c r="F314" s="1307"/>
      <c r="G314" s="1307" t="str">
        <f>'BUS Deemed Savings Table'!E390</f>
        <v>Compressed Air Nozzle (Reciprocating - Load/Unload)</v>
      </c>
      <c r="H314" s="18" t="str">
        <f>'BUS Deemed Savings Table'!D390</f>
        <v>Standard</v>
      </c>
      <c r="I314" s="750">
        <f>'BUS Deemed Savings Table'!F390</f>
        <v>1208.54</v>
      </c>
      <c r="J314" s="750"/>
      <c r="K314" s="189"/>
      <c r="L314" s="189"/>
      <c r="M314" s="189"/>
      <c r="N314" s="189"/>
      <c r="O314" s="751">
        <f>'BUS Deemed Savings Table'!I390</f>
        <v>0.166711</v>
      </c>
      <c r="P314" s="751"/>
      <c r="Q314" s="752"/>
      <c r="R314" s="752"/>
      <c r="S314" s="752"/>
      <c r="T314" s="752"/>
      <c r="U314" s="753">
        <f t="shared" si="281"/>
        <v>0</v>
      </c>
      <c r="V314" s="753">
        <f t="shared" si="282"/>
        <v>0</v>
      </c>
      <c r="W314" s="753">
        <f t="shared" si="283"/>
        <v>0.166711</v>
      </c>
      <c r="X314" s="22">
        <f>'BUS Deemed Savings Table'!J390</f>
        <v>15</v>
      </c>
      <c r="Y314" s="22"/>
      <c r="Z314" s="22">
        <f t="shared" si="238"/>
        <v>15</v>
      </c>
      <c r="AA314" s="17">
        <f>'BUS Deemed Savings Table'!DG390</f>
        <v>14.607008938931608</v>
      </c>
      <c r="AB314" s="246">
        <f>'BUS Deemed Savings Table'!K390</f>
        <v>59</v>
      </c>
      <c r="AC314" s="755">
        <f t="shared" si="239"/>
        <v>861.8135273969649</v>
      </c>
      <c r="AD314" s="755">
        <f t="shared" si="240"/>
        <v>0</v>
      </c>
      <c r="AE314" s="592">
        <f>'BUS Deemed Savings Table'!DI390</f>
        <v>861.8135273969649</v>
      </c>
      <c r="AF314" s="195"/>
      <c r="AG314" s="195"/>
      <c r="AH314" s="195"/>
      <c r="AI314" s="873" t="str">
        <f>'BUS Deemed Savings Table'!L390</f>
        <v>per measure</v>
      </c>
      <c r="AJ314" s="68"/>
      <c r="AX314" s="1284" t="str">
        <f t="shared" si="223"/>
        <v>Compressed Air Nozzle (Reciprocating - Load/Unload)</v>
      </c>
      <c r="AY314" s="1307"/>
      <c r="AZ314" s="1376" t="str">
        <f t="shared" si="224"/>
        <v>804700</v>
      </c>
      <c r="BA314" s="1229" t="s">
        <v>2158</v>
      </c>
      <c r="BB314" s="1229" t="s">
        <v>2158</v>
      </c>
      <c r="BC314" s="1229" t="s">
        <v>2158</v>
      </c>
      <c r="BD314" s="1229" t="s">
        <v>2158</v>
      </c>
      <c r="BE314" s="1234"/>
      <c r="BF314" s="1229" t="s">
        <v>2158</v>
      </c>
      <c r="BG314" s="1229" t="s">
        <v>2158</v>
      </c>
      <c r="BH314" s="1229" t="s">
        <v>2158</v>
      </c>
      <c r="BI314" s="1230" t="s">
        <v>2158</v>
      </c>
      <c r="BJ314" s="1234"/>
      <c r="BK314" s="1229" t="s">
        <v>2158</v>
      </c>
      <c r="BL314" s="1230" t="s">
        <v>2158</v>
      </c>
      <c r="BM314" s="1229" t="s">
        <v>2158</v>
      </c>
      <c r="BN314" s="1230" t="s">
        <v>2158</v>
      </c>
    </row>
    <row r="315" spans="1:66" x14ac:dyDescent="0.25">
      <c r="A315" s="49" t="str">
        <f t="shared" si="237"/>
        <v>804750</v>
      </c>
      <c r="B315" s="1371" t="str">
        <f>'BUS Deemed Savings Table'!C391</f>
        <v>804750_2024_12_</v>
      </c>
      <c r="C315" s="1307" t="str">
        <f>'BUS Deemed Savings Table'!G391</f>
        <v>Air Comp BUS</v>
      </c>
      <c r="D315" s="1307"/>
      <c r="E315" s="1307"/>
      <c r="F315" s="1307"/>
      <c r="G315" s="1307" t="str">
        <f>'BUS Deemed Savings Table'!E391</f>
        <v>Compressed Air Nozzle (Screw - Load/Unload)</v>
      </c>
      <c r="H315" s="18" t="str">
        <f>'BUS Deemed Savings Table'!D391</f>
        <v>Standard</v>
      </c>
      <c r="I315" s="750">
        <f>'BUS Deemed Savings Table'!F391</f>
        <v>1192.21</v>
      </c>
      <c r="J315" s="750"/>
      <c r="K315" s="189"/>
      <c r="L315" s="189"/>
      <c r="M315" s="189"/>
      <c r="N315" s="189"/>
      <c r="O315" s="751">
        <f>'BUS Deemed Savings Table'!I391</f>
        <v>0.16445799999999999</v>
      </c>
      <c r="P315" s="751"/>
      <c r="Q315" s="752"/>
      <c r="R315" s="752"/>
      <c r="S315" s="752"/>
      <c r="T315" s="752"/>
      <c r="U315" s="753">
        <f t="shared" si="281"/>
        <v>0</v>
      </c>
      <c r="V315" s="753">
        <f t="shared" si="282"/>
        <v>0</v>
      </c>
      <c r="W315" s="753">
        <f t="shared" si="283"/>
        <v>0.16445799999999999</v>
      </c>
      <c r="X315" s="22">
        <f>'BUS Deemed Savings Table'!J391</f>
        <v>15</v>
      </c>
      <c r="Y315" s="22"/>
      <c r="Z315" s="22">
        <f t="shared" si="238"/>
        <v>15</v>
      </c>
      <c r="AA315" s="17">
        <f>'BUS Deemed Savings Table'!DG391</f>
        <v>14.409636525959964</v>
      </c>
      <c r="AB315" s="246">
        <f>'BUS Deemed Savings Table'!K391</f>
        <v>59</v>
      </c>
      <c r="AC315" s="755">
        <f t="shared" si="239"/>
        <v>850.16855503163788</v>
      </c>
      <c r="AD315" s="755">
        <f t="shared" si="240"/>
        <v>0</v>
      </c>
      <c r="AE315" s="592">
        <f>'BUS Deemed Savings Table'!DI391</f>
        <v>850.16855503163788</v>
      </c>
      <c r="AF315" s="195"/>
      <c r="AG315" s="195"/>
      <c r="AH315" s="195"/>
      <c r="AI315" s="873" t="str">
        <f>'BUS Deemed Savings Table'!L391</f>
        <v>per measure</v>
      </c>
      <c r="AJ315" s="68"/>
      <c r="AX315" s="1284" t="str">
        <f t="shared" ref="AX315:AX333" si="284">G315</f>
        <v>Compressed Air Nozzle (Screw - Load/Unload)</v>
      </c>
      <c r="AY315" s="1307"/>
      <c r="AZ315" s="1376" t="str">
        <f t="shared" ref="AZ315:AZ333" si="285">A315</f>
        <v>804750</v>
      </c>
      <c r="BA315" s="1229" t="s">
        <v>2158</v>
      </c>
      <c r="BB315" s="1229" t="s">
        <v>2158</v>
      </c>
      <c r="BC315" s="1229" t="s">
        <v>2158</v>
      </c>
      <c r="BD315" s="1229" t="s">
        <v>2158</v>
      </c>
      <c r="BE315" s="1234"/>
      <c r="BF315" s="1229" t="s">
        <v>2158</v>
      </c>
      <c r="BG315" s="1229" t="s">
        <v>2158</v>
      </c>
      <c r="BH315" s="1229" t="s">
        <v>2158</v>
      </c>
      <c r="BI315" s="1230" t="s">
        <v>2158</v>
      </c>
      <c r="BJ315" s="1234"/>
      <c r="BK315" s="1229" t="s">
        <v>2158</v>
      </c>
      <c r="BL315" s="1230" t="s">
        <v>2158</v>
      </c>
      <c r="BM315" s="1229" t="s">
        <v>2158</v>
      </c>
      <c r="BN315" s="1230" t="s">
        <v>2158</v>
      </c>
    </row>
    <row r="316" spans="1:66" x14ac:dyDescent="0.25">
      <c r="A316" s="49" t="str">
        <f t="shared" si="237"/>
        <v>804800</v>
      </c>
      <c r="B316" s="1371" t="str">
        <f>'BUS Deemed Savings Table'!C392</f>
        <v>804800_2024_12_</v>
      </c>
      <c r="C316" s="1307" t="str">
        <f>'BUS Deemed Savings Table'!G392</f>
        <v>Air Comp BUS</v>
      </c>
      <c r="D316" s="1307"/>
      <c r="E316" s="1307"/>
      <c r="F316" s="1307"/>
      <c r="G316" s="1307" t="str">
        <f>'BUS Deemed Savings Table'!E392</f>
        <v>Compressed Air Nozzle (Screw - Inlet Modulation)</v>
      </c>
      <c r="H316" s="18" t="str">
        <f>'BUS Deemed Savings Table'!D392</f>
        <v>Standard</v>
      </c>
      <c r="I316" s="750">
        <f>'BUS Deemed Savings Table'!F392</f>
        <v>473.62</v>
      </c>
      <c r="J316" s="750"/>
      <c r="K316" s="189"/>
      <c r="L316" s="189"/>
      <c r="M316" s="189"/>
      <c r="N316" s="189"/>
      <c r="O316" s="751">
        <f>'BUS Deemed Savings Table'!I392</f>
        <v>6.5333000000000002E-2</v>
      </c>
      <c r="P316" s="751"/>
      <c r="Q316" s="752"/>
      <c r="R316" s="752"/>
      <c r="S316" s="752"/>
      <c r="T316" s="752"/>
      <c r="U316" s="753">
        <f t="shared" si="281"/>
        <v>0</v>
      </c>
      <c r="V316" s="753">
        <f t="shared" si="282"/>
        <v>0</v>
      </c>
      <c r="W316" s="753">
        <f t="shared" si="283"/>
        <v>6.5333000000000002E-2</v>
      </c>
      <c r="X316" s="22">
        <f>'BUS Deemed Savings Table'!J392</f>
        <v>15</v>
      </c>
      <c r="Y316" s="22"/>
      <c r="Z316" s="22">
        <f t="shared" si="238"/>
        <v>15</v>
      </c>
      <c r="AA316" s="17">
        <f>'BUS Deemed Savings Table'!DG392</f>
        <v>5.7244043007734859</v>
      </c>
      <c r="AB316" s="246">
        <f>'BUS Deemed Savings Table'!K392</f>
        <v>59</v>
      </c>
      <c r="AC316" s="755">
        <f t="shared" si="239"/>
        <v>337.73985374563568</v>
      </c>
      <c r="AD316" s="755">
        <f t="shared" si="240"/>
        <v>0</v>
      </c>
      <c r="AE316" s="592">
        <f>'BUS Deemed Savings Table'!DI392</f>
        <v>337.73985374563568</v>
      </c>
      <c r="AF316" s="195"/>
      <c r="AG316" s="195"/>
      <c r="AH316" s="195"/>
      <c r="AI316" s="873" t="str">
        <f>'BUS Deemed Savings Table'!L392</f>
        <v>per measure</v>
      </c>
      <c r="AJ316" s="68"/>
      <c r="AX316" s="1284" t="str">
        <f t="shared" si="284"/>
        <v>Compressed Air Nozzle (Screw - Inlet Modulation)</v>
      </c>
      <c r="AY316" s="1307"/>
      <c r="AZ316" s="1376" t="str">
        <f t="shared" si="285"/>
        <v>804800</v>
      </c>
      <c r="BA316" s="1229" t="s">
        <v>2158</v>
      </c>
      <c r="BB316" s="1229" t="s">
        <v>2158</v>
      </c>
      <c r="BC316" s="1229" t="s">
        <v>2158</v>
      </c>
      <c r="BD316" s="1229" t="s">
        <v>2158</v>
      </c>
      <c r="BE316" s="1234"/>
      <c r="BF316" s="1229" t="s">
        <v>2158</v>
      </c>
      <c r="BG316" s="1229" t="s">
        <v>2158</v>
      </c>
      <c r="BH316" s="1229" t="s">
        <v>2158</v>
      </c>
      <c r="BI316" s="1230" t="s">
        <v>2158</v>
      </c>
      <c r="BJ316" s="1234"/>
      <c r="BK316" s="1229" t="s">
        <v>2158</v>
      </c>
      <c r="BL316" s="1230" t="s">
        <v>2158</v>
      </c>
      <c r="BM316" s="1229" t="s">
        <v>2158</v>
      </c>
      <c r="BN316" s="1230" t="s">
        <v>2158</v>
      </c>
    </row>
    <row r="317" spans="1:66" x14ac:dyDescent="0.25">
      <c r="A317" s="49" t="str">
        <f t="shared" si="237"/>
        <v>804850</v>
      </c>
      <c r="B317" s="1371" t="str">
        <f>'BUS Deemed Savings Table'!C393</f>
        <v>804850_2024_12_</v>
      </c>
      <c r="C317" s="1307" t="str">
        <f>'BUS Deemed Savings Table'!G393</f>
        <v>Air Comp BUS</v>
      </c>
      <c r="D317" s="1307"/>
      <c r="E317" s="1307"/>
      <c r="F317" s="1307"/>
      <c r="G317" s="1307" t="str">
        <f>'BUS Deemed Savings Table'!E393</f>
        <v>Compressed Air Nozzle (Screw - Inlet Modulation w/ blowdown)</v>
      </c>
      <c r="H317" s="18" t="str">
        <f>'BUS Deemed Savings Table'!D393</f>
        <v>Standard</v>
      </c>
      <c r="I317" s="750">
        <f>'BUS Deemed Savings Table'!F393</f>
        <v>1208.54</v>
      </c>
      <c r="J317" s="750"/>
      <c r="K317" s="189"/>
      <c r="L317" s="189"/>
      <c r="M317" s="189"/>
      <c r="N317" s="189"/>
      <c r="O317" s="751">
        <f>'BUS Deemed Savings Table'!I393</f>
        <v>0.166711</v>
      </c>
      <c r="P317" s="751"/>
      <c r="Q317" s="752"/>
      <c r="R317" s="752"/>
      <c r="S317" s="752"/>
      <c r="T317" s="752"/>
      <c r="U317" s="753">
        <f t="shared" si="281"/>
        <v>0</v>
      </c>
      <c r="V317" s="753">
        <f t="shared" si="282"/>
        <v>0</v>
      </c>
      <c r="W317" s="753">
        <f t="shared" si="283"/>
        <v>0.166711</v>
      </c>
      <c r="X317" s="22">
        <f>'BUS Deemed Savings Table'!J393</f>
        <v>15</v>
      </c>
      <c r="Y317" s="22"/>
      <c r="Z317" s="22">
        <f t="shared" si="238"/>
        <v>15</v>
      </c>
      <c r="AA317" s="17">
        <f>'BUS Deemed Savings Table'!DG393</f>
        <v>14.607008938931608</v>
      </c>
      <c r="AB317" s="246">
        <f>'BUS Deemed Savings Table'!K393</f>
        <v>59</v>
      </c>
      <c r="AC317" s="755">
        <f t="shared" si="239"/>
        <v>861.8135273969649</v>
      </c>
      <c r="AD317" s="755">
        <f t="shared" si="240"/>
        <v>0</v>
      </c>
      <c r="AE317" s="592">
        <f>'BUS Deemed Savings Table'!DI393</f>
        <v>861.8135273969649</v>
      </c>
      <c r="AF317" s="195"/>
      <c r="AG317" s="195"/>
      <c r="AH317" s="195"/>
      <c r="AI317" s="873" t="str">
        <f>'BUS Deemed Savings Table'!L393</f>
        <v>per measure</v>
      </c>
      <c r="AJ317" s="68"/>
      <c r="AX317" s="1284" t="str">
        <f t="shared" si="284"/>
        <v>Compressed Air Nozzle (Screw - Inlet Modulation w/ blowdown)</v>
      </c>
      <c r="AY317" s="1307"/>
      <c r="AZ317" s="1376" t="str">
        <f t="shared" si="285"/>
        <v>804850</v>
      </c>
      <c r="BA317" s="1229" t="s">
        <v>2158</v>
      </c>
      <c r="BB317" s="1229" t="s">
        <v>2158</v>
      </c>
      <c r="BC317" s="1229" t="s">
        <v>2158</v>
      </c>
      <c r="BD317" s="1229" t="s">
        <v>2158</v>
      </c>
      <c r="BE317" s="1234"/>
      <c r="BF317" s="1229" t="s">
        <v>2158</v>
      </c>
      <c r="BG317" s="1229" t="s">
        <v>2158</v>
      </c>
      <c r="BH317" s="1229" t="s">
        <v>2158</v>
      </c>
      <c r="BI317" s="1230" t="s">
        <v>2158</v>
      </c>
      <c r="BJ317" s="1234"/>
      <c r="BK317" s="1229" t="s">
        <v>2158</v>
      </c>
      <c r="BL317" s="1230" t="s">
        <v>2158</v>
      </c>
      <c r="BM317" s="1229" t="s">
        <v>2158</v>
      </c>
      <c r="BN317" s="1230" t="s">
        <v>2158</v>
      </c>
    </row>
    <row r="318" spans="1:66" x14ac:dyDescent="0.25">
      <c r="A318" s="49" t="str">
        <f t="shared" si="237"/>
        <v>804900</v>
      </c>
      <c r="B318" s="1371" t="str">
        <f>'BUS Deemed Savings Table'!C394</f>
        <v>804900_2024_12_</v>
      </c>
      <c r="C318" s="1307" t="str">
        <f>'BUS Deemed Savings Table'!G394</f>
        <v>Air Comp BUS</v>
      </c>
      <c r="D318" s="1307"/>
      <c r="E318" s="1307"/>
      <c r="F318" s="1307"/>
      <c r="G318" s="1307" t="str">
        <f>'BUS Deemed Savings Table'!E394</f>
        <v>Compressed Air Nozzle (Screw - Variable Displacement)</v>
      </c>
      <c r="H318" s="18" t="str">
        <f>'BUS Deemed Savings Table'!D394</f>
        <v>Standard</v>
      </c>
      <c r="I318" s="750">
        <f>'BUS Deemed Savings Table'!F394</f>
        <v>979.9</v>
      </c>
      <c r="J318" s="750"/>
      <c r="K318" s="189"/>
      <c r="L318" s="189"/>
      <c r="M318" s="189"/>
      <c r="N318" s="189"/>
      <c r="O318" s="751">
        <f>'BUS Deemed Savings Table'!I394</f>
        <v>0.13517100000000001</v>
      </c>
      <c r="P318" s="751"/>
      <c r="Q318" s="752"/>
      <c r="R318" s="752"/>
      <c r="S318" s="752"/>
      <c r="T318" s="752"/>
      <c r="U318" s="753">
        <f t="shared" si="281"/>
        <v>0</v>
      </c>
      <c r="V318" s="753">
        <f t="shared" si="282"/>
        <v>0</v>
      </c>
      <c r="W318" s="753">
        <f t="shared" si="283"/>
        <v>0.13517100000000001</v>
      </c>
      <c r="X318" s="22">
        <f>'BUS Deemed Savings Table'!J394</f>
        <v>15</v>
      </c>
      <c r="Y318" s="22"/>
      <c r="Z318" s="22">
        <f t="shared" si="238"/>
        <v>15</v>
      </c>
      <c r="AA318" s="17">
        <f>'BUS Deemed Savings Table'!DG394</f>
        <v>11.843553427490265</v>
      </c>
      <c r="AB318" s="246">
        <f>'BUS Deemed Savings Table'!K394</f>
        <v>59</v>
      </c>
      <c r="AC318" s="755">
        <f t="shared" si="239"/>
        <v>698.76965222192564</v>
      </c>
      <c r="AD318" s="755">
        <f t="shared" si="240"/>
        <v>0</v>
      </c>
      <c r="AE318" s="592">
        <f>'BUS Deemed Savings Table'!DI394</f>
        <v>698.76965222192564</v>
      </c>
      <c r="AF318" s="195"/>
      <c r="AG318" s="195"/>
      <c r="AH318" s="195"/>
      <c r="AI318" s="873" t="str">
        <f>'BUS Deemed Savings Table'!L394</f>
        <v>per measure</v>
      </c>
      <c r="AJ318" s="68"/>
      <c r="AX318" s="1284" t="str">
        <f t="shared" si="284"/>
        <v>Compressed Air Nozzle (Screw - Variable Displacement)</v>
      </c>
      <c r="AY318" s="1307"/>
      <c r="AZ318" s="1376" t="str">
        <f t="shared" si="285"/>
        <v>804900</v>
      </c>
      <c r="BA318" s="1229" t="s">
        <v>2158</v>
      </c>
      <c r="BB318" s="1229" t="s">
        <v>2158</v>
      </c>
      <c r="BC318" s="1229" t="s">
        <v>2158</v>
      </c>
      <c r="BD318" s="1229" t="s">
        <v>2158</v>
      </c>
      <c r="BE318" s="1234"/>
      <c r="BF318" s="1229" t="s">
        <v>2158</v>
      </c>
      <c r="BG318" s="1229" t="s">
        <v>2158</v>
      </c>
      <c r="BH318" s="1229" t="s">
        <v>2158</v>
      </c>
      <c r="BI318" s="1230" t="s">
        <v>2158</v>
      </c>
      <c r="BJ318" s="1234"/>
      <c r="BK318" s="1229" t="s">
        <v>2158</v>
      </c>
      <c r="BL318" s="1230" t="s">
        <v>2158</v>
      </c>
      <c r="BM318" s="1229" t="s">
        <v>2158</v>
      </c>
      <c r="BN318" s="1230" t="s">
        <v>2158</v>
      </c>
    </row>
    <row r="319" spans="1:66" x14ac:dyDescent="0.25">
      <c r="A319" s="49" t="str">
        <f t="shared" si="237"/>
        <v>804950</v>
      </c>
      <c r="B319" s="1371" t="str">
        <f>'BUS Deemed Savings Table'!C395</f>
        <v>804950_2024_12_</v>
      </c>
      <c r="C319" s="1307" t="str">
        <f>'BUS Deemed Savings Table'!G395</f>
        <v>Air Comp BUS</v>
      </c>
      <c r="D319" s="1307"/>
      <c r="E319" s="1307"/>
      <c r="F319" s="1307"/>
      <c r="G319" s="1307" t="str">
        <f>'BUS Deemed Savings Table'!E395</f>
        <v>Compressed Air Nozzle (Screw - VFD)</v>
      </c>
      <c r="H319" s="18" t="str">
        <f>'BUS Deemed Savings Table'!D395</f>
        <v>Standard</v>
      </c>
      <c r="I319" s="750">
        <f>'BUS Deemed Savings Table'!F395</f>
        <v>1584.17</v>
      </c>
      <c r="J319" s="750"/>
      <c r="K319" s="189"/>
      <c r="L319" s="189"/>
      <c r="M319" s="189"/>
      <c r="N319" s="189"/>
      <c r="O319" s="751">
        <f>'BUS Deemed Savings Table'!I395</f>
        <v>0.218527</v>
      </c>
      <c r="P319" s="751"/>
      <c r="Q319" s="752"/>
      <c r="R319" s="752"/>
      <c r="S319" s="752"/>
      <c r="T319" s="752"/>
      <c r="U319" s="753">
        <f t="shared" si="281"/>
        <v>0</v>
      </c>
      <c r="V319" s="753">
        <f t="shared" si="282"/>
        <v>0</v>
      </c>
      <c r="W319" s="753">
        <f t="shared" si="283"/>
        <v>0.218527</v>
      </c>
      <c r="X319" s="22">
        <f>'BUS Deemed Savings Table'!J395</f>
        <v>15</v>
      </c>
      <c r="Y319" s="22"/>
      <c r="Z319" s="22">
        <f t="shared" si="238"/>
        <v>15</v>
      </c>
      <c r="AA319" s="17">
        <f>'BUS Deemed Savings Table'!DG395</f>
        <v>19.147057896956071</v>
      </c>
      <c r="AB319" s="246">
        <f>'BUS Deemed Savings Table'!K395</f>
        <v>59</v>
      </c>
      <c r="AC319" s="755">
        <f t="shared" si="239"/>
        <v>1129.6764159204081</v>
      </c>
      <c r="AD319" s="755">
        <f t="shared" si="240"/>
        <v>0</v>
      </c>
      <c r="AE319" s="592">
        <f>'BUS Deemed Savings Table'!DI395</f>
        <v>1129.6764159204081</v>
      </c>
      <c r="AF319" s="195"/>
      <c r="AG319" s="195"/>
      <c r="AH319" s="195"/>
      <c r="AI319" s="873" t="str">
        <f>'BUS Deemed Savings Table'!L395</f>
        <v>per measure</v>
      </c>
      <c r="AJ319" s="68"/>
      <c r="AX319" s="1284" t="str">
        <f t="shared" si="284"/>
        <v>Compressed Air Nozzle (Screw - VFD)</v>
      </c>
      <c r="AY319" s="1307"/>
      <c r="AZ319" s="1376" t="str">
        <f t="shared" si="285"/>
        <v>804950</v>
      </c>
      <c r="BA319" s="1229" t="s">
        <v>2158</v>
      </c>
      <c r="BB319" s="1229" t="s">
        <v>2158</v>
      </c>
      <c r="BC319" s="1229" t="s">
        <v>2158</v>
      </c>
      <c r="BD319" s="1229" t="s">
        <v>2158</v>
      </c>
      <c r="BE319" s="1234"/>
      <c r="BF319" s="1229" t="s">
        <v>2158</v>
      </c>
      <c r="BG319" s="1229" t="s">
        <v>2158</v>
      </c>
      <c r="BH319" s="1229" t="s">
        <v>2158</v>
      </c>
      <c r="BI319" s="1230" t="s">
        <v>2158</v>
      </c>
      <c r="BJ319" s="1234"/>
      <c r="BK319" s="1229" t="s">
        <v>2158</v>
      </c>
      <c r="BL319" s="1230" t="s">
        <v>2158</v>
      </c>
      <c r="BM319" s="1229" t="s">
        <v>2158</v>
      </c>
      <c r="BN319" s="1230" t="s">
        <v>2158</v>
      </c>
    </row>
    <row r="320" spans="1:66" x14ac:dyDescent="0.25">
      <c r="A320" s="49" t="str">
        <f t="shared" si="237"/>
        <v>805000</v>
      </c>
      <c r="B320" s="1371" t="str">
        <f>'BUS Deemed Savings Table'!C415</f>
        <v>805000_2024_12_</v>
      </c>
      <c r="C320" s="1307" t="str">
        <f>'BUS Deemed Savings Table'!G415</f>
        <v>Air Comp BUS</v>
      </c>
      <c r="D320" s="1307"/>
      <c r="E320" s="1307"/>
      <c r="F320" s="1307"/>
      <c r="G320" s="1307" t="str">
        <f>'BUS Deemed Savings Table'!E415</f>
        <v>VSD Air Compressor 5-40 HP</v>
      </c>
      <c r="H320" s="18" t="str">
        <f>'BUS Deemed Savings Table'!D415</f>
        <v>Standard</v>
      </c>
      <c r="I320" s="750">
        <f>'BUS Deemed Savings Table'!F415</f>
        <v>949.38</v>
      </c>
      <c r="J320" s="750"/>
      <c r="K320" s="189"/>
      <c r="L320" s="189"/>
      <c r="M320" s="189"/>
      <c r="N320" s="189"/>
      <c r="O320" s="751">
        <f>'BUS Deemed Savings Table'!I415</f>
        <v>0.13096099999999999</v>
      </c>
      <c r="P320" s="751"/>
      <c r="Q320" s="752"/>
      <c r="R320" s="752"/>
      <c r="S320" s="752"/>
      <c r="T320" s="752"/>
      <c r="U320" s="753">
        <f t="shared" si="281"/>
        <v>0</v>
      </c>
      <c r="V320" s="753">
        <f t="shared" si="282"/>
        <v>0.13096099999999999</v>
      </c>
      <c r="W320" s="753">
        <f t="shared" si="283"/>
        <v>0</v>
      </c>
      <c r="X320" s="22">
        <f>'BUS Deemed Savings Table'!J415</f>
        <v>10</v>
      </c>
      <c r="Y320" s="22"/>
      <c r="Z320" s="22">
        <f t="shared" si="238"/>
        <v>10</v>
      </c>
      <c r="AA320" s="17">
        <f>'BUS Deemed Savings Table'!DG415</f>
        <v>1.3755919890352668</v>
      </c>
      <c r="AB320" s="246">
        <f>'BUS Deemed Savings Table'!K415</f>
        <v>202.28779999999998</v>
      </c>
      <c r="AC320" s="755">
        <f t="shared" si="239"/>
        <v>3037.3071117898689</v>
      </c>
      <c r="AD320" s="755">
        <f t="shared" si="240"/>
        <v>0</v>
      </c>
      <c r="AE320" s="592">
        <f>'BUS Deemed Savings Table'!DI415</f>
        <v>3037.3071117898689</v>
      </c>
      <c r="AF320" s="195"/>
      <c r="AG320" s="195"/>
      <c r="AH320" s="195"/>
      <c r="AI320" s="873" t="str">
        <f>'BUS Deemed Savings Table'!L415</f>
        <v>per HP</v>
      </c>
      <c r="AJ320" s="68"/>
      <c r="AX320" s="1284" t="str">
        <f t="shared" si="284"/>
        <v>VSD Air Compressor 5-40 HP</v>
      </c>
      <c r="AY320" s="1307"/>
      <c r="AZ320" s="1376" t="str">
        <f t="shared" si="285"/>
        <v>805000</v>
      </c>
      <c r="BA320" s="1229" t="s">
        <v>2158</v>
      </c>
      <c r="BB320" s="1229" t="s">
        <v>2158</v>
      </c>
      <c r="BC320" s="1229" t="s">
        <v>2158</v>
      </c>
      <c r="BD320" s="1229" t="s">
        <v>2158</v>
      </c>
      <c r="BE320" s="1234"/>
      <c r="BF320" s="1229" t="s">
        <v>2158</v>
      </c>
      <c r="BG320" s="1229" t="s">
        <v>2158</v>
      </c>
      <c r="BH320" s="1229" t="s">
        <v>2158</v>
      </c>
      <c r="BI320" s="1230" t="s">
        <v>2158</v>
      </c>
      <c r="BJ320" s="1234"/>
      <c r="BK320" s="1229" t="s">
        <v>2158</v>
      </c>
      <c r="BL320" s="1230" t="s">
        <v>2158</v>
      </c>
      <c r="BM320" s="1229" t="s">
        <v>2158</v>
      </c>
      <c r="BN320" s="1230" t="s">
        <v>2158</v>
      </c>
    </row>
    <row r="321" spans="1:66" s="39" customFormat="1" x14ac:dyDescent="0.25">
      <c r="A321" s="671" t="str">
        <f>LEFT(B321,6)</f>
        <v>805001</v>
      </c>
      <c r="B321" s="657" t="str">
        <f>'BUS Deemed Savings Table'!C416</f>
        <v>805001_2024_12_</v>
      </c>
      <c r="C321" s="656" t="str">
        <f>'BUS Deemed Savings Table'!G416</f>
        <v>Air Comp BUS</v>
      </c>
      <c r="D321" s="656"/>
      <c r="E321" s="656"/>
      <c r="F321" s="656"/>
      <c r="G321" s="656" t="str">
        <f>'BUS Deemed Savings Table'!E416</f>
        <v>VSD Air Compressor &gt;40-&lt;50 HP</v>
      </c>
      <c r="H321" s="662" t="str">
        <f>'BUS Deemed Savings Table'!D416</f>
        <v>Standard</v>
      </c>
      <c r="I321" s="660">
        <f>'BUS Deemed Savings Table'!F416</f>
        <v>949.38</v>
      </c>
      <c r="J321" s="660"/>
      <c r="K321" s="658"/>
      <c r="L321" s="658"/>
      <c r="M321" s="658"/>
      <c r="N321" s="658"/>
      <c r="O321" s="661">
        <f>'BUS Deemed Savings Table'!I416</f>
        <v>0.13096099999999999</v>
      </c>
      <c r="P321" s="661"/>
      <c r="Q321" s="663"/>
      <c r="R321" s="663"/>
      <c r="S321" s="663"/>
      <c r="T321" s="663"/>
      <c r="U321" s="753">
        <f t="shared" si="281"/>
        <v>0</v>
      </c>
      <c r="V321" s="753">
        <f t="shared" si="282"/>
        <v>0.13096099999999999</v>
      </c>
      <c r="W321" s="753">
        <f t="shared" si="283"/>
        <v>0</v>
      </c>
      <c r="X321" s="654">
        <f>'BUS Deemed Savings Table'!J416</f>
        <v>10</v>
      </c>
      <c r="Y321" s="654"/>
      <c r="Z321" s="654">
        <f>Y321+X321</f>
        <v>10</v>
      </c>
      <c r="AA321" s="112">
        <f>'BUS Deemed Savings Table'!DG416</f>
        <v>1.3755919890352668</v>
      </c>
      <c r="AB321" s="746">
        <f>'BUS Deemed Savings Table'!K416</f>
        <v>202.28779999999998</v>
      </c>
      <c r="AC321" s="646">
        <f>AE321+AF321</f>
        <v>3037.3071117898689</v>
      </c>
      <c r="AD321" s="646">
        <f>AG321+AH321</f>
        <v>0</v>
      </c>
      <c r="AE321" s="756">
        <f>'BUS Deemed Savings Table'!DI416</f>
        <v>3037.3071117898689</v>
      </c>
      <c r="AF321" s="664"/>
      <c r="AG321" s="664"/>
      <c r="AH321" s="664"/>
      <c r="AI321" s="998" t="str">
        <f>'BUS Deemed Savings Table'!L416</f>
        <v>per HP</v>
      </c>
      <c r="AJ321" s="656"/>
      <c r="AM321"/>
      <c r="AN321"/>
      <c r="AO321"/>
      <c r="AP321"/>
      <c r="AQ321"/>
      <c r="AR321"/>
      <c r="AS321"/>
      <c r="AT321"/>
      <c r="AU321"/>
      <c r="AV321"/>
      <c r="AW321"/>
      <c r="AX321" s="1284" t="str">
        <f t="shared" si="284"/>
        <v>VSD Air Compressor &gt;40-&lt;50 HP</v>
      </c>
      <c r="AY321" s="1307"/>
      <c r="AZ321" s="1376" t="str">
        <f t="shared" si="285"/>
        <v>805001</v>
      </c>
      <c r="BA321" s="1229" t="s">
        <v>2158</v>
      </c>
      <c r="BB321" s="1229" t="s">
        <v>2158</v>
      </c>
      <c r="BC321" s="1229" t="s">
        <v>2158</v>
      </c>
      <c r="BD321" s="1229" t="s">
        <v>2158</v>
      </c>
      <c r="BE321" s="1235"/>
      <c r="BF321" s="1229" t="s">
        <v>2158</v>
      </c>
      <c r="BG321" s="1229" t="s">
        <v>2158</v>
      </c>
      <c r="BH321" s="1229" t="s">
        <v>2158</v>
      </c>
      <c r="BI321" s="1230" t="s">
        <v>2158</v>
      </c>
      <c r="BJ321" s="1234"/>
      <c r="BK321" s="1229" t="s">
        <v>2158</v>
      </c>
      <c r="BL321" s="1230" t="s">
        <v>2158</v>
      </c>
      <c r="BM321" s="1229" t="s">
        <v>2158</v>
      </c>
      <c r="BN321" s="1230" t="s">
        <v>2158</v>
      </c>
    </row>
    <row r="322" spans="1:66" s="39" customFormat="1" x14ac:dyDescent="0.25">
      <c r="A322" s="671" t="str">
        <f>LEFT(B322,6)</f>
        <v>805002</v>
      </c>
      <c r="B322" s="657" t="str">
        <f>'BUS Deemed Savings Table'!C417</f>
        <v>805002_2024_12_</v>
      </c>
      <c r="C322" s="656" t="str">
        <f>'BUS Deemed Savings Table'!G417</f>
        <v>Air Comp BUS</v>
      </c>
      <c r="D322" s="656"/>
      <c r="E322" s="656"/>
      <c r="F322" s="656"/>
      <c r="G322" s="656" t="str">
        <f>'BUS Deemed Savings Table'!E417</f>
        <v>VSD Air Compressor 50-200 HP</v>
      </c>
      <c r="H322" s="662" t="str">
        <f>'BUS Deemed Savings Table'!D417</f>
        <v>Standard</v>
      </c>
      <c r="I322" s="660">
        <f>'BUS Deemed Savings Table'!F417</f>
        <v>1052.02</v>
      </c>
      <c r="J322" s="660"/>
      <c r="K322" s="658"/>
      <c r="L322" s="658"/>
      <c r="M322" s="658"/>
      <c r="N322" s="658"/>
      <c r="O322" s="661">
        <f>'BUS Deemed Savings Table'!I417</f>
        <v>0.14512</v>
      </c>
      <c r="P322" s="661"/>
      <c r="Q322" s="663"/>
      <c r="R322" s="663"/>
      <c r="S322" s="663"/>
      <c r="T322" s="663"/>
      <c r="U322" s="753">
        <f t="shared" si="281"/>
        <v>0</v>
      </c>
      <c r="V322" s="753">
        <f t="shared" si="282"/>
        <v>0.14512</v>
      </c>
      <c r="W322" s="753">
        <f t="shared" si="283"/>
        <v>0</v>
      </c>
      <c r="X322" s="654">
        <f>'BUS Deemed Savings Table'!J417</f>
        <v>10</v>
      </c>
      <c r="Y322" s="654"/>
      <c r="Z322" s="654">
        <f>Y322+X322</f>
        <v>10</v>
      </c>
      <c r="AA322" s="112">
        <f>'BUS Deemed Savings Table'!DG417</f>
        <v>1.5243109021728725</v>
      </c>
      <c r="AB322" s="746">
        <f>'BUS Deemed Savings Table'!K417</f>
        <v>202.28779999999998</v>
      </c>
      <c r="AC322" s="646">
        <f>AE322+AF322</f>
        <v>3365.6784719977022</v>
      </c>
      <c r="AD322" s="646">
        <f>AG322+AH322</f>
        <v>0</v>
      </c>
      <c r="AE322" s="756">
        <f>'BUS Deemed Savings Table'!DI417</f>
        <v>3365.6784719977022</v>
      </c>
      <c r="AF322" s="664"/>
      <c r="AG322" s="664"/>
      <c r="AH322" s="664"/>
      <c r="AI322" s="998" t="str">
        <f>'BUS Deemed Savings Table'!L417</f>
        <v>per HP</v>
      </c>
      <c r="AJ322" s="656"/>
      <c r="AM322"/>
      <c r="AN322"/>
      <c r="AO322"/>
      <c r="AP322"/>
      <c r="AQ322"/>
      <c r="AR322"/>
      <c r="AS322"/>
      <c r="AT322"/>
      <c r="AU322"/>
      <c r="AV322"/>
      <c r="AW322"/>
      <c r="AX322" s="1284" t="str">
        <f t="shared" si="284"/>
        <v>VSD Air Compressor 50-200 HP</v>
      </c>
      <c r="AY322" s="1307"/>
      <c r="AZ322" s="1376" t="str">
        <f t="shared" si="285"/>
        <v>805002</v>
      </c>
      <c r="BA322" s="1229" t="s">
        <v>2158</v>
      </c>
      <c r="BB322" s="1229" t="s">
        <v>2158</v>
      </c>
      <c r="BC322" s="1229" t="s">
        <v>2158</v>
      </c>
      <c r="BD322" s="1229" t="s">
        <v>2158</v>
      </c>
      <c r="BE322" s="1235"/>
      <c r="BF322" s="1229" t="s">
        <v>2158</v>
      </c>
      <c r="BG322" s="1229" t="s">
        <v>2158</v>
      </c>
      <c r="BH322" s="1229" t="s">
        <v>2158</v>
      </c>
      <c r="BI322" s="1230" t="s">
        <v>2158</v>
      </c>
      <c r="BJ322" s="1234"/>
      <c r="BK322" s="1229" t="s">
        <v>2158</v>
      </c>
      <c r="BL322" s="1230" t="s">
        <v>2158</v>
      </c>
      <c r="BM322" s="1229" t="s">
        <v>2158</v>
      </c>
      <c r="BN322" s="1230" t="s">
        <v>2158</v>
      </c>
    </row>
    <row r="323" spans="1:66" x14ac:dyDescent="0.25">
      <c r="A323" s="49" t="str">
        <f t="shared" ref="A323:A333" si="286">LEFT(B323,6)</f>
        <v>805405</v>
      </c>
      <c r="B323" s="1371" t="str">
        <f>'BUS Deemed Savings Table'!C435</f>
        <v>805405_2020_07_</v>
      </c>
      <c r="C323" s="1307" t="str">
        <f>'BUS Deemed Savings Table'!G435</f>
        <v>Cooking BUS</v>
      </c>
      <c r="D323" s="1307"/>
      <c r="E323" s="1307"/>
      <c r="F323" s="1307"/>
      <c r="G323" s="1307" t="str">
        <f>'BUS Deemed Savings Table'!E435</f>
        <v>Kitchen Demand Ventilation Controls, Retrofit</v>
      </c>
      <c r="H323" s="18" t="str">
        <f>'BUS Deemed Savings Table'!D435</f>
        <v>Standard</v>
      </c>
      <c r="I323" s="750">
        <f>'BUS Deemed Savings Table'!F435</f>
        <v>4197</v>
      </c>
      <c r="J323" s="750"/>
      <c r="K323" s="189"/>
      <c r="L323" s="189"/>
      <c r="M323" s="189"/>
      <c r="N323" s="189"/>
      <c r="O323" s="751">
        <f>'BUS Deemed Savings Table'!I435</f>
        <v>0.83895889530000001</v>
      </c>
      <c r="P323" s="751"/>
      <c r="Q323" s="752"/>
      <c r="R323" s="752"/>
      <c r="S323" s="752"/>
      <c r="T323" s="752"/>
      <c r="U323" s="753">
        <f t="shared" ref="U323:U331" si="287">IFERROR(IF(V323+W323&gt;0,0,IF(Z323&gt;0,O323,0)),0)</f>
        <v>0</v>
      </c>
      <c r="V323" s="753">
        <f t="shared" ref="V323:V331" si="288">IF(W323&gt;0,0,IF(Z323&gt;9,O323,0))</f>
        <v>0</v>
      </c>
      <c r="W323" s="753">
        <f t="shared" ref="W323:W331" si="289">IF(Z323&gt;14,O323,0)</f>
        <v>0.83895889530000001</v>
      </c>
      <c r="X323" s="22">
        <f>'BUS Deemed Savings Table'!J435</f>
        <v>15</v>
      </c>
      <c r="Y323" s="22"/>
      <c r="Z323" s="22">
        <f t="shared" ref="Z323:Z332" si="290">Y323+X323</f>
        <v>15</v>
      </c>
      <c r="AA323" s="17">
        <f>'BUS Deemed Savings Table'!DG435</f>
        <v>1.7359796272251358</v>
      </c>
      <c r="AB323" s="246">
        <f>'BUS Deemed Savings Table'!K435</f>
        <v>1991</v>
      </c>
      <c r="AC323" s="755">
        <f t="shared" ref="AC323:AC332" si="291">AE323+AF323</f>
        <v>3456.3354378052454</v>
      </c>
      <c r="AD323" s="755">
        <f t="shared" ref="AD323:AD332" si="292">AG323+AH323</f>
        <v>0</v>
      </c>
      <c r="AE323" s="592">
        <f>'BUS Deemed Savings Table'!DI435</f>
        <v>3456.3354378052454</v>
      </c>
      <c r="AF323" s="195"/>
      <c r="AG323" s="195"/>
      <c r="AH323" s="195"/>
      <c r="AI323" s="873" t="str">
        <f>'BUS Deemed Savings Table'!L435</f>
        <v>per HP</v>
      </c>
      <c r="AJ323" s="68"/>
      <c r="AX323" s="1284" t="str">
        <f t="shared" si="284"/>
        <v>Kitchen Demand Ventilation Controls, Retrofit</v>
      </c>
      <c r="AY323" s="1307"/>
      <c r="AZ323" s="1376" t="str">
        <f t="shared" si="285"/>
        <v>805405</v>
      </c>
      <c r="BA323" s="1229" t="s">
        <v>2158</v>
      </c>
      <c r="BB323" s="1229" t="s">
        <v>2158</v>
      </c>
      <c r="BC323" s="1229" t="s">
        <v>2158</v>
      </c>
      <c r="BD323" s="1229" t="s">
        <v>2158</v>
      </c>
      <c r="BE323" s="1234"/>
      <c r="BF323" s="1229" t="s">
        <v>2158</v>
      </c>
      <c r="BG323" s="1229" t="s">
        <v>2158</v>
      </c>
      <c r="BH323" s="1229" t="s">
        <v>2158</v>
      </c>
      <c r="BI323" s="1230" t="s">
        <v>2158</v>
      </c>
      <c r="BJ323" s="1234"/>
      <c r="BK323" s="1229" t="s">
        <v>2158</v>
      </c>
      <c r="BL323" s="1230" t="s">
        <v>2158</v>
      </c>
      <c r="BM323" s="1229" t="s">
        <v>2158</v>
      </c>
      <c r="BN323" s="1230" t="s">
        <v>2158</v>
      </c>
    </row>
    <row r="324" spans="1:66" x14ac:dyDescent="0.25">
      <c r="A324" s="49" t="str">
        <f t="shared" si="286"/>
        <v>805650</v>
      </c>
      <c r="B324" s="1371" t="str">
        <f>'BUS Deemed Savings Table'!C451</f>
        <v>805650_2019_12_</v>
      </c>
      <c r="C324" s="1307" t="str">
        <f>'BUS Deemed Savings Table'!G451</f>
        <v>Cooling BUS</v>
      </c>
      <c r="D324" s="1307"/>
      <c r="E324" s="1307"/>
      <c r="F324" s="1307"/>
      <c r="G324" s="1307" t="str">
        <f>'BUS Deemed Savings Table'!E451</f>
        <v>Demand Controlled Ventillation (Gas Heat)</v>
      </c>
      <c r="H324" s="18" t="str">
        <f>'BUS Deemed Savings Table'!D451</f>
        <v>Standard</v>
      </c>
      <c r="I324" s="750">
        <f>'BUS Deemed Savings Table'!F451</f>
        <v>0.67</v>
      </c>
      <c r="J324" s="750"/>
      <c r="K324" s="847"/>
      <c r="L324" s="189"/>
      <c r="M324" s="189"/>
      <c r="N324" s="189"/>
      <c r="O324" s="751">
        <f>'BUS Deemed Savings Table'!I451</f>
        <v>6.0999999999999997E-4</v>
      </c>
      <c r="P324" s="751"/>
      <c r="Q324" s="752"/>
      <c r="R324" s="752"/>
      <c r="S324" s="752"/>
      <c r="T324" s="752"/>
      <c r="U324" s="753">
        <f t="shared" si="287"/>
        <v>0</v>
      </c>
      <c r="V324" s="753">
        <f t="shared" si="288"/>
        <v>6.0999999999999997E-4</v>
      </c>
      <c r="W324" s="753">
        <f t="shared" si="289"/>
        <v>0</v>
      </c>
      <c r="X324" s="22">
        <f>'BUS Deemed Savings Table'!J451</f>
        <v>10</v>
      </c>
      <c r="Y324" s="22"/>
      <c r="Z324" s="22">
        <f t="shared" si="290"/>
        <v>10</v>
      </c>
      <c r="AA324" s="875"/>
      <c r="AB324" s="246" t="str">
        <f>'BUS Deemed Savings Table'!K451</f>
        <v>Actual</v>
      </c>
      <c r="AC324" s="755">
        <f t="shared" si="291"/>
        <v>0.96382681093578204</v>
      </c>
      <c r="AD324" s="755">
        <f t="shared" si="292"/>
        <v>0</v>
      </c>
      <c r="AE324" s="592">
        <f>'BUS Deemed Savings Table'!DI451</f>
        <v>0.96382681093578204</v>
      </c>
      <c r="AF324" s="195"/>
      <c r="AG324" s="195"/>
      <c r="AH324" s="195"/>
      <c r="AI324" s="873" t="str">
        <f>'BUS Deemed Savings Table'!L451</f>
        <v>per sq. ft.</v>
      </c>
      <c r="AJ324" s="68"/>
      <c r="AX324" s="1284" t="str">
        <f t="shared" si="284"/>
        <v>Demand Controlled Ventillation (Gas Heat)</v>
      </c>
      <c r="AY324" s="1307"/>
      <c r="AZ324" s="1376" t="str">
        <f t="shared" si="285"/>
        <v>805650</v>
      </c>
      <c r="BA324" s="1229" t="s">
        <v>2158</v>
      </c>
      <c r="BB324" s="1229" t="s">
        <v>2158</v>
      </c>
      <c r="BC324" s="1229" t="s">
        <v>2158</v>
      </c>
      <c r="BD324" s="1229" t="s">
        <v>2158</v>
      </c>
      <c r="BE324" s="1234"/>
      <c r="BF324" s="1229" t="s">
        <v>2158</v>
      </c>
      <c r="BG324" s="1229" t="s">
        <v>2158</v>
      </c>
      <c r="BH324" s="1229" t="s">
        <v>2158</v>
      </c>
      <c r="BI324" s="1230" t="s">
        <v>2158</v>
      </c>
      <c r="BJ324" s="1234"/>
      <c r="BK324" s="1229" t="s">
        <v>2158</v>
      </c>
      <c r="BL324" s="1230" t="s">
        <v>2158</v>
      </c>
      <c r="BM324" s="1229" t="s">
        <v>2158</v>
      </c>
      <c r="BN324" s="1230" t="s">
        <v>2158</v>
      </c>
    </row>
    <row r="325" spans="1:66" x14ac:dyDescent="0.25">
      <c r="A325" s="49" t="str">
        <f t="shared" si="286"/>
        <v>805700</v>
      </c>
      <c r="B325" s="1371" t="str">
        <f>'BUS Deemed Savings Table'!C452</f>
        <v>805700_2019_12_</v>
      </c>
      <c r="C325" s="1307" t="str">
        <f>'BUS Deemed Savings Table'!G452</f>
        <v>Cooling BUS</v>
      </c>
      <c r="D325" s="1307"/>
      <c r="E325" s="1307"/>
      <c r="F325" s="1307"/>
      <c r="G325" s="1307" t="str">
        <f>'BUS Deemed Savings Table'!E452</f>
        <v>Demand Controlled Ventillation (Electric Heat)</v>
      </c>
      <c r="H325" s="18" t="str">
        <f>'BUS Deemed Savings Table'!D452</f>
        <v>Standard</v>
      </c>
      <c r="I325" s="750">
        <f>'BUS Deemed Savings Table'!F452</f>
        <v>1.9</v>
      </c>
      <c r="J325" s="750"/>
      <c r="K325" s="847"/>
      <c r="L325" s="189"/>
      <c r="M325" s="189"/>
      <c r="N325" s="189"/>
      <c r="O325" s="751">
        <f>'BUS Deemed Savings Table'!I452</f>
        <v>1.73E-3</v>
      </c>
      <c r="P325" s="751"/>
      <c r="Q325" s="752"/>
      <c r="R325" s="752"/>
      <c r="S325" s="752"/>
      <c r="T325" s="752"/>
      <c r="U325" s="753">
        <f t="shared" si="287"/>
        <v>0</v>
      </c>
      <c r="V325" s="753">
        <f t="shared" si="288"/>
        <v>1.73E-3</v>
      </c>
      <c r="W325" s="753">
        <f t="shared" si="289"/>
        <v>0</v>
      </c>
      <c r="X325" s="22">
        <f>'BUS Deemed Savings Table'!J452</f>
        <v>10</v>
      </c>
      <c r="Y325" s="22"/>
      <c r="Z325" s="22">
        <f t="shared" si="290"/>
        <v>10</v>
      </c>
      <c r="AA325" s="875"/>
      <c r="AB325" s="246" t="str">
        <f>'BUS Deemed Savings Table'!K452</f>
        <v>Actual</v>
      </c>
      <c r="AC325" s="755">
        <f t="shared" si="291"/>
        <v>2.7332402101163966</v>
      </c>
      <c r="AD325" s="755">
        <f t="shared" si="292"/>
        <v>0</v>
      </c>
      <c r="AE325" s="592">
        <f>'BUS Deemed Savings Table'!DI452</f>
        <v>2.7332402101163966</v>
      </c>
      <c r="AF325" s="195"/>
      <c r="AG325" s="195"/>
      <c r="AH325" s="195"/>
      <c r="AI325" s="873" t="str">
        <f>'BUS Deemed Savings Table'!L452</f>
        <v>per sq. ft.</v>
      </c>
      <c r="AJ325" s="68"/>
      <c r="AX325" s="1284" t="str">
        <f t="shared" si="284"/>
        <v>Demand Controlled Ventillation (Electric Heat)</v>
      </c>
      <c r="AY325" s="1307"/>
      <c r="AZ325" s="1376" t="str">
        <f t="shared" si="285"/>
        <v>805700</v>
      </c>
      <c r="BA325" s="1229" t="s">
        <v>2158</v>
      </c>
      <c r="BB325" s="1229" t="s">
        <v>2158</v>
      </c>
      <c r="BC325" s="1229" t="s">
        <v>2158</v>
      </c>
      <c r="BD325" s="1229" t="s">
        <v>2158</v>
      </c>
      <c r="BE325" s="1234"/>
      <c r="BF325" s="1229" t="s">
        <v>2158</v>
      </c>
      <c r="BG325" s="1229" t="s">
        <v>2158</v>
      </c>
      <c r="BH325" s="1229" t="s">
        <v>2158</v>
      </c>
      <c r="BI325" s="1230" t="s">
        <v>2158</v>
      </c>
      <c r="BJ325" s="1234"/>
      <c r="BK325" s="1229" t="s">
        <v>2158</v>
      </c>
      <c r="BL325" s="1230" t="s">
        <v>2158</v>
      </c>
      <c r="BM325" s="1229" t="s">
        <v>2158</v>
      </c>
      <c r="BN325" s="1230" t="s">
        <v>2158</v>
      </c>
    </row>
    <row r="326" spans="1:66" x14ac:dyDescent="0.25">
      <c r="A326" s="49" t="str">
        <f t="shared" si="286"/>
        <v>805750</v>
      </c>
      <c r="B326" s="1371" t="str">
        <f>'BUS Deemed Savings Table'!C453</f>
        <v>805750_2019_12_</v>
      </c>
      <c r="C326" s="1307" t="str">
        <f>'BUS Deemed Savings Table'!G453</f>
        <v>Cooling BUS</v>
      </c>
      <c r="D326" s="1307"/>
      <c r="E326" s="1307"/>
      <c r="F326" s="1307"/>
      <c r="G326" s="1307" t="str">
        <f>'BUS Deemed Savings Table'!E453</f>
        <v>Demand Controlled Ventillation (Heat Pump)</v>
      </c>
      <c r="H326" s="18" t="str">
        <f>'BUS Deemed Savings Table'!D453</f>
        <v>Standard</v>
      </c>
      <c r="I326" s="750">
        <f>'BUS Deemed Savings Table'!F453</f>
        <v>1.08</v>
      </c>
      <c r="J326" s="750"/>
      <c r="K326" s="847"/>
      <c r="L326" s="189"/>
      <c r="M326" s="189"/>
      <c r="N326" s="189"/>
      <c r="O326" s="751">
        <f>'BUS Deemed Savings Table'!I453</f>
        <v>9.8400000000000007E-4</v>
      </c>
      <c r="P326" s="751"/>
      <c r="Q326" s="752"/>
      <c r="R326" s="752"/>
      <c r="S326" s="752"/>
      <c r="T326" s="752"/>
      <c r="U326" s="753">
        <f t="shared" si="287"/>
        <v>0</v>
      </c>
      <c r="V326" s="753">
        <f t="shared" si="288"/>
        <v>9.8400000000000007E-4</v>
      </c>
      <c r="W326" s="753">
        <f t="shared" si="289"/>
        <v>0</v>
      </c>
      <c r="X326" s="22">
        <f>'BUS Deemed Savings Table'!J453</f>
        <v>10</v>
      </c>
      <c r="Y326" s="22"/>
      <c r="Z326" s="22">
        <f t="shared" si="290"/>
        <v>10</v>
      </c>
      <c r="AA326" s="875"/>
      <c r="AB326" s="246" t="str">
        <f>'BUS Deemed Savings Table'!K453</f>
        <v>Actual</v>
      </c>
      <c r="AC326" s="755">
        <f t="shared" si="291"/>
        <v>1.5536312773293204</v>
      </c>
      <c r="AD326" s="755">
        <f t="shared" si="292"/>
        <v>0</v>
      </c>
      <c r="AE326" s="592">
        <f>'BUS Deemed Savings Table'!DI453</f>
        <v>1.5536312773293204</v>
      </c>
      <c r="AF326" s="195"/>
      <c r="AG326" s="195"/>
      <c r="AH326" s="195"/>
      <c r="AI326" s="873" t="str">
        <f>'BUS Deemed Savings Table'!L453</f>
        <v>per sq. ft.</v>
      </c>
      <c r="AJ326" s="68"/>
      <c r="AX326" s="1284" t="str">
        <f t="shared" si="284"/>
        <v>Demand Controlled Ventillation (Heat Pump)</v>
      </c>
      <c r="AY326" s="1307"/>
      <c r="AZ326" s="1376" t="str">
        <f t="shared" si="285"/>
        <v>805750</v>
      </c>
      <c r="BA326" s="1229" t="s">
        <v>2158</v>
      </c>
      <c r="BB326" s="1229" t="s">
        <v>2158</v>
      </c>
      <c r="BC326" s="1229" t="s">
        <v>2158</v>
      </c>
      <c r="BD326" s="1229" t="s">
        <v>2158</v>
      </c>
      <c r="BE326" s="1234"/>
      <c r="BF326" s="1229" t="s">
        <v>2158</v>
      </c>
      <c r="BG326" s="1229" t="s">
        <v>2158</v>
      </c>
      <c r="BH326" s="1229" t="s">
        <v>2158</v>
      </c>
      <c r="BI326" s="1230" t="s">
        <v>2158</v>
      </c>
      <c r="BJ326" s="1234"/>
      <c r="BK326" s="1229" t="s">
        <v>2158</v>
      </c>
      <c r="BL326" s="1230" t="s">
        <v>2158</v>
      </c>
      <c r="BM326" s="1229" t="s">
        <v>2158</v>
      </c>
      <c r="BN326" s="1230" t="s">
        <v>2158</v>
      </c>
    </row>
    <row r="327" spans="1:66" x14ac:dyDescent="0.25">
      <c r="A327" s="49" t="str">
        <f t="shared" si="286"/>
        <v>805800</v>
      </c>
      <c r="B327" s="1371" t="str">
        <f>'BUS Deemed Savings Table'!C471</f>
        <v>805800_2019_12_</v>
      </c>
      <c r="C327" s="1307" t="str">
        <f>'BUS Deemed Savings Table'!G471</f>
        <v>HVAC BUS</v>
      </c>
      <c r="D327" s="1307"/>
      <c r="E327" s="1307"/>
      <c r="F327" s="1307"/>
      <c r="G327" s="1307" t="str">
        <f>'BUS Deemed Savings Table'!E471</f>
        <v>Advanced RTU Controls</v>
      </c>
      <c r="H327" s="18" t="str">
        <f>'BUS Deemed Savings Table'!D471</f>
        <v>Standard</v>
      </c>
      <c r="I327" s="750">
        <f>'BUS Deemed Savings Table'!F471</f>
        <v>3779.33</v>
      </c>
      <c r="J327" s="750"/>
      <c r="K327" s="189"/>
      <c r="L327" s="189"/>
      <c r="M327" s="189"/>
      <c r="N327" s="189"/>
      <c r="O327" s="751">
        <f>'BUS Deemed Savings Table'!I471</f>
        <v>1.6779580000000001</v>
      </c>
      <c r="P327" s="751"/>
      <c r="Q327" s="752"/>
      <c r="R327" s="752"/>
      <c r="S327" s="752"/>
      <c r="T327" s="752"/>
      <c r="U327" s="753">
        <f t="shared" si="287"/>
        <v>0</v>
      </c>
      <c r="V327" s="753">
        <f t="shared" si="288"/>
        <v>0</v>
      </c>
      <c r="W327" s="753">
        <f t="shared" si="289"/>
        <v>1.6779580000000001</v>
      </c>
      <c r="X327" s="22">
        <f>'BUS Deemed Savings Table'!J471</f>
        <v>15</v>
      </c>
      <c r="Y327" s="22"/>
      <c r="Z327" s="22">
        <f t="shared" si="290"/>
        <v>15</v>
      </c>
      <c r="AA327" s="17">
        <f>'BUS Deemed Savings Table'!DG471</f>
        <v>1.1412362084060232</v>
      </c>
      <c r="AB327" s="246">
        <f>'BUS Deemed Savings Table'!K471</f>
        <v>4038</v>
      </c>
      <c r="AC327" s="755">
        <f t="shared" si="291"/>
        <v>4608.311809543522</v>
      </c>
      <c r="AD327" s="755">
        <f t="shared" si="292"/>
        <v>0</v>
      </c>
      <c r="AE327" s="592">
        <f>'BUS Deemed Savings Table'!DI471</f>
        <v>4608.311809543522</v>
      </c>
      <c r="AF327" s="195"/>
      <c r="AG327" s="195"/>
      <c r="AH327" s="195"/>
      <c r="AI327" s="873" t="str">
        <f>'BUS Deemed Savings Table'!L471</f>
        <v>per measure</v>
      </c>
      <c r="AJ327" s="68"/>
      <c r="AX327" s="1284" t="str">
        <f t="shared" si="284"/>
        <v>Advanced RTU Controls</v>
      </c>
      <c r="AY327" s="1307"/>
      <c r="AZ327" s="1376" t="str">
        <f t="shared" si="285"/>
        <v>805800</v>
      </c>
      <c r="BA327" s="1229" t="s">
        <v>2158</v>
      </c>
      <c r="BB327" s="1229" t="s">
        <v>2158</v>
      </c>
      <c r="BC327" s="1229" t="s">
        <v>2158</v>
      </c>
      <c r="BD327" s="1229" t="s">
        <v>2158</v>
      </c>
      <c r="BE327" s="1234"/>
      <c r="BF327" s="1229" t="s">
        <v>2158</v>
      </c>
      <c r="BG327" s="1229" t="s">
        <v>2158</v>
      </c>
      <c r="BH327" s="1229" t="s">
        <v>2158</v>
      </c>
      <c r="BI327" s="1230" t="s">
        <v>2158</v>
      </c>
      <c r="BJ327" s="1234"/>
      <c r="BK327" s="1229" t="s">
        <v>2158</v>
      </c>
      <c r="BL327" s="1230" t="s">
        <v>2158</v>
      </c>
      <c r="BM327" s="1229" t="s">
        <v>2158</v>
      </c>
      <c r="BN327" s="1230" t="s">
        <v>2158</v>
      </c>
    </row>
    <row r="328" spans="1:66" x14ac:dyDescent="0.25">
      <c r="A328" s="49" t="str">
        <f t="shared" ref="A328" si="293">LEFT(B328,6)</f>
        <v>806090</v>
      </c>
      <c r="B328" s="1371" t="str">
        <f>'BUS Deemed Savings Table'!C487</f>
        <v>806090_2024_12_</v>
      </c>
      <c r="C328" s="1307" t="str">
        <f>'BUS Deemed Savings Table'!G487</f>
        <v>HVAC BUS</v>
      </c>
      <c r="D328" s="1307"/>
      <c r="E328" s="1307"/>
      <c r="F328" s="1307"/>
      <c r="G328" s="1307" t="str">
        <f>'BUS Deemed Savings Table'!E487</f>
        <v>High Volume Low Speed Fan, 16</v>
      </c>
      <c r="H328" s="18" t="str">
        <f>'BUS Deemed Savings Table'!D487</f>
        <v>Standard</v>
      </c>
      <c r="I328" s="750">
        <f>'BUS Deemed Savings Table'!F487</f>
        <v>3218</v>
      </c>
      <c r="J328" s="750"/>
      <c r="K328" s="189"/>
      <c r="L328" s="189"/>
      <c r="M328" s="189"/>
      <c r="N328" s="189"/>
      <c r="O328" s="751">
        <f>'BUS Deemed Savings Table'!I487</f>
        <v>1.428737294</v>
      </c>
      <c r="P328" s="751"/>
      <c r="Q328" s="752"/>
      <c r="R328" s="752"/>
      <c r="S328" s="752"/>
      <c r="T328" s="752"/>
      <c r="U328" s="753">
        <f t="shared" si="287"/>
        <v>0</v>
      </c>
      <c r="V328" s="753">
        <f t="shared" si="288"/>
        <v>1.428737294</v>
      </c>
      <c r="W328" s="753">
        <f t="shared" si="289"/>
        <v>0</v>
      </c>
      <c r="X328" s="22">
        <f>'BUS Deemed Savings Table'!J487</f>
        <v>10</v>
      </c>
      <c r="Y328" s="22"/>
      <c r="Z328" s="22">
        <f t="shared" ref="Z328" si="294">Y328+X328</f>
        <v>10</v>
      </c>
      <c r="AA328" s="17">
        <f>'BUS Deemed Savings Table'!DG487</f>
        <v>0.71821819439734769</v>
      </c>
      <c r="AB328" s="246">
        <f>'BUS Deemed Savings Table'!K487</f>
        <v>4072</v>
      </c>
      <c r="AC328" s="755">
        <f t="shared" ref="AC328" si="295">AE328+AF328</f>
        <v>2924.5844875859998</v>
      </c>
      <c r="AD328" s="755">
        <f t="shared" ref="AD328" si="296">AG328+AH328</f>
        <v>0</v>
      </c>
      <c r="AE328" s="592">
        <f>'BUS Deemed Savings Table'!DI487</f>
        <v>2924.5844875859998</v>
      </c>
      <c r="AF328" s="195"/>
      <c r="AG328" s="195"/>
      <c r="AH328" s="195"/>
      <c r="AI328" s="873" t="str">
        <f>'BUS Deemed Savings Table'!L487</f>
        <v>per measure</v>
      </c>
      <c r="AJ328" s="68"/>
      <c r="AX328" s="1284" t="str">
        <f t="shared" ref="AX328" si="297">G328</f>
        <v>High Volume Low Speed Fan, 16</v>
      </c>
      <c r="AY328" s="1307"/>
      <c r="AZ328" s="1376" t="str">
        <f t="shared" ref="AZ328" si="298">A328</f>
        <v>806090</v>
      </c>
      <c r="BA328" s="1229" t="s">
        <v>2158</v>
      </c>
      <c r="BB328" s="1229" t="s">
        <v>2158</v>
      </c>
      <c r="BC328" s="1229" t="s">
        <v>2158</v>
      </c>
      <c r="BD328" s="1229" t="s">
        <v>2158</v>
      </c>
      <c r="BE328" s="1234"/>
      <c r="BF328" s="1229" t="s">
        <v>2158</v>
      </c>
      <c r="BG328" s="1229" t="s">
        <v>2158</v>
      </c>
      <c r="BH328" s="1229" t="s">
        <v>2158</v>
      </c>
      <c r="BI328" s="1230" t="s">
        <v>2158</v>
      </c>
      <c r="BJ328" s="1234"/>
      <c r="BK328" s="1229" t="s">
        <v>2158</v>
      </c>
      <c r="BL328" s="1230" t="s">
        <v>2158</v>
      </c>
      <c r="BM328" s="1229" t="s">
        <v>2158</v>
      </c>
      <c r="BN328" s="1230" t="s">
        <v>2158</v>
      </c>
    </row>
    <row r="329" spans="1:66" x14ac:dyDescent="0.25">
      <c r="A329" s="49" t="str">
        <f t="shared" ref="A329" si="299">LEFT(B329,6)</f>
        <v>806095</v>
      </c>
      <c r="B329" s="1371" t="str">
        <f>'BUS Deemed Savings Table'!C488</f>
        <v>806095_2024_12_</v>
      </c>
      <c r="C329" s="1307" t="str">
        <f>'BUS Deemed Savings Table'!G488</f>
        <v>HVAC BUS</v>
      </c>
      <c r="D329" s="1307"/>
      <c r="E329" s="1307"/>
      <c r="F329" s="1307"/>
      <c r="G329" s="1307" t="str">
        <f>'BUS Deemed Savings Table'!E488</f>
        <v>High Volume Low Speed Fan, 18</v>
      </c>
      <c r="H329" s="18" t="str">
        <f>'BUS Deemed Savings Table'!D488</f>
        <v>Standard</v>
      </c>
      <c r="I329" s="750">
        <f>'BUS Deemed Savings Table'!F488</f>
        <v>4938</v>
      </c>
      <c r="J329" s="750"/>
      <c r="K329" s="189"/>
      <c r="L329" s="189"/>
      <c r="M329" s="189"/>
      <c r="N329" s="189"/>
      <c r="O329" s="751">
        <f>'BUS Deemed Savings Table'!I488</f>
        <v>2.1923880540000003</v>
      </c>
      <c r="P329" s="751"/>
      <c r="Q329" s="752"/>
      <c r="R329" s="752"/>
      <c r="S329" s="752"/>
      <c r="T329" s="752"/>
      <c r="U329" s="753">
        <f t="shared" si="287"/>
        <v>0</v>
      </c>
      <c r="V329" s="753">
        <f t="shared" si="288"/>
        <v>2.1923880540000003</v>
      </c>
      <c r="W329" s="753">
        <f t="shared" si="289"/>
        <v>0</v>
      </c>
      <c r="X329" s="22">
        <f>'BUS Deemed Savings Table'!J488</f>
        <v>10</v>
      </c>
      <c r="Y329" s="22"/>
      <c r="Z329" s="22">
        <f t="shared" ref="Z329" si="300">Y329+X329</f>
        <v>10</v>
      </c>
      <c r="AA329" s="17">
        <f>'BUS Deemed Savings Table'!DG488</f>
        <v>1.0919113895302781</v>
      </c>
      <c r="AB329" s="246">
        <f>'BUS Deemed Savings Table'!K488</f>
        <v>4110</v>
      </c>
      <c r="AC329" s="755">
        <f t="shared" ref="AC329" si="301">AE329+AF329</f>
        <v>4487.7558109694428</v>
      </c>
      <c r="AD329" s="755">
        <f t="shared" ref="AD329" si="302">AG329+AH329</f>
        <v>0</v>
      </c>
      <c r="AE329" s="592">
        <f>'BUS Deemed Savings Table'!DI488</f>
        <v>4487.7558109694428</v>
      </c>
      <c r="AF329" s="195"/>
      <c r="AG329" s="195"/>
      <c r="AH329" s="195"/>
      <c r="AI329" s="873" t="str">
        <f>'BUS Deemed Savings Table'!L488</f>
        <v>per measure</v>
      </c>
      <c r="AJ329" s="68"/>
      <c r="AX329" s="1284" t="str">
        <f t="shared" ref="AX329" si="303">G329</f>
        <v>High Volume Low Speed Fan, 18</v>
      </c>
      <c r="AY329" s="1307"/>
      <c r="AZ329" s="1376" t="str">
        <f t="shared" ref="AZ329" si="304">A329</f>
        <v>806095</v>
      </c>
      <c r="BA329" s="1229" t="s">
        <v>2158</v>
      </c>
      <c r="BB329" s="1229" t="s">
        <v>2158</v>
      </c>
      <c r="BC329" s="1229" t="s">
        <v>2158</v>
      </c>
      <c r="BD329" s="1229" t="s">
        <v>2158</v>
      </c>
      <c r="BE329" s="1234"/>
      <c r="BF329" s="1229" t="s">
        <v>2158</v>
      </c>
      <c r="BG329" s="1229" t="s">
        <v>2158</v>
      </c>
      <c r="BH329" s="1229" t="s">
        <v>2158</v>
      </c>
      <c r="BI329" s="1230" t="s">
        <v>2158</v>
      </c>
      <c r="BJ329" s="1234"/>
      <c r="BK329" s="1229" t="s">
        <v>2158</v>
      </c>
      <c r="BL329" s="1230" t="s">
        <v>2158</v>
      </c>
      <c r="BM329" s="1229" t="s">
        <v>2158</v>
      </c>
      <c r="BN329" s="1230" t="s">
        <v>2158</v>
      </c>
    </row>
    <row r="330" spans="1:66" x14ac:dyDescent="0.25">
      <c r="A330" s="49" t="str">
        <f t="shared" si="286"/>
        <v>806100</v>
      </c>
      <c r="B330" s="1371" t="str">
        <f>'BUS Deemed Savings Table'!C489</f>
        <v>806100_2020_07_</v>
      </c>
      <c r="C330" s="1307" t="str">
        <f>'BUS Deemed Savings Table'!G489</f>
        <v>HVAC BUS</v>
      </c>
      <c r="D330" s="1307"/>
      <c r="E330" s="1307"/>
      <c r="F330" s="1307"/>
      <c r="G330" s="1307" t="str">
        <f>'BUS Deemed Savings Table'!E489</f>
        <v>High Volume Low Speed Fan, 20</v>
      </c>
      <c r="H330" s="18" t="str">
        <f>'BUS Deemed Savings Table'!D489</f>
        <v>Standard</v>
      </c>
      <c r="I330" s="750">
        <f>'BUS Deemed Savings Table'!F489</f>
        <v>6577</v>
      </c>
      <c r="J330" s="750"/>
      <c r="K330" s="189"/>
      <c r="L330" s="189"/>
      <c r="M330" s="189"/>
      <c r="N330" s="189"/>
      <c r="O330" s="751">
        <f>'BUS Deemed Savings Table'!I489</f>
        <v>2.9200761910000002</v>
      </c>
      <c r="P330" s="751"/>
      <c r="Q330" s="752"/>
      <c r="R330" s="752"/>
      <c r="S330" s="752"/>
      <c r="T330" s="752"/>
      <c r="U330" s="753">
        <f t="shared" si="287"/>
        <v>0</v>
      </c>
      <c r="V330" s="753">
        <f t="shared" si="288"/>
        <v>2.9200761910000002</v>
      </c>
      <c r="W330" s="753">
        <f t="shared" si="289"/>
        <v>0</v>
      </c>
      <c r="X330" s="22">
        <f>'BUS Deemed Savings Table'!J489</f>
        <v>10</v>
      </c>
      <c r="Y330" s="22"/>
      <c r="Z330" s="22">
        <f t="shared" si="290"/>
        <v>10</v>
      </c>
      <c r="AA330" s="17">
        <f>'BUS Deemed Savings Table'!DG489</f>
        <v>1.4403163062332454</v>
      </c>
      <c r="AB330" s="246">
        <f>'BUS Deemed Savings Table'!K489</f>
        <v>4150</v>
      </c>
      <c r="AC330" s="755">
        <f t="shared" si="291"/>
        <v>5977.3126708679683</v>
      </c>
      <c r="AD330" s="755">
        <f t="shared" si="292"/>
        <v>0</v>
      </c>
      <c r="AE330" s="592">
        <f>'BUS Deemed Savings Table'!DI489</f>
        <v>5977.3126708679683</v>
      </c>
      <c r="AF330" s="195"/>
      <c r="AG330" s="195"/>
      <c r="AH330" s="195"/>
      <c r="AI330" s="873" t="str">
        <f>'BUS Deemed Savings Table'!L489</f>
        <v>per measure</v>
      </c>
      <c r="AJ330" s="68"/>
      <c r="AX330" s="1284" t="str">
        <f t="shared" si="284"/>
        <v>High Volume Low Speed Fan, 20</v>
      </c>
      <c r="AY330" s="1307"/>
      <c r="AZ330" s="1376" t="str">
        <f t="shared" si="285"/>
        <v>806100</v>
      </c>
      <c r="BA330" s="1229" t="s">
        <v>2158</v>
      </c>
      <c r="BB330" s="1229" t="s">
        <v>2158</v>
      </c>
      <c r="BC330" s="1229" t="s">
        <v>2158</v>
      </c>
      <c r="BD330" s="1229" t="s">
        <v>2158</v>
      </c>
      <c r="BE330" s="1234"/>
      <c r="BF330" s="1229" t="s">
        <v>2158</v>
      </c>
      <c r="BG330" s="1229" t="s">
        <v>2158</v>
      </c>
      <c r="BH330" s="1229" t="s">
        <v>2158</v>
      </c>
      <c r="BI330" s="1230" t="s">
        <v>2158</v>
      </c>
      <c r="BJ330" s="1234"/>
      <c r="BK330" s="1229" t="s">
        <v>2158</v>
      </c>
      <c r="BL330" s="1230" t="s">
        <v>2158</v>
      </c>
      <c r="BM330" s="1229" t="s">
        <v>2158</v>
      </c>
      <c r="BN330" s="1230" t="s">
        <v>2158</v>
      </c>
    </row>
    <row r="331" spans="1:66" x14ac:dyDescent="0.25">
      <c r="A331" s="49" t="str">
        <f t="shared" si="286"/>
        <v>806110</v>
      </c>
      <c r="B331" s="1371" t="str">
        <f>'BUS Deemed Savings Table'!C490</f>
        <v>806110_2020_07_</v>
      </c>
      <c r="C331" s="1307" t="str">
        <f>'BUS Deemed Savings Table'!G490</f>
        <v>HVAC BUS</v>
      </c>
      <c r="D331" s="1307"/>
      <c r="E331" s="1307"/>
      <c r="F331" s="1307"/>
      <c r="G331" s="1307" t="str">
        <f>'BUS Deemed Savings Table'!E490</f>
        <v>High Volume Low Speed Fan, 22</v>
      </c>
      <c r="H331" s="18" t="str">
        <f>'BUS Deemed Savings Table'!D490</f>
        <v>Standard</v>
      </c>
      <c r="I331" s="750">
        <f>'BUS Deemed Savings Table'!F490</f>
        <v>8543</v>
      </c>
      <c r="J331" s="750"/>
      <c r="K331" s="189"/>
      <c r="L331" s="189"/>
      <c r="M331" s="189"/>
      <c r="N331" s="189"/>
      <c r="O331" s="751">
        <f>'BUS Deemed Savings Table'!I490</f>
        <v>3.7929467690000003</v>
      </c>
      <c r="P331" s="751"/>
      <c r="Q331" s="752"/>
      <c r="R331" s="752"/>
      <c r="S331" s="752"/>
      <c r="T331" s="752"/>
      <c r="U331" s="753">
        <f t="shared" si="287"/>
        <v>0</v>
      </c>
      <c r="V331" s="753">
        <f t="shared" si="288"/>
        <v>3.7929467690000003</v>
      </c>
      <c r="W331" s="753">
        <f t="shared" si="289"/>
        <v>0</v>
      </c>
      <c r="X331" s="22">
        <f>'BUS Deemed Savings Table'!J490</f>
        <v>10</v>
      </c>
      <c r="Y331" s="22"/>
      <c r="Z331" s="22">
        <f t="shared" si="290"/>
        <v>10</v>
      </c>
      <c r="AA331" s="17">
        <f>'BUS Deemed Savings Table'!DG490</f>
        <v>1.8574291498365354</v>
      </c>
      <c r="AB331" s="246">
        <f>'BUS Deemed Savings Table'!K490</f>
        <v>4180</v>
      </c>
      <c r="AC331" s="755">
        <f t="shared" si="291"/>
        <v>7764.0538463167177</v>
      </c>
      <c r="AD331" s="755">
        <f t="shared" si="292"/>
        <v>0</v>
      </c>
      <c r="AE331" s="592">
        <f>'BUS Deemed Savings Table'!DI490</f>
        <v>7764.0538463167177</v>
      </c>
      <c r="AF331" s="195"/>
      <c r="AG331" s="195"/>
      <c r="AH331" s="195"/>
      <c r="AI331" s="873" t="str">
        <f>'BUS Deemed Savings Table'!L490</f>
        <v>per measure</v>
      </c>
      <c r="AJ331" s="68"/>
      <c r="AX331" s="1284" t="str">
        <f t="shared" si="284"/>
        <v>High Volume Low Speed Fan, 22</v>
      </c>
      <c r="AY331" s="1307"/>
      <c r="AZ331" s="1376" t="str">
        <f t="shared" si="285"/>
        <v>806110</v>
      </c>
      <c r="BA331" s="1229" t="s">
        <v>2158</v>
      </c>
      <c r="BB331" s="1229" t="s">
        <v>2158</v>
      </c>
      <c r="BC331" s="1229" t="s">
        <v>2158</v>
      </c>
      <c r="BD331" s="1229" t="s">
        <v>2158</v>
      </c>
      <c r="BE331" s="1234"/>
      <c r="BF331" s="1229" t="s">
        <v>2158</v>
      </c>
      <c r="BG331" s="1229" t="s">
        <v>2158</v>
      </c>
      <c r="BH331" s="1229" t="s">
        <v>2158</v>
      </c>
      <c r="BI331" s="1230" t="s">
        <v>2158</v>
      </c>
      <c r="BJ331" s="1234"/>
      <c r="BK331" s="1229" t="s">
        <v>2158</v>
      </c>
      <c r="BL331" s="1230" t="s">
        <v>2158</v>
      </c>
      <c r="BM331" s="1229" t="s">
        <v>2158</v>
      </c>
      <c r="BN331" s="1230" t="s">
        <v>2158</v>
      </c>
    </row>
    <row r="332" spans="1:66" x14ac:dyDescent="0.25">
      <c r="A332" s="49" t="str">
        <f t="shared" si="286"/>
        <v>806120</v>
      </c>
      <c r="B332" s="1371" t="str">
        <f>'BUS Deemed Savings Table'!C491</f>
        <v>806120_2020_07_</v>
      </c>
      <c r="C332" s="1307" t="str">
        <f>'BUS Deemed Savings Table'!G491</f>
        <v>HVAC BUS</v>
      </c>
      <c r="D332" s="1307"/>
      <c r="E332" s="1307"/>
      <c r="F332" s="1307"/>
      <c r="G332" s="1307" t="str">
        <f>'BUS Deemed Savings Table'!E491</f>
        <v>High Volume Low Speed Fan, 24</v>
      </c>
      <c r="H332" s="18" t="str">
        <f>'BUS Deemed Savings Table'!D491</f>
        <v>Standard</v>
      </c>
      <c r="I332" s="750">
        <f>'BUS Deemed Savings Table'!F491</f>
        <v>10018</v>
      </c>
      <c r="J332" s="750"/>
      <c r="K332" s="189"/>
      <c r="L332" s="189"/>
      <c r="M332" s="189"/>
      <c r="N332" s="189"/>
      <c r="O332" s="751">
        <f>'BUS Deemed Savings Table'!I491</f>
        <v>4.4478216939999999</v>
      </c>
      <c r="P332" s="751"/>
      <c r="Q332" s="752"/>
      <c r="R332" s="752"/>
      <c r="S332" s="752"/>
      <c r="T332" s="752"/>
      <c r="U332" s="753">
        <f>IFERROR(IF(V332+W332&gt;0,0,IF(Z332&gt;0,O332,0)),0)</f>
        <v>0</v>
      </c>
      <c r="V332" s="753">
        <f t="shared" ref="V332" si="305">IF(W332&gt;0,0,IF(Z332&gt;9,O332,0))</f>
        <v>4.4478216939999999</v>
      </c>
      <c r="W332" s="753">
        <f t="shared" ref="W332" si="306">IF(Z332&gt;14,O332,0)</f>
        <v>0</v>
      </c>
      <c r="X332" s="22">
        <f>'BUS Deemed Savings Table'!J491</f>
        <v>10</v>
      </c>
      <c r="Y332" s="22"/>
      <c r="Z332" s="22">
        <f t="shared" si="290"/>
        <v>10</v>
      </c>
      <c r="AA332" s="17">
        <f>'BUS Deemed Savings Table'!DG491</f>
        <v>2.1549264232359064</v>
      </c>
      <c r="AB332" s="246">
        <f>'BUS Deemed Savings Table'!K491</f>
        <v>4225</v>
      </c>
      <c r="AC332" s="755">
        <f t="shared" si="291"/>
        <v>9104.5641381717051</v>
      </c>
      <c r="AD332" s="755">
        <f t="shared" si="292"/>
        <v>0</v>
      </c>
      <c r="AE332" s="592">
        <f>'BUS Deemed Savings Table'!DI491</f>
        <v>9104.5641381717051</v>
      </c>
      <c r="AF332" s="195"/>
      <c r="AG332" s="195"/>
      <c r="AH332" s="195"/>
      <c r="AI332" s="873" t="str">
        <f>'BUS Deemed Savings Table'!L491</f>
        <v>per measure</v>
      </c>
      <c r="AJ332" s="68"/>
      <c r="AX332" s="1284" t="str">
        <f t="shared" si="284"/>
        <v>High Volume Low Speed Fan, 24</v>
      </c>
      <c r="AY332" s="1307"/>
      <c r="AZ332" s="1376" t="str">
        <f t="shared" si="285"/>
        <v>806120</v>
      </c>
      <c r="BA332" s="1229" t="s">
        <v>2158</v>
      </c>
      <c r="BB332" s="1229" t="s">
        <v>2158</v>
      </c>
      <c r="BC332" s="1229" t="s">
        <v>2158</v>
      </c>
      <c r="BD332" s="1229" t="s">
        <v>2158</v>
      </c>
      <c r="BE332" s="1234"/>
      <c r="BF332" s="1229" t="s">
        <v>2158</v>
      </c>
      <c r="BG332" s="1229" t="s">
        <v>2158</v>
      </c>
      <c r="BH332" s="1229" t="s">
        <v>2158</v>
      </c>
      <c r="BI332" s="1230" t="s">
        <v>2158</v>
      </c>
      <c r="BJ332" s="1234"/>
      <c r="BK332" s="1229" t="s">
        <v>2158</v>
      </c>
      <c r="BL332" s="1230" t="s">
        <v>2158</v>
      </c>
      <c r="BM332" s="1229" t="s">
        <v>2158</v>
      </c>
      <c r="BN332" s="1230" t="s">
        <v>2158</v>
      </c>
    </row>
    <row r="333" spans="1:66" ht="15.75" thickBot="1" x14ac:dyDescent="0.3">
      <c r="A333" s="49" t="str">
        <f t="shared" si="286"/>
        <v>999999</v>
      </c>
      <c r="B333" s="1371" t="str">
        <f>'BUS Deemed Savings Table'!C507</f>
        <v>999999_2024_12</v>
      </c>
      <c r="C333" s="1307" t="str">
        <f>'BUS Deemed Savings Table'!G507</f>
        <v>Variable</v>
      </c>
      <c r="D333" s="1307"/>
      <c r="E333" s="1307"/>
      <c r="F333" s="1307"/>
      <c r="G333" s="1307" t="str">
        <f>'BUS Deemed Savings Table'!E507</f>
        <v>Custom-Air Comp</v>
      </c>
      <c r="H333" s="18" t="str">
        <f>'BUS Deemed Savings Table'!D507</f>
        <v>Custom</v>
      </c>
      <c r="I333" s="750" t="str">
        <f>'BUS Deemed Savings Table'!F507</f>
        <v>Custom</v>
      </c>
      <c r="J333" s="750"/>
      <c r="K333" s="189"/>
      <c r="L333" s="189"/>
      <c r="M333" s="189"/>
      <c r="N333" s="189"/>
      <c r="O333" s="751" t="str">
        <f>'BUS Deemed Savings Table'!I507</f>
        <v>Custom</v>
      </c>
      <c r="P333" s="751"/>
      <c r="Q333" s="752"/>
      <c r="R333" s="752"/>
      <c r="S333" s="752"/>
      <c r="T333" s="752"/>
      <c r="U333" s="753">
        <f>IFERROR(IF(V333+W333&gt;0,0,IF(Z333&gt;0,O333,0)),0)</f>
        <v>0</v>
      </c>
      <c r="V333" s="753">
        <f t="shared" ref="V333" si="307">IF(W333&gt;0,0,IF(Z333&gt;9,O333,0))</f>
        <v>0</v>
      </c>
      <c r="W333" s="753" t="str">
        <f t="shared" ref="W333" si="308">IF(Z333&gt;14,O333,0)</f>
        <v>Custom</v>
      </c>
      <c r="X333" s="22" t="str">
        <f>'BUS Deemed Savings Table'!J507</f>
        <v>Custom</v>
      </c>
      <c r="Y333" s="22"/>
      <c r="Z333" s="22" t="s">
        <v>2311</v>
      </c>
      <c r="AA333" s="17" t="s">
        <v>2311</v>
      </c>
      <c r="AB333" s="246" t="s">
        <v>2311</v>
      </c>
      <c r="AC333" s="876" t="s">
        <v>2311</v>
      </c>
      <c r="AD333" s="755" t="s">
        <v>2311</v>
      </c>
      <c r="AE333" s="592"/>
      <c r="AF333" s="195"/>
      <c r="AG333" s="195"/>
      <c r="AH333" s="195"/>
      <c r="AI333" s="873" t="str">
        <f>'BUS Deemed Savings Table'!L507</f>
        <v>Custom</v>
      </c>
      <c r="AJ333" s="68"/>
      <c r="AX333" s="1285" t="str">
        <f t="shared" si="284"/>
        <v>Custom-Air Comp</v>
      </c>
      <c r="AY333" s="1339"/>
      <c r="AZ333" s="1286" t="str">
        <f t="shared" si="285"/>
        <v>999999</v>
      </c>
      <c r="BA333" s="1231" t="s">
        <v>2158</v>
      </c>
      <c r="BB333" s="1231" t="s">
        <v>2158</v>
      </c>
      <c r="BC333" s="1231" t="s">
        <v>2158</v>
      </c>
      <c r="BD333" s="1231" t="s">
        <v>2158</v>
      </c>
      <c r="BE333" s="1237"/>
      <c r="BF333" s="1231" t="s">
        <v>2158</v>
      </c>
      <c r="BG333" s="1231" t="s">
        <v>2158</v>
      </c>
      <c r="BH333" s="1231" t="s">
        <v>2158</v>
      </c>
      <c r="BI333" s="1232" t="s">
        <v>2158</v>
      </c>
      <c r="BJ333" s="1234"/>
      <c r="BK333" s="1231" t="s">
        <v>2158</v>
      </c>
      <c r="BL333" s="1232" t="s">
        <v>2158</v>
      </c>
      <c r="BM333" s="1231" t="s">
        <v>2158</v>
      </c>
      <c r="BN333" s="1232" t="s">
        <v>2158</v>
      </c>
    </row>
    <row r="334" spans="1:66" ht="15.75" thickBot="1" x14ac:dyDescent="0.3">
      <c r="A334" s="49" t="str">
        <f t="shared" ref="A334:A343" si="309">LEFT(B334,6)</f>
        <v>999999</v>
      </c>
      <c r="B334" s="1371" t="str">
        <f>'BUS Deemed Savings Table'!C508</f>
        <v>999999_2024_12</v>
      </c>
      <c r="C334" s="1307" t="str">
        <f>'BUS Deemed Savings Table'!G508</f>
        <v>Variable</v>
      </c>
      <c r="D334" s="1307"/>
      <c r="E334" s="1307"/>
      <c r="F334" s="1307"/>
      <c r="G334" s="1307" t="str">
        <f>'BUS Deemed Savings Table'!E508</f>
        <v>Custom-Building Shell</v>
      </c>
      <c r="H334" s="18" t="str">
        <f>'BUS Deemed Savings Table'!D508</f>
        <v>Custom</v>
      </c>
      <c r="I334" s="750" t="str">
        <f>'BUS Deemed Savings Table'!F508</f>
        <v>Custom</v>
      </c>
      <c r="J334" s="750"/>
      <c r="K334" s="189"/>
      <c r="L334" s="189"/>
      <c r="M334" s="189"/>
      <c r="N334" s="189"/>
      <c r="O334" s="751" t="str">
        <f>'BUS Deemed Savings Table'!I508</f>
        <v>Custom</v>
      </c>
      <c r="P334" s="751"/>
      <c r="Q334" s="752"/>
      <c r="R334" s="752"/>
      <c r="S334" s="752"/>
      <c r="T334" s="752"/>
      <c r="U334" s="753">
        <f t="shared" ref="U334:U343" si="310">IFERROR(IF(V334+W334&gt;0,0,IF(Z334&gt;0,O334,0)),0)</f>
        <v>0</v>
      </c>
      <c r="V334" s="753">
        <f t="shared" ref="V334:V343" si="311">IF(W334&gt;0,0,IF(Z334&gt;9,O334,0))</f>
        <v>0</v>
      </c>
      <c r="W334" s="753" t="str">
        <f t="shared" ref="W334:W343" si="312">IF(Z334&gt;14,O334,0)</f>
        <v>Custom</v>
      </c>
      <c r="X334" s="22" t="str">
        <f>'BUS Deemed Savings Table'!J508</f>
        <v>Custom</v>
      </c>
      <c r="Y334" s="22"/>
      <c r="Z334" s="22" t="s">
        <v>2311</v>
      </c>
      <c r="AA334" s="17" t="s">
        <v>2311</v>
      </c>
      <c r="AB334" s="246" t="s">
        <v>2311</v>
      </c>
      <c r="AC334" s="876" t="s">
        <v>2311</v>
      </c>
      <c r="AD334" s="755" t="s">
        <v>2311</v>
      </c>
      <c r="AE334" s="592"/>
      <c r="AF334" s="195"/>
      <c r="AG334" s="195"/>
      <c r="AH334" s="195"/>
      <c r="AI334" s="873" t="str">
        <f>'BUS Deemed Savings Table'!L508</f>
        <v>Custom</v>
      </c>
      <c r="AJ334" s="68"/>
      <c r="AX334" s="1285" t="str">
        <f t="shared" ref="AX334:AX343" si="313">G334</f>
        <v>Custom-Building Shell</v>
      </c>
      <c r="AY334" s="1339"/>
      <c r="AZ334" s="1286" t="str">
        <f t="shared" ref="AZ334:AZ343" si="314">A334</f>
        <v>999999</v>
      </c>
      <c r="BA334" s="1231" t="s">
        <v>2158</v>
      </c>
      <c r="BB334" s="1231" t="s">
        <v>2158</v>
      </c>
      <c r="BC334" s="1231" t="s">
        <v>2158</v>
      </c>
      <c r="BD334" s="1231" t="s">
        <v>2158</v>
      </c>
      <c r="BE334" s="1237"/>
      <c r="BF334" s="1231" t="s">
        <v>2158</v>
      </c>
      <c r="BG334" s="1231" t="s">
        <v>2158</v>
      </c>
      <c r="BH334" s="1231" t="s">
        <v>2158</v>
      </c>
      <c r="BI334" s="1232" t="s">
        <v>2158</v>
      </c>
      <c r="BJ334" s="1234"/>
      <c r="BK334" s="1231" t="s">
        <v>2158</v>
      </c>
      <c r="BL334" s="1232" t="s">
        <v>2158</v>
      </c>
      <c r="BM334" s="1231" t="s">
        <v>2158</v>
      </c>
      <c r="BN334" s="1232" t="s">
        <v>2158</v>
      </c>
    </row>
    <row r="335" spans="1:66" ht="15.75" thickBot="1" x14ac:dyDescent="0.3">
      <c r="A335" s="49" t="str">
        <f t="shared" si="309"/>
        <v>999999</v>
      </c>
      <c r="B335" s="1371" t="str">
        <f>'BUS Deemed Savings Table'!C509</f>
        <v>999999_2024_12</v>
      </c>
      <c r="C335" s="1307" t="str">
        <f>'BUS Deemed Savings Table'!G509</f>
        <v>Variable</v>
      </c>
      <c r="D335" s="1307"/>
      <c r="E335" s="1307"/>
      <c r="F335" s="1307"/>
      <c r="G335" s="1307" t="str">
        <f>'BUS Deemed Savings Table'!E509</f>
        <v>Custom-Cooking</v>
      </c>
      <c r="H335" s="18" t="str">
        <f>'BUS Deemed Savings Table'!D509</f>
        <v>Custom</v>
      </c>
      <c r="I335" s="750" t="str">
        <f>'BUS Deemed Savings Table'!F509</f>
        <v>Custom</v>
      </c>
      <c r="J335" s="750"/>
      <c r="K335" s="189"/>
      <c r="L335" s="189"/>
      <c r="M335" s="189"/>
      <c r="N335" s="189"/>
      <c r="O335" s="751" t="str">
        <f>'BUS Deemed Savings Table'!I509</f>
        <v>Custom</v>
      </c>
      <c r="P335" s="751"/>
      <c r="Q335" s="752"/>
      <c r="R335" s="752"/>
      <c r="S335" s="752"/>
      <c r="T335" s="752"/>
      <c r="U335" s="753">
        <f t="shared" si="310"/>
        <v>0</v>
      </c>
      <c r="V335" s="753">
        <f t="shared" si="311"/>
        <v>0</v>
      </c>
      <c r="W335" s="753" t="str">
        <f t="shared" si="312"/>
        <v>Custom</v>
      </c>
      <c r="X335" s="22" t="str">
        <f>'BUS Deemed Savings Table'!J509</f>
        <v>Custom</v>
      </c>
      <c r="Y335" s="22"/>
      <c r="Z335" s="22" t="s">
        <v>2311</v>
      </c>
      <c r="AA335" s="17" t="s">
        <v>2311</v>
      </c>
      <c r="AB335" s="246" t="s">
        <v>2311</v>
      </c>
      <c r="AC335" s="876" t="s">
        <v>2311</v>
      </c>
      <c r="AD335" s="755" t="s">
        <v>2311</v>
      </c>
      <c r="AE335" s="592"/>
      <c r="AF335" s="195"/>
      <c r="AG335" s="195"/>
      <c r="AH335" s="195"/>
      <c r="AI335" s="873" t="str">
        <f>'BUS Deemed Savings Table'!L509</f>
        <v>Custom</v>
      </c>
      <c r="AJ335" s="68"/>
      <c r="AX335" s="1285" t="str">
        <f t="shared" si="313"/>
        <v>Custom-Cooking</v>
      </c>
      <c r="AY335" s="1339"/>
      <c r="AZ335" s="1286" t="str">
        <f t="shared" si="314"/>
        <v>999999</v>
      </c>
      <c r="BA335" s="1231" t="s">
        <v>2158</v>
      </c>
      <c r="BB335" s="1231" t="s">
        <v>2158</v>
      </c>
      <c r="BC335" s="1231" t="s">
        <v>2158</v>
      </c>
      <c r="BD335" s="1231" t="s">
        <v>2158</v>
      </c>
      <c r="BE335" s="1237"/>
      <c r="BF335" s="1231" t="s">
        <v>2158</v>
      </c>
      <c r="BG335" s="1231" t="s">
        <v>2158</v>
      </c>
      <c r="BH335" s="1231" t="s">
        <v>2158</v>
      </c>
      <c r="BI335" s="1232" t="s">
        <v>2158</v>
      </c>
      <c r="BJ335" s="1234"/>
      <c r="BK335" s="1231" t="s">
        <v>2158</v>
      </c>
      <c r="BL335" s="1232" t="s">
        <v>2158</v>
      </c>
      <c r="BM335" s="1231" t="s">
        <v>2158</v>
      </c>
      <c r="BN335" s="1232" t="s">
        <v>2158</v>
      </c>
    </row>
    <row r="336" spans="1:66" ht="15.75" thickBot="1" x14ac:dyDescent="0.3">
      <c r="A336" s="49" t="str">
        <f t="shared" si="309"/>
        <v>999999</v>
      </c>
      <c r="B336" s="1371" t="str">
        <f>'BUS Deemed Savings Table'!C510</f>
        <v>999999_2024_12</v>
      </c>
      <c r="C336" s="1307" t="str">
        <f>'BUS Deemed Savings Table'!G510</f>
        <v>Variable</v>
      </c>
      <c r="D336" s="1307"/>
      <c r="E336" s="1307"/>
      <c r="F336" s="1307"/>
      <c r="G336" s="1307" t="str">
        <f>'BUS Deemed Savings Table'!E510</f>
        <v>Custom-Cooling</v>
      </c>
      <c r="H336" s="18" t="str">
        <f>'BUS Deemed Savings Table'!D510</f>
        <v>Custom</v>
      </c>
      <c r="I336" s="750" t="str">
        <f>'BUS Deemed Savings Table'!F510</f>
        <v>Custom</v>
      </c>
      <c r="J336" s="750"/>
      <c r="K336" s="189"/>
      <c r="L336" s="189"/>
      <c r="M336" s="189"/>
      <c r="N336" s="189"/>
      <c r="O336" s="751" t="str">
        <f>'BUS Deemed Savings Table'!I510</f>
        <v>Custom</v>
      </c>
      <c r="P336" s="751"/>
      <c r="Q336" s="752"/>
      <c r="R336" s="752"/>
      <c r="S336" s="752"/>
      <c r="T336" s="752"/>
      <c r="U336" s="753">
        <f t="shared" si="310"/>
        <v>0</v>
      </c>
      <c r="V336" s="753">
        <f t="shared" si="311"/>
        <v>0</v>
      </c>
      <c r="W336" s="753" t="str">
        <f t="shared" si="312"/>
        <v>Custom</v>
      </c>
      <c r="X336" s="22" t="str">
        <f>'BUS Deemed Savings Table'!J510</f>
        <v>Custom</v>
      </c>
      <c r="Y336" s="22"/>
      <c r="Z336" s="22" t="s">
        <v>2311</v>
      </c>
      <c r="AA336" s="17" t="s">
        <v>2311</v>
      </c>
      <c r="AB336" s="246" t="s">
        <v>2311</v>
      </c>
      <c r="AC336" s="876" t="s">
        <v>2311</v>
      </c>
      <c r="AD336" s="755" t="s">
        <v>2311</v>
      </c>
      <c r="AE336" s="592"/>
      <c r="AF336" s="195"/>
      <c r="AG336" s="195"/>
      <c r="AH336" s="195"/>
      <c r="AI336" s="873" t="str">
        <f>'BUS Deemed Savings Table'!L510</f>
        <v>Custom</v>
      </c>
      <c r="AJ336" s="68"/>
      <c r="AX336" s="1285" t="str">
        <f t="shared" si="313"/>
        <v>Custom-Cooling</v>
      </c>
      <c r="AY336" s="1339"/>
      <c r="AZ336" s="1286" t="str">
        <f t="shared" si="314"/>
        <v>999999</v>
      </c>
      <c r="BA336" s="1231" t="s">
        <v>2158</v>
      </c>
      <c r="BB336" s="1231" t="s">
        <v>2158</v>
      </c>
      <c r="BC336" s="1231" t="s">
        <v>2158</v>
      </c>
      <c r="BD336" s="1231" t="s">
        <v>2158</v>
      </c>
      <c r="BE336" s="1237"/>
      <c r="BF336" s="1231" t="s">
        <v>2158</v>
      </c>
      <c r="BG336" s="1231" t="s">
        <v>2158</v>
      </c>
      <c r="BH336" s="1231" t="s">
        <v>2158</v>
      </c>
      <c r="BI336" s="1232" t="s">
        <v>2158</v>
      </c>
      <c r="BJ336" s="1234"/>
      <c r="BK336" s="1231" t="s">
        <v>2158</v>
      </c>
      <c r="BL336" s="1232" t="s">
        <v>2158</v>
      </c>
      <c r="BM336" s="1231" t="s">
        <v>2158</v>
      </c>
      <c r="BN336" s="1232" t="s">
        <v>2158</v>
      </c>
    </row>
    <row r="337" spans="1:66" ht="15.75" thickBot="1" x14ac:dyDescent="0.3">
      <c r="A337" s="49" t="str">
        <f t="shared" si="309"/>
        <v>999999</v>
      </c>
      <c r="B337" s="1371" t="str">
        <f>'BUS Deemed Savings Table'!C511</f>
        <v>999999_2024_12</v>
      </c>
      <c r="C337" s="1307" t="str">
        <f>'BUS Deemed Savings Table'!G511</f>
        <v>Variable</v>
      </c>
      <c r="D337" s="1307"/>
      <c r="E337" s="1307"/>
      <c r="F337" s="1307"/>
      <c r="G337" s="1307" t="str">
        <f>'BUS Deemed Savings Table'!E511</f>
        <v>Custom-HVAC</v>
      </c>
      <c r="H337" s="18" t="str">
        <f>'BUS Deemed Savings Table'!D511</f>
        <v>Custom</v>
      </c>
      <c r="I337" s="750" t="str">
        <f>'BUS Deemed Savings Table'!F511</f>
        <v>Custom</v>
      </c>
      <c r="J337" s="750"/>
      <c r="K337" s="189"/>
      <c r="L337" s="189"/>
      <c r="M337" s="189"/>
      <c r="N337" s="189"/>
      <c r="O337" s="751" t="str">
        <f>'BUS Deemed Savings Table'!I511</f>
        <v>Custom</v>
      </c>
      <c r="P337" s="751"/>
      <c r="Q337" s="752"/>
      <c r="R337" s="752"/>
      <c r="S337" s="752"/>
      <c r="T337" s="752"/>
      <c r="U337" s="753">
        <f t="shared" si="310"/>
        <v>0</v>
      </c>
      <c r="V337" s="753">
        <f t="shared" si="311"/>
        <v>0</v>
      </c>
      <c r="W337" s="753" t="str">
        <f t="shared" si="312"/>
        <v>Custom</v>
      </c>
      <c r="X337" s="22" t="str">
        <f>'BUS Deemed Savings Table'!J511</f>
        <v>Custom</v>
      </c>
      <c r="Y337" s="22"/>
      <c r="Z337" s="22" t="s">
        <v>2311</v>
      </c>
      <c r="AA337" s="17" t="s">
        <v>2311</v>
      </c>
      <c r="AB337" s="246" t="s">
        <v>2311</v>
      </c>
      <c r="AC337" s="876" t="s">
        <v>2311</v>
      </c>
      <c r="AD337" s="755" t="s">
        <v>2311</v>
      </c>
      <c r="AE337" s="592"/>
      <c r="AF337" s="195"/>
      <c r="AG337" s="195"/>
      <c r="AH337" s="195"/>
      <c r="AI337" s="873" t="str">
        <f>'BUS Deemed Savings Table'!L511</f>
        <v>Custom</v>
      </c>
      <c r="AJ337" s="68"/>
      <c r="AX337" s="1285" t="str">
        <f t="shared" si="313"/>
        <v>Custom-HVAC</v>
      </c>
      <c r="AY337" s="1339"/>
      <c r="AZ337" s="1286" t="str">
        <f t="shared" si="314"/>
        <v>999999</v>
      </c>
      <c r="BA337" s="1231" t="s">
        <v>2158</v>
      </c>
      <c r="BB337" s="1231" t="s">
        <v>2158</v>
      </c>
      <c r="BC337" s="1231" t="s">
        <v>2158</v>
      </c>
      <c r="BD337" s="1231" t="s">
        <v>2158</v>
      </c>
      <c r="BE337" s="1237"/>
      <c r="BF337" s="1231" t="s">
        <v>2158</v>
      </c>
      <c r="BG337" s="1231" t="s">
        <v>2158</v>
      </c>
      <c r="BH337" s="1231" t="s">
        <v>2158</v>
      </c>
      <c r="BI337" s="1232" t="s">
        <v>2158</v>
      </c>
      <c r="BJ337" s="1234"/>
      <c r="BK337" s="1231" t="s">
        <v>2158</v>
      </c>
      <c r="BL337" s="1232" t="s">
        <v>2158</v>
      </c>
      <c r="BM337" s="1231" t="s">
        <v>2158</v>
      </c>
      <c r="BN337" s="1232" t="s">
        <v>2158</v>
      </c>
    </row>
    <row r="338" spans="1:66" ht="15.75" thickBot="1" x14ac:dyDescent="0.3">
      <c r="A338" s="49" t="str">
        <f t="shared" si="309"/>
        <v>999999</v>
      </c>
      <c r="B338" s="1371" t="str">
        <f>'BUS Deemed Savings Table'!C512</f>
        <v>999999_2024_12</v>
      </c>
      <c r="C338" s="1307" t="str">
        <f>'BUS Deemed Savings Table'!G512</f>
        <v>Variable</v>
      </c>
      <c r="D338" s="1307"/>
      <c r="E338" s="1307"/>
      <c r="F338" s="1307"/>
      <c r="G338" s="1307" t="str">
        <f>'BUS Deemed Savings Table'!E512</f>
        <v>Custom Lighting (Controls)</v>
      </c>
      <c r="H338" s="18" t="str">
        <f>'BUS Deemed Savings Table'!D512</f>
        <v>Custom</v>
      </c>
      <c r="I338" s="750" t="str">
        <f>'BUS Deemed Savings Table'!F512</f>
        <v>Custom</v>
      </c>
      <c r="J338" s="750"/>
      <c r="K338" s="189"/>
      <c r="L338" s="189"/>
      <c r="M338" s="189"/>
      <c r="N338" s="189"/>
      <c r="O338" s="751" t="str">
        <f>'BUS Deemed Savings Table'!I512</f>
        <v>Custom</v>
      </c>
      <c r="P338" s="751"/>
      <c r="Q338" s="752"/>
      <c r="R338" s="752"/>
      <c r="S338" s="752"/>
      <c r="T338" s="752"/>
      <c r="U338" s="753">
        <f t="shared" si="310"/>
        <v>0</v>
      </c>
      <c r="V338" s="753">
        <f t="shared" si="311"/>
        <v>0</v>
      </c>
      <c r="W338" s="753" t="str">
        <f t="shared" si="312"/>
        <v>Custom</v>
      </c>
      <c r="X338" s="22" t="str">
        <f>'BUS Deemed Savings Table'!J512</f>
        <v>Custom</v>
      </c>
      <c r="Y338" s="22"/>
      <c r="Z338" s="22" t="s">
        <v>2311</v>
      </c>
      <c r="AA338" s="17" t="s">
        <v>2311</v>
      </c>
      <c r="AB338" s="246" t="s">
        <v>2311</v>
      </c>
      <c r="AC338" s="876" t="s">
        <v>2311</v>
      </c>
      <c r="AD338" s="755" t="s">
        <v>2311</v>
      </c>
      <c r="AE338" s="592"/>
      <c r="AF338" s="195"/>
      <c r="AG338" s="195"/>
      <c r="AH338" s="195"/>
      <c r="AI338" s="873" t="str">
        <f>'BUS Deemed Savings Table'!L512</f>
        <v>Custom</v>
      </c>
      <c r="AJ338" s="68"/>
      <c r="AX338" s="1285" t="str">
        <f t="shared" si="313"/>
        <v>Custom Lighting (Controls)</v>
      </c>
      <c r="AY338" s="1339"/>
      <c r="AZ338" s="1286" t="str">
        <f t="shared" si="314"/>
        <v>999999</v>
      </c>
      <c r="BA338" s="1231" t="s">
        <v>2158</v>
      </c>
      <c r="BB338" s="1231" t="s">
        <v>2158</v>
      </c>
      <c r="BC338" s="1231" t="s">
        <v>2158</v>
      </c>
      <c r="BD338" s="1231" t="s">
        <v>2158</v>
      </c>
      <c r="BE338" s="1237"/>
      <c r="BF338" s="1231" t="s">
        <v>2158</v>
      </c>
      <c r="BG338" s="1231" t="s">
        <v>2158</v>
      </c>
      <c r="BH338" s="1231" t="s">
        <v>2158</v>
      </c>
      <c r="BI338" s="1232" t="s">
        <v>2158</v>
      </c>
      <c r="BJ338" s="1234"/>
      <c r="BK338" s="1231" t="s">
        <v>2158</v>
      </c>
      <c r="BL338" s="1232" t="s">
        <v>2158</v>
      </c>
      <c r="BM338" s="1231" t="s">
        <v>2158</v>
      </c>
      <c r="BN338" s="1232" t="s">
        <v>2158</v>
      </c>
    </row>
    <row r="339" spans="1:66" ht="15.75" thickBot="1" x14ac:dyDescent="0.3">
      <c r="A339" s="49" t="str">
        <f t="shared" si="309"/>
        <v>999999</v>
      </c>
      <c r="B339" s="1371" t="str">
        <f>'BUS Deemed Savings Table'!C513</f>
        <v>999999_2024_12</v>
      </c>
      <c r="C339" s="1307" t="str">
        <f>'BUS Deemed Savings Table'!G513</f>
        <v>Variable</v>
      </c>
      <c r="D339" s="1307"/>
      <c r="E339" s="1307"/>
      <c r="F339" s="1307"/>
      <c r="G339" s="1307" t="str">
        <f>'BUS Deemed Savings Table'!E513</f>
        <v>Custom-Miscellaneous</v>
      </c>
      <c r="H339" s="18" t="str">
        <f>'BUS Deemed Savings Table'!D513</f>
        <v>Custom</v>
      </c>
      <c r="I339" s="750" t="str">
        <f>'BUS Deemed Savings Table'!F513</f>
        <v>Custom</v>
      </c>
      <c r="J339" s="750"/>
      <c r="K339" s="189"/>
      <c r="L339" s="189"/>
      <c r="M339" s="189"/>
      <c r="N339" s="189"/>
      <c r="O339" s="751" t="str">
        <f>'BUS Deemed Savings Table'!I513</f>
        <v>Custom</v>
      </c>
      <c r="P339" s="751"/>
      <c r="Q339" s="752"/>
      <c r="R339" s="752"/>
      <c r="S339" s="752"/>
      <c r="T339" s="752"/>
      <c r="U339" s="753">
        <f t="shared" si="310"/>
        <v>0</v>
      </c>
      <c r="V339" s="753">
        <f t="shared" si="311"/>
        <v>0</v>
      </c>
      <c r="W339" s="753" t="str">
        <f t="shared" si="312"/>
        <v>Custom</v>
      </c>
      <c r="X339" s="22" t="str">
        <f>'BUS Deemed Savings Table'!J513</f>
        <v>Custom</v>
      </c>
      <c r="Y339" s="22"/>
      <c r="Z339" s="22" t="s">
        <v>2311</v>
      </c>
      <c r="AA339" s="17" t="s">
        <v>2311</v>
      </c>
      <c r="AB339" s="246" t="s">
        <v>2311</v>
      </c>
      <c r="AC339" s="876" t="s">
        <v>2311</v>
      </c>
      <c r="AD339" s="755" t="s">
        <v>2311</v>
      </c>
      <c r="AE339" s="592"/>
      <c r="AF339" s="195"/>
      <c r="AG339" s="195"/>
      <c r="AH339" s="195"/>
      <c r="AI339" s="873" t="str">
        <f>'BUS Deemed Savings Table'!L513</f>
        <v>Custom</v>
      </c>
      <c r="AJ339" s="68"/>
      <c r="AX339" s="1285" t="str">
        <f t="shared" si="313"/>
        <v>Custom-Miscellaneous</v>
      </c>
      <c r="AY339" s="1339"/>
      <c r="AZ339" s="1286" t="str">
        <f t="shared" si="314"/>
        <v>999999</v>
      </c>
      <c r="BA339" s="1231" t="s">
        <v>2158</v>
      </c>
      <c r="BB339" s="1231" t="s">
        <v>2158</v>
      </c>
      <c r="BC339" s="1231" t="s">
        <v>2158</v>
      </c>
      <c r="BD339" s="1231" t="s">
        <v>2158</v>
      </c>
      <c r="BE339" s="1237"/>
      <c r="BF339" s="1231" t="s">
        <v>2158</v>
      </c>
      <c r="BG339" s="1231" t="s">
        <v>2158</v>
      </c>
      <c r="BH339" s="1231" t="s">
        <v>2158</v>
      </c>
      <c r="BI339" s="1232" t="s">
        <v>2158</v>
      </c>
      <c r="BJ339" s="1234"/>
      <c r="BK339" s="1231" t="s">
        <v>2158</v>
      </c>
      <c r="BL339" s="1232" t="s">
        <v>2158</v>
      </c>
      <c r="BM339" s="1231" t="s">
        <v>2158</v>
      </c>
      <c r="BN339" s="1232" t="s">
        <v>2158</v>
      </c>
    </row>
    <row r="340" spans="1:66" ht="15.75" thickBot="1" x14ac:dyDescent="0.3">
      <c r="A340" s="49" t="str">
        <f t="shared" si="309"/>
        <v>999999</v>
      </c>
      <c r="B340" s="1371" t="str">
        <f>'BUS Deemed Savings Table'!C514</f>
        <v>999999_2024_12</v>
      </c>
      <c r="C340" s="1307" t="str">
        <f>'BUS Deemed Savings Table'!G514</f>
        <v>Variable</v>
      </c>
      <c r="D340" s="1307"/>
      <c r="E340" s="1307"/>
      <c r="F340" s="1307"/>
      <c r="G340" s="1307" t="str">
        <f>'BUS Deemed Savings Table'!E514</f>
        <v>Custom-Motors</v>
      </c>
      <c r="H340" s="18" t="str">
        <f>'BUS Deemed Savings Table'!D514</f>
        <v>Custom</v>
      </c>
      <c r="I340" s="750" t="str">
        <f>'BUS Deemed Savings Table'!F514</f>
        <v>Custom</v>
      </c>
      <c r="J340" s="750"/>
      <c r="K340" s="189"/>
      <c r="L340" s="189"/>
      <c r="M340" s="189"/>
      <c r="N340" s="189"/>
      <c r="O340" s="751" t="str">
        <f>'BUS Deemed Savings Table'!I514</f>
        <v>Custom</v>
      </c>
      <c r="P340" s="751"/>
      <c r="Q340" s="752"/>
      <c r="R340" s="752"/>
      <c r="S340" s="752"/>
      <c r="T340" s="752"/>
      <c r="U340" s="753">
        <f t="shared" si="310"/>
        <v>0</v>
      </c>
      <c r="V340" s="753">
        <f t="shared" si="311"/>
        <v>0</v>
      </c>
      <c r="W340" s="753" t="str">
        <f t="shared" si="312"/>
        <v>Custom</v>
      </c>
      <c r="X340" s="22" t="str">
        <f>'BUS Deemed Savings Table'!J514</f>
        <v>Custom</v>
      </c>
      <c r="Y340" s="22"/>
      <c r="Z340" s="22" t="s">
        <v>2311</v>
      </c>
      <c r="AA340" s="17" t="s">
        <v>2311</v>
      </c>
      <c r="AB340" s="246" t="s">
        <v>2311</v>
      </c>
      <c r="AC340" s="876" t="s">
        <v>2311</v>
      </c>
      <c r="AD340" s="755" t="s">
        <v>2311</v>
      </c>
      <c r="AE340" s="592"/>
      <c r="AF340" s="195"/>
      <c r="AG340" s="195"/>
      <c r="AH340" s="195"/>
      <c r="AI340" s="873" t="str">
        <f>'BUS Deemed Savings Table'!L514</f>
        <v>Custom</v>
      </c>
      <c r="AJ340" s="68"/>
      <c r="AX340" s="1285" t="str">
        <f t="shared" si="313"/>
        <v>Custom-Motors</v>
      </c>
      <c r="AY340" s="1339"/>
      <c r="AZ340" s="1286" t="str">
        <f t="shared" si="314"/>
        <v>999999</v>
      </c>
      <c r="BA340" s="1231" t="s">
        <v>2158</v>
      </c>
      <c r="BB340" s="1231" t="s">
        <v>2158</v>
      </c>
      <c r="BC340" s="1231" t="s">
        <v>2158</v>
      </c>
      <c r="BD340" s="1231" t="s">
        <v>2158</v>
      </c>
      <c r="BE340" s="1237"/>
      <c r="BF340" s="1231" t="s">
        <v>2158</v>
      </c>
      <c r="BG340" s="1231" t="s">
        <v>2158</v>
      </c>
      <c r="BH340" s="1231" t="s">
        <v>2158</v>
      </c>
      <c r="BI340" s="1232" t="s">
        <v>2158</v>
      </c>
      <c r="BJ340" s="1234"/>
      <c r="BK340" s="1231" t="s">
        <v>2158</v>
      </c>
      <c r="BL340" s="1232" t="s">
        <v>2158</v>
      </c>
      <c r="BM340" s="1231" t="s">
        <v>2158</v>
      </c>
      <c r="BN340" s="1232" t="s">
        <v>2158</v>
      </c>
    </row>
    <row r="341" spans="1:66" ht="15.75" thickBot="1" x14ac:dyDescent="0.3">
      <c r="A341" s="49" t="str">
        <f t="shared" si="309"/>
        <v>999999</v>
      </c>
      <c r="B341" s="1371" t="str">
        <f>'BUS Deemed Savings Table'!C515</f>
        <v>999999_2024_12</v>
      </c>
      <c r="C341" s="1307" t="str">
        <f>'BUS Deemed Savings Table'!G515</f>
        <v>Variable</v>
      </c>
      <c r="D341" s="1307"/>
      <c r="E341" s="1307"/>
      <c r="F341" s="1307"/>
      <c r="G341" s="1307" t="str">
        <f>'BUS Deemed Savings Table'!E515</f>
        <v>Custom-Process</v>
      </c>
      <c r="H341" s="18" t="str">
        <f>'BUS Deemed Savings Table'!D515</f>
        <v>Custom</v>
      </c>
      <c r="I341" s="750" t="str">
        <f>'BUS Deemed Savings Table'!F515</f>
        <v>Custom</v>
      </c>
      <c r="J341" s="750"/>
      <c r="K341" s="189"/>
      <c r="L341" s="189"/>
      <c r="M341" s="189"/>
      <c r="N341" s="189"/>
      <c r="O341" s="751" t="str">
        <f>'BUS Deemed Savings Table'!I515</f>
        <v>Custom</v>
      </c>
      <c r="P341" s="751"/>
      <c r="Q341" s="752"/>
      <c r="R341" s="752"/>
      <c r="S341" s="752"/>
      <c r="T341" s="752"/>
      <c r="U341" s="753">
        <f t="shared" si="310"/>
        <v>0</v>
      </c>
      <c r="V341" s="753">
        <f t="shared" si="311"/>
        <v>0</v>
      </c>
      <c r="W341" s="753" t="str">
        <f t="shared" si="312"/>
        <v>Custom</v>
      </c>
      <c r="X341" s="22" t="str">
        <f>'BUS Deemed Savings Table'!J515</f>
        <v>Custom</v>
      </c>
      <c r="Y341" s="22"/>
      <c r="Z341" s="22" t="s">
        <v>2311</v>
      </c>
      <c r="AA341" s="17" t="s">
        <v>2311</v>
      </c>
      <c r="AB341" s="246" t="s">
        <v>2311</v>
      </c>
      <c r="AC341" s="876" t="s">
        <v>2311</v>
      </c>
      <c r="AD341" s="755" t="s">
        <v>2311</v>
      </c>
      <c r="AE341" s="592"/>
      <c r="AF341" s="195"/>
      <c r="AG341" s="195"/>
      <c r="AH341" s="195"/>
      <c r="AI341" s="873" t="str">
        <f>'BUS Deemed Savings Table'!L515</f>
        <v>Custom</v>
      </c>
      <c r="AJ341" s="68"/>
      <c r="AX341" s="1285" t="str">
        <f t="shared" si="313"/>
        <v>Custom-Process</v>
      </c>
      <c r="AY341" s="1339"/>
      <c r="AZ341" s="1286" t="str">
        <f t="shared" si="314"/>
        <v>999999</v>
      </c>
      <c r="BA341" s="1231" t="s">
        <v>2158</v>
      </c>
      <c r="BB341" s="1231" t="s">
        <v>2158</v>
      </c>
      <c r="BC341" s="1231" t="s">
        <v>2158</v>
      </c>
      <c r="BD341" s="1231" t="s">
        <v>2158</v>
      </c>
      <c r="BE341" s="1237"/>
      <c r="BF341" s="1231" t="s">
        <v>2158</v>
      </c>
      <c r="BG341" s="1231" t="s">
        <v>2158</v>
      </c>
      <c r="BH341" s="1231" t="s">
        <v>2158</v>
      </c>
      <c r="BI341" s="1232" t="s">
        <v>2158</v>
      </c>
      <c r="BJ341" s="1234"/>
      <c r="BK341" s="1231" t="s">
        <v>2158</v>
      </c>
      <c r="BL341" s="1232" t="s">
        <v>2158</v>
      </c>
      <c r="BM341" s="1231" t="s">
        <v>2158</v>
      </c>
      <c r="BN341" s="1232" t="s">
        <v>2158</v>
      </c>
    </row>
    <row r="342" spans="1:66" ht="15.75" thickBot="1" x14ac:dyDescent="0.3">
      <c r="A342" s="49" t="str">
        <f t="shared" si="309"/>
        <v>999999</v>
      </c>
      <c r="B342" s="1371" t="str">
        <f>'BUS Deemed Savings Table'!C516</f>
        <v>999999_2024_12</v>
      </c>
      <c r="C342" s="1307" t="str">
        <f>'BUS Deemed Savings Table'!G516</f>
        <v>Variable</v>
      </c>
      <c r="D342" s="1307"/>
      <c r="E342" s="1307"/>
      <c r="F342" s="1307"/>
      <c r="G342" s="1307" t="str">
        <f>'BUS Deemed Savings Table'!E516</f>
        <v>Custom-Refrigeration</v>
      </c>
      <c r="H342" s="18" t="str">
        <f>'BUS Deemed Savings Table'!D516</f>
        <v>Custom</v>
      </c>
      <c r="I342" s="750" t="str">
        <f>'BUS Deemed Savings Table'!F516</f>
        <v>Custom</v>
      </c>
      <c r="J342" s="750"/>
      <c r="K342" s="189"/>
      <c r="L342" s="189"/>
      <c r="M342" s="189"/>
      <c r="N342" s="189"/>
      <c r="O342" s="751" t="str">
        <f>'BUS Deemed Savings Table'!I516</f>
        <v>Custom</v>
      </c>
      <c r="P342" s="751"/>
      <c r="Q342" s="752"/>
      <c r="R342" s="752"/>
      <c r="S342" s="752"/>
      <c r="T342" s="752"/>
      <c r="U342" s="753">
        <f t="shared" si="310"/>
        <v>0</v>
      </c>
      <c r="V342" s="753">
        <f t="shared" si="311"/>
        <v>0</v>
      </c>
      <c r="W342" s="753" t="str">
        <f t="shared" si="312"/>
        <v>Custom</v>
      </c>
      <c r="X342" s="22" t="str">
        <f>'BUS Deemed Savings Table'!J516</f>
        <v>Custom</v>
      </c>
      <c r="Y342" s="22"/>
      <c r="Z342" s="22" t="s">
        <v>2311</v>
      </c>
      <c r="AA342" s="17" t="s">
        <v>2311</v>
      </c>
      <c r="AB342" s="246" t="s">
        <v>2311</v>
      </c>
      <c r="AC342" s="876" t="s">
        <v>2311</v>
      </c>
      <c r="AD342" s="755" t="s">
        <v>2311</v>
      </c>
      <c r="AE342" s="592"/>
      <c r="AF342" s="195"/>
      <c r="AG342" s="195"/>
      <c r="AH342" s="195"/>
      <c r="AI342" s="873" t="str">
        <f>'BUS Deemed Savings Table'!L516</f>
        <v>Custom</v>
      </c>
      <c r="AJ342" s="68"/>
      <c r="AX342" s="1285" t="str">
        <f t="shared" si="313"/>
        <v>Custom-Refrigeration</v>
      </c>
      <c r="AY342" s="1339"/>
      <c r="AZ342" s="1286" t="str">
        <f t="shared" si="314"/>
        <v>999999</v>
      </c>
      <c r="BA342" s="1231" t="s">
        <v>2158</v>
      </c>
      <c r="BB342" s="1231" t="s">
        <v>2158</v>
      </c>
      <c r="BC342" s="1231" t="s">
        <v>2158</v>
      </c>
      <c r="BD342" s="1231" t="s">
        <v>2158</v>
      </c>
      <c r="BE342" s="1237"/>
      <c r="BF342" s="1231" t="s">
        <v>2158</v>
      </c>
      <c r="BG342" s="1231" t="s">
        <v>2158</v>
      </c>
      <c r="BH342" s="1231" t="s">
        <v>2158</v>
      </c>
      <c r="BI342" s="1232" t="s">
        <v>2158</v>
      </c>
      <c r="BJ342" s="1234"/>
      <c r="BK342" s="1231" t="s">
        <v>2158</v>
      </c>
      <c r="BL342" s="1232" t="s">
        <v>2158</v>
      </c>
      <c r="BM342" s="1231" t="s">
        <v>2158</v>
      </c>
      <c r="BN342" s="1232" t="s">
        <v>2158</v>
      </c>
    </row>
    <row r="343" spans="1:66" ht="15.75" thickBot="1" x14ac:dyDescent="0.3">
      <c r="A343" s="49" t="str">
        <f t="shared" si="309"/>
        <v>999999</v>
      </c>
      <c r="B343" s="1371" t="str">
        <f>'BUS Deemed Savings Table'!C517</f>
        <v>999999_2024_12</v>
      </c>
      <c r="C343" s="1307" t="str">
        <f>'BUS Deemed Savings Table'!G517</f>
        <v>Variable</v>
      </c>
      <c r="D343" s="1307"/>
      <c r="E343" s="1307"/>
      <c r="F343" s="1307"/>
      <c r="G343" s="1307" t="str">
        <f>'BUS Deemed Savings Table'!E517</f>
        <v>Custom-Water Heating</v>
      </c>
      <c r="H343" s="18" t="str">
        <f>'BUS Deemed Savings Table'!D517</f>
        <v>Custom</v>
      </c>
      <c r="I343" s="750" t="str">
        <f>'BUS Deemed Savings Table'!F517</f>
        <v>Custom</v>
      </c>
      <c r="J343" s="750"/>
      <c r="K343" s="189"/>
      <c r="L343" s="189"/>
      <c r="M343" s="189"/>
      <c r="N343" s="189"/>
      <c r="O343" s="751" t="str">
        <f>'BUS Deemed Savings Table'!I517</f>
        <v>Custom</v>
      </c>
      <c r="P343" s="751"/>
      <c r="Q343" s="752"/>
      <c r="R343" s="752"/>
      <c r="S343" s="752"/>
      <c r="T343" s="752"/>
      <c r="U343" s="753">
        <f t="shared" si="310"/>
        <v>0</v>
      </c>
      <c r="V343" s="753">
        <f t="shared" si="311"/>
        <v>0</v>
      </c>
      <c r="W343" s="753" t="str">
        <f t="shared" si="312"/>
        <v>Custom</v>
      </c>
      <c r="X343" s="22" t="str">
        <f>'BUS Deemed Savings Table'!J517</f>
        <v>Custom</v>
      </c>
      <c r="Y343" s="22"/>
      <c r="Z343" s="22" t="s">
        <v>2311</v>
      </c>
      <c r="AA343" s="17" t="s">
        <v>2311</v>
      </c>
      <c r="AB343" s="246" t="s">
        <v>2311</v>
      </c>
      <c r="AC343" s="876" t="s">
        <v>2311</v>
      </c>
      <c r="AD343" s="755" t="s">
        <v>2311</v>
      </c>
      <c r="AE343" s="592"/>
      <c r="AF343" s="195"/>
      <c r="AG343" s="195"/>
      <c r="AH343" s="195"/>
      <c r="AI343" s="873" t="str">
        <f>'BUS Deemed Savings Table'!L517</f>
        <v>Custom</v>
      </c>
      <c r="AJ343" s="68"/>
      <c r="AX343" s="1285" t="str">
        <f t="shared" si="313"/>
        <v>Custom-Water Heating</v>
      </c>
      <c r="AY343" s="1339"/>
      <c r="AZ343" s="1286" t="str">
        <f t="shared" si="314"/>
        <v>999999</v>
      </c>
      <c r="BA343" s="1231" t="s">
        <v>2158</v>
      </c>
      <c r="BB343" s="1231" t="s">
        <v>2158</v>
      </c>
      <c r="BC343" s="1231" t="s">
        <v>2158</v>
      </c>
      <c r="BD343" s="1231" t="s">
        <v>2158</v>
      </c>
      <c r="BE343" s="1237"/>
      <c r="BF343" s="1231" t="s">
        <v>2158</v>
      </c>
      <c r="BG343" s="1231" t="s">
        <v>2158</v>
      </c>
      <c r="BH343" s="1231" t="s">
        <v>2158</v>
      </c>
      <c r="BI343" s="1232" t="s">
        <v>2158</v>
      </c>
      <c r="BJ343" s="1234"/>
      <c r="BK343" s="1231" t="s">
        <v>2158</v>
      </c>
      <c r="BL343" s="1232" t="s">
        <v>2158</v>
      </c>
      <c r="BM343" s="1231" t="s">
        <v>2158</v>
      </c>
      <c r="BN343" s="1232" t="s">
        <v>2158</v>
      </c>
    </row>
    <row r="344" spans="1:66" x14ac:dyDescent="0.25">
      <c r="A344" s="49"/>
      <c r="U344" s="50"/>
      <c r="V344" s="50"/>
      <c r="W344" s="50"/>
      <c r="BA344" s="49"/>
      <c r="BB344" s="49"/>
      <c r="BC344" s="49"/>
      <c r="BD344" s="49"/>
    </row>
    <row r="345" spans="1:66" x14ac:dyDescent="0.25">
      <c r="A345" s="49"/>
      <c r="U345" s="50"/>
      <c r="V345" s="50"/>
      <c r="W345" s="50"/>
      <c r="BA345" s="49"/>
      <c r="BB345" s="49"/>
      <c r="BC345" s="49"/>
      <c r="BD345" s="49"/>
    </row>
    <row r="346" spans="1:66" x14ac:dyDescent="0.25">
      <c r="A346" s="49"/>
      <c r="U346" s="50"/>
      <c r="V346" s="50"/>
      <c r="W346" s="50"/>
      <c r="BA346" s="49"/>
      <c r="BB346" s="49"/>
      <c r="BC346" s="49"/>
      <c r="BD346" s="49"/>
    </row>
    <row r="347" spans="1:66" x14ac:dyDescent="0.25">
      <c r="A347" s="49"/>
      <c r="U347" s="50"/>
      <c r="V347" s="50"/>
      <c r="W347" s="50"/>
      <c r="BA347" s="49"/>
      <c r="BB347" s="49"/>
      <c r="BC347" s="49"/>
      <c r="BD347" s="49"/>
    </row>
    <row r="348" spans="1:66" x14ac:dyDescent="0.25">
      <c r="A348" s="49"/>
      <c r="U348" s="50"/>
      <c r="V348" s="50"/>
      <c r="W348" s="50"/>
      <c r="BA348" s="49"/>
      <c r="BB348" s="49"/>
      <c r="BC348" s="49"/>
      <c r="BD348" s="49"/>
    </row>
    <row r="349" spans="1:66" x14ac:dyDescent="0.25">
      <c r="A349" s="49"/>
      <c r="U349" s="50"/>
      <c r="V349" s="50"/>
      <c r="W349" s="50"/>
      <c r="BA349" s="49"/>
      <c r="BB349" s="49"/>
      <c r="BC349" s="49"/>
      <c r="BD349" s="49"/>
    </row>
    <row r="350" spans="1:66" x14ac:dyDescent="0.25">
      <c r="A350" s="49"/>
      <c r="U350" s="50"/>
      <c r="V350" s="50"/>
      <c r="W350" s="50"/>
      <c r="BA350" s="49"/>
      <c r="BB350" s="49"/>
      <c r="BC350" s="49"/>
      <c r="BD350" s="49"/>
    </row>
    <row r="351" spans="1:66" x14ac:dyDescent="0.25">
      <c r="A351" s="49"/>
      <c r="U351" s="50"/>
      <c r="V351" s="50"/>
      <c r="W351" s="50"/>
      <c r="BA351" s="49"/>
      <c r="BB351" s="49"/>
      <c r="BC351" s="49"/>
      <c r="BD351" s="49"/>
    </row>
    <row r="352" spans="1:66" x14ac:dyDescent="0.25">
      <c r="A352" s="49"/>
      <c r="U352" s="50"/>
      <c r="V352" s="50"/>
      <c r="W352" s="50"/>
      <c r="BA352" s="49"/>
      <c r="BB352" s="49"/>
      <c r="BC352" s="49"/>
      <c r="BD352" s="49"/>
    </row>
    <row r="353" spans="1:56" x14ac:dyDescent="0.25">
      <c r="A353" s="49"/>
      <c r="U353" s="50"/>
      <c r="V353" s="50"/>
      <c r="W353" s="50"/>
      <c r="BA353" s="49"/>
      <c r="BB353" s="49"/>
      <c r="BC353" s="49"/>
      <c r="BD353" s="49"/>
    </row>
    <row r="354" spans="1:56" x14ac:dyDescent="0.25">
      <c r="A354" s="49"/>
      <c r="U354" s="50"/>
      <c r="V354" s="50"/>
      <c r="W354" s="50"/>
      <c r="BA354" s="49"/>
      <c r="BB354" s="49"/>
      <c r="BC354" s="49"/>
      <c r="BD354" s="49"/>
    </row>
    <row r="355" spans="1:56" x14ac:dyDescent="0.25">
      <c r="A355" s="49"/>
      <c r="U355" s="50"/>
      <c r="V355" s="50"/>
      <c r="W355" s="50"/>
      <c r="BA355" s="49"/>
      <c r="BB355" s="49"/>
      <c r="BC355" s="49"/>
      <c r="BD355" s="49"/>
    </row>
    <row r="356" spans="1:56" x14ac:dyDescent="0.25">
      <c r="A356" s="49"/>
      <c r="U356" s="50"/>
      <c r="V356" s="50"/>
      <c r="W356" s="50"/>
      <c r="BA356" s="49"/>
      <c r="BB356" s="49"/>
      <c r="BC356" s="49"/>
      <c r="BD356" s="49"/>
    </row>
    <row r="357" spans="1:56" x14ac:dyDescent="0.25">
      <c r="A357" s="49"/>
      <c r="U357" s="50"/>
      <c r="V357" s="50"/>
      <c r="W357" s="50"/>
      <c r="BA357" s="49"/>
      <c r="BB357" s="49"/>
      <c r="BC357" s="49"/>
      <c r="BD357" s="49"/>
    </row>
    <row r="358" spans="1:56" x14ac:dyDescent="0.25">
      <c r="A358" s="49"/>
      <c r="U358" s="50"/>
      <c r="V358" s="50"/>
      <c r="W358" s="50"/>
      <c r="BA358" s="49"/>
      <c r="BB358" s="49"/>
      <c r="BC358" s="49"/>
      <c r="BD358" s="49"/>
    </row>
    <row r="359" spans="1:56" x14ac:dyDescent="0.25">
      <c r="A359" s="49"/>
      <c r="U359" s="50"/>
      <c r="V359" s="50"/>
      <c r="W359" s="50"/>
      <c r="BA359" s="49"/>
      <c r="BB359" s="49"/>
      <c r="BC359" s="49"/>
      <c r="BD359" s="49"/>
    </row>
    <row r="360" spans="1:56" x14ac:dyDescent="0.25">
      <c r="A360" s="49"/>
      <c r="U360" s="50"/>
      <c r="V360" s="50"/>
      <c r="W360" s="50"/>
      <c r="BA360" s="49"/>
      <c r="BB360" s="49"/>
      <c r="BC360" s="49"/>
      <c r="BD360" s="49"/>
    </row>
    <row r="361" spans="1:56" x14ac:dyDescent="0.25">
      <c r="A361" s="49"/>
      <c r="U361" s="50"/>
      <c r="V361" s="50"/>
      <c r="W361" s="50"/>
      <c r="BA361" s="49"/>
      <c r="BB361" s="49"/>
      <c r="BC361" s="49"/>
      <c r="BD361" s="49"/>
    </row>
    <row r="362" spans="1:56" x14ac:dyDescent="0.25">
      <c r="A362" s="49"/>
      <c r="U362" s="50"/>
      <c r="V362" s="50"/>
      <c r="W362" s="50"/>
      <c r="BA362" s="49"/>
      <c r="BB362" s="49"/>
      <c r="BC362" s="49"/>
      <c r="BD362" s="49"/>
    </row>
    <row r="363" spans="1:56" x14ac:dyDescent="0.25">
      <c r="A363" s="49"/>
      <c r="U363" s="50"/>
      <c r="V363" s="50"/>
      <c r="W363" s="50"/>
      <c r="BA363" s="49"/>
      <c r="BB363" s="49"/>
      <c r="BC363" s="49"/>
      <c r="BD363" s="49"/>
    </row>
    <row r="364" spans="1:56" x14ac:dyDescent="0.25">
      <c r="A364" s="49"/>
      <c r="U364" s="50"/>
      <c r="V364" s="50"/>
      <c r="W364" s="50"/>
      <c r="BA364" s="49"/>
      <c r="BB364" s="49"/>
      <c r="BC364" s="49"/>
      <c r="BD364" s="49"/>
    </row>
    <row r="365" spans="1:56" x14ac:dyDescent="0.25">
      <c r="A365" s="49"/>
      <c r="U365" s="50"/>
      <c r="V365" s="50"/>
      <c r="W365" s="50"/>
      <c r="BA365" s="49"/>
      <c r="BB365" s="49"/>
      <c r="BC365" s="49"/>
      <c r="BD365" s="49"/>
    </row>
    <row r="366" spans="1:56" x14ac:dyDescent="0.25">
      <c r="A366" s="49"/>
      <c r="U366" s="50"/>
      <c r="V366" s="50"/>
      <c r="W366" s="50"/>
      <c r="BA366" s="49"/>
      <c r="BB366" s="49"/>
      <c r="BC366" s="49"/>
      <c r="BD366" s="49"/>
    </row>
    <row r="367" spans="1:56" x14ac:dyDescent="0.25">
      <c r="A367" s="49"/>
      <c r="U367" s="50"/>
      <c r="V367" s="50"/>
      <c r="W367" s="50"/>
      <c r="BA367" s="49"/>
      <c r="BB367" s="49"/>
      <c r="BC367" s="49"/>
      <c r="BD367" s="49"/>
    </row>
    <row r="368" spans="1:56" x14ac:dyDescent="0.25">
      <c r="A368" s="49"/>
      <c r="U368" s="50"/>
      <c r="V368" s="50"/>
      <c r="W368" s="50"/>
      <c r="BA368" s="49"/>
      <c r="BB368" s="49"/>
      <c r="BC368" s="49"/>
      <c r="BD368" s="49"/>
    </row>
    <row r="369" spans="1:56" x14ac:dyDescent="0.25">
      <c r="A369" s="49"/>
      <c r="U369" s="50"/>
      <c r="V369" s="50"/>
      <c r="W369" s="50"/>
      <c r="BA369" s="49"/>
      <c r="BB369" s="49"/>
      <c r="BC369" s="49"/>
      <c r="BD369" s="49"/>
    </row>
    <row r="370" spans="1:56" x14ac:dyDescent="0.25">
      <c r="A370" s="49"/>
      <c r="U370" s="50"/>
      <c r="V370" s="50"/>
      <c r="W370" s="50"/>
      <c r="BA370" s="49"/>
      <c r="BB370" s="49"/>
      <c r="BC370" s="49"/>
      <c r="BD370" s="49"/>
    </row>
    <row r="371" spans="1:56" x14ac:dyDescent="0.25">
      <c r="A371" s="49"/>
      <c r="U371" s="50"/>
      <c r="V371" s="50"/>
      <c r="W371" s="50"/>
      <c r="BA371" s="49"/>
      <c r="BB371" s="49"/>
      <c r="BC371" s="49"/>
      <c r="BD371" s="49"/>
    </row>
    <row r="372" spans="1:56" x14ac:dyDescent="0.25">
      <c r="A372" s="49"/>
      <c r="U372" s="50"/>
      <c r="V372" s="50"/>
      <c r="W372" s="50"/>
      <c r="BA372" s="49"/>
      <c r="BB372" s="49"/>
      <c r="BC372" s="49"/>
      <c r="BD372" s="49"/>
    </row>
    <row r="373" spans="1:56" x14ac:dyDescent="0.25">
      <c r="A373" s="49"/>
      <c r="U373" s="50"/>
      <c r="V373" s="50"/>
      <c r="W373" s="50"/>
      <c r="BA373" s="49"/>
      <c r="BB373" s="49"/>
      <c r="BC373" s="49"/>
      <c r="BD373" s="49"/>
    </row>
    <row r="374" spans="1:56" x14ac:dyDescent="0.25">
      <c r="A374" s="49"/>
      <c r="U374" s="50"/>
      <c r="V374" s="50"/>
      <c r="W374" s="50"/>
      <c r="BA374" s="49"/>
      <c r="BB374" s="49"/>
      <c r="BC374" s="49"/>
      <c r="BD374" s="49"/>
    </row>
    <row r="375" spans="1:56" x14ac:dyDescent="0.25">
      <c r="A375" s="49"/>
      <c r="U375" s="50"/>
      <c r="V375" s="50"/>
      <c r="W375" s="50"/>
      <c r="BA375" s="49"/>
      <c r="BB375" s="49"/>
      <c r="BC375" s="49"/>
      <c r="BD375" s="49"/>
    </row>
    <row r="376" spans="1:56" x14ac:dyDescent="0.25">
      <c r="A376" s="49"/>
      <c r="U376" s="50"/>
      <c r="V376" s="50"/>
      <c r="W376" s="50"/>
      <c r="BA376" s="49"/>
      <c r="BB376" s="49"/>
      <c r="BC376" s="49"/>
      <c r="BD376" s="49"/>
    </row>
    <row r="377" spans="1:56" x14ac:dyDescent="0.25">
      <c r="A377" s="49"/>
      <c r="U377" s="50"/>
      <c r="V377" s="50"/>
      <c r="W377" s="50"/>
      <c r="BA377" s="49"/>
      <c r="BB377" s="49"/>
      <c r="BC377" s="49"/>
      <c r="BD377" s="49"/>
    </row>
    <row r="378" spans="1:56" x14ac:dyDescent="0.25">
      <c r="A378" s="49"/>
      <c r="U378" s="50"/>
      <c r="V378" s="50"/>
      <c r="W378" s="50"/>
      <c r="BA378" s="49"/>
      <c r="BB378" s="49"/>
      <c r="BC378" s="49"/>
      <c r="BD378" s="49"/>
    </row>
    <row r="379" spans="1:56" x14ac:dyDescent="0.25">
      <c r="A379" s="49"/>
      <c r="U379" s="50"/>
      <c r="V379" s="50"/>
      <c r="W379" s="50"/>
      <c r="BA379" s="49"/>
      <c r="BB379" s="49"/>
      <c r="BC379" s="49"/>
      <c r="BD379" s="49"/>
    </row>
    <row r="380" spans="1:56" x14ac:dyDescent="0.25">
      <c r="A380" s="49"/>
      <c r="U380" s="50"/>
      <c r="V380" s="50"/>
      <c r="W380" s="50"/>
      <c r="BA380" s="49"/>
      <c r="BB380" s="49"/>
      <c r="BC380" s="49"/>
      <c r="BD380" s="49"/>
    </row>
    <row r="381" spans="1:56" x14ac:dyDescent="0.25">
      <c r="A381" s="49"/>
      <c r="U381" s="50"/>
      <c r="V381" s="50"/>
      <c r="W381" s="50"/>
      <c r="BA381" s="49"/>
      <c r="BB381" s="49"/>
      <c r="BC381" s="49"/>
      <c r="BD381" s="49"/>
    </row>
    <row r="382" spans="1:56" x14ac:dyDescent="0.25">
      <c r="A382" s="49"/>
      <c r="U382" s="50"/>
      <c r="V382" s="50"/>
      <c r="W382" s="50"/>
      <c r="BA382" s="49"/>
      <c r="BB382" s="49"/>
      <c r="BC382" s="49"/>
      <c r="BD382" s="49"/>
    </row>
    <row r="383" spans="1:56" x14ac:dyDescent="0.25">
      <c r="A383" s="49"/>
      <c r="U383" s="50"/>
      <c r="V383" s="50"/>
      <c r="W383" s="50"/>
      <c r="BA383" s="49"/>
      <c r="BB383" s="49"/>
      <c r="BC383" s="49"/>
      <c r="BD383" s="49"/>
    </row>
    <row r="384" spans="1:56" x14ac:dyDescent="0.25">
      <c r="A384" s="49"/>
      <c r="U384" s="50"/>
      <c r="V384" s="50"/>
      <c r="W384" s="50"/>
      <c r="BA384" s="49"/>
      <c r="BB384" s="49"/>
      <c r="BC384" s="49"/>
      <c r="BD384" s="49"/>
    </row>
    <row r="385" spans="1:56" x14ac:dyDescent="0.25">
      <c r="A385" s="49"/>
      <c r="U385" s="50"/>
      <c r="V385" s="50"/>
      <c r="W385" s="50"/>
      <c r="BA385" s="49"/>
      <c r="BB385" s="49"/>
      <c r="BC385" s="49"/>
      <c r="BD385" s="49"/>
    </row>
    <row r="386" spans="1:56" x14ac:dyDescent="0.25">
      <c r="A386" s="49"/>
      <c r="U386" s="50"/>
      <c r="V386" s="50"/>
      <c r="W386" s="50"/>
      <c r="BA386" s="49"/>
      <c r="BB386" s="49"/>
      <c r="BC386" s="49"/>
      <c r="BD386" s="49"/>
    </row>
    <row r="387" spans="1:56" x14ac:dyDescent="0.25">
      <c r="A387" s="49"/>
      <c r="U387" s="50"/>
      <c r="V387" s="50"/>
      <c r="W387" s="50"/>
      <c r="BA387" s="49"/>
      <c r="BB387" s="49"/>
      <c r="BC387" s="49"/>
      <c r="BD387" s="49"/>
    </row>
    <row r="388" spans="1:56" x14ac:dyDescent="0.25">
      <c r="A388" s="49"/>
      <c r="U388" s="50"/>
      <c r="V388" s="50"/>
      <c r="W388" s="50"/>
      <c r="BA388" s="49"/>
      <c r="BB388" s="49"/>
      <c r="BC388" s="49"/>
      <c r="BD388" s="49"/>
    </row>
    <row r="389" spans="1:56" x14ac:dyDescent="0.25">
      <c r="A389" s="49"/>
      <c r="U389" s="50"/>
      <c r="V389" s="50"/>
      <c r="W389" s="50"/>
      <c r="BA389" s="49"/>
      <c r="BB389" s="49"/>
      <c r="BC389" s="49"/>
      <c r="BD389" s="49"/>
    </row>
    <row r="390" spans="1:56" x14ac:dyDescent="0.25">
      <c r="A390" s="49"/>
      <c r="U390" s="50"/>
      <c r="V390" s="50"/>
      <c r="W390" s="50"/>
      <c r="BA390" s="49"/>
      <c r="BB390" s="49"/>
      <c r="BC390" s="49"/>
      <c r="BD390" s="49"/>
    </row>
    <row r="391" spans="1:56" x14ac:dyDescent="0.25">
      <c r="A391" s="49"/>
      <c r="U391" s="50"/>
      <c r="V391" s="50"/>
      <c r="W391" s="50"/>
      <c r="BA391" s="49"/>
      <c r="BB391" s="49"/>
      <c r="BC391" s="49"/>
      <c r="BD391" s="49"/>
    </row>
    <row r="392" spans="1:56" x14ac:dyDescent="0.25">
      <c r="A392" s="49"/>
      <c r="U392" s="50"/>
      <c r="V392" s="50"/>
      <c r="W392" s="50"/>
      <c r="BA392" s="49"/>
      <c r="BB392" s="49"/>
      <c r="BC392" s="49"/>
      <c r="BD392" s="49"/>
    </row>
    <row r="393" spans="1:56" x14ac:dyDescent="0.25">
      <c r="A393" s="49"/>
      <c r="U393" s="50"/>
      <c r="V393" s="50"/>
      <c r="W393" s="50"/>
      <c r="BA393" s="49"/>
      <c r="BB393" s="49"/>
      <c r="BC393" s="49"/>
      <c r="BD393" s="49"/>
    </row>
    <row r="394" spans="1:56" x14ac:dyDescent="0.25">
      <c r="A394" s="49"/>
      <c r="U394" s="50"/>
      <c r="V394" s="50"/>
      <c r="W394" s="50"/>
      <c r="BA394" s="49"/>
      <c r="BB394" s="49"/>
      <c r="BC394" s="49"/>
      <c r="BD394" s="49"/>
    </row>
    <row r="395" spans="1:56" x14ac:dyDescent="0.25">
      <c r="A395" s="49"/>
      <c r="U395" s="50"/>
      <c r="V395" s="50"/>
      <c r="W395" s="50"/>
      <c r="BA395" s="49"/>
      <c r="BB395" s="49"/>
      <c r="BC395" s="49"/>
      <c r="BD395" s="49"/>
    </row>
    <row r="396" spans="1:56" x14ac:dyDescent="0.25">
      <c r="A396" s="49"/>
      <c r="U396" s="50"/>
      <c r="V396" s="50"/>
      <c r="W396" s="50"/>
      <c r="BA396" s="49"/>
      <c r="BB396" s="49"/>
      <c r="BC396" s="49"/>
      <c r="BD396" s="49"/>
    </row>
    <row r="397" spans="1:56" x14ac:dyDescent="0.25">
      <c r="A397" s="49"/>
      <c r="U397" s="50"/>
      <c r="V397" s="50"/>
      <c r="W397" s="50"/>
      <c r="BA397" s="49"/>
      <c r="BB397" s="49"/>
      <c r="BC397" s="49"/>
      <c r="BD397" s="49"/>
    </row>
    <row r="398" spans="1:56" x14ac:dyDescent="0.25">
      <c r="A398" s="49"/>
      <c r="U398" s="50"/>
      <c r="V398" s="50"/>
      <c r="W398" s="50"/>
      <c r="BA398" s="49"/>
      <c r="BB398" s="49"/>
      <c r="BC398" s="49"/>
      <c r="BD398" s="49"/>
    </row>
    <row r="399" spans="1:56" x14ac:dyDescent="0.25">
      <c r="A399" s="49"/>
      <c r="U399" s="50"/>
      <c r="V399" s="50"/>
      <c r="W399" s="50"/>
      <c r="BA399" s="49"/>
      <c r="BB399" s="49"/>
      <c r="BC399" s="49"/>
      <c r="BD399" s="49"/>
    </row>
    <row r="400" spans="1:56" x14ac:dyDescent="0.25">
      <c r="A400" s="49"/>
      <c r="U400" s="50"/>
      <c r="V400" s="50"/>
      <c r="W400" s="50"/>
      <c r="BA400" s="49"/>
      <c r="BB400" s="49"/>
      <c r="BC400" s="49"/>
      <c r="BD400" s="49"/>
    </row>
    <row r="401" spans="1:56" x14ac:dyDescent="0.25">
      <c r="A401" s="49"/>
      <c r="U401" s="50"/>
      <c r="V401" s="50"/>
      <c r="W401" s="50"/>
      <c r="BA401" s="49"/>
      <c r="BB401" s="49"/>
      <c r="BC401" s="49"/>
      <c r="BD401" s="49"/>
    </row>
    <row r="402" spans="1:56" x14ac:dyDescent="0.25">
      <c r="A402" s="49"/>
      <c r="U402" s="50"/>
      <c r="V402" s="50"/>
      <c r="W402" s="50"/>
      <c r="BA402" s="49"/>
      <c r="BB402" s="49"/>
      <c r="BC402" s="49"/>
      <c r="BD402" s="49"/>
    </row>
    <row r="403" spans="1:56" x14ac:dyDescent="0.25">
      <c r="A403" s="49"/>
      <c r="U403" s="50"/>
      <c r="V403" s="50"/>
      <c r="W403" s="50"/>
      <c r="BA403" s="49"/>
      <c r="BB403" s="49"/>
      <c r="BC403" s="49"/>
      <c r="BD403" s="49"/>
    </row>
    <row r="404" spans="1:56" x14ac:dyDescent="0.25">
      <c r="A404" s="49"/>
      <c r="U404" s="50"/>
      <c r="V404" s="50"/>
      <c r="W404" s="50"/>
      <c r="BA404" s="49"/>
      <c r="BB404" s="49"/>
      <c r="BC404" s="49"/>
      <c r="BD404" s="49"/>
    </row>
    <row r="405" spans="1:56" x14ac:dyDescent="0.25">
      <c r="A405" s="49"/>
      <c r="U405" s="50"/>
      <c r="V405" s="50"/>
      <c r="W405" s="50"/>
      <c r="BA405" s="49"/>
      <c r="BB405" s="49"/>
      <c r="BC405" s="49"/>
      <c r="BD405" s="49"/>
    </row>
    <row r="406" spans="1:56" x14ac:dyDescent="0.25">
      <c r="A406" s="49"/>
      <c r="U406" s="50"/>
      <c r="V406" s="50"/>
      <c r="W406" s="50"/>
      <c r="BA406" s="49"/>
      <c r="BB406" s="49"/>
      <c r="BC406" s="49"/>
      <c r="BD406" s="49"/>
    </row>
    <row r="407" spans="1:56" x14ac:dyDescent="0.25">
      <c r="A407" s="49"/>
      <c r="U407" s="50"/>
      <c r="V407" s="50"/>
      <c r="W407" s="50"/>
      <c r="BA407" s="49"/>
      <c r="BB407" s="49"/>
      <c r="BC407" s="49"/>
      <c r="BD407" s="49"/>
    </row>
    <row r="408" spans="1:56" x14ac:dyDescent="0.25">
      <c r="A408" s="49"/>
      <c r="U408" s="50"/>
      <c r="V408" s="50"/>
      <c r="W408" s="50"/>
      <c r="BA408" s="49"/>
      <c r="BB408" s="49"/>
      <c r="BC408" s="49"/>
      <c r="BD408" s="49"/>
    </row>
    <row r="409" spans="1:56" x14ac:dyDescent="0.25">
      <c r="A409" s="49"/>
      <c r="U409" s="50"/>
      <c r="V409" s="50"/>
      <c r="W409" s="50"/>
      <c r="BA409" s="49"/>
      <c r="BB409" s="49"/>
      <c r="BC409" s="49"/>
      <c r="BD409" s="49"/>
    </row>
    <row r="410" spans="1:56" x14ac:dyDescent="0.25">
      <c r="A410" s="49"/>
      <c r="U410" s="50"/>
      <c r="V410" s="50"/>
      <c r="W410" s="50"/>
      <c r="BA410" s="49"/>
      <c r="BB410" s="49"/>
      <c r="BC410" s="49"/>
      <c r="BD410" s="49"/>
    </row>
    <row r="411" spans="1:56" x14ac:dyDescent="0.25">
      <c r="A411" s="49"/>
      <c r="U411" s="50"/>
      <c r="V411" s="50"/>
      <c r="W411" s="50"/>
      <c r="BA411" s="49"/>
      <c r="BB411" s="49"/>
      <c r="BC411" s="49"/>
      <c r="BD411" s="49"/>
    </row>
    <row r="412" spans="1:56" x14ac:dyDescent="0.25">
      <c r="A412" s="49"/>
      <c r="U412" s="50"/>
      <c r="V412" s="50"/>
      <c r="W412" s="50"/>
      <c r="BA412" s="49"/>
      <c r="BB412" s="49"/>
      <c r="BC412" s="49"/>
      <c r="BD412" s="49"/>
    </row>
    <row r="413" spans="1:56" x14ac:dyDescent="0.25">
      <c r="A413" s="49"/>
      <c r="U413" s="50"/>
      <c r="V413" s="50"/>
      <c r="W413" s="50"/>
      <c r="BA413" s="49"/>
      <c r="BB413" s="49"/>
      <c r="BC413" s="49"/>
      <c r="BD413" s="49"/>
    </row>
    <row r="414" spans="1:56" x14ac:dyDescent="0.25">
      <c r="A414" s="49"/>
      <c r="U414" s="50"/>
      <c r="V414" s="50"/>
      <c r="W414" s="50"/>
      <c r="BA414" s="49"/>
      <c r="BB414" s="49"/>
      <c r="BC414" s="49"/>
      <c r="BD414" s="49"/>
    </row>
    <row r="415" spans="1:56" x14ac:dyDescent="0.25">
      <c r="A415" s="49"/>
      <c r="U415" s="50"/>
      <c r="V415" s="50"/>
      <c r="W415" s="50"/>
      <c r="BA415" s="49"/>
      <c r="BB415" s="49"/>
      <c r="BC415" s="49"/>
      <c r="BD415" s="49"/>
    </row>
    <row r="416" spans="1:56" x14ac:dyDescent="0.25">
      <c r="A416" s="49"/>
      <c r="U416" s="50"/>
      <c r="V416" s="50"/>
      <c r="W416" s="50"/>
      <c r="BA416" s="49"/>
      <c r="BB416" s="49"/>
      <c r="BC416" s="49"/>
      <c r="BD416" s="49"/>
    </row>
    <row r="417" spans="1:56" x14ac:dyDescent="0.25">
      <c r="A417" s="49"/>
      <c r="U417" s="50"/>
      <c r="V417" s="50"/>
      <c r="W417" s="50"/>
      <c r="BA417" s="49"/>
      <c r="BB417" s="49"/>
      <c r="BC417" s="49"/>
      <c r="BD417" s="49"/>
    </row>
    <row r="418" spans="1:56" x14ac:dyDescent="0.25">
      <c r="A418" s="49"/>
      <c r="U418" s="50"/>
      <c r="V418" s="50"/>
      <c r="W418" s="50"/>
      <c r="BA418" s="49"/>
      <c r="BB418" s="49"/>
      <c r="BC418" s="49"/>
      <c r="BD418" s="49"/>
    </row>
    <row r="419" spans="1:56" x14ac:dyDescent="0.25">
      <c r="A419" s="49"/>
      <c r="U419" s="50"/>
      <c r="V419" s="50"/>
      <c r="W419" s="50"/>
      <c r="BA419" s="49"/>
      <c r="BB419" s="49"/>
      <c r="BC419" s="49"/>
      <c r="BD419" s="49"/>
    </row>
    <row r="420" spans="1:56" x14ac:dyDescent="0.25">
      <c r="A420" s="49"/>
      <c r="U420" s="50"/>
      <c r="V420" s="50"/>
      <c r="W420" s="50"/>
      <c r="BA420" s="49"/>
      <c r="BB420" s="49"/>
      <c r="BC420" s="49"/>
      <c r="BD420" s="49"/>
    </row>
    <row r="421" spans="1:56" x14ac:dyDescent="0.25">
      <c r="A421" s="49"/>
      <c r="U421" s="50"/>
      <c r="V421" s="50"/>
      <c r="W421" s="50"/>
      <c r="BA421" s="49"/>
      <c r="BB421" s="49"/>
      <c r="BC421" s="49"/>
      <c r="BD421" s="49"/>
    </row>
    <row r="422" spans="1:56" x14ac:dyDescent="0.25">
      <c r="A422" s="49"/>
      <c r="U422" s="50"/>
      <c r="V422" s="50"/>
      <c r="W422" s="50"/>
      <c r="BA422" s="49"/>
      <c r="BB422" s="49"/>
      <c r="BC422" s="49"/>
      <c r="BD422" s="49"/>
    </row>
    <row r="423" spans="1:56" x14ac:dyDescent="0.25">
      <c r="A423" s="49"/>
      <c r="U423" s="50"/>
      <c r="V423" s="50"/>
      <c r="W423" s="50"/>
      <c r="BA423" s="49"/>
      <c r="BB423" s="49"/>
      <c r="BC423" s="49"/>
      <c r="BD423" s="49"/>
    </row>
    <row r="424" spans="1:56" x14ac:dyDescent="0.25">
      <c r="A424" s="49"/>
      <c r="U424" s="50"/>
      <c r="V424" s="50"/>
      <c r="W424" s="50"/>
      <c r="BA424" s="49"/>
      <c r="BB424" s="49"/>
      <c r="BC424" s="49"/>
      <c r="BD424" s="49"/>
    </row>
    <row r="425" spans="1:56" x14ac:dyDescent="0.25">
      <c r="A425" s="49"/>
      <c r="U425" s="50"/>
      <c r="V425" s="50"/>
      <c r="W425" s="50"/>
      <c r="BA425" s="49"/>
      <c r="BB425" s="49"/>
      <c r="BC425" s="49"/>
      <c r="BD425" s="49"/>
    </row>
    <row r="426" spans="1:56" x14ac:dyDescent="0.25">
      <c r="A426" s="49"/>
      <c r="U426" s="50"/>
      <c r="V426" s="50"/>
      <c r="W426" s="50"/>
      <c r="BA426" s="49"/>
      <c r="BB426" s="49"/>
      <c r="BC426" s="49"/>
      <c r="BD426" s="49"/>
    </row>
    <row r="427" spans="1:56" x14ac:dyDescent="0.25">
      <c r="A427" s="49"/>
      <c r="U427" s="50"/>
      <c r="V427" s="50"/>
      <c r="W427" s="50"/>
      <c r="BA427" s="49"/>
      <c r="BB427" s="49"/>
      <c r="BC427" s="49"/>
      <c r="BD427" s="49"/>
    </row>
    <row r="428" spans="1:56" x14ac:dyDescent="0.25">
      <c r="A428" s="49"/>
      <c r="U428" s="50"/>
      <c r="V428" s="50"/>
      <c r="W428" s="50"/>
      <c r="BA428" s="49"/>
      <c r="BB428" s="49"/>
      <c r="BC428" s="49"/>
      <c r="BD428" s="49"/>
    </row>
    <row r="429" spans="1:56" x14ac:dyDescent="0.25">
      <c r="A429" s="49"/>
      <c r="U429" s="50"/>
      <c r="V429" s="50"/>
      <c r="W429" s="50"/>
      <c r="BA429" s="49"/>
      <c r="BB429" s="49"/>
      <c r="BC429" s="49"/>
      <c r="BD429" s="49"/>
    </row>
    <row r="430" spans="1:56" x14ac:dyDescent="0.25">
      <c r="A430" s="49"/>
      <c r="U430" s="50"/>
      <c r="V430" s="50"/>
      <c r="W430" s="50"/>
      <c r="BA430" s="49"/>
      <c r="BB430" s="49"/>
      <c r="BC430" s="49"/>
      <c r="BD430" s="49"/>
    </row>
    <row r="431" spans="1:56" x14ac:dyDescent="0.25">
      <c r="A431" s="49"/>
      <c r="U431" s="50"/>
      <c r="V431" s="50"/>
      <c r="W431" s="50"/>
      <c r="BA431" s="49"/>
      <c r="BB431" s="49"/>
      <c r="BC431" s="49"/>
      <c r="BD431" s="49"/>
    </row>
    <row r="432" spans="1:56" x14ac:dyDescent="0.25">
      <c r="A432" s="49"/>
      <c r="U432" s="50"/>
      <c r="V432" s="50"/>
      <c r="W432" s="50"/>
      <c r="BA432" s="49"/>
      <c r="BB432" s="49"/>
      <c r="BC432" s="49"/>
      <c r="BD432" s="49"/>
    </row>
    <row r="433" spans="1:56" x14ac:dyDescent="0.25">
      <c r="A433" s="49"/>
      <c r="U433" s="50"/>
      <c r="V433" s="50"/>
      <c r="W433" s="50"/>
      <c r="BA433" s="49"/>
      <c r="BB433" s="49"/>
      <c r="BC433" s="49"/>
      <c r="BD433" s="49"/>
    </row>
    <row r="434" spans="1:56" x14ac:dyDescent="0.25">
      <c r="A434" s="49"/>
      <c r="U434" s="50"/>
      <c r="V434" s="50"/>
      <c r="W434" s="50"/>
      <c r="BA434" s="49"/>
      <c r="BB434" s="49"/>
      <c r="BC434" s="49"/>
      <c r="BD434" s="49"/>
    </row>
    <row r="467" spans="2:2" x14ac:dyDescent="0.25">
      <c r="B467"/>
    </row>
    <row r="468" spans="2:2" x14ac:dyDescent="0.25">
      <c r="B468"/>
    </row>
    <row r="469" spans="2:2" x14ac:dyDescent="0.25">
      <c r="B469"/>
    </row>
    <row r="470" spans="2:2" x14ac:dyDescent="0.25">
      <c r="B470"/>
    </row>
    <row r="471" spans="2:2" x14ac:dyDescent="0.25">
      <c r="B471"/>
    </row>
    <row r="472" spans="2:2" x14ac:dyDescent="0.25">
      <c r="B472"/>
    </row>
    <row r="473" spans="2:2" x14ac:dyDescent="0.25">
      <c r="B473"/>
    </row>
    <row r="474" spans="2:2" x14ac:dyDescent="0.25">
      <c r="B474"/>
    </row>
    <row r="475" spans="2:2" x14ac:dyDescent="0.25">
      <c r="B475"/>
    </row>
    <row r="476" spans="2:2" x14ac:dyDescent="0.25">
      <c r="B476"/>
    </row>
    <row r="477" spans="2:2" x14ac:dyDescent="0.25">
      <c r="B477"/>
    </row>
    <row r="478" spans="2:2" x14ac:dyDescent="0.25">
      <c r="B478"/>
    </row>
    <row r="479" spans="2:2" x14ac:dyDescent="0.25">
      <c r="B479"/>
    </row>
    <row r="480" spans="2:2" x14ac:dyDescent="0.25">
      <c r="B480"/>
    </row>
    <row r="481" spans="2:2" x14ac:dyDescent="0.25">
      <c r="B481"/>
    </row>
    <row r="482" spans="2:2" x14ac:dyDescent="0.25">
      <c r="B482"/>
    </row>
    <row r="483" spans="2:2" x14ac:dyDescent="0.25">
      <c r="B483"/>
    </row>
    <row r="484" spans="2:2" x14ac:dyDescent="0.25">
      <c r="B484"/>
    </row>
    <row r="485" spans="2:2" x14ac:dyDescent="0.25">
      <c r="B485"/>
    </row>
    <row r="486" spans="2:2" x14ac:dyDescent="0.25">
      <c r="B486"/>
    </row>
    <row r="487" spans="2:2" x14ac:dyDescent="0.25">
      <c r="B487"/>
    </row>
    <row r="488" spans="2:2" x14ac:dyDescent="0.25">
      <c r="B488"/>
    </row>
    <row r="489" spans="2:2" x14ac:dyDescent="0.25">
      <c r="B489"/>
    </row>
    <row r="490" spans="2:2" x14ac:dyDescent="0.25">
      <c r="B490"/>
    </row>
    <row r="491" spans="2:2" x14ac:dyDescent="0.25">
      <c r="B491"/>
    </row>
    <row r="492" spans="2:2" x14ac:dyDescent="0.25">
      <c r="B492"/>
    </row>
    <row r="493" spans="2:2" x14ac:dyDescent="0.25">
      <c r="B493"/>
    </row>
    <row r="494" spans="2:2" x14ac:dyDescent="0.25">
      <c r="B494"/>
    </row>
    <row r="495" spans="2:2" x14ac:dyDescent="0.25">
      <c r="B495"/>
    </row>
    <row r="496" spans="2:2" x14ac:dyDescent="0.25">
      <c r="B496"/>
    </row>
    <row r="497" spans="2:2" x14ac:dyDescent="0.25">
      <c r="B497"/>
    </row>
    <row r="498" spans="2:2" x14ac:dyDescent="0.25">
      <c r="B498"/>
    </row>
    <row r="499" spans="2:2" x14ac:dyDescent="0.25">
      <c r="B499"/>
    </row>
    <row r="500" spans="2:2" x14ac:dyDescent="0.25">
      <c r="B500"/>
    </row>
    <row r="501" spans="2:2" x14ac:dyDescent="0.25">
      <c r="B501"/>
    </row>
    <row r="502" spans="2:2" x14ac:dyDescent="0.25">
      <c r="B502"/>
    </row>
    <row r="503" spans="2:2" x14ac:dyDescent="0.25">
      <c r="B503"/>
    </row>
    <row r="504" spans="2:2" x14ac:dyDescent="0.25">
      <c r="B504"/>
    </row>
    <row r="505" spans="2:2" x14ac:dyDescent="0.25">
      <c r="B505"/>
    </row>
    <row r="506" spans="2:2" x14ac:dyDescent="0.25">
      <c r="B506"/>
    </row>
    <row r="507" spans="2:2" x14ac:dyDescent="0.25">
      <c r="B507"/>
    </row>
    <row r="508" spans="2:2" x14ac:dyDescent="0.25">
      <c r="B508"/>
    </row>
    <row r="509" spans="2:2" x14ac:dyDescent="0.25">
      <c r="B509"/>
    </row>
    <row r="510" spans="2:2" x14ac:dyDescent="0.25">
      <c r="B510"/>
    </row>
    <row r="511" spans="2:2" x14ac:dyDescent="0.25">
      <c r="B511"/>
    </row>
    <row r="512" spans="2:2" x14ac:dyDescent="0.25">
      <c r="B512"/>
    </row>
    <row r="513" spans="2:2" x14ac:dyDescent="0.25">
      <c r="B513"/>
    </row>
    <row r="514" spans="2:2" x14ac:dyDescent="0.25">
      <c r="B514"/>
    </row>
    <row r="515" spans="2:2" x14ac:dyDescent="0.25">
      <c r="B515"/>
    </row>
    <row r="516" spans="2:2" x14ac:dyDescent="0.25">
      <c r="B516"/>
    </row>
    <row r="517" spans="2:2" x14ac:dyDescent="0.25">
      <c r="B517"/>
    </row>
    <row r="518" spans="2:2" x14ac:dyDescent="0.25">
      <c r="B518"/>
    </row>
    <row r="519" spans="2:2" x14ac:dyDescent="0.25">
      <c r="B519"/>
    </row>
    <row r="520" spans="2:2" x14ac:dyDescent="0.25">
      <c r="B520"/>
    </row>
    <row r="521" spans="2:2" x14ac:dyDescent="0.25">
      <c r="B521"/>
    </row>
    <row r="522" spans="2:2" x14ac:dyDescent="0.25">
      <c r="B522"/>
    </row>
    <row r="523" spans="2:2" x14ac:dyDescent="0.25">
      <c r="B523"/>
    </row>
    <row r="524" spans="2:2" x14ac:dyDescent="0.25">
      <c r="B524"/>
    </row>
    <row r="525" spans="2:2" x14ac:dyDescent="0.25">
      <c r="B525"/>
    </row>
    <row r="526" spans="2:2" x14ac:dyDescent="0.25">
      <c r="B526"/>
    </row>
    <row r="527" spans="2:2" x14ac:dyDescent="0.25">
      <c r="B527"/>
    </row>
    <row r="528" spans="2:2" x14ac:dyDescent="0.25">
      <c r="B528"/>
    </row>
    <row r="529" spans="2:2" x14ac:dyDescent="0.25">
      <c r="B529"/>
    </row>
    <row r="530" spans="2:2" x14ac:dyDescent="0.25">
      <c r="B530"/>
    </row>
    <row r="531" spans="2:2" x14ac:dyDescent="0.25">
      <c r="B531"/>
    </row>
    <row r="532" spans="2:2" x14ac:dyDescent="0.25">
      <c r="B532"/>
    </row>
    <row r="533" spans="2:2" x14ac:dyDescent="0.25">
      <c r="B533"/>
    </row>
    <row r="534" spans="2:2" x14ac:dyDescent="0.25">
      <c r="B534"/>
    </row>
    <row r="535" spans="2:2" x14ac:dyDescent="0.25">
      <c r="B535"/>
    </row>
    <row r="536" spans="2:2" x14ac:dyDescent="0.25">
      <c r="B536"/>
    </row>
    <row r="537" spans="2:2" x14ac:dyDescent="0.25">
      <c r="B537"/>
    </row>
    <row r="538" spans="2:2" x14ac:dyDescent="0.25">
      <c r="B538"/>
    </row>
    <row r="539" spans="2:2" x14ac:dyDescent="0.25">
      <c r="B539"/>
    </row>
    <row r="540" spans="2:2" x14ac:dyDescent="0.25">
      <c r="B540"/>
    </row>
    <row r="541" spans="2:2" x14ac:dyDescent="0.25">
      <c r="B541"/>
    </row>
    <row r="542" spans="2:2" x14ac:dyDescent="0.25">
      <c r="B542"/>
    </row>
    <row r="543" spans="2:2" x14ac:dyDescent="0.25">
      <c r="B543"/>
    </row>
    <row r="544" spans="2:2" x14ac:dyDescent="0.25">
      <c r="B544"/>
    </row>
    <row r="545" spans="2:2" x14ac:dyDescent="0.25">
      <c r="B545"/>
    </row>
    <row r="546" spans="2:2" x14ac:dyDescent="0.25">
      <c r="B546"/>
    </row>
    <row r="547" spans="2:2" x14ac:dyDescent="0.25">
      <c r="B547"/>
    </row>
    <row r="548" spans="2:2" x14ac:dyDescent="0.25">
      <c r="B548"/>
    </row>
    <row r="549" spans="2:2" x14ac:dyDescent="0.25">
      <c r="B549"/>
    </row>
    <row r="550" spans="2:2" x14ac:dyDescent="0.25">
      <c r="B550"/>
    </row>
    <row r="551" spans="2:2" x14ac:dyDescent="0.25">
      <c r="B551"/>
    </row>
    <row r="552" spans="2:2" x14ac:dyDescent="0.25">
      <c r="B552"/>
    </row>
    <row r="553" spans="2:2" x14ac:dyDescent="0.25">
      <c r="B553"/>
    </row>
    <row r="554" spans="2:2" x14ac:dyDescent="0.25">
      <c r="B554"/>
    </row>
    <row r="555" spans="2:2" x14ac:dyDescent="0.25">
      <c r="B555"/>
    </row>
    <row r="556" spans="2:2" x14ac:dyDescent="0.25">
      <c r="B556"/>
    </row>
    <row r="557" spans="2:2" x14ac:dyDescent="0.25">
      <c r="B557"/>
    </row>
    <row r="558" spans="2:2" x14ac:dyDescent="0.25">
      <c r="B558"/>
    </row>
    <row r="559" spans="2:2" x14ac:dyDescent="0.25">
      <c r="B559"/>
    </row>
    <row r="560" spans="2:2" x14ac:dyDescent="0.25">
      <c r="B560"/>
    </row>
    <row r="561" spans="2:2" x14ac:dyDescent="0.25">
      <c r="B561"/>
    </row>
    <row r="562" spans="2:2" x14ac:dyDescent="0.25">
      <c r="B562"/>
    </row>
    <row r="563" spans="2:2" x14ac:dyDescent="0.25">
      <c r="B563"/>
    </row>
    <row r="564" spans="2:2" x14ac:dyDescent="0.25">
      <c r="B564"/>
    </row>
    <row r="565" spans="2:2" x14ac:dyDescent="0.25">
      <c r="B565"/>
    </row>
    <row r="566" spans="2:2" x14ac:dyDescent="0.25">
      <c r="B566"/>
    </row>
    <row r="567" spans="2:2" x14ac:dyDescent="0.25">
      <c r="B567"/>
    </row>
    <row r="568" spans="2:2" x14ac:dyDescent="0.25">
      <c r="B568"/>
    </row>
    <row r="569" spans="2:2" x14ac:dyDescent="0.25">
      <c r="B569"/>
    </row>
    <row r="570" spans="2:2" x14ac:dyDescent="0.25">
      <c r="B570"/>
    </row>
    <row r="571" spans="2:2" x14ac:dyDescent="0.25">
      <c r="B571"/>
    </row>
    <row r="572" spans="2:2" x14ac:dyDescent="0.25">
      <c r="B572"/>
    </row>
    <row r="573" spans="2:2" x14ac:dyDescent="0.25">
      <c r="B573"/>
    </row>
    <row r="574" spans="2:2" x14ac:dyDescent="0.25">
      <c r="B574"/>
    </row>
    <row r="575" spans="2:2" x14ac:dyDescent="0.25">
      <c r="B575"/>
    </row>
    <row r="576" spans="2:2" x14ac:dyDescent="0.25">
      <c r="B576"/>
    </row>
    <row r="577" spans="2:2" x14ac:dyDescent="0.25">
      <c r="B577"/>
    </row>
    <row r="578" spans="2:2" x14ac:dyDescent="0.25">
      <c r="B578"/>
    </row>
  </sheetData>
  <autoFilter ref="A8:BN333" xr:uid="{00000000-0001-0000-0C00-000000000000}"/>
  <sortState xmlns:xlrd2="http://schemas.microsoft.com/office/spreadsheetml/2017/richdata2" ref="A111:AV126">
    <sortCondition ref="A111:A126"/>
  </sortState>
  <mergeCells count="22">
    <mergeCell ref="C6:F6"/>
    <mergeCell ref="AA6:AA7"/>
    <mergeCell ref="V6:V7"/>
    <mergeCell ref="X6:Z6"/>
    <mergeCell ref="H6:H7"/>
    <mergeCell ref="U6:U7"/>
    <mergeCell ref="BK6:BN6"/>
    <mergeCell ref="BA2:BN2"/>
    <mergeCell ref="K6:N6"/>
    <mergeCell ref="Q6:T6"/>
    <mergeCell ref="BA6:BD6"/>
    <mergeCell ref="BF6:BI6"/>
    <mergeCell ref="B1:AH3"/>
    <mergeCell ref="AE6:AE7"/>
    <mergeCell ref="AF6:AF7"/>
    <mergeCell ref="AG6:AG7"/>
    <mergeCell ref="AH6:AH7"/>
    <mergeCell ref="AC6:AC7"/>
    <mergeCell ref="AD6:AD7"/>
    <mergeCell ref="B6:B7"/>
    <mergeCell ref="AB6:AB7"/>
    <mergeCell ref="W6:W7"/>
  </mergeCells>
  <phoneticPr fontId="67" type="noConversion"/>
  <conditionalFormatting sqref="A222:A229">
    <cfRule type="duplicateValues" dxfId="23" priority="605"/>
  </conditionalFormatting>
  <conditionalFormatting sqref="A230">
    <cfRule type="duplicateValues" dxfId="22" priority="1"/>
  </conditionalFormatting>
  <conditionalFormatting sqref="A231">
    <cfRule type="duplicateValues" dxfId="21" priority="423"/>
  </conditionalFormatting>
  <conditionalFormatting sqref="A233">
    <cfRule type="duplicateValues" dxfId="20" priority="25"/>
  </conditionalFormatting>
  <conditionalFormatting sqref="A235">
    <cfRule type="duplicateValues" dxfId="19" priority="23"/>
  </conditionalFormatting>
  <conditionalFormatting sqref="A321">
    <cfRule type="duplicateValues" dxfId="18" priority="21"/>
  </conditionalFormatting>
  <conditionalFormatting sqref="A322">
    <cfRule type="duplicateValues" dxfId="17" priority="19"/>
  </conditionalFormatting>
  <conditionalFormatting sqref="A323:A331 A234 A232 A9:A221 A236:A320">
    <cfRule type="duplicateValues" dxfId="16" priority="596"/>
  </conditionalFormatting>
  <conditionalFormatting sqref="A332:A343">
    <cfRule type="duplicateValues" dxfId="15" priority="44"/>
  </conditionalFormatting>
  <conditionalFormatting sqref="B222:B229">
    <cfRule type="duplicateValues" dxfId="14" priority="607"/>
  </conditionalFormatting>
  <conditionalFormatting sqref="B230">
    <cfRule type="duplicateValues" dxfId="13" priority="2"/>
  </conditionalFormatting>
  <conditionalFormatting sqref="B231">
    <cfRule type="duplicateValues" dxfId="12" priority="428"/>
  </conditionalFormatting>
  <conditionalFormatting sqref="B233">
    <cfRule type="duplicateValues" dxfId="11" priority="24"/>
  </conditionalFormatting>
  <conditionalFormatting sqref="B235">
    <cfRule type="duplicateValues" dxfId="10" priority="22"/>
  </conditionalFormatting>
  <conditionalFormatting sqref="B321">
    <cfRule type="duplicateValues" dxfId="9" priority="20"/>
  </conditionalFormatting>
  <conditionalFormatting sqref="B322">
    <cfRule type="duplicateValues" dxfId="8" priority="18"/>
  </conditionalFormatting>
  <conditionalFormatting sqref="B579:B1048576 B234 B232 B1:B221 B236:B320 B323:B466">
    <cfRule type="duplicateValues" dxfId="7" priority="42"/>
  </conditionalFormatting>
  <conditionalFormatting sqref="G1:G1048576">
    <cfRule type="containsText" dxfId="6" priority="3" operator="containsText" text="retire">
      <formula>NOT(ISERROR(SEARCH("retire",G1)))</formula>
    </cfRule>
  </conditionalFormatting>
  <conditionalFormatting sqref="BC7:BC8">
    <cfRule type="duplicateValues" dxfId="5" priority="7"/>
  </conditionalFormatting>
  <conditionalFormatting sqref="BD20:BD36">
    <cfRule type="duplicateValues" dxfId="4" priority="570"/>
  </conditionalFormatting>
  <conditionalFormatting sqref="BE2467:BE1048576">
    <cfRule type="cellIs" dxfId="3" priority="40" operator="lessThan">
      <formula>1</formula>
    </cfRule>
  </conditionalFormatting>
  <conditionalFormatting sqref="BH7:BH8">
    <cfRule type="duplicateValues" dxfId="2" priority="6"/>
  </conditionalFormatting>
  <printOptions horizontalCentered="1"/>
  <pageMargins left="0.5" right="0.5" top="0.75" bottom="0.75" header="0.3" footer="0.3"/>
  <pageSetup scale="15" fitToHeight="0" orientation="landscape" r:id="rId1"/>
  <colBreaks count="1" manualBreakCount="1">
    <brk id="1" max="1048575" man="1"/>
  </col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
    <tabColor theme="1"/>
    <pageSetUpPr fitToPage="1"/>
  </sheetPr>
  <dimension ref="A1:U866"/>
  <sheetViews>
    <sheetView zoomScale="70" zoomScaleNormal="70" workbookViewId="0"/>
  </sheetViews>
  <sheetFormatPr defaultColWidth="9.28515625" defaultRowHeight="15" x14ac:dyDescent="0.25"/>
  <cols>
    <col min="1" max="1" width="53.28515625" style="50" customWidth="1"/>
    <col min="2" max="2" width="16.7109375" style="50" customWidth="1"/>
    <col min="3" max="3" width="12.28515625" style="50" customWidth="1"/>
    <col min="4" max="7" width="9.5703125" style="50" bestFit="1" customWidth="1"/>
    <col min="8" max="8" width="9.28515625" style="50" bestFit="1" customWidth="1"/>
    <col min="9" max="9" width="12.28515625" style="50" customWidth="1"/>
    <col min="10" max="10" width="23.42578125" style="50" customWidth="1"/>
    <col min="11" max="11" width="14.42578125" style="50" customWidth="1"/>
    <col min="12" max="13" width="9.28515625" style="50"/>
    <col min="14" max="14" width="13.5703125" style="50" customWidth="1"/>
    <col min="15" max="20" width="9.28515625" style="50"/>
    <col min="21" max="21" width="12.42578125" style="50" customWidth="1"/>
    <col min="22" max="16384" width="9.28515625" style="50"/>
  </cols>
  <sheetData>
    <row r="1" spans="1:21" x14ac:dyDescent="0.25">
      <c r="A1" s="59"/>
      <c r="B1" s="59"/>
      <c r="C1" s="59"/>
      <c r="D1" s="59"/>
      <c r="E1" s="59"/>
      <c r="F1" s="59"/>
      <c r="G1" s="59"/>
      <c r="H1" s="59"/>
      <c r="I1" s="50" t="s">
        <v>2312</v>
      </c>
      <c r="J1" s="768" t="s">
        <v>2313</v>
      </c>
    </row>
    <row r="2" spans="1:21" x14ac:dyDescent="0.25">
      <c r="B2" s="1754" t="s">
        <v>2314</v>
      </c>
      <c r="C2" s="1754"/>
      <c r="D2" s="1754"/>
      <c r="E2" s="1754"/>
      <c r="F2" s="1754"/>
      <c r="G2" s="1754"/>
      <c r="H2" s="1755"/>
      <c r="K2" s="1756"/>
      <c r="N2" s="1757"/>
    </row>
    <row r="3" spans="1:21" x14ac:dyDescent="0.25">
      <c r="A3" s="1307" t="s">
        <v>769</v>
      </c>
      <c r="B3" s="1737">
        <v>2025</v>
      </c>
      <c r="C3" s="1737">
        <v>2026</v>
      </c>
      <c r="D3" s="18">
        <v>2027</v>
      </c>
      <c r="E3" s="18">
        <v>2028</v>
      </c>
      <c r="F3" s="18">
        <v>2029</v>
      </c>
      <c r="G3" s="18">
        <v>2030</v>
      </c>
      <c r="H3" s="18">
        <v>2031</v>
      </c>
      <c r="I3" s="49"/>
      <c r="J3" s="49"/>
      <c r="K3" s="49"/>
      <c r="L3" s="49"/>
      <c r="M3" s="49"/>
    </row>
    <row r="4" spans="1:21" x14ac:dyDescent="0.25">
      <c r="A4" s="1758" t="s">
        <v>2315</v>
      </c>
      <c r="B4" s="1753">
        <v>6.9716271613440697E-2</v>
      </c>
      <c r="C4" s="1753">
        <v>6.3109478788013804E-2</v>
      </c>
      <c r="D4" s="1307">
        <v>5.59776275933562E-2</v>
      </c>
      <c r="E4" s="1307">
        <v>5.4985269379490498E-2</v>
      </c>
      <c r="F4" s="1307">
        <v>5.4619524087442903E-2</v>
      </c>
      <c r="G4" s="1307"/>
      <c r="H4" s="1307"/>
      <c r="J4" s="50" t="s">
        <v>2316</v>
      </c>
      <c r="K4" s="1967">
        <v>2025</v>
      </c>
      <c r="N4" s="521"/>
      <c r="O4" s="521"/>
      <c r="P4" s="521"/>
      <c r="R4" s="1759"/>
      <c r="S4" s="1759"/>
      <c r="T4" s="1759"/>
      <c r="U4" s="1759"/>
    </row>
    <row r="5" spans="1:21" x14ac:dyDescent="0.25">
      <c r="A5" s="1758" t="s">
        <v>2317</v>
      </c>
      <c r="B5" s="1753">
        <v>0.533208885762264</v>
      </c>
      <c r="C5" s="1753">
        <v>0.50286397471632904</v>
      </c>
      <c r="D5" s="1307">
        <v>0.47741180113305798</v>
      </c>
      <c r="E5" s="1307">
        <v>0.45743606583441199</v>
      </c>
      <c r="F5" s="1307">
        <v>0.436633971133562</v>
      </c>
      <c r="G5" s="1307"/>
      <c r="H5" s="1307"/>
      <c r="J5" s="50" t="s">
        <v>2318</v>
      </c>
      <c r="K5" s="50">
        <v>2027</v>
      </c>
      <c r="N5" s="521"/>
      <c r="O5" s="521"/>
      <c r="P5" s="521"/>
      <c r="R5" s="1759"/>
      <c r="S5" s="1759"/>
      <c r="T5" s="1759"/>
    </row>
    <row r="6" spans="1:21" x14ac:dyDescent="0.25">
      <c r="A6" s="1758" t="s">
        <v>2319</v>
      </c>
      <c r="B6" s="1753">
        <v>0.57258024632977</v>
      </c>
      <c r="C6" s="1753">
        <v>0.54052127992107202</v>
      </c>
      <c r="D6" s="1307">
        <v>0.51341369342776799</v>
      </c>
      <c r="E6" s="1307">
        <v>0.491619240513052</v>
      </c>
      <c r="F6" s="1307">
        <v>0.46931437560960099</v>
      </c>
      <c r="G6" s="1307"/>
      <c r="H6" s="1307"/>
      <c r="J6" s="50" t="s">
        <v>2320</v>
      </c>
      <c r="K6" s="1968">
        <v>6.8599999999999994E-2</v>
      </c>
      <c r="N6" s="521"/>
      <c r="O6" s="521"/>
      <c r="P6" s="521"/>
      <c r="R6" s="1759"/>
      <c r="S6" s="1759"/>
      <c r="T6" s="1759"/>
    </row>
    <row r="7" spans="1:21" x14ac:dyDescent="0.25">
      <c r="A7" s="1758" t="s">
        <v>2321</v>
      </c>
      <c r="B7" s="1753">
        <v>0.61023755153451198</v>
      </c>
      <c r="C7" s="1753">
        <v>0.57652317221578198</v>
      </c>
      <c r="D7" s="1307">
        <v>0.54759686810640795</v>
      </c>
      <c r="E7" s="1307">
        <v>0.52429964498909098</v>
      </c>
      <c r="F7" s="1307">
        <v>0.50055810790656297</v>
      </c>
      <c r="G7" s="1307"/>
      <c r="H7" s="1307"/>
      <c r="J7" s="50" t="s">
        <v>2322</v>
      </c>
      <c r="K7" s="50">
        <v>0.02</v>
      </c>
      <c r="N7" s="521"/>
      <c r="O7" s="521"/>
      <c r="P7" s="521"/>
      <c r="R7" s="1759"/>
      <c r="S7" s="1759"/>
      <c r="T7" s="1759"/>
    </row>
    <row r="8" spans="1:21" x14ac:dyDescent="0.25">
      <c r="A8" s="1758" t="s">
        <v>2323</v>
      </c>
      <c r="B8" s="1753">
        <v>0.64623944382922305</v>
      </c>
      <c r="C8" s="1753">
        <v>0.61070634689442205</v>
      </c>
      <c r="D8" s="1307">
        <v>0.58027727258244699</v>
      </c>
      <c r="E8" s="1307">
        <v>0.55554337728605296</v>
      </c>
      <c r="F8" s="1307">
        <v>0.53042835731331395</v>
      </c>
      <c r="G8" s="1307"/>
      <c r="H8" s="1307"/>
      <c r="J8" s="50" t="s">
        <v>2324</v>
      </c>
      <c r="K8" s="1969">
        <v>2025</v>
      </c>
      <c r="L8" s="50" t="s">
        <v>2325</v>
      </c>
      <c r="N8" s="521"/>
      <c r="O8" s="521"/>
      <c r="P8" s="521"/>
      <c r="R8" s="1759"/>
      <c r="S8" s="1759"/>
      <c r="T8" s="1759"/>
    </row>
    <row r="9" spans="1:21" x14ac:dyDescent="0.25">
      <c r="A9" s="1758" t="s">
        <v>2326</v>
      </c>
      <c r="B9" s="1753">
        <v>0.68042261850786301</v>
      </c>
      <c r="C9" s="1753">
        <v>0.64338675137046097</v>
      </c>
      <c r="D9" s="1307">
        <v>0.61152100487940897</v>
      </c>
      <c r="E9" s="1307">
        <v>0.58541362669280395</v>
      </c>
      <c r="F9" s="1307">
        <v>0.55898553245286198</v>
      </c>
      <c r="G9" s="1307"/>
      <c r="H9" s="1307"/>
      <c r="N9" s="521"/>
      <c r="O9" s="521"/>
      <c r="P9" s="521"/>
      <c r="R9" s="1759"/>
      <c r="S9" s="1759"/>
      <c r="T9" s="1759"/>
    </row>
    <row r="10" spans="1:21" x14ac:dyDescent="0.25">
      <c r="A10" s="1758" t="s">
        <v>2327</v>
      </c>
      <c r="B10" s="1753">
        <v>0.71310302298390205</v>
      </c>
      <c r="C10" s="1753">
        <v>0.67463048366742295</v>
      </c>
      <c r="D10" s="1307">
        <v>0.64139125428615995</v>
      </c>
      <c r="E10" s="1307">
        <v>0.61397080183235198</v>
      </c>
      <c r="F10" s="1307">
        <v>0.58628738370945699</v>
      </c>
      <c r="G10" s="1307"/>
      <c r="H10" s="1307"/>
      <c r="N10" s="521"/>
      <c r="O10" s="521"/>
      <c r="P10" s="521"/>
      <c r="R10" s="1759"/>
      <c r="S10" s="1759"/>
      <c r="T10" s="1759"/>
    </row>
    <row r="11" spans="1:21" x14ac:dyDescent="0.25">
      <c r="A11" s="1758" t="s">
        <v>2328</v>
      </c>
      <c r="B11" s="1753">
        <v>0.74434675528086403</v>
      </c>
      <c r="C11" s="1753">
        <v>0.70450073307417405</v>
      </c>
      <c r="D11" s="1307">
        <v>0.66994842942570798</v>
      </c>
      <c r="E11" s="1307">
        <v>0.64127265308894699</v>
      </c>
      <c r="F11" s="1307">
        <v>0.61244655111442303</v>
      </c>
      <c r="G11" s="1307"/>
      <c r="H11" s="1307"/>
      <c r="N11" s="521"/>
      <c r="O11" s="521"/>
      <c r="P11" s="521"/>
      <c r="R11" s="1759"/>
      <c r="S11" s="1759"/>
      <c r="T11" s="1759"/>
    </row>
    <row r="12" spans="1:21" x14ac:dyDescent="0.25">
      <c r="A12" s="1758" t="s">
        <v>2329</v>
      </c>
      <c r="B12" s="1753">
        <v>0.77421700468761501</v>
      </c>
      <c r="C12" s="1753">
        <v>0.73305790821372196</v>
      </c>
      <c r="D12" s="1307">
        <v>0.69725028068230299</v>
      </c>
      <c r="E12" s="1307">
        <v>0.66743182049391403</v>
      </c>
      <c r="F12" s="1307">
        <v>0.637455771710566</v>
      </c>
      <c r="G12" s="1307"/>
      <c r="H12" s="1307"/>
      <c r="N12" s="521"/>
      <c r="O12" s="521"/>
      <c r="P12" s="521"/>
      <c r="R12" s="1759"/>
      <c r="S12" s="1759"/>
      <c r="T12" s="1759"/>
    </row>
    <row r="13" spans="1:21" x14ac:dyDescent="0.25">
      <c r="A13" s="1758" t="s">
        <v>2330</v>
      </c>
      <c r="B13" s="1753">
        <v>0.80277417982716304</v>
      </c>
      <c r="C13" s="1753">
        <v>0.76035975947031798</v>
      </c>
      <c r="D13" s="1307">
        <v>0.72340944808727004</v>
      </c>
      <c r="E13" s="1307">
        <v>0.692441041090057</v>
      </c>
      <c r="F13" s="1307">
        <v>0.66136562176815406</v>
      </c>
      <c r="G13" s="1307"/>
      <c r="H13" s="1307"/>
      <c r="N13" s="521"/>
      <c r="O13" s="521"/>
      <c r="P13" s="521"/>
      <c r="R13" s="1759"/>
      <c r="S13" s="1759"/>
      <c r="T13" s="1759"/>
    </row>
    <row r="14" spans="1:21" x14ac:dyDescent="0.25">
      <c r="A14" s="1758" t="s">
        <v>2331</v>
      </c>
      <c r="B14" s="1753">
        <v>0.83007603108375805</v>
      </c>
      <c r="C14" s="1753">
        <v>0.78651892687528402</v>
      </c>
      <c r="D14" s="1307">
        <v>0.748418668683413</v>
      </c>
      <c r="E14" s="1307">
        <v>0.71635089114764505</v>
      </c>
      <c r="F14" s="1307">
        <v>0.68422445201905602</v>
      </c>
      <c r="G14" s="1307"/>
      <c r="H14" s="1307"/>
      <c r="N14" s="521"/>
      <c r="O14" s="521"/>
      <c r="P14" s="521"/>
      <c r="R14" s="1759"/>
      <c r="S14" s="1759"/>
      <c r="T14" s="1759"/>
    </row>
    <row r="15" spans="1:21" x14ac:dyDescent="0.25">
      <c r="A15" s="1758" t="s">
        <v>2332</v>
      </c>
      <c r="B15" s="1753">
        <v>0.132825750401454</v>
      </c>
      <c r="C15" s="1753">
        <v>0.11908710638137</v>
      </c>
      <c r="D15" s="1307">
        <v>0.110962896972847</v>
      </c>
      <c r="E15" s="1307">
        <v>0.109604793466933</v>
      </c>
      <c r="F15" s="1307">
        <v>0.10768131933181101</v>
      </c>
      <c r="G15" s="1307"/>
      <c r="H15" s="1307"/>
      <c r="N15" s="521"/>
      <c r="O15" s="521"/>
      <c r="P15" s="521"/>
      <c r="R15" s="1759"/>
      <c r="S15" s="1759"/>
      <c r="T15" s="1759"/>
    </row>
    <row r="16" spans="1:21" x14ac:dyDescent="0.25">
      <c r="A16" s="1758" t="s">
        <v>2333</v>
      </c>
      <c r="B16" s="1753">
        <v>0.85623519848872498</v>
      </c>
      <c r="C16" s="1753">
        <v>0.81152814747142699</v>
      </c>
      <c r="D16" s="1307">
        <v>0.77232851874100095</v>
      </c>
      <c r="E16" s="1307">
        <v>0.73920972139854602</v>
      </c>
      <c r="F16" s="1307">
        <v>0.70607848563878794</v>
      </c>
      <c r="G16" s="1307"/>
      <c r="H16" s="1307"/>
      <c r="N16" s="521"/>
      <c r="O16" s="521"/>
      <c r="P16" s="521"/>
      <c r="R16" s="1759"/>
      <c r="S16" s="1759"/>
      <c r="T16" s="1759"/>
    </row>
    <row r="17" spans="1:20" x14ac:dyDescent="0.25">
      <c r="A17" s="1758" t="s">
        <v>2334</v>
      </c>
      <c r="B17" s="1753">
        <v>0.88124441908486695</v>
      </c>
      <c r="C17" s="1753">
        <v>0.83543799752901504</v>
      </c>
      <c r="D17" s="1307">
        <v>0.79518734899190302</v>
      </c>
      <c r="E17" s="1307">
        <v>0.76106375501827805</v>
      </c>
      <c r="F17" s="1307">
        <v>0.72697191191252897</v>
      </c>
      <c r="G17" s="1307"/>
      <c r="H17" s="1307"/>
      <c r="N17" s="521"/>
      <c r="O17" s="521"/>
      <c r="P17" s="521"/>
      <c r="R17" s="1759"/>
      <c r="S17" s="1759"/>
      <c r="T17" s="1759"/>
    </row>
    <row r="18" spans="1:20" x14ac:dyDescent="0.25">
      <c r="A18" s="1758" t="s">
        <v>2335</v>
      </c>
      <c r="B18" s="1753">
        <v>0.905154269142456</v>
      </c>
      <c r="C18" s="1753">
        <v>0.858296827779917</v>
      </c>
      <c r="D18" s="1307">
        <v>0.81704138261163495</v>
      </c>
      <c r="E18" s="1307">
        <v>0.78195718129201996</v>
      </c>
      <c r="F18" s="1307">
        <v>0.74652406077434996</v>
      </c>
      <c r="G18" s="1307"/>
      <c r="H18" s="1307"/>
      <c r="N18" s="521"/>
      <c r="O18" s="521"/>
      <c r="P18" s="521"/>
      <c r="R18" s="1759"/>
      <c r="S18" s="1759"/>
      <c r="T18" s="1759"/>
    </row>
    <row r="19" spans="1:20" x14ac:dyDescent="0.25">
      <c r="A19" s="1758" t="s">
        <v>2336</v>
      </c>
      <c r="B19" s="1753">
        <v>0.92801309939335697</v>
      </c>
      <c r="C19" s="1753">
        <v>0.88015086139964804</v>
      </c>
      <c r="D19" s="1307">
        <v>0.83793480888537597</v>
      </c>
      <c r="E19" s="1307">
        <v>0.80150933015383996</v>
      </c>
      <c r="F19" s="1307">
        <v>0.76482103706278404</v>
      </c>
      <c r="G19" s="1307"/>
      <c r="H19" s="1307"/>
      <c r="N19" s="521"/>
      <c r="O19" s="521"/>
      <c r="P19" s="521"/>
      <c r="R19" s="1759"/>
      <c r="S19" s="1759"/>
      <c r="T19" s="1759"/>
    </row>
    <row r="20" spans="1:20" x14ac:dyDescent="0.25">
      <c r="A20" s="1758" t="s">
        <v>2337</v>
      </c>
      <c r="B20" s="1753">
        <v>0.949867133013089</v>
      </c>
      <c r="C20" s="1753">
        <v>0.90104428767338995</v>
      </c>
      <c r="D20" s="1307">
        <v>0.85748695774719697</v>
      </c>
      <c r="E20" s="1307">
        <v>0.81980630644227404</v>
      </c>
      <c r="F20" s="1307">
        <v>0.78194341801770995</v>
      </c>
      <c r="G20" s="1307"/>
      <c r="H20" s="1307"/>
      <c r="N20" s="521"/>
      <c r="O20" s="521"/>
      <c r="P20" s="521"/>
      <c r="R20" s="1759"/>
      <c r="S20" s="1759"/>
      <c r="T20" s="1759"/>
    </row>
    <row r="21" spans="1:20" x14ac:dyDescent="0.25">
      <c r="A21" s="1758" t="s">
        <v>2338</v>
      </c>
      <c r="B21" s="1753">
        <v>0.97076055928683003</v>
      </c>
      <c r="C21" s="1753">
        <v>0.92059643653520995</v>
      </c>
      <c r="D21" s="1307">
        <v>0.87578393403563004</v>
      </c>
      <c r="E21" s="1307">
        <v>0.83692868739720006</v>
      </c>
      <c r="F21" s="1307">
        <v>0.79796660813087295</v>
      </c>
      <c r="G21" s="1307"/>
      <c r="H21" s="1307"/>
      <c r="N21" s="521"/>
      <c r="O21" s="521"/>
      <c r="P21" s="521"/>
      <c r="R21" s="1759"/>
      <c r="S21" s="1759"/>
      <c r="T21" s="1759"/>
    </row>
    <row r="22" spans="1:20" x14ac:dyDescent="0.25">
      <c r="A22" s="1758" t="s">
        <v>2339</v>
      </c>
      <c r="B22" s="1753">
        <v>0.99031270814865102</v>
      </c>
      <c r="C22" s="1753">
        <v>0.93889341282364402</v>
      </c>
      <c r="D22" s="1307">
        <v>0.89290631499055595</v>
      </c>
      <c r="E22" s="1307">
        <v>0.85295187751036305</v>
      </c>
      <c r="F22" s="1307">
        <v>0.81296117121637101</v>
      </c>
      <c r="G22" s="1307"/>
      <c r="H22" s="1307"/>
      <c r="N22" s="521"/>
      <c r="O22" s="521"/>
      <c r="P22" s="521"/>
      <c r="R22" s="1759"/>
      <c r="S22" s="1759"/>
      <c r="T22" s="1759"/>
    </row>
    <row r="23" spans="1:20" x14ac:dyDescent="0.25">
      <c r="A23" s="1758" t="s">
        <v>2340</v>
      </c>
      <c r="B23" s="1753">
        <v>1.00860968443708</v>
      </c>
      <c r="C23" s="1753">
        <v>0.95601579377857004</v>
      </c>
      <c r="D23" s="1307">
        <v>0.90892950510371995</v>
      </c>
      <c r="E23" s="1307">
        <v>0.86794644059586101</v>
      </c>
      <c r="F23" s="1307">
        <v>0.82699314116349598</v>
      </c>
      <c r="G23" s="1307"/>
      <c r="H23" s="1307"/>
      <c r="N23" s="521"/>
      <c r="O23" s="521"/>
      <c r="P23" s="521"/>
      <c r="R23" s="1759"/>
      <c r="S23" s="1759"/>
      <c r="T23" s="1759"/>
    </row>
    <row r="24" spans="1:20" x14ac:dyDescent="0.25">
      <c r="A24" s="1758" t="s">
        <v>2341</v>
      </c>
      <c r="B24" s="1753">
        <v>1.0257320653920099</v>
      </c>
      <c r="C24" s="1753">
        <v>0.97203898389173304</v>
      </c>
      <c r="D24" s="1307">
        <v>0.92392406818921702</v>
      </c>
      <c r="E24" s="1307">
        <v>0.88197841054298598</v>
      </c>
      <c r="F24" s="1307">
        <v>0.84012431274044197</v>
      </c>
      <c r="G24" s="1307"/>
      <c r="H24" s="1307"/>
      <c r="N24" s="521"/>
      <c r="O24" s="521"/>
      <c r="P24" s="521"/>
      <c r="R24" s="1759"/>
      <c r="S24" s="1759"/>
      <c r="T24" s="1759"/>
    </row>
    <row r="25" spans="1:20" x14ac:dyDescent="0.25">
      <c r="A25" s="1758" t="s">
        <v>2342</v>
      </c>
      <c r="B25" s="1753">
        <v>1.0417552555051699</v>
      </c>
      <c r="C25" s="1753">
        <v>0.987033546977231</v>
      </c>
      <c r="D25" s="1307">
        <v>0.93795603813634199</v>
      </c>
      <c r="E25" s="1307">
        <v>0.89510958211993297</v>
      </c>
      <c r="F25" s="1307">
        <v>0.85241251372953697</v>
      </c>
      <c r="G25" s="1307"/>
      <c r="H25" s="1307"/>
      <c r="N25" s="521"/>
      <c r="O25" s="521"/>
      <c r="P25" s="521"/>
      <c r="R25" s="1759"/>
      <c r="S25" s="1759"/>
      <c r="T25" s="1759"/>
    </row>
    <row r="26" spans="1:20" x14ac:dyDescent="0.25">
      <c r="A26" s="1758" t="s">
        <v>2343</v>
      </c>
      <c r="B26" s="1753">
        <v>0.18880337799481101</v>
      </c>
      <c r="C26" s="1753">
        <v>0.17407237576085999</v>
      </c>
      <c r="D26" s="1307">
        <v>0.16558242106029</v>
      </c>
      <c r="E26" s="1307">
        <v>0.16266658871130099</v>
      </c>
      <c r="F26" s="1307">
        <v>0.15741256572722701</v>
      </c>
      <c r="G26" s="1307"/>
      <c r="H26" s="1307"/>
      <c r="N26" s="521"/>
      <c r="O26" s="521"/>
      <c r="P26" s="521"/>
      <c r="R26" s="1759"/>
      <c r="S26" s="1759"/>
      <c r="T26" s="1759"/>
    </row>
    <row r="27" spans="1:20" x14ac:dyDescent="0.25">
      <c r="A27" s="1758" t="s">
        <v>2344</v>
      </c>
      <c r="B27" s="1753">
        <v>1.0567498185906701</v>
      </c>
      <c r="C27" s="1753">
        <v>1.0010655169243601</v>
      </c>
      <c r="D27" s="1307">
        <v>0.95108720971328897</v>
      </c>
      <c r="E27" s="1307">
        <v>0.90739778310902697</v>
      </c>
      <c r="F27" s="1307">
        <v>0.86391185959243699</v>
      </c>
      <c r="G27" s="1307"/>
      <c r="H27" s="1307"/>
      <c r="N27" s="521"/>
      <c r="O27" s="521"/>
      <c r="P27" s="521"/>
      <c r="R27" s="1759"/>
      <c r="S27" s="1759"/>
      <c r="T27" s="1759"/>
    </row>
    <row r="28" spans="1:20" x14ac:dyDescent="0.25">
      <c r="A28" s="1758" t="s">
        <v>2345</v>
      </c>
      <c r="B28" s="1753">
        <v>0.243788647374301</v>
      </c>
      <c r="C28" s="1753">
        <v>0.22869189984830299</v>
      </c>
      <c r="D28" s="1307">
        <v>0.218644216304657</v>
      </c>
      <c r="E28" s="1307">
        <v>0.212397835106718</v>
      </c>
      <c r="F28" s="1307">
        <v>0.20390931618864</v>
      </c>
      <c r="G28" s="1307"/>
      <c r="H28" s="1307"/>
      <c r="N28" s="521"/>
      <c r="O28" s="521"/>
      <c r="P28" s="521"/>
      <c r="R28" s="1759"/>
      <c r="S28" s="1759"/>
      <c r="T28" s="1759"/>
    </row>
    <row r="29" spans="1:20" x14ac:dyDescent="0.25">
      <c r="A29" s="1758" t="s">
        <v>2346</v>
      </c>
      <c r="B29" s="1753">
        <v>0.29840817146174398</v>
      </c>
      <c r="C29" s="1753">
        <v>0.28175369509267101</v>
      </c>
      <c r="D29" s="1307">
        <v>0.26837546270007401</v>
      </c>
      <c r="E29" s="1307">
        <v>0.258894585568131</v>
      </c>
      <c r="F29" s="1307">
        <v>0.24769351829184699</v>
      </c>
      <c r="G29" s="1307"/>
      <c r="H29" s="1307"/>
      <c r="N29" s="521"/>
      <c r="O29" s="521"/>
      <c r="P29" s="521"/>
      <c r="R29" s="1759"/>
      <c r="S29" s="1759"/>
      <c r="T29" s="1759"/>
    </row>
    <row r="30" spans="1:20" x14ac:dyDescent="0.25">
      <c r="A30" s="1758" t="s">
        <v>2347</v>
      </c>
      <c r="B30" s="1753">
        <v>0.35146996670611202</v>
      </c>
      <c r="C30" s="1753">
        <v>0.33148494148808799</v>
      </c>
      <c r="D30" s="1307">
        <v>0.314872213161487</v>
      </c>
      <c r="E30" s="1307">
        <v>0.30267878767133699</v>
      </c>
      <c r="F30" s="1307">
        <v>0.28942023838796199</v>
      </c>
      <c r="G30" s="1307"/>
      <c r="H30" s="1307"/>
      <c r="N30" s="521"/>
      <c r="O30" s="521"/>
      <c r="P30" s="521"/>
      <c r="R30" s="1759"/>
      <c r="S30" s="1759"/>
      <c r="T30" s="1759"/>
    </row>
    <row r="31" spans="1:20" x14ac:dyDescent="0.25">
      <c r="A31" s="1758" t="s">
        <v>2348</v>
      </c>
      <c r="B31" s="1753">
        <v>0.40120121310152801</v>
      </c>
      <c r="C31" s="1753">
        <v>0.37798169194950099</v>
      </c>
      <c r="D31" s="1307">
        <v>0.358656415264693</v>
      </c>
      <c r="E31" s="1307">
        <v>0.34440550776745299</v>
      </c>
      <c r="F31" s="1307">
        <v>0.328791598955469</v>
      </c>
      <c r="G31" s="1307"/>
      <c r="H31" s="1307"/>
      <c r="N31" s="521"/>
      <c r="O31" s="521"/>
      <c r="P31" s="521"/>
      <c r="R31" s="1759"/>
      <c r="S31" s="1759"/>
      <c r="T31" s="1759"/>
    </row>
    <row r="32" spans="1:20" x14ac:dyDescent="0.25">
      <c r="A32" s="1758" t="s">
        <v>2349</v>
      </c>
      <c r="B32" s="1753">
        <v>0.447697963562941</v>
      </c>
      <c r="C32" s="1753">
        <v>0.42176589405270698</v>
      </c>
      <c r="D32" s="1307">
        <v>0.40038313536080899</v>
      </c>
      <c r="E32" s="1307">
        <v>0.383776868334959</v>
      </c>
      <c r="F32" s="1307">
        <v>0.36644890416021098</v>
      </c>
      <c r="G32" s="1307"/>
      <c r="H32" s="1307"/>
      <c r="N32" s="521"/>
      <c r="O32" s="521"/>
      <c r="P32" s="521"/>
      <c r="R32" s="1759"/>
      <c r="S32" s="1759"/>
      <c r="T32" s="1759"/>
    </row>
    <row r="33" spans="1:20" x14ac:dyDescent="0.25">
      <c r="A33" s="1758" t="s">
        <v>2350</v>
      </c>
      <c r="B33" s="1753">
        <v>0.491482165666148</v>
      </c>
      <c r="C33" s="1753">
        <v>0.46349261414882298</v>
      </c>
      <c r="D33" s="1307">
        <v>0.439754495928316</v>
      </c>
      <c r="E33" s="1307">
        <v>0.42143417353970197</v>
      </c>
      <c r="F33" s="1307">
        <v>0.40245079645492099</v>
      </c>
      <c r="G33" s="1307"/>
      <c r="H33" s="1307"/>
      <c r="N33" s="521"/>
      <c r="O33" s="521"/>
      <c r="P33" s="521"/>
      <c r="R33" s="1759"/>
      <c r="S33" s="1759"/>
      <c r="T33" s="1759"/>
    </row>
    <row r="34" spans="1:20" x14ac:dyDescent="0.25">
      <c r="A34" s="1758" t="s">
        <v>2351</v>
      </c>
      <c r="B34" s="1753">
        <v>6.6098903215431201E-2</v>
      </c>
      <c r="C34" s="1753">
        <v>6.185560847410744E-2</v>
      </c>
      <c r="D34" s="1307">
        <v>5.5872641343812285E-2</v>
      </c>
      <c r="E34" s="1307">
        <v>4.9403089974068823E-2</v>
      </c>
      <c r="F34" s="1307">
        <v>4.8594385516091347E-2</v>
      </c>
      <c r="G34" s="1307"/>
      <c r="H34" s="1307"/>
      <c r="N34" s="521"/>
      <c r="O34" s="521"/>
      <c r="P34" s="521"/>
      <c r="R34" s="1759"/>
      <c r="S34" s="1759"/>
      <c r="T34" s="1759"/>
    </row>
    <row r="35" spans="1:20" x14ac:dyDescent="0.25">
      <c r="A35" s="1758" t="s">
        <v>2352</v>
      </c>
      <c r="B35" s="1753">
        <v>0.50106019485349695</v>
      </c>
      <c r="C35" s="1753">
        <v>0.47184990651739783</v>
      </c>
      <c r="D35" s="1307">
        <v>0.44478369094442571</v>
      </c>
      <c r="E35" s="1307">
        <v>0.42218873608745633</v>
      </c>
      <c r="F35" s="1307">
        <v>0.4046025893104408</v>
      </c>
      <c r="G35" s="1307"/>
      <c r="H35" s="1307"/>
      <c r="N35" s="521"/>
      <c r="O35" s="521"/>
      <c r="P35" s="521"/>
      <c r="R35" s="1759"/>
      <c r="S35" s="1759"/>
      <c r="T35" s="1759"/>
    </row>
    <row r="36" spans="1:20" x14ac:dyDescent="0.25">
      <c r="A36" s="1758" t="s">
        <v>2353</v>
      </c>
      <c r="B36" s="1753">
        <v>0.53794880973282921</v>
      </c>
      <c r="C36" s="1753">
        <v>0.50663929941853325</v>
      </c>
      <c r="D36" s="1307">
        <v>0.47806137743126853</v>
      </c>
      <c r="E36" s="1307">
        <v>0.45400567928450963</v>
      </c>
      <c r="F36" s="1307">
        <v>0.43480545254789443</v>
      </c>
      <c r="G36" s="1307"/>
      <c r="H36" s="1307"/>
      <c r="N36" s="521"/>
      <c r="O36" s="521"/>
      <c r="P36" s="521"/>
      <c r="R36" s="1759"/>
      <c r="S36" s="1759"/>
      <c r="T36" s="1759"/>
    </row>
    <row r="37" spans="1:20" x14ac:dyDescent="0.25">
      <c r="A37" s="1758" t="s">
        <v>2354</v>
      </c>
      <c r="B37" s="1753">
        <v>0.57273820263396447</v>
      </c>
      <c r="C37" s="1753">
        <v>0.53991698590537596</v>
      </c>
      <c r="D37" s="1307">
        <v>0.50987832062832195</v>
      </c>
      <c r="E37" s="1307">
        <v>0.48420854252196316</v>
      </c>
      <c r="F37" s="1307">
        <v>0.46368247758711628</v>
      </c>
      <c r="G37" s="1307"/>
      <c r="H37" s="1307"/>
      <c r="N37" s="521"/>
      <c r="O37" s="521"/>
      <c r="P37" s="521"/>
      <c r="R37" s="1759"/>
      <c r="S37" s="1759"/>
      <c r="T37" s="1759"/>
    </row>
    <row r="38" spans="1:20" x14ac:dyDescent="0.25">
      <c r="A38" s="1758" t="s">
        <v>2355</v>
      </c>
      <c r="B38" s="1753">
        <v>0.60601588912080717</v>
      </c>
      <c r="C38" s="1753">
        <v>0.57173392910242937</v>
      </c>
      <c r="D38" s="1307">
        <v>0.54008118386577553</v>
      </c>
      <c r="E38" s="1307">
        <v>0.51308556756118517</v>
      </c>
      <c r="F38" s="1307">
        <v>0.49129189291290604</v>
      </c>
      <c r="G38" s="1307"/>
      <c r="H38" s="1307"/>
      <c r="N38" s="521"/>
      <c r="O38" s="521"/>
      <c r="P38" s="521"/>
      <c r="R38" s="1759"/>
      <c r="S38" s="1759"/>
      <c r="T38" s="1759"/>
    </row>
    <row r="39" spans="1:20" x14ac:dyDescent="0.25">
      <c r="A39" s="1758" t="s">
        <v>2356</v>
      </c>
      <c r="B39" s="1753">
        <v>0.6378328323178607</v>
      </c>
      <c r="C39" s="1753">
        <v>0.60193679233988284</v>
      </c>
      <c r="D39" s="1307">
        <v>0.56895820890499738</v>
      </c>
      <c r="E39" s="1307">
        <v>0.54069498288697482</v>
      </c>
      <c r="F39" s="1307">
        <v>0.51768936849844716</v>
      </c>
      <c r="G39" s="1307"/>
      <c r="H39" s="1307"/>
      <c r="N39" s="521"/>
      <c r="O39" s="521"/>
      <c r="P39" s="521"/>
      <c r="R39" s="1759"/>
      <c r="S39" s="1759"/>
      <c r="T39" s="1759"/>
    </row>
    <row r="40" spans="1:20" x14ac:dyDescent="0.25">
      <c r="A40" s="1758" t="s">
        <v>2357</v>
      </c>
      <c r="B40" s="1753">
        <v>0.66803569555531417</v>
      </c>
      <c r="C40" s="1753">
        <v>0.6308138173791048</v>
      </c>
      <c r="D40" s="1307">
        <v>0.59656762423078713</v>
      </c>
      <c r="E40" s="1307">
        <v>0.5670924584725161</v>
      </c>
      <c r="F40" s="1307">
        <v>0.54292812827888848</v>
      </c>
      <c r="G40" s="1307"/>
      <c r="H40" s="1307"/>
      <c r="N40" s="521"/>
      <c r="O40" s="521"/>
      <c r="P40" s="521"/>
      <c r="R40" s="1759"/>
      <c r="S40" s="1759"/>
      <c r="T40" s="1759"/>
    </row>
    <row r="41" spans="1:20" x14ac:dyDescent="0.25">
      <c r="A41" s="1758" t="s">
        <v>2358</v>
      </c>
      <c r="B41" s="1753">
        <v>0.69691272059453602</v>
      </c>
      <c r="C41" s="1753">
        <v>0.65842323270489456</v>
      </c>
      <c r="D41" s="1307">
        <v>0.62296509981632842</v>
      </c>
      <c r="E41" s="1307">
        <v>0.59233121825295698</v>
      </c>
      <c r="F41" s="1307">
        <v>0.56705905767807019</v>
      </c>
      <c r="G41" s="1307"/>
      <c r="H41" s="1307"/>
      <c r="N41" s="521"/>
      <c r="O41" s="521"/>
      <c r="P41" s="521"/>
      <c r="R41" s="1759"/>
      <c r="S41" s="1759"/>
      <c r="T41" s="1759"/>
    </row>
    <row r="42" spans="1:20" x14ac:dyDescent="0.25">
      <c r="A42" s="1758" t="s">
        <v>2359</v>
      </c>
      <c r="B42" s="1753">
        <v>0.72452213592032566</v>
      </c>
      <c r="C42" s="1753">
        <v>0.68482070829043573</v>
      </c>
      <c r="D42" s="1307">
        <v>0.64820385959676952</v>
      </c>
      <c r="E42" s="1307">
        <v>0.61646214765213891</v>
      </c>
      <c r="F42" s="1307">
        <v>0.59017637551474922</v>
      </c>
      <c r="G42" s="1307"/>
      <c r="H42" s="1307"/>
      <c r="N42" s="521"/>
      <c r="O42" s="521"/>
      <c r="P42" s="521"/>
      <c r="R42" s="1759"/>
      <c r="S42" s="1759"/>
      <c r="T42" s="1759"/>
    </row>
    <row r="43" spans="1:20" x14ac:dyDescent="0.25">
      <c r="A43" s="1758" t="s">
        <v>2360</v>
      </c>
      <c r="B43" s="1753">
        <v>0.75091961150586695</v>
      </c>
      <c r="C43" s="1753">
        <v>0.71005946807087694</v>
      </c>
      <c r="D43" s="1307">
        <v>0.67233478899595123</v>
      </c>
      <c r="E43" s="1307">
        <v>0.63957946548881817</v>
      </c>
      <c r="F43" s="1307">
        <v>0.61227895246696207</v>
      </c>
      <c r="G43" s="1307"/>
      <c r="H43" s="1307"/>
      <c r="N43" s="521"/>
      <c r="O43" s="521"/>
      <c r="P43" s="521"/>
      <c r="R43" s="1759"/>
      <c r="S43" s="1759"/>
      <c r="T43" s="1759"/>
    </row>
    <row r="44" spans="1:20" x14ac:dyDescent="0.25">
      <c r="A44" s="1758" t="s">
        <v>2361</v>
      </c>
      <c r="B44" s="1753">
        <v>0.77615837128630794</v>
      </c>
      <c r="C44" s="1753">
        <v>0.73419039747005888</v>
      </c>
      <c r="D44" s="1307">
        <v>0.69545210683263037</v>
      </c>
      <c r="E44" s="1307">
        <v>0.66168204244103079</v>
      </c>
      <c r="F44" s="1307">
        <v>0.63341135158144957</v>
      </c>
      <c r="G44" s="1307"/>
      <c r="H44" s="1307"/>
      <c r="N44" s="521"/>
      <c r="O44" s="521"/>
      <c r="P44" s="521"/>
      <c r="R44" s="1759"/>
      <c r="S44" s="1759"/>
      <c r="T44" s="1759"/>
    </row>
    <row r="45" spans="1:20" x14ac:dyDescent="0.25">
      <c r="A45" s="1758" t="s">
        <v>2362</v>
      </c>
      <c r="B45" s="1753">
        <v>0.12795451168953864</v>
      </c>
      <c r="C45" s="1753">
        <v>0.11772824981791973</v>
      </c>
      <c r="D45" s="1307">
        <v>0.10527573131788111</v>
      </c>
      <c r="E45" s="1307">
        <v>9.7997475490160177E-2</v>
      </c>
      <c r="F45" s="1307">
        <v>9.6948009509917082E-2</v>
      </c>
      <c r="G45" s="1307"/>
      <c r="H45" s="1307"/>
      <c r="N45" s="521"/>
      <c r="O45" s="521"/>
      <c r="P45" s="521"/>
      <c r="R45" s="1759"/>
      <c r="S45" s="1759"/>
      <c r="T45" s="1759"/>
    </row>
    <row r="46" spans="1:20" x14ac:dyDescent="0.25">
      <c r="A46" s="1758" t="s">
        <v>2363</v>
      </c>
      <c r="B46" s="1753">
        <v>0.80028930068548987</v>
      </c>
      <c r="C46" s="1753">
        <v>0.75730771530673802</v>
      </c>
      <c r="D46" s="1307">
        <v>0.71755468378484288</v>
      </c>
      <c r="E46" s="1307">
        <v>0.6828144415555184</v>
      </c>
      <c r="F46" s="1307">
        <v>0.6536161779576567</v>
      </c>
      <c r="G46" s="1307"/>
      <c r="H46" s="1307"/>
      <c r="N46" s="521"/>
      <c r="O46" s="521"/>
      <c r="P46" s="521"/>
      <c r="R46" s="1759"/>
      <c r="S46" s="1759"/>
      <c r="T46" s="1759"/>
    </row>
    <row r="47" spans="1:20" x14ac:dyDescent="0.25">
      <c r="A47" s="1758" t="s">
        <v>2364</v>
      </c>
      <c r="B47" s="1753">
        <v>0.82340661852216901</v>
      </c>
      <c r="C47" s="1753">
        <v>0.77941029225895053</v>
      </c>
      <c r="D47" s="1307">
        <v>0.73868708289933094</v>
      </c>
      <c r="E47" s="1307">
        <v>0.70301926793172542</v>
      </c>
      <c r="F47" s="1307">
        <v>0.67293416481495794</v>
      </c>
      <c r="G47" s="1307"/>
      <c r="H47" s="1307"/>
      <c r="N47" s="521"/>
      <c r="O47" s="521"/>
      <c r="P47" s="521"/>
      <c r="R47" s="1759"/>
      <c r="S47" s="1759"/>
      <c r="T47" s="1759"/>
    </row>
    <row r="48" spans="1:20" x14ac:dyDescent="0.25">
      <c r="A48" s="1758" t="s">
        <v>2365</v>
      </c>
      <c r="B48" s="1753">
        <v>0.84550919547438164</v>
      </c>
      <c r="C48" s="1753">
        <v>0.80054269137343814</v>
      </c>
      <c r="D48" s="1307">
        <v>0.75889190927553762</v>
      </c>
      <c r="E48" s="1307">
        <v>0.72233725478902699</v>
      </c>
      <c r="F48" s="1307">
        <v>0.69101201139674873</v>
      </c>
      <c r="G48" s="1307"/>
      <c r="H48" s="1307"/>
      <c r="N48" s="521"/>
      <c r="O48" s="521"/>
      <c r="P48" s="521"/>
      <c r="R48" s="1759"/>
      <c r="S48" s="1759"/>
      <c r="T48" s="1759"/>
    </row>
    <row r="49" spans="1:20" x14ac:dyDescent="0.25">
      <c r="A49" s="1758" t="s">
        <v>2366</v>
      </c>
      <c r="B49" s="1753">
        <v>0.86664159458886958</v>
      </c>
      <c r="C49" s="1753">
        <v>0.82074751774964538</v>
      </c>
      <c r="D49" s="1307">
        <v>0.7782098961328392</v>
      </c>
      <c r="E49" s="1307">
        <v>0.74041510137081756</v>
      </c>
      <c r="F49" s="1307">
        <v>0.7079293299273407</v>
      </c>
      <c r="G49" s="1307"/>
      <c r="H49" s="1307"/>
      <c r="N49" s="521"/>
      <c r="O49" s="521"/>
      <c r="P49" s="521"/>
      <c r="R49" s="1759"/>
      <c r="S49" s="1759"/>
      <c r="T49" s="1759"/>
    </row>
    <row r="50" spans="1:20" x14ac:dyDescent="0.25">
      <c r="A50" s="1758" t="s">
        <v>2367</v>
      </c>
      <c r="B50" s="1753">
        <v>0.88684642096507638</v>
      </c>
      <c r="C50" s="1753">
        <v>0.84006550460694662</v>
      </c>
      <c r="D50" s="1307">
        <v>0.79628774271462999</v>
      </c>
      <c r="E50" s="1307">
        <v>0.75733241990140954</v>
      </c>
      <c r="F50" s="1307">
        <v>0.72376062183319123</v>
      </c>
      <c r="G50" s="1307"/>
      <c r="H50" s="1307"/>
      <c r="N50" s="521"/>
      <c r="O50" s="521"/>
      <c r="P50" s="521"/>
      <c r="R50" s="1759"/>
      <c r="S50" s="1759"/>
      <c r="T50" s="1759"/>
    </row>
    <row r="51" spans="1:20" x14ac:dyDescent="0.25">
      <c r="A51" s="1758" t="s">
        <v>2368</v>
      </c>
      <c r="B51" s="1753">
        <v>0.90616440782237795</v>
      </c>
      <c r="C51" s="1753">
        <v>0.85814335118873741</v>
      </c>
      <c r="D51" s="1307">
        <v>0.81320506124522207</v>
      </c>
      <c r="E51" s="1307">
        <v>0.77316371180726007</v>
      </c>
      <c r="F51" s="1307">
        <v>0.73857560583642068</v>
      </c>
      <c r="G51" s="1307"/>
      <c r="H51" s="1307"/>
      <c r="N51" s="521"/>
      <c r="O51" s="521"/>
      <c r="P51" s="521"/>
      <c r="R51" s="1759"/>
      <c r="S51" s="1759"/>
      <c r="T51" s="1759"/>
    </row>
    <row r="52" spans="1:20" x14ac:dyDescent="0.25">
      <c r="A52" s="1758" t="s">
        <v>2369</v>
      </c>
      <c r="B52" s="1753">
        <v>0.18382715303335095</v>
      </c>
      <c r="C52" s="1753">
        <v>0.16713133979198855</v>
      </c>
      <c r="D52" s="1307">
        <v>0.15387011683397245</v>
      </c>
      <c r="E52" s="1307">
        <v>0.14635109948398586</v>
      </c>
      <c r="F52" s="1307">
        <v>0.14395842214707397</v>
      </c>
      <c r="G52" s="1307"/>
      <c r="H52" s="1307"/>
      <c r="N52" s="521"/>
      <c r="O52" s="521"/>
      <c r="P52" s="521"/>
      <c r="R52" s="1759"/>
      <c r="S52" s="1759"/>
      <c r="T52" s="1759"/>
    </row>
    <row r="53" spans="1:20" x14ac:dyDescent="0.25">
      <c r="A53" s="1758" t="s">
        <v>2370</v>
      </c>
      <c r="B53" s="1753">
        <v>0.23323024300741971</v>
      </c>
      <c r="C53" s="1753">
        <v>0.2157257253080799</v>
      </c>
      <c r="D53" s="1307">
        <v>0.20222374082779818</v>
      </c>
      <c r="E53" s="1307">
        <v>0.19336151212114283</v>
      </c>
      <c r="F53" s="1307">
        <v>0.18798836714955569</v>
      </c>
      <c r="G53" s="1307"/>
      <c r="H53" s="1307"/>
      <c r="N53" s="521"/>
      <c r="O53" s="521"/>
      <c r="P53" s="521"/>
      <c r="R53" s="1759"/>
      <c r="S53" s="1759"/>
      <c r="T53" s="1759"/>
    </row>
    <row r="54" spans="1:20" x14ac:dyDescent="0.25">
      <c r="A54" s="1758" t="s">
        <v>2371</v>
      </c>
      <c r="B54" s="1753">
        <v>0.28182462852351109</v>
      </c>
      <c r="C54" s="1753">
        <v>0.26407934930190557</v>
      </c>
      <c r="D54" s="1307">
        <v>0.24923415346495512</v>
      </c>
      <c r="E54" s="1307">
        <v>0.23739145712362444</v>
      </c>
      <c r="F54" s="1307">
        <v>0.2291198453285635</v>
      </c>
      <c r="G54" s="1307"/>
      <c r="H54" s="1307"/>
      <c r="N54" s="521"/>
      <c r="O54" s="521"/>
      <c r="P54" s="521"/>
      <c r="R54" s="1759"/>
      <c r="S54" s="1759"/>
      <c r="T54" s="1759"/>
    </row>
    <row r="55" spans="1:20" x14ac:dyDescent="0.25">
      <c r="A55" s="1758" t="s">
        <v>2372</v>
      </c>
      <c r="B55" s="1753">
        <v>0.33017825251733685</v>
      </c>
      <c r="C55" s="1753">
        <v>0.31108976193906246</v>
      </c>
      <c r="D55" s="1307">
        <v>0.29326409846743678</v>
      </c>
      <c r="E55" s="1307">
        <v>0.27852293530263234</v>
      </c>
      <c r="F55" s="1307">
        <v>0.26782995184607711</v>
      </c>
      <c r="G55" s="1307"/>
      <c r="H55" s="1307"/>
      <c r="N55" s="521"/>
      <c r="O55" s="521"/>
      <c r="P55" s="521"/>
      <c r="R55" s="1759"/>
      <c r="S55" s="1759"/>
      <c r="T55" s="1759"/>
    </row>
    <row r="56" spans="1:20" x14ac:dyDescent="0.25">
      <c r="A56" s="1758" t="s">
        <v>2373</v>
      </c>
      <c r="B56" s="1753">
        <v>0.37718866515449362</v>
      </c>
      <c r="C56" s="1753">
        <v>0.35511970694154416</v>
      </c>
      <c r="D56" s="1307">
        <v>0.33439557664644465</v>
      </c>
      <c r="E56" s="1307">
        <v>0.31723304182014589</v>
      </c>
      <c r="F56" s="1307">
        <v>0.30471856672540937</v>
      </c>
      <c r="G56" s="1307"/>
      <c r="H56" s="1307"/>
      <c r="N56" s="521"/>
      <c r="O56" s="521"/>
      <c r="P56" s="521"/>
      <c r="R56" s="1759"/>
      <c r="S56" s="1759"/>
      <c r="T56" s="1759"/>
    </row>
    <row r="57" spans="1:20" x14ac:dyDescent="0.25">
      <c r="A57" s="1758" t="s">
        <v>2374</v>
      </c>
      <c r="B57" s="1753">
        <v>0.42121861015697543</v>
      </c>
      <c r="C57" s="1753">
        <v>0.39625118512055213</v>
      </c>
      <c r="D57" s="1307">
        <v>0.3731056831639582</v>
      </c>
      <c r="E57" s="1307">
        <v>0.35412165669947809</v>
      </c>
      <c r="F57" s="1307">
        <v>0.33950795962654468</v>
      </c>
      <c r="G57" s="1307"/>
      <c r="H57" s="1307"/>
      <c r="N57" s="521"/>
      <c r="O57" s="521"/>
      <c r="P57" s="521"/>
      <c r="R57" s="1759"/>
      <c r="S57" s="1759"/>
      <c r="T57" s="1759"/>
    </row>
    <row r="58" spans="1:20" x14ac:dyDescent="0.25">
      <c r="A58" s="1758" t="s">
        <v>2375</v>
      </c>
      <c r="B58" s="1753">
        <v>0.46235008833598312</v>
      </c>
      <c r="C58" s="1753">
        <v>0.43496129163806563</v>
      </c>
      <c r="D58" s="1307">
        <v>0.40999429804329035</v>
      </c>
      <c r="E58" s="1307">
        <v>0.38891104960061351</v>
      </c>
      <c r="F58" s="1307">
        <v>0.37278564611338744</v>
      </c>
      <c r="G58" s="1307"/>
      <c r="H58" s="1307"/>
      <c r="N58" s="521"/>
      <c r="O58" s="521"/>
      <c r="P58" s="521"/>
      <c r="R58" s="1759"/>
      <c r="S58" s="1759"/>
      <c r="T58" s="1759"/>
    </row>
    <row r="59" spans="1:20" x14ac:dyDescent="0.25">
      <c r="A59" s="1758" t="s">
        <v>2376</v>
      </c>
      <c r="B59" s="1753">
        <v>0.11606278234226</v>
      </c>
      <c r="C59" s="1753">
        <v>0.107131110447286</v>
      </c>
      <c r="D59" s="1307">
        <v>9.7679139909727805E-2</v>
      </c>
      <c r="E59" s="1307">
        <v>9.4802090584990201E-2</v>
      </c>
      <c r="F59" s="1307">
        <v>9.2763688218569895E-2</v>
      </c>
      <c r="G59" s="1307"/>
      <c r="H59" s="1307"/>
      <c r="N59" s="521"/>
      <c r="O59" s="521"/>
      <c r="P59" s="521"/>
      <c r="R59" s="1759"/>
      <c r="S59" s="1759"/>
      <c r="T59" s="1759"/>
    </row>
    <row r="60" spans="1:20" x14ac:dyDescent="0.25">
      <c r="A60" s="1758" t="s">
        <v>2377</v>
      </c>
      <c r="B60" s="1753">
        <v>0.90882053685083897</v>
      </c>
      <c r="C60" s="1753">
        <v>0.86073959302135605</v>
      </c>
      <c r="D60" s="1307">
        <v>0.81858169645108603</v>
      </c>
      <c r="E60" s="1307">
        <v>0.782982990975297</v>
      </c>
      <c r="F60" s="1307">
        <v>0.74724084104877897</v>
      </c>
      <c r="G60" s="1307"/>
      <c r="H60" s="1307"/>
      <c r="N60" s="521"/>
      <c r="O60" s="521"/>
      <c r="P60" s="521"/>
      <c r="R60" s="1759"/>
      <c r="S60" s="1759"/>
      <c r="T60" s="1759"/>
    </row>
    <row r="61" spans="1:20" x14ac:dyDescent="0.25">
      <c r="A61" s="1758" t="s">
        <v>2378</v>
      </c>
      <c r="B61" s="1753">
        <v>0.97680237536361703</v>
      </c>
      <c r="C61" s="1753">
        <v>0.92571280689837199</v>
      </c>
      <c r="D61" s="1307">
        <v>0.88066213088502499</v>
      </c>
      <c r="E61" s="1307">
        <v>0.84204293163376898</v>
      </c>
      <c r="F61" s="1307">
        <v>0.80367111256799695</v>
      </c>
      <c r="G61" s="1307"/>
      <c r="H61" s="1307"/>
      <c r="N61" s="521"/>
      <c r="O61" s="521"/>
      <c r="P61" s="521"/>
      <c r="R61" s="1759"/>
      <c r="S61" s="1759"/>
      <c r="T61" s="1759"/>
    </row>
    <row r="62" spans="1:20" x14ac:dyDescent="0.25">
      <c r="A62" s="1758" t="s">
        <v>2379</v>
      </c>
      <c r="B62" s="1753">
        <v>1.04177558924063</v>
      </c>
      <c r="C62" s="1753">
        <v>0.98779324133231095</v>
      </c>
      <c r="D62" s="1307">
        <v>0.93972207154349696</v>
      </c>
      <c r="E62" s="1307">
        <v>0.89847320315298695</v>
      </c>
      <c r="F62" s="1307">
        <v>0.85758886951190805</v>
      </c>
      <c r="G62" s="1307"/>
      <c r="H62" s="1307"/>
      <c r="N62" s="521"/>
      <c r="O62" s="521"/>
      <c r="P62" s="521"/>
      <c r="R62" s="1759"/>
      <c r="S62" s="1759"/>
      <c r="T62" s="1759"/>
    </row>
    <row r="63" spans="1:20" x14ac:dyDescent="0.25">
      <c r="A63" s="1758" t="s">
        <v>2380</v>
      </c>
      <c r="B63" s="1753">
        <v>1.10385602367457</v>
      </c>
      <c r="C63" s="1753">
        <v>1.04685318199078</v>
      </c>
      <c r="D63" s="1307">
        <v>0.99615234306271405</v>
      </c>
      <c r="E63" s="1307">
        <v>0.95239096009689805</v>
      </c>
      <c r="F63" s="1307">
        <v>0.90910604409981599</v>
      </c>
      <c r="G63" s="1307"/>
      <c r="H63" s="1307"/>
      <c r="N63" s="521"/>
      <c r="O63" s="521"/>
      <c r="P63" s="521"/>
      <c r="R63" s="1759"/>
      <c r="S63" s="1759"/>
      <c r="T63" s="1759"/>
    </row>
    <row r="64" spans="1:20" x14ac:dyDescent="0.25">
      <c r="A64" s="1758" t="s">
        <v>2381</v>
      </c>
      <c r="B64" s="1753">
        <v>1.16291596433304</v>
      </c>
      <c r="C64" s="1753">
        <v>1.10328345351</v>
      </c>
      <c r="D64" s="1307">
        <v>1.0500701000066299</v>
      </c>
      <c r="E64" s="1307">
        <v>1.00390813468481</v>
      </c>
      <c r="F64" s="1307">
        <v>0.95832957913239702</v>
      </c>
      <c r="G64" s="1307"/>
      <c r="H64" s="1307"/>
      <c r="N64" s="521"/>
      <c r="O64" s="521"/>
      <c r="P64" s="521"/>
      <c r="R64" s="1759"/>
      <c r="S64" s="1759"/>
      <c r="T64" s="1759"/>
    </row>
    <row r="65" spans="1:20" x14ac:dyDescent="0.25">
      <c r="A65" s="1758" t="s">
        <v>2382</v>
      </c>
      <c r="B65" s="1753">
        <v>1.21934623585226</v>
      </c>
      <c r="C65" s="1753">
        <v>1.15720121045391</v>
      </c>
      <c r="D65" s="1307">
        <v>1.1015872745945301</v>
      </c>
      <c r="E65" s="1307">
        <v>1.05313166971739</v>
      </c>
      <c r="F65" s="1307">
        <v>1.0053616505229701</v>
      </c>
      <c r="G65" s="1307"/>
      <c r="H65" s="1307"/>
      <c r="N65" s="521"/>
      <c r="O65" s="521"/>
      <c r="P65" s="521"/>
      <c r="R65" s="1759"/>
      <c r="S65" s="1759"/>
      <c r="T65" s="1759"/>
    </row>
    <row r="66" spans="1:20" x14ac:dyDescent="0.25">
      <c r="A66" s="1758" t="s">
        <v>2383</v>
      </c>
      <c r="B66" s="1753">
        <v>1.27326399279617</v>
      </c>
      <c r="C66" s="1753">
        <v>1.2087183850418199</v>
      </c>
      <c r="D66" s="1307">
        <v>1.1508108096271199</v>
      </c>
      <c r="E66" s="1307">
        <v>1.1001637411079599</v>
      </c>
      <c r="F66" s="1307">
        <v>1.05048743296748</v>
      </c>
      <c r="G66" s="1307"/>
      <c r="H66" s="1307"/>
      <c r="N66" s="521"/>
      <c r="O66" s="521"/>
      <c r="P66" s="521"/>
      <c r="R66" s="1759"/>
      <c r="S66" s="1759"/>
      <c r="T66" s="1759"/>
    </row>
    <row r="67" spans="1:20" x14ac:dyDescent="0.25">
      <c r="A67" s="1758" t="s">
        <v>2384</v>
      </c>
      <c r="B67" s="1753">
        <v>1.3247811673840799</v>
      </c>
      <c r="C67" s="1753">
        <v>1.2579419200744</v>
      </c>
      <c r="D67" s="1307">
        <v>1.19784288101769</v>
      </c>
      <c r="E67" s="1307">
        <v>1.14528952355247</v>
      </c>
      <c r="F67" s="1307">
        <v>1.09360411392371</v>
      </c>
      <c r="G67" s="1307"/>
      <c r="H67" s="1307"/>
      <c r="N67" s="521"/>
      <c r="O67" s="521"/>
      <c r="P67" s="521"/>
      <c r="R67" s="1759"/>
      <c r="S67" s="1759"/>
      <c r="T67" s="1759"/>
    </row>
    <row r="68" spans="1:20" x14ac:dyDescent="0.25">
      <c r="A68" s="1758" t="s">
        <v>2385</v>
      </c>
      <c r="B68" s="1753">
        <v>1.37400470241666</v>
      </c>
      <c r="C68" s="1753">
        <v>1.3049739914649701</v>
      </c>
      <c r="D68" s="1307">
        <v>1.2429686634621999</v>
      </c>
      <c r="E68" s="1307">
        <v>1.1884062045087</v>
      </c>
      <c r="F68" s="1307">
        <v>1.1348011946632</v>
      </c>
      <c r="G68" s="1307"/>
      <c r="H68" s="1307"/>
      <c r="N68" s="521"/>
      <c r="O68" s="521"/>
      <c r="P68" s="521"/>
      <c r="R68" s="1759"/>
      <c r="S68" s="1759"/>
      <c r="T68" s="1759"/>
    </row>
    <row r="69" spans="1:20" x14ac:dyDescent="0.25">
      <c r="A69" s="1758" t="s">
        <v>2386</v>
      </c>
      <c r="B69" s="1753">
        <v>1.42103677380723</v>
      </c>
      <c r="C69" s="1753">
        <v>1.35009977390949</v>
      </c>
      <c r="D69" s="1307">
        <v>1.2860853444184299</v>
      </c>
      <c r="E69" s="1307">
        <v>1.22960328524819</v>
      </c>
      <c r="F69" s="1307">
        <v>1.17416418708135</v>
      </c>
      <c r="G69" s="1307"/>
      <c r="H69" s="1307"/>
      <c r="N69" s="521"/>
      <c r="O69" s="521"/>
      <c r="P69" s="521"/>
      <c r="R69" s="1759"/>
      <c r="S69" s="1759"/>
      <c r="T69" s="1759"/>
    </row>
    <row r="70" spans="1:20" x14ac:dyDescent="0.25">
      <c r="A70" s="1758" t="s">
        <v>2387</v>
      </c>
      <c r="B70" s="1753">
        <v>0.22319389278954599</v>
      </c>
      <c r="C70" s="1753">
        <v>0.204810250357014</v>
      </c>
      <c r="D70" s="1307">
        <v>0.19248123049471799</v>
      </c>
      <c r="E70" s="1307">
        <v>0.18756577880356001</v>
      </c>
      <c r="F70" s="1307">
        <v>0.18227041250044301</v>
      </c>
      <c r="G70" s="1307"/>
      <c r="H70" s="1307"/>
      <c r="N70" s="521"/>
      <c r="O70" s="521"/>
      <c r="P70" s="521"/>
      <c r="R70" s="1759"/>
      <c r="S70" s="1759"/>
      <c r="T70" s="1759"/>
    </row>
    <row r="71" spans="1:20" x14ac:dyDescent="0.25">
      <c r="A71" s="1758" t="s">
        <v>2388</v>
      </c>
      <c r="B71" s="1753">
        <v>1.46616255625175</v>
      </c>
      <c r="C71" s="1753">
        <v>1.39321645486572</v>
      </c>
      <c r="D71" s="1307">
        <v>1.3272824251579201</v>
      </c>
      <c r="E71" s="1307">
        <v>1.26896627766634</v>
      </c>
      <c r="F71" s="1307">
        <v>1.2117747916184101</v>
      </c>
      <c r="G71" s="1307"/>
      <c r="H71" s="1307"/>
      <c r="N71" s="521"/>
      <c r="O71" s="521"/>
      <c r="P71" s="521"/>
      <c r="R71" s="1759"/>
      <c r="S71" s="1759"/>
      <c r="T71" s="1759"/>
    </row>
    <row r="72" spans="1:20" x14ac:dyDescent="0.25">
      <c r="A72" s="1758" t="s">
        <v>2389</v>
      </c>
      <c r="B72" s="1753">
        <v>1.50927923720798</v>
      </c>
      <c r="C72" s="1753">
        <v>1.4344135356052099</v>
      </c>
      <c r="D72" s="1307">
        <v>1.3666454175760701</v>
      </c>
      <c r="E72" s="1307">
        <v>1.3065768822034001</v>
      </c>
      <c r="F72" s="1307">
        <v>1.2477110672409999</v>
      </c>
      <c r="G72" s="1307"/>
      <c r="H72" s="1307"/>
      <c r="N72" s="521"/>
      <c r="O72" s="521"/>
      <c r="P72" s="521"/>
      <c r="R72" s="1759"/>
      <c r="S72" s="1759"/>
      <c r="T72" s="1759"/>
    </row>
    <row r="73" spans="1:20" x14ac:dyDescent="0.25">
      <c r="A73" s="1758" t="s">
        <v>2390</v>
      </c>
      <c r="B73" s="1753">
        <v>1.5504763179474701</v>
      </c>
      <c r="C73" s="1753">
        <v>1.4737765280233499</v>
      </c>
      <c r="D73" s="1307">
        <v>1.4042560221131299</v>
      </c>
      <c r="E73" s="1307">
        <v>1.3425131578259899</v>
      </c>
      <c r="F73" s="1307">
        <v>1.2813403725213499</v>
      </c>
      <c r="G73" s="1307"/>
      <c r="H73" s="1307"/>
      <c r="N73" s="521"/>
      <c r="O73" s="521"/>
      <c r="P73" s="521"/>
      <c r="R73" s="1759"/>
      <c r="S73" s="1759"/>
      <c r="T73" s="1759"/>
    </row>
    <row r="74" spans="1:20" x14ac:dyDescent="0.25">
      <c r="A74" s="1758" t="s">
        <v>2391</v>
      </c>
      <c r="B74" s="1753">
        <v>1.5898393103656101</v>
      </c>
      <c r="C74" s="1753">
        <v>1.51138713256042</v>
      </c>
      <c r="D74" s="1307">
        <v>1.44019229773572</v>
      </c>
      <c r="E74" s="1307">
        <v>1.3761424631063399</v>
      </c>
      <c r="F74" s="1307">
        <v>1.3128108060608901</v>
      </c>
      <c r="G74" s="1307"/>
      <c r="H74" s="1307"/>
      <c r="N74" s="521"/>
      <c r="O74" s="521"/>
      <c r="P74" s="521"/>
      <c r="R74" s="1759"/>
      <c r="S74" s="1759"/>
      <c r="T74" s="1759"/>
    </row>
    <row r="75" spans="1:20" x14ac:dyDescent="0.25">
      <c r="A75" s="1758" t="s">
        <v>2392</v>
      </c>
      <c r="B75" s="1753">
        <v>1.62744991490268</v>
      </c>
      <c r="C75" s="1753">
        <v>1.5473234081830001</v>
      </c>
      <c r="D75" s="1307">
        <v>1.47382160301607</v>
      </c>
      <c r="E75" s="1307">
        <v>1.4076128966458801</v>
      </c>
      <c r="F75" s="1307">
        <v>1.34226095910182</v>
      </c>
      <c r="G75" s="1307"/>
      <c r="H75" s="1307"/>
      <c r="N75" s="521"/>
      <c r="O75" s="521"/>
      <c r="P75" s="521"/>
      <c r="R75" s="1759"/>
      <c r="S75" s="1759"/>
      <c r="T75" s="1759"/>
    </row>
    <row r="76" spans="1:20" x14ac:dyDescent="0.25">
      <c r="A76" s="1758" t="s">
        <v>2393</v>
      </c>
      <c r="B76" s="1753">
        <v>1.66338619052526</v>
      </c>
      <c r="C76" s="1753">
        <v>1.5809527134633501</v>
      </c>
      <c r="D76" s="1307">
        <v>1.5052920365556</v>
      </c>
      <c r="E76" s="1307">
        <v>1.43706304968681</v>
      </c>
      <c r="F76" s="1307">
        <v>1.3698205258629299</v>
      </c>
      <c r="G76" s="1307"/>
      <c r="H76" s="1307"/>
      <c r="N76" s="521"/>
      <c r="O76" s="521"/>
      <c r="P76" s="521"/>
      <c r="R76" s="1759"/>
      <c r="S76" s="1759"/>
      <c r="T76" s="1759"/>
    </row>
    <row r="77" spans="1:20" x14ac:dyDescent="0.25">
      <c r="A77" s="1758" t="s">
        <v>2394</v>
      </c>
      <c r="B77" s="1753">
        <v>1.6970154958056101</v>
      </c>
      <c r="C77" s="1753">
        <v>1.61242314700289</v>
      </c>
      <c r="D77" s="1307">
        <v>1.5347421895965301</v>
      </c>
      <c r="E77" s="1307">
        <v>1.4646226164479199</v>
      </c>
      <c r="F77" s="1307">
        <v>1.39561087469423</v>
      </c>
      <c r="G77" s="1307"/>
      <c r="H77" s="1307"/>
      <c r="N77" s="521"/>
      <c r="O77" s="521"/>
      <c r="P77" s="521"/>
      <c r="R77" s="1759"/>
      <c r="S77" s="1759"/>
      <c r="T77" s="1759"/>
    </row>
    <row r="78" spans="1:20" x14ac:dyDescent="0.25">
      <c r="A78" s="1758" t="s">
        <v>2395</v>
      </c>
      <c r="B78" s="1753">
        <v>1.72848592934515</v>
      </c>
      <c r="C78" s="1753">
        <v>1.6418733000438199</v>
      </c>
      <c r="D78" s="1307">
        <v>1.56230175635765</v>
      </c>
      <c r="E78" s="1307">
        <v>1.49041296527922</v>
      </c>
      <c r="F78" s="1307">
        <v>1.4197455825655401</v>
      </c>
      <c r="G78" s="1307"/>
      <c r="H78" s="1307"/>
      <c r="N78" s="521"/>
      <c r="O78" s="521"/>
      <c r="P78" s="521"/>
      <c r="R78" s="1759"/>
      <c r="S78" s="1759"/>
      <c r="T78" s="1759"/>
    </row>
    <row r="79" spans="1:20" x14ac:dyDescent="0.25">
      <c r="A79" s="1758" t="s">
        <v>2396</v>
      </c>
      <c r="B79" s="1753">
        <v>1.7579360823860799</v>
      </c>
      <c r="C79" s="1753">
        <v>1.6694328668049401</v>
      </c>
      <c r="D79" s="1307">
        <v>1.5880921051889401</v>
      </c>
      <c r="E79" s="1307">
        <v>1.5145476731505301</v>
      </c>
      <c r="F79" s="1307">
        <v>1.4423309352431799</v>
      </c>
      <c r="G79" s="1307"/>
      <c r="H79" s="1307"/>
      <c r="N79" s="521"/>
      <c r="O79" s="521"/>
      <c r="P79" s="521"/>
      <c r="R79" s="1759"/>
      <c r="S79" s="1759"/>
      <c r="T79" s="1759"/>
    </row>
    <row r="80" spans="1:20" x14ac:dyDescent="0.25">
      <c r="A80" s="1758" t="s">
        <v>2397</v>
      </c>
      <c r="B80" s="1753">
        <v>1.7854956491472</v>
      </c>
      <c r="C80" s="1753">
        <v>1.6952232156362299</v>
      </c>
      <c r="D80" s="1307">
        <v>1.6122268130602599</v>
      </c>
      <c r="E80" s="1307">
        <v>1.5371330258281699</v>
      </c>
      <c r="F80" s="1307">
        <v>1.463466395357</v>
      </c>
      <c r="G80" s="1307"/>
      <c r="H80" s="1307"/>
      <c r="N80" s="521"/>
      <c r="O80" s="521"/>
      <c r="P80" s="521"/>
      <c r="R80" s="1759"/>
      <c r="S80" s="1759"/>
      <c r="T80" s="1759"/>
    </row>
    <row r="81" spans="1:20" x14ac:dyDescent="0.25">
      <c r="A81" s="1758" t="s">
        <v>2398</v>
      </c>
      <c r="B81" s="1753">
        <v>0.32087303269927397</v>
      </c>
      <c r="C81" s="1753">
        <v>0.29961234094200401</v>
      </c>
      <c r="D81" s="1307">
        <v>0.285244918713288</v>
      </c>
      <c r="E81" s="1307">
        <v>0.27707250308543302</v>
      </c>
      <c r="F81" s="1307">
        <v>0.26666683028717603</v>
      </c>
      <c r="G81" s="1307"/>
      <c r="H81" s="1307"/>
      <c r="N81" s="521"/>
      <c r="O81" s="521"/>
      <c r="P81" s="521"/>
      <c r="R81" s="1759"/>
      <c r="S81" s="1759"/>
      <c r="T81" s="1759"/>
    </row>
    <row r="82" spans="1:20" x14ac:dyDescent="0.25">
      <c r="A82" s="1758" t="s">
        <v>2399</v>
      </c>
      <c r="B82" s="1753">
        <v>1.8112859979784901</v>
      </c>
      <c r="C82" s="1753">
        <v>1.71935792350755</v>
      </c>
      <c r="D82" s="1307">
        <v>1.6348121657379</v>
      </c>
      <c r="E82" s="1307">
        <v>1.55826848594199</v>
      </c>
      <c r="F82" s="1307">
        <v>1.4832450404195401</v>
      </c>
      <c r="G82" s="1307"/>
      <c r="H82" s="1307"/>
      <c r="N82" s="521"/>
      <c r="O82" s="521"/>
      <c r="P82" s="521"/>
      <c r="R82" s="1759"/>
      <c r="S82" s="1759"/>
      <c r="T82" s="1759"/>
    </row>
    <row r="83" spans="1:20" x14ac:dyDescent="0.25">
      <c r="A83" s="1758" t="s">
        <v>2400</v>
      </c>
      <c r="B83" s="1753">
        <v>0.41567512328426498</v>
      </c>
      <c r="C83" s="1753">
        <v>0.39237602916057401</v>
      </c>
      <c r="D83" s="1307">
        <v>0.37475164299516101</v>
      </c>
      <c r="E83" s="1307">
        <v>0.36146892087216598</v>
      </c>
      <c r="F83" s="1307">
        <v>0.34616784693557001</v>
      </c>
      <c r="G83" s="1307"/>
      <c r="H83" s="1307"/>
      <c r="N83" s="521"/>
      <c r="O83" s="521"/>
      <c r="P83" s="521"/>
      <c r="R83" s="1759"/>
      <c r="S83" s="1759"/>
      <c r="T83" s="1759"/>
    </row>
    <row r="84" spans="1:20" x14ac:dyDescent="0.25">
      <c r="A84" s="1758" t="s">
        <v>2401</v>
      </c>
      <c r="B84" s="1753">
        <v>0.50843881150283399</v>
      </c>
      <c r="C84" s="1753">
        <v>0.48188275344244702</v>
      </c>
      <c r="D84" s="1307">
        <v>0.45914806078189402</v>
      </c>
      <c r="E84" s="1307">
        <v>0.44096993752056102</v>
      </c>
      <c r="F84" s="1307">
        <v>0.42140344557348602</v>
      </c>
      <c r="G84" s="1307"/>
      <c r="H84" s="1307"/>
      <c r="N84" s="521"/>
      <c r="O84" s="521"/>
      <c r="P84" s="521"/>
      <c r="R84" s="1759"/>
      <c r="S84" s="1759"/>
      <c r="T84" s="1759"/>
    </row>
    <row r="85" spans="1:20" x14ac:dyDescent="0.25">
      <c r="A85" s="1758" t="s">
        <v>2402</v>
      </c>
      <c r="B85" s="1753">
        <v>0.59794553578470699</v>
      </c>
      <c r="C85" s="1753">
        <v>0.56627917122918003</v>
      </c>
      <c r="D85" s="1307">
        <v>0.538649077430289</v>
      </c>
      <c r="E85" s="1307">
        <v>0.51620553615847597</v>
      </c>
      <c r="F85" s="1307">
        <v>0.49314541356657399</v>
      </c>
      <c r="G85" s="1307"/>
      <c r="H85" s="1307"/>
      <c r="N85" s="521"/>
      <c r="O85" s="521"/>
      <c r="P85" s="521"/>
      <c r="R85" s="1759"/>
      <c r="S85" s="1759"/>
      <c r="T85" s="1759"/>
    </row>
    <row r="86" spans="1:20" x14ac:dyDescent="0.25">
      <c r="A86" s="1758" t="s">
        <v>2403</v>
      </c>
      <c r="B86" s="1753">
        <v>0.68234195357144001</v>
      </c>
      <c r="C86" s="1753">
        <v>0.64578018787757496</v>
      </c>
      <c r="D86" s="1307">
        <v>0.61388467606820396</v>
      </c>
      <c r="E86" s="1307">
        <v>0.58794750415156405</v>
      </c>
      <c r="F86" s="1307">
        <v>0.56112725207935299</v>
      </c>
      <c r="G86" s="1307"/>
      <c r="H86" s="1307"/>
      <c r="N86" s="521"/>
      <c r="O86" s="521"/>
      <c r="P86" s="521"/>
      <c r="R86" s="1759"/>
      <c r="S86" s="1759"/>
      <c r="T86" s="1759"/>
    </row>
    <row r="87" spans="1:20" x14ac:dyDescent="0.25">
      <c r="A87" s="1758" t="s">
        <v>2404</v>
      </c>
      <c r="B87" s="1753">
        <v>0.76184297021983505</v>
      </c>
      <c r="C87" s="1753">
        <v>0.72101578651549003</v>
      </c>
      <c r="D87" s="1307">
        <v>0.68562664406129203</v>
      </c>
      <c r="E87" s="1307">
        <v>0.655929342664343</v>
      </c>
      <c r="F87" s="1307">
        <v>0.62610046595636804</v>
      </c>
      <c r="G87" s="1307"/>
      <c r="H87" s="1307"/>
      <c r="N87" s="521"/>
      <c r="O87" s="521"/>
      <c r="P87" s="521"/>
      <c r="R87" s="1759"/>
      <c r="S87" s="1759"/>
      <c r="T87" s="1759"/>
    </row>
    <row r="88" spans="1:20" x14ac:dyDescent="0.25">
      <c r="A88" s="1758" t="s">
        <v>2405</v>
      </c>
      <c r="B88" s="1753">
        <v>0.83707856885775</v>
      </c>
      <c r="C88" s="1753">
        <v>0.79275775450857799</v>
      </c>
      <c r="D88" s="1307">
        <v>0.75360848257407098</v>
      </c>
      <c r="E88" s="1307">
        <v>0.72090255654135904</v>
      </c>
      <c r="F88" s="1307">
        <v>0.68818090039030699</v>
      </c>
      <c r="G88" s="1307"/>
      <c r="H88" s="1307"/>
      <c r="N88" s="521"/>
      <c r="O88" s="521"/>
      <c r="P88" s="521"/>
      <c r="R88" s="1759"/>
      <c r="S88" s="1759"/>
      <c r="T88" s="1759"/>
    </row>
    <row r="89" spans="1:20" x14ac:dyDescent="0.25">
      <c r="A89" s="1758" t="s">
        <v>2406</v>
      </c>
      <c r="B89" s="1753">
        <v>0.12218265722831925</v>
      </c>
      <c r="C89" s="1753">
        <v>0.11433900171094821</v>
      </c>
      <c r="D89" s="1307">
        <v>0.10556308362787219</v>
      </c>
      <c r="E89" s="1307">
        <v>9.6278547961797079E-2</v>
      </c>
      <c r="F89" s="1307">
        <v>9.3430540950719926E-2</v>
      </c>
      <c r="G89" s="1307"/>
      <c r="H89" s="1307"/>
      <c r="N89" s="521"/>
      <c r="O89" s="521"/>
      <c r="P89" s="521"/>
      <c r="R89" s="1759"/>
      <c r="S89" s="1759"/>
      <c r="T89" s="1759"/>
    </row>
    <row r="90" spans="1:20" x14ac:dyDescent="0.25">
      <c r="A90" s="1758" t="s">
        <v>2407</v>
      </c>
      <c r="B90" s="1753">
        <v>0.94703961869439535</v>
      </c>
      <c r="C90" s="1753">
        <v>0.89555883811934534</v>
      </c>
      <c r="D90" s="1307">
        <v>0.848219229059478</v>
      </c>
      <c r="E90" s="1307">
        <v>0.80668986501513207</v>
      </c>
      <c r="F90" s="1307">
        <v>0.77159369178142578</v>
      </c>
      <c r="G90" s="1307"/>
      <c r="H90" s="1307"/>
      <c r="N90" s="521"/>
      <c r="O90" s="521"/>
      <c r="P90" s="521"/>
      <c r="R90" s="1759"/>
      <c r="S90" s="1759"/>
      <c r="T90" s="1759"/>
    </row>
    <row r="91" spans="1:20" x14ac:dyDescent="0.25">
      <c r="A91" s="1758" t="s">
        <v>2408</v>
      </c>
      <c r="B91" s="1753">
        <v>1.0177414953476644</v>
      </c>
      <c r="C91" s="1753">
        <v>0.96255823077042613</v>
      </c>
      <c r="D91" s="1307">
        <v>0.91225294864300444</v>
      </c>
      <c r="E91" s="1307">
        <v>0.86787223974322292</v>
      </c>
      <c r="F91" s="1307">
        <v>0.8298005149284986</v>
      </c>
      <c r="G91" s="1307"/>
      <c r="H91" s="1307"/>
      <c r="N91" s="521"/>
      <c r="O91" s="521"/>
      <c r="P91" s="521"/>
      <c r="R91" s="1759"/>
      <c r="S91" s="1759"/>
      <c r="T91" s="1759"/>
    </row>
    <row r="92" spans="1:20" x14ac:dyDescent="0.25">
      <c r="A92" s="1758" t="s">
        <v>2409</v>
      </c>
      <c r="B92" s="1753">
        <v>1.0847408879987457</v>
      </c>
      <c r="C92" s="1753">
        <v>1.0265919503539525</v>
      </c>
      <c r="D92" s="1307">
        <v>0.97343532337109495</v>
      </c>
      <c r="E92" s="1307">
        <v>0.92607906289029573</v>
      </c>
      <c r="F92" s="1307">
        <v>0.88541529625699977</v>
      </c>
      <c r="G92" s="1307"/>
      <c r="H92" s="1307"/>
      <c r="N92" s="521"/>
      <c r="O92" s="521"/>
      <c r="P92" s="521"/>
      <c r="R92" s="1759"/>
      <c r="S92" s="1759"/>
      <c r="T92" s="1759"/>
    </row>
    <row r="93" spans="1:20" x14ac:dyDescent="0.25">
      <c r="A93" s="1758" t="s">
        <v>2410</v>
      </c>
      <c r="B93" s="1753">
        <v>1.1487746075822718</v>
      </c>
      <c r="C93" s="1753">
        <v>1.0877743250820431</v>
      </c>
      <c r="D93" s="1307">
        <v>1.031642146518168</v>
      </c>
      <c r="E93" s="1307">
        <v>0.98169384421879702</v>
      </c>
      <c r="F93" s="1307">
        <v>0.93855352984271578</v>
      </c>
      <c r="G93" s="1307"/>
      <c r="H93" s="1307"/>
      <c r="N93" s="521"/>
      <c r="O93" s="521"/>
      <c r="P93" s="521"/>
      <c r="R93" s="1759"/>
      <c r="S93" s="1759"/>
      <c r="T93" s="1759"/>
    </row>
    <row r="94" spans="1:20" x14ac:dyDescent="0.25">
      <c r="A94" s="1758" t="s">
        <v>2411</v>
      </c>
      <c r="B94" s="1753">
        <v>1.2099569823103624</v>
      </c>
      <c r="C94" s="1753">
        <v>1.1459811482291162</v>
      </c>
      <c r="D94" s="1307">
        <v>1.0872569278466691</v>
      </c>
      <c r="E94" s="1307">
        <v>1.0348320778045128</v>
      </c>
      <c r="F94" s="1307">
        <v>0.98932556073454136</v>
      </c>
      <c r="G94" s="1307"/>
      <c r="H94" s="1307"/>
      <c r="N94" s="521"/>
      <c r="O94" s="521"/>
      <c r="P94" s="521"/>
      <c r="R94" s="1759"/>
      <c r="S94" s="1759"/>
      <c r="T94" s="1759"/>
    </row>
    <row r="95" spans="1:20" x14ac:dyDescent="0.25">
      <c r="A95" s="1758" t="s">
        <v>2412</v>
      </c>
      <c r="B95" s="1753">
        <v>1.2681638054574353</v>
      </c>
      <c r="C95" s="1753">
        <v>1.2015959295576175</v>
      </c>
      <c r="D95" s="1307">
        <v>1.1403951614323851</v>
      </c>
      <c r="E95" s="1307">
        <v>1.0856041086963384</v>
      </c>
      <c r="F95" s="1307">
        <v>1.037836814641389</v>
      </c>
      <c r="G95" s="1307"/>
      <c r="H95" s="1307"/>
      <c r="N95" s="521"/>
      <c r="O95" s="521"/>
      <c r="P95" s="521"/>
      <c r="R95" s="1759"/>
      <c r="S95" s="1759"/>
      <c r="T95" s="1759"/>
    </row>
    <row r="96" spans="1:20" x14ac:dyDescent="0.25">
      <c r="A96" s="1758" t="s">
        <v>2413</v>
      </c>
      <c r="B96" s="1753">
        <v>1.3237785867859366</v>
      </c>
      <c r="C96" s="1753">
        <v>1.2547341631433331</v>
      </c>
      <c r="D96" s="1307">
        <v>1.1911671923242109</v>
      </c>
      <c r="E96" s="1307">
        <v>1.1341153626031861</v>
      </c>
      <c r="F96" s="1307">
        <v>1.0841880173675242</v>
      </c>
      <c r="G96" s="1307"/>
      <c r="H96" s="1307"/>
      <c r="N96" s="521"/>
      <c r="O96" s="521"/>
      <c r="P96" s="521"/>
      <c r="R96" s="1759"/>
      <c r="S96" s="1759"/>
      <c r="T96" s="1759"/>
    </row>
    <row r="97" spans="1:20" x14ac:dyDescent="0.25">
      <c r="A97" s="1758" t="s">
        <v>2414</v>
      </c>
      <c r="B97" s="1753">
        <v>1.3769168203716526</v>
      </c>
      <c r="C97" s="1753">
        <v>1.3055061940351593</v>
      </c>
      <c r="D97" s="1307">
        <v>1.2396784462310584</v>
      </c>
      <c r="E97" s="1307">
        <v>1.1804665653293211</v>
      </c>
      <c r="F97" s="1307">
        <v>1.1286611993333333</v>
      </c>
      <c r="G97" s="1307"/>
      <c r="H97" s="1307"/>
      <c r="N97" s="521"/>
      <c r="O97" s="521"/>
      <c r="P97" s="521"/>
      <c r="R97" s="1759"/>
      <c r="S97" s="1759"/>
      <c r="T97" s="1759"/>
    </row>
    <row r="98" spans="1:20" x14ac:dyDescent="0.25">
      <c r="A98" s="1758" t="s">
        <v>2415</v>
      </c>
      <c r="B98" s="1753">
        <v>1.4276888512634784</v>
      </c>
      <c r="C98" s="1753">
        <v>1.3540174479420068</v>
      </c>
      <c r="D98" s="1307">
        <v>1.2860296489571936</v>
      </c>
      <c r="E98" s="1307">
        <v>1.2249397472951309</v>
      </c>
      <c r="F98" s="1307">
        <v>1.1711540612592681</v>
      </c>
      <c r="G98" s="1307"/>
      <c r="H98" s="1307"/>
      <c r="N98" s="521"/>
      <c r="O98" s="521"/>
      <c r="P98" s="521"/>
      <c r="R98" s="1759"/>
      <c r="S98" s="1759"/>
      <c r="T98" s="1759"/>
    </row>
    <row r="99" spans="1:20" x14ac:dyDescent="0.25">
      <c r="A99" s="1758" t="s">
        <v>2416</v>
      </c>
      <c r="B99" s="1753">
        <v>1.476200105170326</v>
      </c>
      <c r="C99" s="1753">
        <v>1.4003686506681416</v>
      </c>
      <c r="D99" s="1307">
        <v>1.3305028309230029</v>
      </c>
      <c r="E99" s="1307">
        <v>1.2674326092210655</v>
      </c>
      <c r="F99" s="1307">
        <v>1.2117548343821629</v>
      </c>
      <c r="G99" s="1307"/>
      <c r="H99" s="1307"/>
      <c r="N99" s="521"/>
      <c r="O99" s="521"/>
      <c r="P99" s="521"/>
      <c r="R99" s="1759"/>
      <c r="S99" s="1759"/>
      <c r="T99" s="1759"/>
    </row>
    <row r="100" spans="1:20" x14ac:dyDescent="0.25">
      <c r="A100" s="1758" t="s">
        <v>2417</v>
      </c>
      <c r="B100" s="1753">
        <v>0.23652165893926744</v>
      </c>
      <c r="C100" s="1753">
        <v>0.21990208533882039</v>
      </c>
      <c r="D100" s="1307">
        <v>0.20184163158966925</v>
      </c>
      <c r="E100" s="1307">
        <v>0.189709088912517</v>
      </c>
      <c r="F100" s="1307">
        <v>0.184836980714504</v>
      </c>
      <c r="G100" s="1307"/>
      <c r="H100" s="1307"/>
      <c r="N100" s="521"/>
      <c r="O100" s="521"/>
      <c r="P100" s="521"/>
      <c r="R100" s="1759"/>
      <c r="S100" s="1759"/>
      <c r="T100" s="1759"/>
    </row>
    <row r="101" spans="1:20" x14ac:dyDescent="0.25">
      <c r="A101" s="1758" t="s">
        <v>2418</v>
      </c>
      <c r="B101" s="1753">
        <v>1.5225513078964612</v>
      </c>
      <c r="C101" s="1753">
        <v>1.4448418326339514</v>
      </c>
      <c r="D101" s="1307">
        <v>1.3729956928489373</v>
      </c>
      <c r="E101" s="1307">
        <v>1.3080333823439603</v>
      </c>
      <c r="F101" s="1307">
        <v>1.2505478166363977</v>
      </c>
      <c r="G101" s="1307"/>
      <c r="H101" s="1307"/>
      <c r="N101" s="521"/>
      <c r="O101" s="521"/>
      <c r="P101" s="521"/>
      <c r="R101" s="1759"/>
      <c r="S101" s="1759"/>
      <c r="T101" s="1759"/>
    </row>
    <row r="102" spans="1:20" x14ac:dyDescent="0.25">
      <c r="A102" s="1758" t="s">
        <v>2419</v>
      </c>
      <c r="B102" s="1753">
        <v>1.5670244898622705</v>
      </c>
      <c r="C102" s="1753">
        <v>1.4873346945598858</v>
      </c>
      <c r="D102" s="1307">
        <v>1.4135964659718323</v>
      </c>
      <c r="E102" s="1307">
        <v>1.3468263645981948</v>
      </c>
      <c r="F102" s="1307">
        <v>1.2876135480977782</v>
      </c>
      <c r="G102" s="1307"/>
      <c r="H102" s="1307"/>
      <c r="N102" s="521"/>
      <c r="O102" s="521"/>
      <c r="P102" s="521"/>
      <c r="R102" s="1759"/>
      <c r="S102" s="1759"/>
      <c r="T102" s="1759"/>
    </row>
    <row r="103" spans="1:20" x14ac:dyDescent="0.25">
      <c r="A103" s="1758" t="s">
        <v>2420</v>
      </c>
      <c r="B103" s="1753">
        <v>1.6095173517882051</v>
      </c>
      <c r="C103" s="1753">
        <v>1.5279354676827805</v>
      </c>
      <c r="D103" s="1307">
        <v>1.4523894482260669</v>
      </c>
      <c r="E103" s="1307">
        <v>1.3838920960595753</v>
      </c>
      <c r="F103" s="1307">
        <v>1.3222998025067063</v>
      </c>
      <c r="G103" s="1307"/>
      <c r="H103" s="1307"/>
      <c r="N103" s="521"/>
      <c r="O103" s="521"/>
      <c r="P103" s="521"/>
      <c r="R103" s="1759"/>
      <c r="S103" s="1759"/>
      <c r="T103" s="1759"/>
    </row>
    <row r="104" spans="1:20" x14ac:dyDescent="0.25">
      <c r="A104" s="1758" t="s">
        <v>2421</v>
      </c>
      <c r="B104" s="1753">
        <v>1.6501181249110999</v>
      </c>
      <c r="C104" s="1753">
        <v>1.5667284499370151</v>
      </c>
      <c r="D104" s="1307">
        <v>1.4894551796874473</v>
      </c>
      <c r="E104" s="1307">
        <v>1.4185783504685032</v>
      </c>
      <c r="F104" s="1307">
        <v>1.3547593331158472</v>
      </c>
      <c r="G104" s="1307"/>
      <c r="H104" s="1307"/>
      <c r="N104" s="521"/>
      <c r="O104" s="521"/>
      <c r="P104" s="521"/>
      <c r="R104" s="1759"/>
      <c r="S104" s="1759"/>
      <c r="T104" s="1759"/>
    </row>
    <row r="105" spans="1:20" x14ac:dyDescent="0.25">
      <c r="A105" s="1758" t="s">
        <v>2422</v>
      </c>
      <c r="B105" s="1753">
        <v>1.6889111071653344</v>
      </c>
      <c r="C105" s="1753">
        <v>1.6037941813983958</v>
      </c>
      <c r="D105" s="1307">
        <v>1.5241414340963757</v>
      </c>
      <c r="E105" s="1307">
        <v>1.4510378810776443</v>
      </c>
      <c r="F105" s="1307">
        <v>1.3851350870079877</v>
      </c>
      <c r="G105" s="1307"/>
      <c r="H105" s="1307"/>
      <c r="N105" s="521"/>
      <c r="O105" s="521"/>
      <c r="P105" s="521"/>
      <c r="R105" s="1759"/>
      <c r="S105" s="1759"/>
      <c r="T105" s="1759"/>
    </row>
    <row r="106" spans="1:20" x14ac:dyDescent="0.25">
      <c r="A106" s="1758" t="s">
        <v>2423</v>
      </c>
      <c r="B106" s="1753">
        <v>1.7259768386267149</v>
      </c>
      <c r="C106" s="1753">
        <v>1.6384804358073239</v>
      </c>
      <c r="D106" s="1307">
        <v>1.5566009647055168</v>
      </c>
      <c r="E106" s="1307">
        <v>1.4814136349697848</v>
      </c>
      <c r="F106" s="1307">
        <v>1.4135608346143329</v>
      </c>
      <c r="G106" s="1307"/>
      <c r="H106" s="1307"/>
      <c r="N106" s="521"/>
      <c r="O106" s="521"/>
      <c r="P106" s="521"/>
      <c r="R106" s="1759"/>
      <c r="S106" s="1759"/>
      <c r="T106" s="1759"/>
    </row>
    <row r="107" spans="1:20" x14ac:dyDescent="0.25">
      <c r="A107" s="1758" t="s">
        <v>2424</v>
      </c>
      <c r="B107" s="1753">
        <v>0.34208474256713955</v>
      </c>
      <c r="C107" s="1753">
        <v>0.31618063330061752</v>
      </c>
      <c r="D107" s="1307">
        <v>0.29527217254038923</v>
      </c>
      <c r="E107" s="1307">
        <v>0.28111552867630107</v>
      </c>
      <c r="F107" s="1307">
        <v>0.27302741347453752</v>
      </c>
      <c r="G107" s="1307"/>
      <c r="H107" s="1307"/>
      <c r="N107" s="521"/>
      <c r="O107" s="521"/>
      <c r="P107" s="521"/>
      <c r="R107" s="1759"/>
      <c r="S107" s="1759"/>
      <c r="T107" s="1759"/>
    </row>
    <row r="108" spans="1:20" x14ac:dyDescent="0.25">
      <c r="A108" s="1758" t="s">
        <v>2425</v>
      </c>
      <c r="B108" s="1753">
        <v>0.43836329052893674</v>
      </c>
      <c r="C108" s="1753">
        <v>0.40961117425133742</v>
      </c>
      <c r="D108" s="1307">
        <v>0.38667861230417327</v>
      </c>
      <c r="E108" s="1307">
        <v>0.3693059614363346</v>
      </c>
      <c r="F108" s="1307">
        <v>0.35618829216917203</v>
      </c>
      <c r="G108" s="1307"/>
      <c r="H108" s="1307"/>
      <c r="N108" s="521"/>
      <c r="O108" s="521"/>
      <c r="P108" s="521"/>
      <c r="R108" s="1759"/>
      <c r="S108" s="1759"/>
      <c r="T108" s="1759"/>
    </row>
    <row r="109" spans="1:20" x14ac:dyDescent="0.25">
      <c r="A109" s="1758" t="s">
        <v>2426</v>
      </c>
      <c r="B109" s="1753">
        <v>0.53179383147965675</v>
      </c>
      <c r="C109" s="1753">
        <v>0.50101761401512157</v>
      </c>
      <c r="D109" s="1307">
        <v>0.4748690450642068</v>
      </c>
      <c r="E109" s="1307">
        <v>0.45246684013096905</v>
      </c>
      <c r="F109" s="1307">
        <v>0.43453194489723268</v>
      </c>
      <c r="G109" s="1307"/>
      <c r="H109" s="1307"/>
      <c r="N109" s="521"/>
      <c r="O109" s="521"/>
      <c r="P109" s="521"/>
      <c r="R109" s="1759"/>
      <c r="S109" s="1759"/>
      <c r="T109" s="1759"/>
    </row>
    <row r="110" spans="1:20" x14ac:dyDescent="0.25">
      <c r="A110" s="1758" t="s">
        <v>2427</v>
      </c>
      <c r="B110" s="1753">
        <v>0.6232002712434408</v>
      </c>
      <c r="C110" s="1753">
        <v>0.58920804677515504</v>
      </c>
      <c r="D110" s="1307">
        <v>0.5580299237588412</v>
      </c>
      <c r="E110" s="1307">
        <v>0.53081049285902981</v>
      </c>
      <c r="F110" s="1307">
        <v>0.50867632816545871</v>
      </c>
      <c r="G110" s="1307"/>
      <c r="H110" s="1307"/>
      <c r="N110" s="521"/>
      <c r="O110" s="521"/>
      <c r="P110" s="521"/>
      <c r="R110" s="1759"/>
      <c r="S110" s="1759"/>
      <c r="T110" s="1759"/>
    </row>
    <row r="111" spans="1:20" x14ac:dyDescent="0.25">
      <c r="A111" s="1758" t="s">
        <v>2428</v>
      </c>
      <c r="B111" s="1753">
        <v>0.71139070400347426</v>
      </c>
      <c r="C111" s="1753">
        <v>0.67236892546978944</v>
      </c>
      <c r="D111" s="1307">
        <v>0.63637357648690207</v>
      </c>
      <c r="E111" s="1307">
        <v>0.60495487612725563</v>
      </c>
      <c r="F111" s="1307">
        <v>0.57937820481872793</v>
      </c>
      <c r="G111" s="1307"/>
      <c r="H111" s="1307"/>
      <c r="N111" s="521"/>
      <c r="O111" s="521"/>
      <c r="P111" s="521"/>
      <c r="R111" s="1759"/>
      <c r="S111" s="1759"/>
      <c r="T111" s="1759"/>
    </row>
    <row r="112" spans="1:20" x14ac:dyDescent="0.25">
      <c r="A112" s="1758" t="s">
        <v>2429</v>
      </c>
      <c r="B112" s="1753">
        <v>0.79455158269810888</v>
      </c>
      <c r="C112" s="1753">
        <v>0.75071257819785031</v>
      </c>
      <c r="D112" s="1307">
        <v>0.71051795975512799</v>
      </c>
      <c r="E112" s="1307">
        <v>0.67565675278052484</v>
      </c>
      <c r="F112" s="1307">
        <v>0.64637759746980872</v>
      </c>
      <c r="G112" s="1307"/>
      <c r="H112" s="1307"/>
      <c r="N112" s="521"/>
      <c r="O112" s="521"/>
      <c r="P112" s="521"/>
      <c r="R112" s="1759"/>
      <c r="S112" s="1759"/>
      <c r="T112" s="1759"/>
    </row>
    <row r="113" spans="1:20" x14ac:dyDescent="0.25">
      <c r="A113" s="1758" t="s">
        <v>2430</v>
      </c>
      <c r="B113" s="1753">
        <v>0.87289523542616954</v>
      </c>
      <c r="C113" s="1753">
        <v>0.82485696146607612</v>
      </c>
      <c r="D113" s="1307">
        <v>0.78121983640839709</v>
      </c>
      <c r="E113" s="1307">
        <v>0.74265614543160563</v>
      </c>
      <c r="F113" s="1307">
        <v>0.71041131705333505</v>
      </c>
      <c r="G113" s="1307"/>
      <c r="H113" s="1307"/>
      <c r="N113" s="521"/>
      <c r="O113" s="521"/>
      <c r="P113" s="521"/>
      <c r="R113" s="1759"/>
      <c r="S113" s="1759"/>
      <c r="T113" s="1759"/>
    </row>
    <row r="114" spans="1:20" x14ac:dyDescent="0.25">
      <c r="A114" s="1758" t="s">
        <v>2431</v>
      </c>
      <c r="B114" s="1753">
        <v>7.8011359814874462E-2</v>
      </c>
      <c r="C114" s="1753">
        <v>7.3003331288484408E-2</v>
      </c>
      <c r="D114" s="1307">
        <v>6.6242667143126363E-2</v>
      </c>
      <c r="E114" s="1307">
        <v>5.8959167856672497E-2</v>
      </c>
      <c r="F114" s="1307">
        <v>5.7826612047720286E-2</v>
      </c>
      <c r="G114" s="1307"/>
      <c r="H114" s="1307"/>
      <c r="N114" s="521"/>
      <c r="O114" s="521"/>
      <c r="P114" s="521"/>
      <c r="R114" s="1759"/>
      <c r="S114" s="1759"/>
      <c r="T114" s="1759"/>
    </row>
    <row r="115" spans="1:20" x14ac:dyDescent="0.25">
      <c r="A115" s="1758" t="s">
        <v>2432</v>
      </c>
      <c r="B115" s="1753">
        <v>0.5941049962338939</v>
      </c>
      <c r="C115" s="1753">
        <v>0.55996127401319229</v>
      </c>
      <c r="D115" s="1307">
        <v>0.52837144778758227</v>
      </c>
      <c r="E115" s="1307">
        <v>0.50173558834071963</v>
      </c>
      <c r="F115" s="1307">
        <v>0.48063932738174608</v>
      </c>
      <c r="G115" s="1307"/>
      <c r="H115" s="1307"/>
      <c r="N115" s="521"/>
      <c r="O115" s="521"/>
      <c r="P115" s="521"/>
      <c r="R115" s="1759"/>
      <c r="S115" s="1759"/>
      <c r="T115" s="1759"/>
    </row>
    <row r="116" spans="1:20" x14ac:dyDescent="0.25">
      <c r="A116" s="1758" t="s">
        <v>2433</v>
      </c>
      <c r="B116" s="1753">
        <v>0.63797263382806679</v>
      </c>
      <c r="C116" s="1753">
        <v>0.60137477907606673</v>
      </c>
      <c r="D116" s="1307">
        <v>0.56797825548384606</v>
      </c>
      <c r="E116" s="1307">
        <v>0.53959849523841863</v>
      </c>
      <c r="F116" s="1307">
        <v>0.51659832124022065</v>
      </c>
      <c r="G116" s="1307"/>
      <c r="H116" s="1307"/>
      <c r="N116" s="521"/>
      <c r="O116" s="521"/>
      <c r="P116" s="521"/>
      <c r="R116" s="1759"/>
      <c r="S116" s="1759"/>
      <c r="T116" s="1759"/>
    </row>
    <row r="117" spans="1:20" x14ac:dyDescent="0.25">
      <c r="A117" s="1758" t="s">
        <v>2434</v>
      </c>
      <c r="B117" s="1753">
        <v>0.67938613889094113</v>
      </c>
      <c r="C117" s="1753">
        <v>0.6409815867723303</v>
      </c>
      <c r="D117" s="1307">
        <v>0.60584116238154517</v>
      </c>
      <c r="E117" s="1307">
        <v>0.57555748909689297</v>
      </c>
      <c r="F117" s="1307">
        <v>0.55097393968953789</v>
      </c>
      <c r="G117" s="1307"/>
      <c r="H117" s="1307"/>
      <c r="N117" s="521"/>
      <c r="O117" s="521"/>
      <c r="P117" s="521"/>
      <c r="R117" s="1759"/>
      <c r="S117" s="1759"/>
      <c r="T117" s="1759"/>
    </row>
    <row r="118" spans="1:20" x14ac:dyDescent="0.25">
      <c r="A118" s="1758" t="s">
        <v>2435</v>
      </c>
      <c r="B118" s="1753">
        <v>0.71899294658720481</v>
      </c>
      <c r="C118" s="1753">
        <v>0.67884449367002941</v>
      </c>
      <c r="D118" s="1307">
        <v>0.64180015624001951</v>
      </c>
      <c r="E118" s="1307">
        <v>0.60993310754621033</v>
      </c>
      <c r="F118" s="1307">
        <v>0.58383593978669479</v>
      </c>
      <c r="G118" s="1307"/>
      <c r="H118" s="1307"/>
      <c r="N118" s="521"/>
      <c r="O118" s="521"/>
      <c r="P118" s="521"/>
      <c r="R118" s="1759"/>
      <c r="S118" s="1759"/>
      <c r="T118" s="1759"/>
    </row>
    <row r="119" spans="1:20" x14ac:dyDescent="0.25">
      <c r="A119" s="1758" t="s">
        <v>2436</v>
      </c>
      <c r="B119" s="1753">
        <v>0.75685585348490381</v>
      </c>
      <c r="C119" s="1753">
        <v>0.71480348752850398</v>
      </c>
      <c r="D119" s="1307">
        <v>0.67617577468933676</v>
      </c>
      <c r="E119" s="1307">
        <v>0.64279510764336745</v>
      </c>
      <c r="F119" s="1307">
        <v>0.6152510037397757</v>
      </c>
      <c r="G119" s="1307"/>
      <c r="H119" s="1307"/>
      <c r="N119" s="521"/>
      <c r="O119" s="521"/>
      <c r="P119" s="521"/>
      <c r="R119" s="1759"/>
      <c r="S119" s="1759"/>
      <c r="T119" s="1759"/>
    </row>
    <row r="120" spans="1:20" x14ac:dyDescent="0.25">
      <c r="A120" s="1758" t="s">
        <v>2437</v>
      </c>
      <c r="B120" s="1753">
        <v>0.79281484734337837</v>
      </c>
      <c r="C120" s="1753">
        <v>0.74917910597782122</v>
      </c>
      <c r="D120" s="1307">
        <v>0.70903777478649377</v>
      </c>
      <c r="E120" s="1307">
        <v>0.67421017159644825</v>
      </c>
      <c r="F120" s="1307">
        <v>0.64528287451869071</v>
      </c>
      <c r="G120" s="1307"/>
      <c r="H120" s="1307"/>
      <c r="N120" s="521"/>
      <c r="O120" s="521"/>
      <c r="P120" s="521"/>
      <c r="R120" s="1759"/>
      <c r="S120" s="1759"/>
      <c r="T120" s="1759"/>
    </row>
    <row r="121" spans="1:20" x14ac:dyDescent="0.25">
      <c r="A121" s="1758" t="s">
        <v>2438</v>
      </c>
      <c r="B121" s="1753">
        <v>0.82719046579269584</v>
      </c>
      <c r="C121" s="1753">
        <v>0.78204110607497801</v>
      </c>
      <c r="D121" s="1307">
        <v>0.74045283873957446</v>
      </c>
      <c r="E121" s="1307">
        <v>0.70424204237536303</v>
      </c>
      <c r="F121" s="1307">
        <v>0.6739924854817686</v>
      </c>
      <c r="G121" s="1307"/>
      <c r="H121" s="1307"/>
      <c r="N121" s="521"/>
      <c r="O121" s="521"/>
      <c r="P121" s="521"/>
      <c r="R121" s="1759"/>
      <c r="S121" s="1759"/>
      <c r="T121" s="1759"/>
    </row>
    <row r="122" spans="1:20" x14ac:dyDescent="0.25">
      <c r="A122" s="1758" t="s">
        <v>2439</v>
      </c>
      <c r="B122" s="1753">
        <v>0.86005246588985251</v>
      </c>
      <c r="C122" s="1753">
        <v>0.81345617002805892</v>
      </c>
      <c r="D122" s="1307">
        <v>0.77048470951848946</v>
      </c>
      <c r="E122" s="1307">
        <v>0.73295165333844114</v>
      </c>
      <c r="F122" s="1307">
        <v>0.70150523387784958</v>
      </c>
      <c r="G122" s="1307"/>
      <c r="H122" s="1307"/>
      <c r="N122" s="521"/>
      <c r="O122" s="521"/>
      <c r="P122" s="521"/>
      <c r="R122" s="1759"/>
      <c r="S122" s="1759"/>
      <c r="T122" s="1759"/>
    </row>
    <row r="123" spans="1:20" x14ac:dyDescent="0.25">
      <c r="A123" s="1758" t="s">
        <v>2440</v>
      </c>
      <c r="B123" s="1753">
        <v>0.89146752984293332</v>
      </c>
      <c r="C123" s="1753">
        <v>0.84348804080697393</v>
      </c>
      <c r="D123" s="1307">
        <v>0.79919432048156736</v>
      </c>
      <c r="E123" s="1307">
        <v>0.76046440173452212</v>
      </c>
      <c r="F123" s="1307">
        <v>0.72780659653112123</v>
      </c>
      <c r="G123" s="1307"/>
      <c r="H123" s="1307"/>
      <c r="N123" s="521"/>
      <c r="O123" s="521"/>
      <c r="P123" s="521"/>
      <c r="R123" s="1759"/>
      <c r="S123" s="1759"/>
      <c r="T123" s="1759"/>
    </row>
    <row r="124" spans="1:20" x14ac:dyDescent="0.25">
      <c r="A124" s="1758" t="s">
        <v>2441</v>
      </c>
      <c r="B124" s="1753">
        <v>0.92149940062184843</v>
      </c>
      <c r="C124" s="1753">
        <v>0.87219765177005193</v>
      </c>
      <c r="D124" s="1307">
        <v>0.82670706887764844</v>
      </c>
      <c r="E124" s="1307">
        <v>0.78676576438779389</v>
      </c>
      <c r="F124" s="1307">
        <v>0.75294993867159798</v>
      </c>
      <c r="G124" s="1307"/>
      <c r="H124" s="1307"/>
      <c r="N124" s="521"/>
      <c r="O124" s="521"/>
      <c r="P124" s="521"/>
      <c r="R124" s="1759"/>
      <c r="S124" s="1759"/>
      <c r="T124" s="1759"/>
    </row>
    <row r="125" spans="1:20" x14ac:dyDescent="0.25">
      <c r="A125" s="1758" t="s">
        <v>2442</v>
      </c>
      <c r="B125" s="1753">
        <v>0.15101469110335886</v>
      </c>
      <c r="C125" s="1753">
        <v>0.13924599843161081</v>
      </c>
      <c r="D125" s="1307">
        <v>0.12520183499979884</v>
      </c>
      <c r="E125" s="1307">
        <v>0.11678577990439276</v>
      </c>
      <c r="F125" s="1307">
        <v>0.11516122936670729</v>
      </c>
      <c r="G125" s="1307"/>
      <c r="H125" s="1307"/>
      <c r="N125" s="521"/>
      <c r="O125" s="521"/>
      <c r="P125" s="521"/>
      <c r="R125" s="1759"/>
      <c r="S125" s="1759"/>
      <c r="T125" s="1759"/>
    </row>
    <row r="126" spans="1:20" x14ac:dyDescent="0.25">
      <c r="A126" s="1758" t="s">
        <v>2443</v>
      </c>
      <c r="B126" s="1753">
        <v>0.95020901158492632</v>
      </c>
      <c r="C126" s="1753">
        <v>0.8997104001661328</v>
      </c>
      <c r="D126" s="1307">
        <v>0.85300843153092032</v>
      </c>
      <c r="E126" s="1307">
        <v>0.8119091065282702</v>
      </c>
      <c r="F126" s="1307">
        <v>0.77698627337790449</v>
      </c>
      <c r="G126" s="1307"/>
      <c r="H126" s="1307"/>
      <c r="N126" s="521"/>
      <c r="O126" s="521"/>
      <c r="P126" s="521"/>
      <c r="R126" s="1759"/>
      <c r="S126" s="1759"/>
      <c r="T126" s="1759"/>
    </row>
    <row r="127" spans="1:20" x14ac:dyDescent="0.25">
      <c r="A127" s="1758" t="s">
        <v>2444</v>
      </c>
      <c r="B127" s="1753">
        <v>0.97772175998100741</v>
      </c>
      <c r="C127" s="1753">
        <v>0.92601176281940456</v>
      </c>
      <c r="D127" s="1307">
        <v>0.87815177367139663</v>
      </c>
      <c r="E127" s="1307">
        <v>0.83594544123457659</v>
      </c>
      <c r="F127" s="1307">
        <v>0.79996436530776571</v>
      </c>
      <c r="G127" s="1307"/>
      <c r="H127" s="1307"/>
      <c r="N127" s="521"/>
      <c r="O127" s="521"/>
      <c r="P127" s="521"/>
      <c r="R127" s="1759"/>
      <c r="S127" s="1759"/>
      <c r="T127" s="1759"/>
    </row>
    <row r="128" spans="1:20" x14ac:dyDescent="0.25">
      <c r="A128" s="1758" t="s">
        <v>2445</v>
      </c>
      <c r="B128" s="1753">
        <v>1.0040231226342788</v>
      </c>
      <c r="C128" s="1753">
        <v>0.95115510495988098</v>
      </c>
      <c r="D128" s="1307">
        <v>0.90218810837770302</v>
      </c>
      <c r="E128" s="1307">
        <v>0.85892353316443826</v>
      </c>
      <c r="F128" s="1307">
        <v>0.8214673523280368</v>
      </c>
      <c r="G128" s="1307"/>
      <c r="H128" s="1307"/>
      <c r="N128" s="521"/>
      <c r="O128" s="521"/>
      <c r="P128" s="521"/>
      <c r="R128" s="1759"/>
      <c r="S128" s="1759"/>
      <c r="T128" s="1759"/>
    </row>
    <row r="129" spans="1:20" x14ac:dyDescent="0.25">
      <c r="A129" s="1758" t="s">
        <v>2446</v>
      </c>
      <c r="B129" s="1753">
        <v>1.0291664647747554</v>
      </c>
      <c r="C129" s="1753">
        <v>0.97519143966618738</v>
      </c>
      <c r="D129" s="1307">
        <v>0.92516620030756469</v>
      </c>
      <c r="E129" s="1307">
        <v>0.88042652018470946</v>
      </c>
      <c r="F129" s="1307">
        <v>0.84158993048662845</v>
      </c>
      <c r="G129" s="1307"/>
      <c r="H129" s="1307"/>
      <c r="N129" s="521"/>
      <c r="O129" s="521"/>
      <c r="P129" s="521"/>
      <c r="R129" s="1759"/>
      <c r="S129" s="1759"/>
      <c r="T129" s="1759"/>
    </row>
    <row r="130" spans="1:20" x14ac:dyDescent="0.25">
      <c r="A130" s="1758" t="s">
        <v>2447</v>
      </c>
      <c r="B130" s="1753">
        <v>1.053202799481062</v>
      </c>
      <c r="C130" s="1753">
        <v>0.99816953159604915</v>
      </c>
      <c r="D130" s="1307">
        <v>0.94666918732783567</v>
      </c>
      <c r="E130" s="1307">
        <v>0.9005490983433011</v>
      </c>
      <c r="F130" s="1307">
        <v>0.86042071671027753</v>
      </c>
      <c r="G130" s="1307"/>
      <c r="H130" s="1307"/>
      <c r="N130" s="521"/>
      <c r="O130" s="521"/>
      <c r="P130" s="521"/>
      <c r="R130" s="1759"/>
      <c r="S130" s="1759"/>
      <c r="T130" s="1759"/>
    </row>
    <row r="131" spans="1:20" x14ac:dyDescent="0.25">
      <c r="A131" s="1758" t="s">
        <v>2448</v>
      </c>
      <c r="B131" s="1753">
        <v>1.0761808914109234</v>
      </c>
      <c r="C131" s="1753">
        <v>1.01967251861632</v>
      </c>
      <c r="D131" s="1307">
        <v>0.96679176548642742</v>
      </c>
      <c r="E131" s="1307">
        <v>0.91937988456695008</v>
      </c>
      <c r="F131" s="1307">
        <v>0.87804263906068858</v>
      </c>
      <c r="G131" s="1307"/>
      <c r="H131" s="1307"/>
      <c r="N131" s="521"/>
      <c r="O131" s="521"/>
      <c r="P131" s="521"/>
      <c r="R131" s="1759"/>
      <c r="S131" s="1759"/>
      <c r="T131" s="1759"/>
    </row>
    <row r="132" spans="1:20" x14ac:dyDescent="0.25">
      <c r="A132" s="1758" t="s">
        <v>2449</v>
      </c>
      <c r="B132" s="1753">
        <v>0.21725735824648523</v>
      </c>
      <c r="C132" s="1753">
        <v>0.19820516628828327</v>
      </c>
      <c r="D132" s="1307">
        <v>0.18302844704751914</v>
      </c>
      <c r="E132" s="1307">
        <v>0.17412039722337971</v>
      </c>
      <c r="F132" s="1307">
        <v>0.17081406495308565</v>
      </c>
      <c r="G132" s="1307"/>
      <c r="H132" s="1307"/>
      <c r="N132" s="521"/>
      <c r="O132" s="521"/>
      <c r="P132" s="521"/>
      <c r="R132" s="1759"/>
      <c r="S132" s="1759"/>
      <c r="T132" s="1759"/>
    </row>
    <row r="133" spans="1:20" x14ac:dyDescent="0.25">
      <c r="A133" s="1758" t="s">
        <v>2450</v>
      </c>
      <c r="B133" s="1753">
        <v>0.27621652610315767</v>
      </c>
      <c r="C133" s="1753">
        <v>0.2560317783360036</v>
      </c>
      <c r="D133" s="1307">
        <v>0.24036306436650609</v>
      </c>
      <c r="E133" s="1307">
        <v>0.22977323280975814</v>
      </c>
      <c r="F133" s="1307">
        <v>0.22301243981694213</v>
      </c>
      <c r="G133" s="1307"/>
      <c r="H133" s="1307"/>
      <c r="N133" s="521"/>
      <c r="O133" s="521"/>
      <c r="P133" s="521"/>
      <c r="R133" s="1759"/>
      <c r="S133" s="1759"/>
      <c r="T133" s="1759"/>
    </row>
    <row r="134" spans="1:20" x14ac:dyDescent="0.25">
      <c r="A134" s="1758" t="s">
        <v>2451</v>
      </c>
      <c r="B134" s="1753">
        <v>0.33404313815087799</v>
      </c>
      <c r="C134" s="1753">
        <v>0.31336639565499053</v>
      </c>
      <c r="D134" s="1307">
        <v>0.29601589995288452</v>
      </c>
      <c r="E134" s="1307">
        <v>0.28197160767361457</v>
      </c>
      <c r="F134" s="1307">
        <v>0.27186112942349389</v>
      </c>
      <c r="G134" s="1307"/>
      <c r="H134" s="1307"/>
      <c r="N134" s="521"/>
      <c r="O134" s="521"/>
      <c r="P134" s="521"/>
      <c r="R134" s="1759"/>
      <c r="S134" s="1759"/>
      <c r="T134" s="1759"/>
    </row>
    <row r="135" spans="1:20" x14ac:dyDescent="0.25">
      <c r="A135" s="1758" t="s">
        <v>2452</v>
      </c>
      <c r="B135" s="1753">
        <v>0.39137775546986492</v>
      </c>
      <c r="C135" s="1753">
        <v>0.36901923124136887</v>
      </c>
      <c r="D135" s="1307">
        <v>0.348214274816741</v>
      </c>
      <c r="E135" s="1307">
        <v>0.33082029728016649</v>
      </c>
      <c r="F135" s="1307">
        <v>0.31788847013073618</v>
      </c>
      <c r="G135" s="1307"/>
      <c r="H135" s="1307"/>
      <c r="N135" s="521"/>
      <c r="O135" s="521"/>
      <c r="P135" s="521"/>
      <c r="R135" s="1759"/>
      <c r="S135" s="1759"/>
      <c r="T135" s="1759"/>
    </row>
    <row r="136" spans="1:20" x14ac:dyDescent="0.25">
      <c r="A136" s="1758" t="s">
        <v>2453</v>
      </c>
      <c r="B136" s="1753">
        <v>0.44703059105624343</v>
      </c>
      <c r="C136" s="1753">
        <v>0.42121760610522535</v>
      </c>
      <c r="D136" s="1307">
        <v>0.39706296442329281</v>
      </c>
      <c r="E136" s="1307">
        <v>0.37684763798740878</v>
      </c>
      <c r="F136" s="1307">
        <v>0.36175610772490902</v>
      </c>
      <c r="G136" s="1307"/>
      <c r="H136" s="1307"/>
      <c r="N136" s="521"/>
      <c r="O136" s="521"/>
      <c r="P136" s="521"/>
      <c r="R136" s="1759"/>
      <c r="S136" s="1759"/>
      <c r="T136" s="1759"/>
    </row>
    <row r="137" spans="1:20" x14ac:dyDescent="0.25">
      <c r="A137" s="1758" t="s">
        <v>2454</v>
      </c>
      <c r="B137" s="1753">
        <v>0.4992289659200998</v>
      </c>
      <c r="C137" s="1753">
        <v>0.47006629571177727</v>
      </c>
      <c r="D137" s="1307">
        <v>0.44309030513053493</v>
      </c>
      <c r="E137" s="1307">
        <v>0.4207152755815815</v>
      </c>
      <c r="F137" s="1307">
        <v>0.40316961278778352</v>
      </c>
      <c r="G137" s="1307"/>
      <c r="H137" s="1307"/>
      <c r="N137" s="521"/>
      <c r="O137" s="521"/>
      <c r="P137" s="521"/>
      <c r="R137" s="1759"/>
      <c r="S137" s="1759"/>
      <c r="T137" s="1759"/>
    </row>
    <row r="138" spans="1:20" x14ac:dyDescent="0.25">
      <c r="A138" s="1758" t="s">
        <v>2455</v>
      </c>
      <c r="B138" s="1753">
        <v>0.54807765552665177</v>
      </c>
      <c r="C138" s="1753">
        <v>0.51609363641901951</v>
      </c>
      <c r="D138" s="1307">
        <v>0.48695794272470788</v>
      </c>
      <c r="E138" s="1307">
        <v>0.46212878064445589</v>
      </c>
      <c r="F138" s="1307">
        <v>0.44277642048404714</v>
      </c>
      <c r="G138" s="1307"/>
      <c r="H138" s="1307"/>
      <c r="N138" s="521"/>
      <c r="O138" s="521"/>
      <c r="P138" s="521"/>
      <c r="R138" s="1759"/>
      <c r="S138" s="1759"/>
      <c r="T138" s="1759"/>
    </row>
    <row r="139" spans="1:20" x14ac:dyDescent="0.25">
      <c r="A139" s="1758" t="s">
        <v>2456</v>
      </c>
      <c r="B139" s="1753">
        <v>7.4236944463054733E-2</v>
      </c>
      <c r="C139" s="1753">
        <v>6.9471218849948266E-2</v>
      </c>
      <c r="D139" s="1307">
        <v>6.2874424815599836E-2</v>
      </c>
      <c r="E139" s="1307">
        <v>5.5752154658685084E-2</v>
      </c>
      <c r="F139" s="1307">
        <v>5.4771120800961998E-2</v>
      </c>
      <c r="G139" s="1307"/>
      <c r="H139" s="1307"/>
      <c r="N139" s="521"/>
      <c r="O139" s="521"/>
      <c r="P139" s="521"/>
      <c r="R139" s="1759"/>
      <c r="S139" s="1759"/>
      <c r="T139" s="1759"/>
    </row>
    <row r="140" spans="1:20" x14ac:dyDescent="0.25">
      <c r="A140" s="1758" t="s">
        <v>2457</v>
      </c>
      <c r="B140" s="1753">
        <v>0.56387086941845532</v>
      </c>
      <c r="C140" s="1753">
        <v>0.53119941702981677</v>
      </c>
      <c r="D140" s="1307">
        <v>0.50094557962027941</v>
      </c>
      <c r="E140" s="1307">
        <v>0.47558149787684023</v>
      </c>
      <c r="F140" s="1307">
        <v>0.45569096770625822</v>
      </c>
      <c r="G140" s="1307"/>
      <c r="H140" s="1307"/>
      <c r="N140" s="521"/>
      <c r="O140" s="521"/>
      <c r="P140" s="521"/>
      <c r="R140" s="1759"/>
      <c r="S140" s="1759"/>
      <c r="T140" s="1759"/>
    </row>
    <row r="141" spans="1:20" x14ac:dyDescent="0.25">
      <c r="A141" s="1758" t="s">
        <v>2458</v>
      </c>
      <c r="B141" s="1753">
        <v>0.60543636149287139</v>
      </c>
      <c r="C141" s="1753">
        <v>0.57041679847022753</v>
      </c>
      <c r="D141" s="1307">
        <v>0.53845592269244003</v>
      </c>
      <c r="E141" s="1307">
        <v>0.51144312236494327</v>
      </c>
      <c r="F141" s="1307">
        <v>0.48974022077228607</v>
      </c>
      <c r="G141" s="1307"/>
      <c r="H141" s="1307"/>
      <c r="N141" s="521"/>
      <c r="O141" s="521"/>
      <c r="P141" s="521"/>
      <c r="R141" s="1759"/>
      <c r="S141" s="1759"/>
      <c r="T141" s="1759"/>
    </row>
    <row r="142" spans="1:20" x14ac:dyDescent="0.25">
      <c r="A142" s="1758" t="s">
        <v>2459</v>
      </c>
      <c r="B142" s="1753">
        <v>0.64465374293328237</v>
      </c>
      <c r="C142" s="1753">
        <v>0.60792714154238836</v>
      </c>
      <c r="D142" s="1307">
        <v>0.5743175471805434</v>
      </c>
      <c r="E142" s="1307">
        <v>0.54549237543097129</v>
      </c>
      <c r="F142" s="1307">
        <v>0.52229280389665222</v>
      </c>
      <c r="G142" s="1307"/>
      <c r="H142" s="1307"/>
      <c r="N142" s="521"/>
      <c r="O142" s="521"/>
      <c r="P142" s="521"/>
      <c r="R142" s="1759"/>
      <c r="S142" s="1759"/>
      <c r="T142" s="1759"/>
    </row>
    <row r="143" spans="1:20" x14ac:dyDescent="0.25">
      <c r="A143" s="1758" t="s">
        <v>2460</v>
      </c>
      <c r="B143" s="1753">
        <v>0.6821640860054432</v>
      </c>
      <c r="C143" s="1753">
        <v>0.64378876603049151</v>
      </c>
      <c r="D143" s="1307">
        <v>0.60836680024657108</v>
      </c>
      <c r="E143" s="1307">
        <v>0.57804495855533722</v>
      </c>
      <c r="F143" s="1307">
        <v>0.55341453725110079</v>
      </c>
      <c r="G143" s="1307"/>
      <c r="H143" s="1307"/>
      <c r="N143" s="521"/>
      <c r="O143" s="521"/>
      <c r="P143" s="521"/>
      <c r="R143" s="1759"/>
      <c r="S143" s="1759"/>
      <c r="T143" s="1759"/>
    </row>
    <row r="144" spans="1:20" x14ac:dyDescent="0.25">
      <c r="A144" s="1758" t="s">
        <v>2461</v>
      </c>
      <c r="B144" s="1753">
        <v>0.71802571049354624</v>
      </c>
      <c r="C144" s="1753">
        <v>0.67783801909651942</v>
      </c>
      <c r="D144" s="1307">
        <v>0.64091938337093712</v>
      </c>
      <c r="E144" s="1307">
        <v>0.60916669190978578</v>
      </c>
      <c r="F144" s="1307">
        <v>0.58316834492726721</v>
      </c>
      <c r="G144" s="1307"/>
      <c r="H144" s="1307"/>
      <c r="N144" s="521"/>
      <c r="O144" s="521"/>
      <c r="P144" s="521"/>
      <c r="R144" s="1759"/>
      <c r="S144" s="1759"/>
      <c r="T144" s="1759"/>
    </row>
    <row r="145" spans="1:20" x14ac:dyDescent="0.25">
      <c r="A145" s="1758" t="s">
        <v>2462</v>
      </c>
      <c r="B145" s="1753">
        <v>0.75207496355957382</v>
      </c>
      <c r="C145" s="1753">
        <v>0.71039060222088535</v>
      </c>
      <c r="D145" s="1307">
        <v>0.67204111672538569</v>
      </c>
      <c r="E145" s="1307">
        <v>0.63892049958595221</v>
      </c>
      <c r="F145" s="1307">
        <v>0.61161438242917354</v>
      </c>
      <c r="G145" s="1307"/>
      <c r="H145" s="1307"/>
      <c r="N145" s="521"/>
      <c r="O145" s="521"/>
      <c r="P145" s="521"/>
      <c r="R145" s="1759"/>
      <c r="S145" s="1759"/>
      <c r="T145" s="1759"/>
    </row>
    <row r="146" spans="1:20" x14ac:dyDescent="0.25">
      <c r="A146" s="1758" t="s">
        <v>2463</v>
      </c>
      <c r="B146" s="1753">
        <v>0.78462754668394019</v>
      </c>
      <c r="C146" s="1753">
        <v>0.74151233557533403</v>
      </c>
      <c r="D146" s="1307">
        <v>0.70179492440155222</v>
      </c>
      <c r="E146" s="1307">
        <v>0.66736653708785876</v>
      </c>
      <c r="F146" s="1307">
        <v>0.63881015855027212</v>
      </c>
      <c r="G146" s="1307"/>
      <c r="H146" s="1307"/>
      <c r="N146" s="521"/>
      <c r="O146" s="521"/>
      <c r="P146" s="521"/>
      <c r="R146" s="1759"/>
      <c r="S146" s="1759"/>
      <c r="T146" s="1759"/>
    </row>
    <row r="147" spans="1:20" x14ac:dyDescent="0.25">
      <c r="A147" s="1758" t="s">
        <v>2464</v>
      </c>
      <c r="B147" s="1753">
        <v>0.81574928003838854</v>
      </c>
      <c r="C147" s="1753">
        <v>0.77126614325150034</v>
      </c>
      <c r="D147" s="1307">
        <v>0.73024096190345855</v>
      </c>
      <c r="E147" s="1307">
        <v>0.69456231320895723</v>
      </c>
      <c r="F147" s="1307">
        <v>0.6648672927063799</v>
      </c>
      <c r="G147" s="1307"/>
      <c r="H147" s="1307"/>
      <c r="N147" s="521"/>
      <c r="O147" s="521"/>
      <c r="P147" s="521"/>
      <c r="R147" s="1759"/>
      <c r="S147" s="1759"/>
      <c r="T147" s="1759"/>
    </row>
    <row r="148" spans="1:20" x14ac:dyDescent="0.25">
      <c r="A148" s="1758" t="s">
        <v>2465</v>
      </c>
      <c r="B148" s="1753">
        <v>0.84550308771455507</v>
      </c>
      <c r="C148" s="1753">
        <v>0.79971218075340689</v>
      </c>
      <c r="D148" s="1307">
        <v>0.75743673802455713</v>
      </c>
      <c r="E148" s="1307">
        <v>0.72061944736506489</v>
      </c>
      <c r="F148" s="1307">
        <v>0.68977912781316253</v>
      </c>
      <c r="G148" s="1307"/>
      <c r="H148" s="1307"/>
      <c r="N148" s="521"/>
      <c r="O148" s="521"/>
      <c r="P148" s="521"/>
      <c r="R148" s="1759"/>
      <c r="S148" s="1759"/>
      <c r="T148" s="1759"/>
    </row>
    <row r="149" spans="1:20" x14ac:dyDescent="0.25">
      <c r="A149" s="1758" t="s">
        <v>2466</v>
      </c>
      <c r="B149" s="1753">
        <v>0.87394912521646162</v>
      </c>
      <c r="C149" s="1753">
        <v>0.82690795687450558</v>
      </c>
      <c r="D149" s="1307">
        <v>0.7834938721806648</v>
      </c>
      <c r="E149" s="1307">
        <v>0.74553128247184752</v>
      </c>
      <c r="F149" s="1307">
        <v>0.71359602844501391</v>
      </c>
      <c r="G149" s="1307"/>
      <c r="H149" s="1307"/>
      <c r="N149" s="521"/>
      <c r="O149" s="521"/>
      <c r="P149" s="521"/>
      <c r="R149" s="1759"/>
      <c r="S149" s="1759"/>
      <c r="T149" s="1759"/>
    </row>
    <row r="150" spans="1:20" x14ac:dyDescent="0.25">
      <c r="A150" s="1758" t="s">
        <v>2467</v>
      </c>
      <c r="B150" s="1753">
        <v>0.14370816331300298</v>
      </c>
      <c r="C150" s="1753">
        <v>0.13234564366554813</v>
      </c>
      <c r="D150" s="1307">
        <v>0.11862657947428493</v>
      </c>
      <c r="E150" s="1307">
        <v>0.11052327545964706</v>
      </c>
      <c r="F150" s="1307">
        <v>0.10918692650144518</v>
      </c>
      <c r="G150" s="1307"/>
      <c r="H150" s="1307"/>
      <c r="N150" s="521"/>
      <c r="O150" s="521"/>
      <c r="P150" s="521"/>
      <c r="R150" s="1759"/>
      <c r="S150" s="1759"/>
      <c r="T150" s="1759"/>
    </row>
    <row r="151" spans="1:20" x14ac:dyDescent="0.25">
      <c r="A151" s="1758" t="s">
        <v>2468</v>
      </c>
      <c r="B151" s="1753">
        <v>0.90114490133756009</v>
      </c>
      <c r="C151" s="1753">
        <v>0.85296509103061313</v>
      </c>
      <c r="D151" s="1307">
        <v>0.80840570728744732</v>
      </c>
      <c r="E151" s="1307">
        <v>0.76934818310369912</v>
      </c>
      <c r="F151" s="1307">
        <v>0.73636614327953898</v>
      </c>
      <c r="G151" s="1307"/>
      <c r="H151" s="1307"/>
      <c r="N151" s="521"/>
      <c r="O151" s="521"/>
      <c r="P151" s="521"/>
      <c r="R151" s="1759"/>
      <c r="S151" s="1759"/>
      <c r="T151" s="1759"/>
    </row>
    <row r="152" spans="1:20" x14ac:dyDescent="0.25">
      <c r="A152" s="1758" t="s">
        <v>2469</v>
      </c>
      <c r="B152" s="1753">
        <v>0.92720203549366809</v>
      </c>
      <c r="C152" s="1753">
        <v>0.87787692613739565</v>
      </c>
      <c r="D152" s="1307">
        <v>0.83222260791929903</v>
      </c>
      <c r="E152" s="1307">
        <v>0.79211829793822408</v>
      </c>
      <c r="F152" s="1307">
        <v>0.75813550264050833</v>
      </c>
      <c r="G152" s="1307"/>
      <c r="H152" s="1307"/>
      <c r="N152" s="521"/>
      <c r="O152" s="521"/>
      <c r="P152" s="521"/>
      <c r="R152" s="1759"/>
      <c r="S152" s="1759"/>
      <c r="T152" s="1759"/>
    </row>
    <row r="153" spans="1:20" x14ac:dyDescent="0.25">
      <c r="A153" s="1758" t="s">
        <v>2470</v>
      </c>
      <c r="B153" s="1753">
        <v>0.9521138706004505</v>
      </c>
      <c r="C153" s="1753">
        <v>0.90169382676924748</v>
      </c>
      <c r="D153" s="1307">
        <v>0.85499272275382399</v>
      </c>
      <c r="E153" s="1307">
        <v>0.81388765729919355</v>
      </c>
      <c r="F153" s="1307">
        <v>0.77850735306252716</v>
      </c>
      <c r="G153" s="1307"/>
      <c r="H153" s="1307"/>
      <c r="N153" s="521"/>
      <c r="O153" s="521"/>
      <c r="P153" s="521"/>
      <c r="R153" s="1759"/>
      <c r="S153" s="1759"/>
      <c r="T153" s="1759"/>
    </row>
    <row r="154" spans="1:20" x14ac:dyDescent="0.25">
      <c r="A154" s="1758" t="s">
        <v>2471</v>
      </c>
      <c r="B154" s="1753">
        <v>0.97593077123230199</v>
      </c>
      <c r="C154" s="1753">
        <v>0.92446394160377221</v>
      </c>
      <c r="D154" s="1307">
        <v>0.87676208211479334</v>
      </c>
      <c r="E154" s="1307">
        <v>0.83425950772121216</v>
      </c>
      <c r="F154" s="1307">
        <v>0.79757140923136394</v>
      </c>
      <c r="G154" s="1307"/>
      <c r="H154" s="1307"/>
      <c r="N154" s="521"/>
      <c r="O154" s="521"/>
      <c r="P154" s="521"/>
      <c r="R154" s="1759"/>
      <c r="S154" s="1759"/>
      <c r="T154" s="1759"/>
    </row>
    <row r="155" spans="1:20" x14ac:dyDescent="0.25">
      <c r="A155" s="1758" t="s">
        <v>2472</v>
      </c>
      <c r="B155" s="1753">
        <v>0.99870088606682716</v>
      </c>
      <c r="C155" s="1753">
        <v>0.9462333009647419</v>
      </c>
      <c r="D155" s="1307">
        <v>0.89713393253681195</v>
      </c>
      <c r="E155" s="1307">
        <v>0.85332356389004871</v>
      </c>
      <c r="F155" s="1307">
        <v>0.8154116264958563</v>
      </c>
      <c r="G155" s="1307"/>
      <c r="H155" s="1307"/>
      <c r="N155" s="521"/>
      <c r="O155" s="521"/>
      <c r="P155" s="521"/>
      <c r="R155" s="1759"/>
      <c r="S155" s="1759"/>
      <c r="T155" s="1759"/>
    </row>
    <row r="156" spans="1:20" x14ac:dyDescent="0.25">
      <c r="A156" s="1758" t="s">
        <v>2473</v>
      </c>
      <c r="B156" s="1753">
        <v>1.0204702454277965</v>
      </c>
      <c r="C156" s="1753">
        <v>0.96660515138676051</v>
      </c>
      <c r="D156" s="1307">
        <v>0.91619798870564872</v>
      </c>
      <c r="E156" s="1307">
        <v>0.87116378115454141</v>
      </c>
      <c r="F156" s="1307">
        <v>0.83210657059513804</v>
      </c>
      <c r="G156" s="1307"/>
      <c r="H156" s="1307"/>
      <c r="N156" s="521"/>
      <c r="O156" s="521"/>
      <c r="P156" s="521"/>
      <c r="R156" s="1759"/>
      <c r="S156" s="1759"/>
      <c r="T156" s="1759"/>
    </row>
    <row r="157" spans="1:20" x14ac:dyDescent="0.25">
      <c r="A157" s="1758" t="s">
        <v>2474</v>
      </c>
      <c r="B157" s="1753">
        <v>0.20658258812860286</v>
      </c>
      <c r="C157" s="1753">
        <v>0.18809779832423318</v>
      </c>
      <c r="D157" s="1307">
        <v>0.1733977002752469</v>
      </c>
      <c r="E157" s="1307">
        <v>0.16493908116013026</v>
      </c>
      <c r="F157" s="1307">
        <v>0.16205472431214935</v>
      </c>
      <c r="G157" s="1307"/>
      <c r="H157" s="1307"/>
      <c r="N157" s="521"/>
      <c r="O157" s="521"/>
      <c r="P157" s="521"/>
      <c r="R157" s="1759"/>
      <c r="S157" s="1759"/>
      <c r="T157" s="1759"/>
    </row>
    <row r="158" spans="1:20" x14ac:dyDescent="0.25">
      <c r="A158" s="1758" t="s">
        <v>2475</v>
      </c>
      <c r="B158" s="1753">
        <v>0.26233474278728797</v>
      </c>
      <c r="C158" s="1753">
        <v>0.24286891912519526</v>
      </c>
      <c r="D158" s="1307">
        <v>0.22781350597573014</v>
      </c>
      <c r="E158" s="1307">
        <v>0.21780687897083445</v>
      </c>
      <c r="F158" s="1307">
        <v>0.21160090162222633</v>
      </c>
      <c r="G158" s="1307"/>
      <c r="H158" s="1307"/>
      <c r="N158" s="521"/>
      <c r="O158" s="521"/>
      <c r="P158" s="521"/>
      <c r="R158" s="1759"/>
      <c r="S158" s="1759"/>
      <c r="T158" s="1759"/>
    </row>
    <row r="159" spans="1:20" x14ac:dyDescent="0.25">
      <c r="A159" s="1758" t="s">
        <v>2476</v>
      </c>
      <c r="B159" s="1753">
        <v>0.31710586358824999</v>
      </c>
      <c r="C159" s="1753">
        <v>0.29728472482567836</v>
      </c>
      <c r="D159" s="1307">
        <v>0.2806813037864343</v>
      </c>
      <c r="E159" s="1307">
        <v>0.26735305628091138</v>
      </c>
      <c r="F159" s="1307">
        <v>0.2579208219007269</v>
      </c>
      <c r="G159" s="1307"/>
      <c r="H159" s="1307"/>
      <c r="N159" s="521"/>
      <c r="O159" s="521"/>
      <c r="P159" s="521"/>
      <c r="R159" s="1759"/>
      <c r="S159" s="1759"/>
      <c r="T159" s="1759"/>
    </row>
    <row r="160" spans="1:20" x14ac:dyDescent="0.25">
      <c r="A160" s="1758" t="s">
        <v>2477</v>
      </c>
      <c r="B160" s="1753">
        <v>0.37152166928873304</v>
      </c>
      <c r="C160" s="1753">
        <v>0.35015252263638258</v>
      </c>
      <c r="D160" s="1307">
        <v>0.33022748109651118</v>
      </c>
      <c r="E160" s="1307">
        <v>0.31367297655941201</v>
      </c>
      <c r="F160" s="1307">
        <v>0.30153612663116747</v>
      </c>
      <c r="G160" s="1307"/>
      <c r="H160" s="1307"/>
      <c r="N160" s="521"/>
      <c r="O160" s="521"/>
      <c r="P160" s="521"/>
      <c r="R160" s="1759"/>
      <c r="S160" s="1759"/>
      <c r="T160" s="1759"/>
    </row>
    <row r="161" spans="1:20" x14ac:dyDescent="0.25">
      <c r="A161" s="1758" t="s">
        <v>2478</v>
      </c>
      <c r="B161" s="1753">
        <v>0.42438946709943737</v>
      </c>
      <c r="C161" s="1753">
        <v>0.39969869994645951</v>
      </c>
      <c r="D161" s="1307">
        <v>0.37654740137501191</v>
      </c>
      <c r="E161" s="1307">
        <v>0.35728828128985257</v>
      </c>
      <c r="F161" s="1307">
        <v>0.34310161870558348</v>
      </c>
      <c r="G161" s="1307"/>
      <c r="H161" s="1307"/>
      <c r="N161" s="521"/>
      <c r="O161" s="521"/>
      <c r="P161" s="521"/>
      <c r="R161" s="1759"/>
      <c r="S161" s="1759"/>
      <c r="T161" s="1759"/>
    </row>
    <row r="162" spans="1:20" x14ac:dyDescent="0.25">
      <c r="A162" s="1758" t="s">
        <v>2479</v>
      </c>
      <c r="B162" s="1753">
        <v>0.47393564440951436</v>
      </c>
      <c r="C162" s="1753">
        <v>0.44601862022496025</v>
      </c>
      <c r="D162" s="1307">
        <v>0.42016270610545242</v>
      </c>
      <c r="E162" s="1307">
        <v>0.39885377336426853</v>
      </c>
      <c r="F162" s="1307">
        <v>0.38231900014599429</v>
      </c>
      <c r="G162" s="1307"/>
      <c r="H162" s="1307"/>
      <c r="N162" s="521"/>
      <c r="O162" s="521"/>
      <c r="P162" s="521"/>
      <c r="R162" s="1759"/>
      <c r="S162" s="1759"/>
      <c r="T162" s="1759"/>
    </row>
    <row r="163" spans="1:20" x14ac:dyDescent="0.25">
      <c r="A163" s="1758" t="s">
        <v>2480</v>
      </c>
      <c r="B163" s="1753">
        <v>0.52025556468801493</v>
      </c>
      <c r="C163" s="1753">
        <v>0.48963392495540065</v>
      </c>
      <c r="D163" s="1307">
        <v>0.46172819817986849</v>
      </c>
      <c r="E163" s="1307">
        <v>0.43807115480467934</v>
      </c>
      <c r="F163" s="1307">
        <v>0.41982934321815518</v>
      </c>
      <c r="G163" s="1307"/>
      <c r="H163" s="1307"/>
      <c r="N163" s="521"/>
      <c r="O163" s="521"/>
      <c r="P163" s="521"/>
      <c r="R163" s="1759"/>
      <c r="S163" s="1759"/>
      <c r="T163" s="1759"/>
    </row>
    <row r="164" spans="1:20" x14ac:dyDescent="0.25">
      <c r="A164" s="1758" t="s">
        <v>2481</v>
      </c>
      <c r="B164" s="1753">
        <v>6.8173847036115662E-2</v>
      </c>
      <c r="C164" s="1753">
        <v>6.379734890147451E-2</v>
      </c>
      <c r="D164" s="1307">
        <v>5.7702319419803742E-2</v>
      </c>
      <c r="E164" s="1307">
        <v>5.1118396214027716E-2</v>
      </c>
      <c r="F164" s="1307">
        <v>5.0239416873718558E-2</v>
      </c>
      <c r="G164" s="1307"/>
      <c r="H164" s="1307"/>
      <c r="N164" s="521"/>
      <c r="O164" s="521"/>
      <c r="P164" s="521"/>
      <c r="R164" s="1759"/>
      <c r="S164" s="1759"/>
      <c r="T164" s="1759"/>
    </row>
    <row r="165" spans="1:20" x14ac:dyDescent="0.25">
      <c r="A165" s="1758" t="s">
        <v>2482</v>
      </c>
      <c r="B165" s="1753">
        <v>0.51748052401153344</v>
      </c>
      <c r="C165" s="1753">
        <v>0.48743667710415822</v>
      </c>
      <c r="D165" s="1307">
        <v>0.45961010992909185</v>
      </c>
      <c r="E165" s="1307">
        <v>0.43631372807800806</v>
      </c>
      <c r="F165" s="1307">
        <v>0.41808965578964086</v>
      </c>
      <c r="G165" s="1307"/>
      <c r="H165" s="1307"/>
      <c r="N165" s="521"/>
      <c r="O165" s="521"/>
      <c r="P165" s="521"/>
      <c r="R165" s="1759"/>
      <c r="S165" s="1759"/>
      <c r="T165" s="1759"/>
    </row>
    <row r="166" spans="1:20" x14ac:dyDescent="0.25">
      <c r="A166" s="1758" t="s">
        <v>2483</v>
      </c>
      <c r="B166" s="1753">
        <v>0.5556105241402739</v>
      </c>
      <c r="C166" s="1753">
        <v>0.52340745883056639</v>
      </c>
      <c r="D166" s="1307">
        <v>0.49401604749781169</v>
      </c>
      <c r="E166" s="1307">
        <v>0.46920805200366855</v>
      </c>
      <c r="F166" s="1307">
        <v>0.44931949830365447</v>
      </c>
      <c r="G166" s="1307"/>
      <c r="H166" s="1307"/>
      <c r="N166" s="521"/>
      <c r="O166" s="521"/>
      <c r="P166" s="521"/>
      <c r="R166" s="1759"/>
      <c r="S166" s="1759"/>
      <c r="T166" s="1759"/>
    </row>
    <row r="167" spans="1:20" x14ac:dyDescent="0.25">
      <c r="A167" s="1758" t="s">
        <v>2484</v>
      </c>
      <c r="B167" s="1753">
        <v>0.59158130586668189</v>
      </c>
      <c r="C167" s="1753">
        <v>0.55781339639928629</v>
      </c>
      <c r="D167" s="1307">
        <v>0.52691037142347241</v>
      </c>
      <c r="E167" s="1307">
        <v>0.50043789451768239</v>
      </c>
      <c r="F167" s="1307">
        <v>0.47917719666616326</v>
      </c>
      <c r="G167" s="1307"/>
      <c r="H167" s="1307"/>
      <c r="N167" s="521"/>
      <c r="O167" s="521"/>
      <c r="P167" s="521"/>
      <c r="R167" s="1759"/>
      <c r="S167" s="1759"/>
      <c r="T167" s="1759"/>
    </row>
    <row r="168" spans="1:20" x14ac:dyDescent="0.25">
      <c r="A168" s="1758" t="s">
        <v>2485</v>
      </c>
      <c r="B168" s="1753">
        <v>0.62598724343540191</v>
      </c>
      <c r="C168" s="1753">
        <v>0.59070772032494678</v>
      </c>
      <c r="D168" s="1307">
        <v>0.55814021393748603</v>
      </c>
      <c r="E168" s="1307">
        <v>0.53029559288019101</v>
      </c>
      <c r="F168" s="1307">
        <v>0.50772306797887634</v>
      </c>
      <c r="G168" s="1307"/>
      <c r="H168" s="1307"/>
      <c r="N168" s="521"/>
      <c r="O168" s="521"/>
      <c r="P168" s="521"/>
      <c r="R168" s="1759"/>
      <c r="S168" s="1759"/>
      <c r="T168" s="1759"/>
    </row>
    <row r="169" spans="1:20" x14ac:dyDescent="0.25">
      <c r="A169" s="1758" t="s">
        <v>2486</v>
      </c>
      <c r="B169" s="1753">
        <v>0.65888156736106251</v>
      </c>
      <c r="C169" s="1753">
        <v>0.6219375628389604</v>
      </c>
      <c r="D169" s="1307">
        <v>0.58799791229999454</v>
      </c>
      <c r="E169" s="1307">
        <v>0.55884146419290404</v>
      </c>
      <c r="F169" s="1307">
        <v>0.53501477659455987</v>
      </c>
      <c r="G169" s="1307"/>
      <c r="H169" s="1307"/>
      <c r="N169" s="521"/>
      <c r="O169" s="521"/>
      <c r="P169" s="521"/>
      <c r="R169" s="1759"/>
      <c r="S169" s="1759"/>
      <c r="T169" s="1759"/>
    </row>
    <row r="170" spans="1:20" x14ac:dyDescent="0.25">
      <c r="A170" s="1758" t="s">
        <v>2487</v>
      </c>
      <c r="B170" s="1753">
        <v>0.69011140987507613</v>
      </c>
      <c r="C170" s="1753">
        <v>0.65179526120146924</v>
      </c>
      <c r="D170" s="1307">
        <v>0.61654378361270779</v>
      </c>
      <c r="E170" s="1307">
        <v>0.58613317280858745</v>
      </c>
      <c r="F170" s="1307">
        <v>0.56110745084390623</v>
      </c>
      <c r="G170" s="1307"/>
      <c r="H170" s="1307"/>
      <c r="N170" s="521"/>
      <c r="O170" s="521"/>
      <c r="P170" s="521"/>
      <c r="R170" s="1759"/>
      <c r="S170" s="1759"/>
      <c r="T170" s="1759"/>
    </row>
    <row r="171" spans="1:20" x14ac:dyDescent="0.25">
      <c r="A171" s="1758" t="s">
        <v>2488</v>
      </c>
      <c r="B171" s="1753">
        <v>0.71996910823758498</v>
      </c>
      <c r="C171" s="1753">
        <v>0.68034113251418227</v>
      </c>
      <c r="D171" s="1307">
        <v>0.64383549222839132</v>
      </c>
      <c r="E171" s="1307">
        <v>0.61222584705793393</v>
      </c>
      <c r="F171" s="1307">
        <v>0.58605379462352325</v>
      </c>
      <c r="G171" s="1307"/>
      <c r="H171" s="1307"/>
      <c r="N171" s="521"/>
      <c r="O171" s="521"/>
      <c r="P171" s="521"/>
      <c r="R171" s="1759"/>
      <c r="S171" s="1759"/>
      <c r="T171" s="1759"/>
    </row>
    <row r="172" spans="1:20" x14ac:dyDescent="0.25">
      <c r="A172" s="1758" t="s">
        <v>2489</v>
      </c>
      <c r="B172" s="1753">
        <v>0.74851497955029789</v>
      </c>
      <c r="C172" s="1753">
        <v>0.7076328411298658</v>
      </c>
      <c r="D172" s="1307">
        <v>0.66992816647773767</v>
      </c>
      <c r="E172" s="1307">
        <v>0.63717219083755083</v>
      </c>
      <c r="F172" s="1307">
        <v>0.60995456282840321</v>
      </c>
      <c r="G172" s="1307"/>
      <c r="H172" s="1307"/>
      <c r="N172" s="521"/>
      <c r="O172" s="521"/>
      <c r="P172" s="521"/>
      <c r="R172" s="1759"/>
      <c r="S172" s="1759"/>
      <c r="T172" s="1759"/>
    </row>
    <row r="173" spans="1:20" x14ac:dyDescent="0.25">
      <c r="A173" s="1758" t="s">
        <v>2490</v>
      </c>
      <c r="B173" s="1753">
        <v>0.77580668816598142</v>
      </c>
      <c r="C173" s="1753">
        <v>0.73372551537921205</v>
      </c>
      <c r="D173" s="1307">
        <v>0.69487451025735447</v>
      </c>
      <c r="E173" s="1307">
        <v>0.66107295904243102</v>
      </c>
      <c r="F173" s="1307">
        <v>0.63280526628578004</v>
      </c>
      <c r="G173" s="1307"/>
      <c r="H173" s="1307"/>
      <c r="N173" s="521"/>
      <c r="O173" s="521"/>
      <c r="P173" s="521"/>
      <c r="R173" s="1759"/>
      <c r="S173" s="1759"/>
      <c r="T173" s="1759"/>
    </row>
    <row r="174" spans="1:20" x14ac:dyDescent="0.25">
      <c r="A174" s="1758" t="s">
        <v>2491</v>
      </c>
      <c r="B174" s="1753">
        <v>0.80189936241532767</v>
      </c>
      <c r="C174" s="1753">
        <v>0.75867185915882906</v>
      </c>
      <c r="D174" s="1307">
        <v>0.71877527846223455</v>
      </c>
      <c r="E174" s="1307">
        <v>0.68392366249980752</v>
      </c>
      <c r="F174" s="1307">
        <v>0.65465206124966102</v>
      </c>
      <c r="G174" s="1307"/>
      <c r="H174" s="1307"/>
      <c r="N174" s="521"/>
      <c r="O174" s="521"/>
      <c r="P174" s="521"/>
      <c r="R174" s="1759"/>
      <c r="S174" s="1759"/>
      <c r="T174" s="1759"/>
    </row>
    <row r="175" spans="1:20" x14ac:dyDescent="0.25">
      <c r="A175" s="1758" t="s">
        <v>2492</v>
      </c>
      <c r="B175" s="1753">
        <v>0.13197119593759019</v>
      </c>
      <c r="C175" s="1753">
        <v>0.12149966832127829</v>
      </c>
      <c r="D175" s="1307">
        <v>0.10882071563383144</v>
      </c>
      <c r="E175" s="1307">
        <v>0.10135781308774626</v>
      </c>
      <c r="F175" s="1307">
        <v>0.10017813108869017</v>
      </c>
      <c r="G175" s="1307"/>
      <c r="H175" s="1307"/>
      <c r="N175" s="521"/>
      <c r="O175" s="521"/>
      <c r="P175" s="521"/>
      <c r="R175" s="1759"/>
      <c r="S175" s="1759"/>
      <c r="T175" s="1759"/>
    </row>
    <row r="176" spans="1:20" x14ac:dyDescent="0.25">
      <c r="A176" s="1758" t="s">
        <v>2493</v>
      </c>
      <c r="B176" s="1753">
        <v>0.82684570619494469</v>
      </c>
      <c r="C176" s="1753">
        <v>0.78257262736370903</v>
      </c>
      <c r="D176" s="1307">
        <v>0.74162598191961127</v>
      </c>
      <c r="E176" s="1307">
        <v>0.70577045746368861</v>
      </c>
      <c r="F176" s="1307">
        <v>0.67553907414492465</v>
      </c>
      <c r="G176" s="1307"/>
      <c r="H176" s="1307"/>
      <c r="N176" s="521"/>
      <c r="O176" s="521"/>
      <c r="P176" s="521"/>
      <c r="R176" s="1759"/>
      <c r="S176" s="1759"/>
      <c r="T176" s="1759"/>
    </row>
    <row r="177" spans="1:20" x14ac:dyDescent="0.25">
      <c r="A177" s="1758" t="s">
        <v>2494</v>
      </c>
      <c r="B177" s="1753">
        <v>0.85074647439982498</v>
      </c>
      <c r="C177" s="1753">
        <v>0.80542333082108586</v>
      </c>
      <c r="D177" s="1307">
        <v>0.76347277688349235</v>
      </c>
      <c r="E177" s="1307">
        <v>0.72665747035895234</v>
      </c>
      <c r="F177" s="1307">
        <v>0.69550849087872257</v>
      </c>
      <c r="G177" s="1307"/>
      <c r="H177" s="1307"/>
      <c r="N177" s="521"/>
      <c r="O177" s="521"/>
      <c r="P177" s="521"/>
      <c r="R177" s="1759"/>
      <c r="S177" s="1759"/>
      <c r="T177" s="1759"/>
    </row>
    <row r="178" spans="1:20" x14ac:dyDescent="0.25">
      <c r="A178" s="1758" t="s">
        <v>2495</v>
      </c>
      <c r="B178" s="1753">
        <v>0.87359717785720126</v>
      </c>
      <c r="C178" s="1753">
        <v>0.82727012578496695</v>
      </c>
      <c r="D178" s="1307">
        <v>0.78435978977875609</v>
      </c>
      <c r="E178" s="1307">
        <v>0.74662688709275027</v>
      </c>
      <c r="F178" s="1307">
        <v>0.71419594805053421</v>
      </c>
      <c r="G178" s="1307"/>
      <c r="H178" s="1307"/>
      <c r="N178" s="521"/>
      <c r="O178" s="521"/>
      <c r="P178" s="521"/>
      <c r="R178" s="1759"/>
      <c r="S178" s="1759"/>
      <c r="T178" s="1759"/>
    </row>
    <row r="179" spans="1:20" x14ac:dyDescent="0.25">
      <c r="A179" s="1758" t="s">
        <v>2496</v>
      </c>
      <c r="B179" s="1753">
        <v>0.89544397282108257</v>
      </c>
      <c r="C179" s="1753">
        <v>0.84815713868023068</v>
      </c>
      <c r="D179" s="1307">
        <v>0.80432920651255402</v>
      </c>
      <c r="E179" s="1307">
        <v>0.76531434426456202</v>
      </c>
      <c r="F179" s="1307">
        <v>0.73168374252162915</v>
      </c>
      <c r="G179" s="1307"/>
      <c r="H179" s="1307"/>
      <c r="N179" s="521"/>
      <c r="O179" s="521"/>
      <c r="P179" s="521"/>
      <c r="R179" s="1759"/>
      <c r="S179" s="1759"/>
      <c r="T179" s="1759"/>
    </row>
    <row r="180" spans="1:20" x14ac:dyDescent="0.25">
      <c r="A180" s="1758" t="s">
        <v>2497</v>
      </c>
      <c r="B180" s="1753">
        <v>0.91633098571634597</v>
      </c>
      <c r="C180" s="1753">
        <v>0.8681265554140285</v>
      </c>
      <c r="D180" s="1307">
        <v>0.82301666368436588</v>
      </c>
      <c r="E180" s="1307">
        <v>0.78280213873565685</v>
      </c>
      <c r="F180" s="1307">
        <v>0.74804888801207903</v>
      </c>
      <c r="G180" s="1307"/>
      <c r="H180" s="1307"/>
      <c r="N180" s="521"/>
      <c r="O180" s="521"/>
      <c r="P180" s="521"/>
      <c r="R180" s="1759"/>
      <c r="S180" s="1759"/>
      <c r="T180" s="1759"/>
    </row>
    <row r="181" spans="1:20" x14ac:dyDescent="0.25">
      <c r="A181" s="1758" t="s">
        <v>2498</v>
      </c>
      <c r="B181" s="1753">
        <v>0.93630040245014412</v>
      </c>
      <c r="C181" s="1753">
        <v>0.88681401258584047</v>
      </c>
      <c r="D181" s="1307">
        <v>0.84050445815546038</v>
      </c>
      <c r="E181" s="1307">
        <v>0.79916728422610661</v>
      </c>
      <c r="F181" s="1307">
        <v>0.76336345425805463</v>
      </c>
      <c r="G181" s="1307"/>
      <c r="H181" s="1307"/>
      <c r="N181" s="521"/>
      <c r="O181" s="521"/>
      <c r="P181" s="521"/>
      <c r="R181" s="1759"/>
      <c r="S181" s="1759"/>
      <c r="T181" s="1759"/>
    </row>
    <row r="182" spans="1:20" x14ac:dyDescent="0.25">
      <c r="A182" s="1758" t="s">
        <v>2499</v>
      </c>
      <c r="B182" s="1753">
        <v>0.18967351535739391</v>
      </c>
      <c r="C182" s="1753">
        <v>0.17261806453530595</v>
      </c>
      <c r="D182" s="1307">
        <v>0.15906013250755008</v>
      </c>
      <c r="E182" s="1307">
        <v>0.15129652730271792</v>
      </c>
      <c r="F182" s="1307">
        <v>0.14870714869886487</v>
      </c>
      <c r="G182" s="1307"/>
      <c r="H182" s="1307"/>
      <c r="N182" s="521"/>
      <c r="O182" s="521"/>
      <c r="P182" s="521"/>
      <c r="R182" s="1759"/>
      <c r="S182" s="1759"/>
      <c r="T182" s="1759"/>
    </row>
    <row r="183" spans="1:20" x14ac:dyDescent="0.25">
      <c r="A183" s="1758" t="s">
        <v>2500</v>
      </c>
      <c r="B183" s="1753">
        <v>0.24079191157142166</v>
      </c>
      <c r="C183" s="1753">
        <v>0.2228574814090245</v>
      </c>
      <c r="D183" s="1307">
        <v>0.20899884672252167</v>
      </c>
      <c r="E183" s="1307">
        <v>0.19982554491289259</v>
      </c>
      <c r="F183" s="1307">
        <v>0.19417805368200017</v>
      </c>
      <c r="G183" s="1307"/>
      <c r="H183" s="1307"/>
      <c r="N183" s="521"/>
      <c r="O183" s="521"/>
      <c r="P183" s="521"/>
      <c r="R183" s="1759"/>
      <c r="S183" s="1759"/>
      <c r="T183" s="1759"/>
    </row>
    <row r="184" spans="1:20" x14ac:dyDescent="0.25">
      <c r="A184" s="1758" t="s">
        <v>2501</v>
      </c>
      <c r="B184" s="1753">
        <v>0.29103132844514024</v>
      </c>
      <c r="C184" s="1753">
        <v>0.27279619562399621</v>
      </c>
      <c r="D184" s="1307">
        <v>0.25752786433269637</v>
      </c>
      <c r="E184" s="1307">
        <v>0.24529644989602784</v>
      </c>
      <c r="F184" s="1307">
        <v>0.23667743631800195</v>
      </c>
      <c r="G184" s="1307"/>
      <c r="H184" s="1307"/>
      <c r="N184" s="521"/>
      <c r="O184" s="521"/>
      <c r="P184" s="521"/>
      <c r="R184" s="1759"/>
      <c r="S184" s="1759"/>
      <c r="T184" s="1759"/>
    </row>
    <row r="185" spans="1:20" x14ac:dyDescent="0.25">
      <c r="A185" s="1758" t="s">
        <v>2502</v>
      </c>
      <c r="B185" s="1753">
        <v>0.34097004266011177</v>
      </c>
      <c r="C185" s="1753">
        <v>0.32132521323417085</v>
      </c>
      <c r="D185" s="1307">
        <v>0.30299876931583158</v>
      </c>
      <c r="E185" s="1307">
        <v>0.28779583253202973</v>
      </c>
      <c r="F185" s="1307">
        <v>0.27668861244011189</v>
      </c>
      <c r="G185" s="1307"/>
      <c r="H185" s="1307"/>
      <c r="N185" s="521"/>
      <c r="O185" s="521"/>
      <c r="P185" s="521"/>
      <c r="R185" s="1759"/>
      <c r="S185" s="1759"/>
      <c r="T185" s="1759"/>
    </row>
    <row r="186" spans="1:20" x14ac:dyDescent="0.25">
      <c r="A186" s="1758" t="s">
        <v>2503</v>
      </c>
      <c r="B186" s="1753">
        <v>0.38949906027028652</v>
      </c>
      <c r="C186" s="1753">
        <v>0.36679611821730612</v>
      </c>
      <c r="D186" s="1307">
        <v>0.34549815195183348</v>
      </c>
      <c r="E186" s="1307">
        <v>0.32780700865413959</v>
      </c>
      <c r="F186" s="1307">
        <v>0.3148186125688523</v>
      </c>
      <c r="G186" s="1307"/>
      <c r="H186" s="1307"/>
      <c r="N186" s="521"/>
      <c r="O186" s="521"/>
      <c r="P186" s="521"/>
      <c r="R186" s="1759"/>
      <c r="S186" s="1759"/>
      <c r="T186" s="1759"/>
    </row>
    <row r="187" spans="1:20" x14ac:dyDescent="0.25">
      <c r="A187" s="1758" t="s">
        <v>2504</v>
      </c>
      <c r="B187" s="1753">
        <v>0.4349699652534218</v>
      </c>
      <c r="C187" s="1753">
        <v>0.40929550085330796</v>
      </c>
      <c r="D187" s="1307">
        <v>0.38550932807394334</v>
      </c>
      <c r="E187" s="1307">
        <v>0.3659370087828801</v>
      </c>
      <c r="F187" s="1307">
        <v>0.3507893942952604</v>
      </c>
      <c r="G187" s="1307"/>
      <c r="H187" s="1307"/>
      <c r="N187" s="521"/>
      <c r="O187" s="521"/>
      <c r="P187" s="521"/>
      <c r="R187" s="1759"/>
      <c r="S187" s="1759"/>
      <c r="T187" s="1759"/>
    </row>
    <row r="188" spans="1:20" x14ac:dyDescent="0.25">
      <c r="A188" s="1758" t="s">
        <v>2505</v>
      </c>
      <c r="B188" s="1753">
        <v>0.47746934788942352</v>
      </c>
      <c r="C188" s="1753">
        <v>0.44930667697541793</v>
      </c>
      <c r="D188" s="1307">
        <v>0.42363932820268385</v>
      </c>
      <c r="E188" s="1307">
        <v>0.4019077905092881</v>
      </c>
      <c r="F188" s="1307">
        <v>0.38519533186398025</v>
      </c>
      <c r="G188" s="1307"/>
      <c r="H188" s="1307"/>
      <c r="N188" s="521"/>
      <c r="O188" s="521"/>
      <c r="P188" s="521"/>
      <c r="R188" s="1759"/>
      <c r="S188" s="1759"/>
      <c r="T188" s="1759"/>
    </row>
    <row r="189" spans="1:20" x14ac:dyDescent="0.25">
      <c r="A189" s="1758" t="s">
        <v>2506</v>
      </c>
      <c r="B189" s="1753">
        <v>8.0089093812004006E-2</v>
      </c>
      <c r="C189" s="1753">
        <v>7.2776954124957494E-2</v>
      </c>
      <c r="D189" s="1307">
        <v>6.4909155565011298E-2</v>
      </c>
      <c r="E189" s="1307">
        <v>6.3604618915221497E-2</v>
      </c>
      <c r="F189" s="1307">
        <v>6.29924558153344E-2</v>
      </c>
      <c r="G189" s="1307"/>
      <c r="H189" s="1307"/>
      <c r="N189" s="521"/>
      <c r="O189" s="521"/>
      <c r="P189" s="521"/>
      <c r="R189" s="1759"/>
      <c r="S189" s="1759"/>
      <c r="T189" s="1759"/>
    </row>
    <row r="190" spans="1:20" x14ac:dyDescent="0.25">
      <c r="A190" s="1758" t="s">
        <v>2507</v>
      </c>
      <c r="B190" s="1753">
        <v>0.615382510487686</v>
      </c>
      <c r="C190" s="1753">
        <v>0.58084999560624195</v>
      </c>
      <c r="D190" s="1307">
        <v>0.55163970730626899</v>
      </c>
      <c r="E190" s="1307">
        <v>0.52837711898287998</v>
      </c>
      <c r="F190" s="1307">
        <v>0.50433072794839295</v>
      </c>
      <c r="G190" s="1307"/>
      <c r="H190" s="1307"/>
      <c r="N190" s="521"/>
      <c r="O190" s="521"/>
      <c r="P190" s="521"/>
      <c r="R190" s="1759"/>
      <c r="S190" s="1759"/>
      <c r="T190" s="1759"/>
    </row>
    <row r="191" spans="1:20" x14ac:dyDescent="0.25">
      <c r="A191" s="1758" t="s">
        <v>2508</v>
      </c>
      <c r="B191" s="1753">
        <v>0.66093908941824597</v>
      </c>
      <c r="C191" s="1753">
        <v>0.62441666143122698</v>
      </c>
      <c r="D191" s="1307">
        <v>0.59328627454789196</v>
      </c>
      <c r="E191" s="1307">
        <v>0.56793534686361502</v>
      </c>
      <c r="F191" s="1307">
        <v>0.54214541889928003</v>
      </c>
      <c r="G191" s="1307"/>
      <c r="H191" s="1307"/>
      <c r="N191" s="521"/>
      <c r="O191" s="521"/>
      <c r="P191" s="521"/>
      <c r="R191" s="1759"/>
      <c r="S191" s="1759"/>
      <c r="T191" s="1759"/>
    </row>
    <row r="192" spans="1:20" x14ac:dyDescent="0.25">
      <c r="A192" s="1758" t="s">
        <v>2509</v>
      </c>
      <c r="B192" s="1753">
        <v>0.704505755243231</v>
      </c>
      <c r="C192" s="1753">
        <v>0.66606322867284895</v>
      </c>
      <c r="D192" s="1307">
        <v>0.632844502428626</v>
      </c>
      <c r="E192" s="1307">
        <v>0.60575003781450198</v>
      </c>
      <c r="F192" s="1307">
        <v>0.57829346109877</v>
      </c>
      <c r="G192" s="1307"/>
      <c r="H192" s="1307"/>
      <c r="N192" s="521"/>
      <c r="O192" s="521"/>
      <c r="P192" s="521"/>
      <c r="R192" s="1759"/>
      <c r="S192" s="1759"/>
      <c r="T192" s="1759"/>
    </row>
    <row r="193" spans="1:20" x14ac:dyDescent="0.25">
      <c r="A193" s="1758" t="s">
        <v>2510</v>
      </c>
      <c r="B193" s="1753">
        <v>0.74615232248485297</v>
      </c>
      <c r="C193" s="1753">
        <v>0.70562145655358299</v>
      </c>
      <c r="D193" s="1307">
        <v>0.67065919337951296</v>
      </c>
      <c r="E193" s="1307">
        <v>0.64189808001399196</v>
      </c>
      <c r="F193" s="1307">
        <v>0.61284835018348005</v>
      </c>
      <c r="G193" s="1307"/>
      <c r="H193" s="1307"/>
      <c r="N193" s="521"/>
      <c r="O193" s="521"/>
      <c r="P193" s="521"/>
      <c r="R193" s="1759"/>
      <c r="S193" s="1759"/>
      <c r="T193" s="1759"/>
    </row>
    <row r="194" spans="1:20" x14ac:dyDescent="0.25">
      <c r="A194" s="1758" t="s">
        <v>2511</v>
      </c>
      <c r="B194" s="1753">
        <v>0.78571055036558701</v>
      </c>
      <c r="C194" s="1753">
        <v>0.74343614750447096</v>
      </c>
      <c r="D194" s="1307">
        <v>0.70680723557900305</v>
      </c>
      <c r="E194" s="1307">
        <v>0.67645296909870101</v>
      </c>
      <c r="F194" s="1307">
        <v>0.64588033902030895</v>
      </c>
      <c r="G194" s="1307"/>
      <c r="H194" s="1307"/>
      <c r="N194" s="521"/>
      <c r="O194" s="521"/>
      <c r="P194" s="521"/>
      <c r="R194" s="1759"/>
      <c r="S194" s="1759"/>
      <c r="T194" s="1759"/>
    </row>
    <row r="195" spans="1:20" x14ac:dyDescent="0.25">
      <c r="A195" s="1758" t="s">
        <v>2512</v>
      </c>
      <c r="B195" s="1753">
        <v>0.82352524131647498</v>
      </c>
      <c r="C195" s="1753">
        <v>0.77958418970396104</v>
      </c>
      <c r="D195" s="1307">
        <v>0.74136212466371298</v>
      </c>
      <c r="E195" s="1307">
        <v>0.70948495793553101</v>
      </c>
      <c r="F195" s="1307">
        <v>0.67745658086280303</v>
      </c>
      <c r="G195" s="1307"/>
      <c r="H195" s="1307"/>
      <c r="N195" s="521"/>
      <c r="O195" s="521"/>
      <c r="P195" s="521"/>
      <c r="R195" s="1759"/>
      <c r="S195" s="1759"/>
      <c r="T195" s="1759"/>
    </row>
    <row r="196" spans="1:20" x14ac:dyDescent="0.25">
      <c r="A196" s="1758" t="s">
        <v>2513</v>
      </c>
      <c r="B196" s="1753">
        <v>0.85967328351596395</v>
      </c>
      <c r="C196" s="1753">
        <v>0.81413907878866998</v>
      </c>
      <c r="D196" s="1307">
        <v>0.77439411350054199</v>
      </c>
      <c r="E196" s="1307">
        <v>0.74106119977802398</v>
      </c>
      <c r="F196" s="1307">
        <v>0.70771959092952297</v>
      </c>
      <c r="G196" s="1307"/>
      <c r="H196" s="1307"/>
      <c r="N196" s="521"/>
      <c r="O196" s="521"/>
      <c r="P196" s="521"/>
      <c r="R196" s="1759"/>
      <c r="S196" s="1759"/>
      <c r="T196" s="1759"/>
    </row>
    <row r="197" spans="1:20" x14ac:dyDescent="0.25">
      <c r="A197" s="1758" t="s">
        <v>2514</v>
      </c>
      <c r="B197" s="1753">
        <v>0.894228172600674</v>
      </c>
      <c r="C197" s="1753">
        <v>0.84717106762549998</v>
      </c>
      <c r="D197" s="1307">
        <v>0.80597035534303596</v>
      </c>
      <c r="E197" s="1307">
        <v>0.77132420984474503</v>
      </c>
      <c r="F197" s="1307">
        <v>0.73664884074234105</v>
      </c>
      <c r="G197" s="1307"/>
      <c r="H197" s="1307"/>
      <c r="N197" s="521"/>
      <c r="O197" s="521"/>
      <c r="P197" s="521"/>
      <c r="R197" s="1759"/>
      <c r="S197" s="1759"/>
      <c r="T197" s="1759"/>
    </row>
    <row r="198" spans="1:20" x14ac:dyDescent="0.25">
      <c r="A198" s="1758" t="s">
        <v>2515</v>
      </c>
      <c r="B198" s="1753">
        <v>0.927260161437504</v>
      </c>
      <c r="C198" s="1753">
        <v>0.87874730946799295</v>
      </c>
      <c r="D198" s="1307">
        <v>0.83623336540975601</v>
      </c>
      <c r="E198" s="1307">
        <v>0.800253459657563</v>
      </c>
      <c r="F198" s="1307">
        <v>0.76430314381403996</v>
      </c>
      <c r="G198" s="1307"/>
      <c r="H198" s="1307"/>
      <c r="N198" s="521"/>
      <c r="O198" s="521"/>
      <c r="P198" s="521"/>
      <c r="R198" s="1759"/>
      <c r="S198" s="1759"/>
      <c r="T198" s="1759"/>
    </row>
    <row r="199" spans="1:20" x14ac:dyDescent="0.25">
      <c r="A199" s="1758" t="s">
        <v>2516</v>
      </c>
      <c r="B199" s="1753">
        <v>0.95883640327999697</v>
      </c>
      <c r="C199" s="1753">
        <v>0.90901031953471301</v>
      </c>
      <c r="D199" s="1307">
        <v>0.86516261522257398</v>
      </c>
      <c r="E199" s="1307">
        <v>0.82790776272926203</v>
      </c>
      <c r="F199" s="1307">
        <v>0.79073871880110402</v>
      </c>
      <c r="G199" s="1307"/>
      <c r="H199" s="1307"/>
      <c r="N199" s="521"/>
      <c r="O199" s="521"/>
      <c r="P199" s="521"/>
      <c r="R199" s="1759"/>
      <c r="S199" s="1759"/>
      <c r="T199" s="1759"/>
    </row>
    <row r="200" spans="1:20" x14ac:dyDescent="0.25">
      <c r="A200" s="1758" t="s">
        <v>2517</v>
      </c>
      <c r="B200" s="1753">
        <v>0.15286604793696201</v>
      </c>
      <c r="C200" s="1753">
        <v>0.137686109689969</v>
      </c>
      <c r="D200" s="1307">
        <v>0.12851377448023299</v>
      </c>
      <c r="E200" s="1307">
        <v>0.12659707473055601</v>
      </c>
      <c r="F200" s="1307">
        <v>0.12410627491764201</v>
      </c>
      <c r="G200" s="1307"/>
      <c r="H200" s="1307"/>
      <c r="N200" s="521"/>
      <c r="O200" s="521"/>
      <c r="P200" s="521"/>
      <c r="R200" s="1759"/>
      <c r="S200" s="1759"/>
      <c r="T200" s="1759"/>
    </row>
    <row r="201" spans="1:20" x14ac:dyDescent="0.25">
      <c r="A201" s="1758" t="s">
        <v>2518</v>
      </c>
      <c r="B201" s="1753">
        <v>0.98909941334671803</v>
      </c>
      <c r="C201" s="1753">
        <v>0.93793956934753098</v>
      </c>
      <c r="D201" s="1307">
        <v>0.89281691829427301</v>
      </c>
      <c r="E201" s="1307">
        <v>0.85434333771632598</v>
      </c>
      <c r="F201" s="1307">
        <v>0.81600930405218297</v>
      </c>
      <c r="G201" s="1307"/>
      <c r="H201" s="1307"/>
      <c r="N201" s="521"/>
      <c r="O201" s="521"/>
      <c r="P201" s="521"/>
      <c r="R201" s="1759"/>
      <c r="S201" s="1759"/>
      <c r="T201" s="1759"/>
    </row>
    <row r="202" spans="1:20" x14ac:dyDescent="0.25">
      <c r="A202" s="1758" t="s">
        <v>2519</v>
      </c>
      <c r="B202" s="1753">
        <v>1.0180286631595401</v>
      </c>
      <c r="C202" s="1753">
        <v>0.96559387241923</v>
      </c>
      <c r="D202" s="1307">
        <v>0.91925249328133696</v>
      </c>
      <c r="E202" s="1307">
        <v>0.87961392296740504</v>
      </c>
      <c r="F202" s="1307">
        <v>0.840166267097055</v>
      </c>
      <c r="G202" s="1307"/>
      <c r="H202" s="1307"/>
      <c r="N202" s="521"/>
      <c r="O202" s="521"/>
      <c r="P202" s="521"/>
      <c r="R202" s="1759"/>
      <c r="S202" s="1759"/>
      <c r="T202" s="1759"/>
    </row>
    <row r="203" spans="1:20" x14ac:dyDescent="0.25">
      <c r="A203" s="1758" t="s">
        <v>2520</v>
      </c>
      <c r="B203" s="1753">
        <v>1.0456829662312299</v>
      </c>
      <c r="C203" s="1753">
        <v>0.99202944740629495</v>
      </c>
      <c r="D203" s="1307">
        <v>0.94452307853241602</v>
      </c>
      <c r="E203" s="1307">
        <v>0.90377088601227695</v>
      </c>
      <c r="F203" s="1307">
        <v>0.86277244625190397</v>
      </c>
      <c r="G203" s="1307"/>
      <c r="H203" s="1307"/>
      <c r="N203" s="521"/>
      <c r="O203" s="521"/>
      <c r="P203" s="521"/>
      <c r="R203" s="1759"/>
      <c r="S203" s="1759"/>
      <c r="T203" s="1759"/>
    </row>
    <row r="204" spans="1:20" x14ac:dyDescent="0.25">
      <c r="A204" s="1758" t="s">
        <v>2521</v>
      </c>
      <c r="B204" s="1753">
        <v>1.0721185412183001</v>
      </c>
      <c r="C204" s="1753">
        <v>1.01730003265737</v>
      </c>
      <c r="D204" s="1307">
        <v>0.96868004157728804</v>
      </c>
      <c r="E204" s="1307">
        <v>0.92637706516712603</v>
      </c>
      <c r="F204" s="1307">
        <v>0.88392739586340396</v>
      </c>
      <c r="G204" s="1307"/>
      <c r="H204" s="1307"/>
      <c r="N204" s="521"/>
      <c r="O204" s="521"/>
      <c r="P204" s="521"/>
      <c r="R204" s="1759"/>
      <c r="S204" s="1759"/>
      <c r="T204" s="1759"/>
    </row>
    <row r="205" spans="1:20" x14ac:dyDescent="0.25">
      <c r="A205" s="1758" t="s">
        <v>2522</v>
      </c>
      <c r="B205" s="1753">
        <v>1.09738912646938</v>
      </c>
      <c r="C205" s="1753">
        <v>1.0414569957022499</v>
      </c>
      <c r="D205" s="1307">
        <v>0.99128622073213701</v>
      </c>
      <c r="E205" s="1307">
        <v>0.94753201477862603</v>
      </c>
      <c r="F205" s="1307">
        <v>0.90372427927300603</v>
      </c>
      <c r="G205" s="1307"/>
      <c r="H205" s="1307"/>
      <c r="N205" s="521"/>
      <c r="O205" s="521"/>
      <c r="P205" s="521"/>
      <c r="R205" s="1759"/>
      <c r="S205" s="1759"/>
      <c r="T205" s="1759"/>
    </row>
    <row r="206" spans="1:20" x14ac:dyDescent="0.25">
      <c r="A206" s="1758" t="s">
        <v>2523</v>
      </c>
      <c r="B206" s="1753">
        <v>1.1215460895142499</v>
      </c>
      <c r="C206" s="1753">
        <v>1.0640631748570899</v>
      </c>
      <c r="D206" s="1307">
        <v>1.01244117034364</v>
      </c>
      <c r="E206" s="1307">
        <v>0.96732889818822798</v>
      </c>
      <c r="F206" s="1307">
        <v>0.92225027909483104</v>
      </c>
      <c r="G206" s="1307"/>
      <c r="H206" s="1307"/>
      <c r="N206" s="521"/>
      <c r="O206" s="521"/>
      <c r="P206" s="521"/>
      <c r="R206" s="1759"/>
      <c r="S206" s="1759"/>
      <c r="T206" s="1759"/>
    </row>
    <row r="207" spans="1:20" x14ac:dyDescent="0.25">
      <c r="A207" s="1758" t="s">
        <v>2524</v>
      </c>
      <c r="B207" s="1753">
        <v>1.1441522686690999</v>
      </c>
      <c r="C207" s="1753">
        <v>1.0852181244685899</v>
      </c>
      <c r="D207" s="1307">
        <v>1.0322380537532401</v>
      </c>
      <c r="E207" s="1307">
        <v>0.98585489801005199</v>
      </c>
      <c r="F207" s="1307">
        <v>0.93958698115530703</v>
      </c>
      <c r="G207" s="1307"/>
      <c r="H207" s="1307"/>
      <c r="N207" s="521"/>
      <c r="O207" s="521"/>
      <c r="P207" s="521"/>
      <c r="R207" s="1759"/>
      <c r="S207" s="1759"/>
      <c r="T207" s="1759"/>
    </row>
    <row r="208" spans="1:20" x14ac:dyDescent="0.25">
      <c r="A208" s="1758" t="s">
        <v>2525</v>
      </c>
      <c r="B208" s="1753">
        <v>1.1653072182805999</v>
      </c>
      <c r="C208" s="1753">
        <v>1.1050150078782</v>
      </c>
      <c r="D208" s="1307">
        <v>1.05076405357506</v>
      </c>
      <c r="E208" s="1307">
        <v>1.0031916000705301</v>
      </c>
      <c r="F208" s="1307">
        <v>0.95581073378536097</v>
      </c>
      <c r="G208" s="1307"/>
      <c r="H208" s="1307"/>
      <c r="N208" s="521"/>
      <c r="O208" s="521"/>
      <c r="P208" s="521"/>
      <c r="R208" s="1759"/>
      <c r="S208" s="1759"/>
      <c r="T208" s="1759"/>
    </row>
    <row r="209" spans="1:20" x14ac:dyDescent="0.25">
      <c r="A209" s="1758" t="s">
        <v>2526</v>
      </c>
      <c r="B209" s="1753">
        <v>1.1851041016902</v>
      </c>
      <c r="C209" s="1753">
        <v>1.1235410077000201</v>
      </c>
      <c r="D209" s="1307">
        <v>1.06810075563554</v>
      </c>
      <c r="E209" s="1307">
        <v>1.01941535270058</v>
      </c>
      <c r="F209" s="1307">
        <v>0.97099298404743595</v>
      </c>
      <c r="G209" s="1307"/>
      <c r="H209" s="1307"/>
      <c r="N209" s="521"/>
      <c r="O209" s="521"/>
      <c r="P209" s="521"/>
      <c r="R209" s="1759"/>
      <c r="S209" s="1759"/>
      <c r="T209" s="1759"/>
    </row>
    <row r="210" spans="1:20" x14ac:dyDescent="0.25">
      <c r="A210" s="1758" t="s">
        <v>2527</v>
      </c>
      <c r="B210" s="1753">
        <v>1.2036301015120301</v>
      </c>
      <c r="C210" s="1753">
        <v>1.1408777097605001</v>
      </c>
      <c r="D210" s="1307">
        <v>1.0843245082655899</v>
      </c>
      <c r="E210" s="1307">
        <v>1.03459760296266</v>
      </c>
      <c r="F210" s="1307">
        <v>0.98520059237803304</v>
      </c>
      <c r="G210" s="1307"/>
      <c r="H210" s="1307"/>
      <c r="N210" s="521"/>
      <c r="O210" s="521"/>
      <c r="P210" s="521"/>
      <c r="R210" s="1759"/>
      <c r="S210" s="1759"/>
      <c r="T210" s="1759"/>
    </row>
    <row r="211" spans="1:20" x14ac:dyDescent="0.25">
      <c r="A211" s="1758" t="s">
        <v>2528</v>
      </c>
      <c r="B211" s="1753">
        <v>0.21777520350197299</v>
      </c>
      <c r="C211" s="1753">
        <v>0.20129072860519001</v>
      </c>
      <c r="D211" s="1307">
        <v>0.19150623029556699</v>
      </c>
      <c r="E211" s="1307">
        <v>0.18771089383286399</v>
      </c>
      <c r="F211" s="1307">
        <v>0.18145234341802799</v>
      </c>
      <c r="G211" s="1307"/>
      <c r="H211" s="1307"/>
      <c r="N211" s="521"/>
      <c r="O211" s="521"/>
      <c r="P211" s="521"/>
      <c r="R211" s="1759"/>
      <c r="S211" s="1759"/>
      <c r="T211" s="1759"/>
    </row>
    <row r="212" spans="1:20" x14ac:dyDescent="0.25">
      <c r="A212" s="1758" t="s">
        <v>2529</v>
      </c>
      <c r="B212" s="1753">
        <v>1.2209668035725001</v>
      </c>
      <c r="C212" s="1753">
        <v>1.15710146239055</v>
      </c>
      <c r="D212" s="1307">
        <v>1.0995067585276701</v>
      </c>
      <c r="E212" s="1307">
        <v>1.04880521129325</v>
      </c>
      <c r="F212" s="1307">
        <v>0.998496127031408</v>
      </c>
      <c r="G212" s="1307"/>
      <c r="H212" s="1307"/>
      <c r="N212" s="521"/>
      <c r="O212" s="521"/>
      <c r="P212" s="521"/>
      <c r="R212" s="1759"/>
      <c r="S212" s="1759"/>
      <c r="T212" s="1759"/>
    </row>
    <row r="213" spans="1:20" x14ac:dyDescent="0.25">
      <c r="A213" s="1758" t="s">
        <v>2530</v>
      </c>
      <c r="B213" s="1753">
        <v>0.281379822417194</v>
      </c>
      <c r="C213" s="1753">
        <v>0.26428318442052501</v>
      </c>
      <c r="D213" s="1307">
        <v>0.25262004939787502</v>
      </c>
      <c r="E213" s="1307">
        <v>0.245056962333249</v>
      </c>
      <c r="F213" s="1307">
        <v>0.23514839239219601</v>
      </c>
      <c r="G213" s="1307"/>
      <c r="H213" s="1307"/>
      <c r="N213" s="521"/>
      <c r="O213" s="521"/>
      <c r="P213" s="521"/>
      <c r="R213" s="1759"/>
      <c r="S213" s="1759"/>
      <c r="T213" s="1759"/>
    </row>
    <row r="214" spans="1:20" x14ac:dyDescent="0.25">
      <c r="A214" s="1758" t="s">
        <v>2531</v>
      </c>
      <c r="B214" s="1753">
        <v>0.34437227823252903</v>
      </c>
      <c r="C214" s="1753">
        <v>0.32539700352283202</v>
      </c>
      <c r="D214" s="1307">
        <v>0.30996611789826101</v>
      </c>
      <c r="E214" s="1307">
        <v>0.29875301130741699</v>
      </c>
      <c r="F214" s="1307">
        <v>0.28576193451774501</v>
      </c>
      <c r="G214" s="1307"/>
      <c r="H214" s="1307"/>
      <c r="N214" s="521"/>
      <c r="O214" s="521"/>
      <c r="P214" s="521"/>
      <c r="R214" s="1759"/>
      <c r="S214" s="1759"/>
      <c r="T214" s="1759"/>
    </row>
    <row r="215" spans="1:20" x14ac:dyDescent="0.25">
      <c r="A215" s="1758" t="s">
        <v>2532</v>
      </c>
      <c r="B215" s="1753">
        <v>0.40548609733483598</v>
      </c>
      <c r="C215" s="1753">
        <v>0.382743072023218</v>
      </c>
      <c r="D215" s="1307">
        <v>0.36366216687242803</v>
      </c>
      <c r="E215" s="1307">
        <v>0.34936655343296702</v>
      </c>
      <c r="F215" s="1307">
        <v>0.33400268807049099</v>
      </c>
      <c r="G215" s="1307"/>
      <c r="H215" s="1307"/>
      <c r="N215" s="521"/>
      <c r="O215" s="521"/>
      <c r="P215" s="521"/>
      <c r="R215" s="1759"/>
      <c r="S215" s="1759"/>
      <c r="T215" s="1759"/>
    </row>
    <row r="216" spans="1:20" x14ac:dyDescent="0.25">
      <c r="A216" s="1758" t="s">
        <v>2533</v>
      </c>
      <c r="B216" s="1753">
        <v>0.46283216583522202</v>
      </c>
      <c r="C216" s="1753">
        <v>0.43643912099738602</v>
      </c>
      <c r="D216" s="1307">
        <v>0.414275708997978</v>
      </c>
      <c r="E216" s="1307">
        <v>0.397607306985713</v>
      </c>
      <c r="F216" s="1307">
        <v>0.37955926700105103</v>
      </c>
      <c r="G216" s="1307"/>
      <c r="H216" s="1307"/>
      <c r="N216" s="521"/>
      <c r="O216" s="521"/>
      <c r="P216" s="521"/>
      <c r="R216" s="1759"/>
      <c r="S216" s="1759"/>
      <c r="T216" s="1759"/>
    </row>
    <row r="217" spans="1:20" x14ac:dyDescent="0.25">
      <c r="A217" s="1758" t="s">
        <v>2534</v>
      </c>
      <c r="B217" s="1753">
        <v>0.51652821480939004</v>
      </c>
      <c r="C217" s="1753">
        <v>0.48705266312293599</v>
      </c>
      <c r="D217" s="1307">
        <v>0.46251646255072398</v>
      </c>
      <c r="E217" s="1307">
        <v>0.44316388591627298</v>
      </c>
      <c r="F217" s="1307">
        <v>0.423125932826037</v>
      </c>
      <c r="G217" s="1307"/>
      <c r="H217" s="1307"/>
      <c r="N217" s="521"/>
      <c r="O217" s="521"/>
      <c r="P217" s="521"/>
      <c r="R217" s="1759"/>
      <c r="S217" s="1759"/>
      <c r="T217" s="1759"/>
    </row>
    <row r="218" spans="1:20" x14ac:dyDescent="0.25">
      <c r="A218" s="1758" t="s">
        <v>2535</v>
      </c>
      <c r="B218" s="1753">
        <v>0.56714175693493996</v>
      </c>
      <c r="C218" s="1753">
        <v>0.53529341667568198</v>
      </c>
      <c r="D218" s="1307">
        <v>0.50807304148128396</v>
      </c>
      <c r="E218" s="1307">
        <v>0.48673055174125801</v>
      </c>
      <c r="F218" s="1307">
        <v>0.46477250006765902</v>
      </c>
      <c r="G218" s="1307"/>
      <c r="H218" s="1307"/>
      <c r="N218" s="521"/>
      <c r="O218" s="521"/>
      <c r="P218" s="521"/>
      <c r="R218" s="1759"/>
      <c r="S218" s="1759"/>
      <c r="T218" s="1759"/>
    </row>
    <row r="219" spans="1:20" x14ac:dyDescent="0.25">
      <c r="A219" s="1758" t="s">
        <v>2536</v>
      </c>
      <c r="B219" s="1753">
        <v>7.6611274509476482E-2</v>
      </c>
      <c r="C219" s="1753">
        <v>7.1693126061647461E-2</v>
      </c>
      <c r="D219" s="1307">
        <v>6.5060886140863278E-2</v>
      </c>
      <c r="E219" s="1307">
        <v>5.7916407845878273E-2</v>
      </c>
      <c r="F219" s="1307">
        <v>5.6799977356007579E-2</v>
      </c>
      <c r="G219" s="1307"/>
      <c r="H219" s="1307"/>
      <c r="N219" s="521"/>
      <c r="O219" s="521"/>
      <c r="P219" s="521"/>
      <c r="R219" s="1759"/>
      <c r="S219" s="1759"/>
      <c r="T219" s="1759"/>
    </row>
    <row r="220" spans="1:20" x14ac:dyDescent="0.25">
      <c r="A220" s="1758" t="s">
        <v>2537</v>
      </c>
      <c r="B220" s="1753">
        <v>0.58350717140584685</v>
      </c>
      <c r="C220" s="1753">
        <v>0.54998403795830875</v>
      </c>
      <c r="D220" s="1307">
        <v>0.51896951750295384</v>
      </c>
      <c r="E220" s="1307">
        <v>0.49281243291238341</v>
      </c>
      <c r="F220" s="1307">
        <v>0.47208675458199389</v>
      </c>
      <c r="G220" s="1307"/>
      <c r="H220" s="1307"/>
      <c r="N220" s="521"/>
      <c r="O220" s="521"/>
      <c r="P220" s="521"/>
      <c r="R220" s="1759"/>
      <c r="S220" s="1759"/>
      <c r="T220" s="1759"/>
    </row>
    <row r="221" spans="1:20" x14ac:dyDescent="0.25">
      <c r="A221" s="1758" t="s">
        <v>2538</v>
      </c>
      <c r="B221" s="1753">
        <v>0.62659531246778533</v>
      </c>
      <c r="C221" s="1753">
        <v>0.5906626435646013</v>
      </c>
      <c r="D221" s="1307">
        <v>0.55787331905324677</v>
      </c>
      <c r="E221" s="1307">
        <v>0.53000316242787215</v>
      </c>
      <c r="F221" s="1307">
        <v>0.50740776594388581</v>
      </c>
      <c r="G221" s="1307"/>
      <c r="H221" s="1307"/>
      <c r="N221" s="521"/>
      <c r="O221" s="521"/>
      <c r="P221" s="521"/>
      <c r="R221" s="1759"/>
      <c r="S221" s="1759"/>
      <c r="T221" s="1759"/>
    </row>
    <row r="222" spans="1:20" x14ac:dyDescent="0.25">
      <c r="A222" s="1758" t="s">
        <v>2539</v>
      </c>
      <c r="B222" s="1753">
        <v>0.66727391807407777</v>
      </c>
      <c r="C222" s="1753">
        <v>0.62956644511489412</v>
      </c>
      <c r="D222" s="1307">
        <v>0.59506404856873552</v>
      </c>
      <c r="E222" s="1307">
        <v>0.56532417378976429</v>
      </c>
      <c r="F222" s="1307">
        <v>0.54117338051821184</v>
      </c>
      <c r="G222" s="1307"/>
      <c r="H222" s="1307"/>
      <c r="N222" s="521"/>
      <c r="O222" s="521"/>
      <c r="P222" s="521"/>
      <c r="R222" s="1759"/>
      <c r="S222" s="1759"/>
      <c r="T222" s="1759"/>
    </row>
    <row r="223" spans="1:20" x14ac:dyDescent="0.25">
      <c r="A223" s="1758" t="s">
        <v>2540</v>
      </c>
      <c r="B223" s="1753">
        <v>0.70617771962437081</v>
      </c>
      <c r="C223" s="1753">
        <v>0.66675717463038287</v>
      </c>
      <c r="D223" s="1307">
        <v>0.63038505993062743</v>
      </c>
      <c r="E223" s="1307">
        <v>0.59908978836409021</v>
      </c>
      <c r="F223" s="1307">
        <v>0.57345212781937172</v>
      </c>
      <c r="G223" s="1307"/>
      <c r="H223" s="1307"/>
      <c r="N223" s="521"/>
      <c r="O223" s="521"/>
      <c r="P223" s="521"/>
      <c r="R223" s="1759"/>
      <c r="S223" s="1759"/>
      <c r="T223" s="1759"/>
    </row>
    <row r="224" spans="1:20" x14ac:dyDescent="0.25">
      <c r="A224" s="1758" t="s">
        <v>2541</v>
      </c>
      <c r="B224" s="1753">
        <v>0.74336844913985944</v>
      </c>
      <c r="C224" s="1753">
        <v>0.70207818599227501</v>
      </c>
      <c r="D224" s="1307">
        <v>0.66415067450495335</v>
      </c>
      <c r="E224" s="1307">
        <v>0.63136853566525009</v>
      </c>
      <c r="F224" s="1307">
        <v>0.60430951639490249</v>
      </c>
      <c r="G224" s="1307"/>
      <c r="H224" s="1307"/>
      <c r="N224" s="521"/>
      <c r="O224" s="521"/>
      <c r="P224" s="521"/>
      <c r="R224" s="1759"/>
      <c r="S224" s="1759"/>
      <c r="T224" s="1759"/>
    </row>
    <row r="225" spans="1:20" x14ac:dyDescent="0.25">
      <c r="A225" s="1758" t="s">
        <v>2542</v>
      </c>
      <c r="B225" s="1753">
        <v>0.77868946050175125</v>
      </c>
      <c r="C225" s="1753">
        <v>0.73584380056660093</v>
      </c>
      <c r="D225" s="1307">
        <v>0.696429421806113</v>
      </c>
      <c r="E225" s="1307">
        <v>0.66222592424078053</v>
      </c>
      <c r="F225" s="1307">
        <v>0.63380816707000542</v>
      </c>
      <c r="G225" s="1307"/>
      <c r="H225" s="1307"/>
      <c r="N225" s="521"/>
      <c r="O225" s="521"/>
      <c r="P225" s="521"/>
      <c r="R225" s="1759"/>
      <c r="S225" s="1759"/>
      <c r="T225" s="1759"/>
    </row>
    <row r="226" spans="1:20" x14ac:dyDescent="0.25">
      <c r="A226" s="1758" t="s">
        <v>2543</v>
      </c>
      <c r="B226" s="1753">
        <v>0.81245507507607739</v>
      </c>
      <c r="C226" s="1753">
        <v>0.76812254786776069</v>
      </c>
      <c r="D226" s="1307">
        <v>0.72728681038164389</v>
      </c>
      <c r="E226" s="1307">
        <v>0.69172457491588379</v>
      </c>
      <c r="F226" s="1307">
        <v>0.66200794031188992</v>
      </c>
      <c r="G226" s="1307"/>
      <c r="H226" s="1307"/>
      <c r="N226" s="521"/>
      <c r="O226" s="521"/>
      <c r="P226" s="521"/>
      <c r="R226" s="1759"/>
      <c r="S226" s="1759"/>
      <c r="T226" s="1759"/>
    </row>
    <row r="227" spans="1:20" x14ac:dyDescent="0.25">
      <c r="A227" s="1758" t="s">
        <v>2544</v>
      </c>
      <c r="B227" s="1753">
        <v>0.84473382237723738</v>
      </c>
      <c r="C227" s="1753">
        <v>0.79897993644329146</v>
      </c>
      <c r="D227" s="1307">
        <v>0.75678546105674716</v>
      </c>
      <c r="E227" s="1307">
        <v>0.71992434815776818</v>
      </c>
      <c r="F227" s="1307">
        <v>0.68903231772528417</v>
      </c>
      <c r="G227" s="1307"/>
      <c r="H227" s="1307"/>
      <c r="N227" s="521"/>
      <c r="O227" s="521"/>
      <c r="P227" s="521"/>
      <c r="R227" s="1759"/>
      <c r="S227" s="1759"/>
      <c r="T227" s="1759"/>
    </row>
    <row r="228" spans="1:20" x14ac:dyDescent="0.25">
      <c r="A228" s="1758" t="s">
        <v>2545</v>
      </c>
      <c r="B228" s="1753">
        <v>0.87559121095276793</v>
      </c>
      <c r="C228" s="1753">
        <v>0.82847858711839462</v>
      </c>
      <c r="D228" s="1307">
        <v>0.78498523429863154</v>
      </c>
      <c r="E228" s="1307">
        <v>0.74694872557116254</v>
      </c>
      <c r="F228" s="1307">
        <v>0.7148667256707516</v>
      </c>
      <c r="G228" s="1307"/>
      <c r="H228" s="1307"/>
      <c r="N228" s="521"/>
      <c r="O228" s="521"/>
      <c r="P228" s="521"/>
      <c r="R228" s="1759"/>
      <c r="S228" s="1759"/>
      <c r="T228" s="1759"/>
    </row>
    <row r="229" spans="1:20" x14ac:dyDescent="0.25">
      <c r="A229" s="1758" t="s">
        <v>2546</v>
      </c>
      <c r="B229" s="1753">
        <v>0.90508986162787108</v>
      </c>
      <c r="C229" s="1753">
        <v>0.856678360360279</v>
      </c>
      <c r="D229" s="1307">
        <v>0.81200961171202568</v>
      </c>
      <c r="E229" s="1307">
        <v>0.77278313351662997</v>
      </c>
      <c r="F229" s="1307">
        <v>0.73956358980612347</v>
      </c>
      <c r="G229" s="1307"/>
      <c r="H229" s="1307"/>
      <c r="N229" s="521"/>
      <c r="O229" s="521"/>
      <c r="P229" s="521"/>
      <c r="R229" s="1759"/>
      <c r="S229" s="1759"/>
      <c r="T229" s="1759"/>
    </row>
    <row r="230" spans="1:20" x14ac:dyDescent="0.25">
      <c r="A230" s="1758" t="s">
        <v>2547</v>
      </c>
      <c r="B230" s="1753">
        <v>0.14830440057112396</v>
      </c>
      <c r="C230" s="1753">
        <v>0.13675401220251074</v>
      </c>
      <c r="D230" s="1307">
        <v>0.12297729398674156</v>
      </c>
      <c r="E230" s="1307">
        <v>0.11471638520188587</v>
      </c>
      <c r="F230" s="1307">
        <v>0.11311188762178154</v>
      </c>
      <c r="G230" s="1307"/>
      <c r="H230" s="1307"/>
      <c r="N230" s="521"/>
      <c r="O230" s="521"/>
      <c r="P230" s="521"/>
      <c r="R230" s="1759"/>
      <c r="S230" s="1759"/>
      <c r="T230" s="1759"/>
    </row>
    <row r="231" spans="1:20" x14ac:dyDescent="0.25">
      <c r="A231" s="1758" t="s">
        <v>2548</v>
      </c>
      <c r="B231" s="1753">
        <v>0.93328963486975525</v>
      </c>
      <c r="C231" s="1753">
        <v>0.88370273777367314</v>
      </c>
      <c r="D231" s="1307">
        <v>0.837844019657493</v>
      </c>
      <c r="E231" s="1307">
        <v>0.7974799976520015</v>
      </c>
      <c r="F231" s="1307">
        <v>0.76317302487731253</v>
      </c>
      <c r="G231" s="1307"/>
      <c r="H231" s="1307"/>
      <c r="N231" s="521"/>
      <c r="O231" s="521"/>
      <c r="P231" s="521"/>
      <c r="R231" s="1759"/>
      <c r="S231" s="1759"/>
      <c r="T231" s="1759"/>
    </row>
    <row r="232" spans="1:20" x14ac:dyDescent="0.25">
      <c r="A232" s="1758" t="s">
        <v>2549</v>
      </c>
      <c r="B232" s="1753">
        <v>0.96031401228314972</v>
      </c>
      <c r="C232" s="1753">
        <v>0.90953714571914057</v>
      </c>
      <c r="D232" s="1307">
        <v>0.86254088379286487</v>
      </c>
      <c r="E232" s="1307">
        <v>0.8210894327231909</v>
      </c>
      <c r="F232" s="1307">
        <v>0.78574293663789241</v>
      </c>
      <c r="G232" s="1307"/>
      <c r="H232" s="1307"/>
      <c r="N232" s="521"/>
      <c r="O232" s="521"/>
      <c r="P232" s="521"/>
      <c r="R232" s="1759"/>
      <c r="S232" s="1759"/>
      <c r="T232" s="1759"/>
    </row>
    <row r="233" spans="1:20" x14ac:dyDescent="0.25">
      <c r="A233" s="1758" t="s">
        <v>2550</v>
      </c>
      <c r="B233" s="1753">
        <v>0.98614842022861704</v>
      </c>
      <c r="C233" s="1753">
        <v>0.9342340098545121</v>
      </c>
      <c r="D233" s="1307">
        <v>0.88615031886405426</v>
      </c>
      <c r="E233" s="1307">
        <v>0.84365934448377067</v>
      </c>
      <c r="F233" s="1307">
        <v>0.80686394708200582</v>
      </c>
      <c r="G233" s="1307"/>
      <c r="H233" s="1307"/>
      <c r="N233" s="521"/>
      <c r="O233" s="521"/>
      <c r="P233" s="521"/>
      <c r="R233" s="1759"/>
      <c r="S233" s="1759"/>
      <c r="T233" s="1759"/>
    </row>
    <row r="234" spans="1:20" x14ac:dyDescent="0.25">
      <c r="A234" s="1758" t="s">
        <v>2551</v>
      </c>
      <c r="B234" s="1753">
        <v>1.010845284363989</v>
      </c>
      <c r="C234" s="1753">
        <v>0.95784344492570173</v>
      </c>
      <c r="D234" s="1307">
        <v>0.90872023062463403</v>
      </c>
      <c r="E234" s="1307">
        <v>0.8647803549278843</v>
      </c>
      <c r="F234" s="1307">
        <v>0.8266290700879142</v>
      </c>
      <c r="G234" s="1307"/>
      <c r="H234" s="1307"/>
      <c r="N234" s="521"/>
      <c r="O234" s="521"/>
      <c r="P234" s="521"/>
      <c r="R234" s="1759"/>
      <c r="S234" s="1759"/>
      <c r="T234" s="1759"/>
    </row>
    <row r="235" spans="1:20" x14ac:dyDescent="0.25">
      <c r="A235" s="1758" t="s">
        <v>2552</v>
      </c>
      <c r="B235" s="1753">
        <v>1.0344547194351779</v>
      </c>
      <c r="C235" s="1753">
        <v>0.98041335668628138</v>
      </c>
      <c r="D235" s="1307">
        <v>0.92984124106874755</v>
      </c>
      <c r="E235" s="1307">
        <v>0.88454547793379268</v>
      </c>
      <c r="F235" s="1307">
        <v>0.84512534840150966</v>
      </c>
      <c r="G235" s="1307"/>
      <c r="H235" s="1307"/>
      <c r="N235" s="521"/>
      <c r="O235" s="521"/>
      <c r="P235" s="521"/>
      <c r="R235" s="1759"/>
      <c r="S235" s="1759"/>
      <c r="T235" s="1759"/>
    </row>
    <row r="236" spans="1:20" x14ac:dyDescent="0.25">
      <c r="A236" s="1758" t="s">
        <v>2553</v>
      </c>
      <c r="B236" s="1753">
        <v>1.0570246311957578</v>
      </c>
      <c r="C236" s="1753">
        <v>1.0015343671303949</v>
      </c>
      <c r="D236" s="1307">
        <v>0.94960636407465582</v>
      </c>
      <c r="E236" s="1307">
        <v>0.90304175624738814</v>
      </c>
      <c r="F236" s="1307">
        <v>0.86243423695999344</v>
      </c>
      <c r="G236" s="1307"/>
      <c r="H236" s="1307"/>
      <c r="N236" s="521"/>
      <c r="O236" s="521"/>
      <c r="P236" s="521"/>
      <c r="R236" s="1759"/>
      <c r="S236" s="1759"/>
      <c r="T236" s="1759"/>
    </row>
    <row r="237" spans="1:20" x14ac:dyDescent="0.25">
      <c r="A237" s="1758" t="s">
        <v>2554</v>
      </c>
      <c r="B237" s="1753">
        <v>0.21336528671198721</v>
      </c>
      <c r="C237" s="1753">
        <v>0.194670420048389</v>
      </c>
      <c r="D237" s="1307">
        <v>0.17977727134274918</v>
      </c>
      <c r="E237" s="1307">
        <v>0.17102829546765985</v>
      </c>
      <c r="F237" s="1307">
        <v>0.16776992345345676</v>
      </c>
      <c r="G237" s="1307"/>
      <c r="H237" s="1307"/>
      <c r="N237" s="521"/>
      <c r="O237" s="521"/>
      <c r="P237" s="521"/>
      <c r="R237" s="1759"/>
      <c r="S237" s="1759"/>
      <c r="T237" s="1759"/>
    </row>
    <row r="238" spans="1:20" x14ac:dyDescent="0.25">
      <c r="A238" s="1758" t="s">
        <v>2555</v>
      </c>
      <c r="B238" s="1753">
        <v>0.27128169455786549</v>
      </c>
      <c r="C238" s="1753">
        <v>0.25147039740439658</v>
      </c>
      <c r="D238" s="1307">
        <v>0.23608918160852313</v>
      </c>
      <c r="E238" s="1307">
        <v>0.22568633129933507</v>
      </c>
      <c r="F238" s="1307">
        <v>0.21903698598517091</v>
      </c>
      <c r="G238" s="1307"/>
      <c r="H238" s="1307"/>
      <c r="N238" s="521"/>
      <c r="O238" s="521"/>
      <c r="P238" s="521"/>
      <c r="R238" s="1759"/>
      <c r="S238" s="1759"/>
      <c r="T238" s="1759"/>
    </row>
    <row r="239" spans="1:20" x14ac:dyDescent="0.25">
      <c r="A239" s="1758" t="s">
        <v>2556</v>
      </c>
      <c r="B239" s="1753">
        <v>0.32808167191387311</v>
      </c>
      <c r="C239" s="1753">
        <v>0.30778230767017056</v>
      </c>
      <c r="D239" s="1307">
        <v>0.29074721744019832</v>
      </c>
      <c r="E239" s="1307">
        <v>0.27695339383104911</v>
      </c>
      <c r="F239" s="1307">
        <v>0.26701615886173979</v>
      </c>
      <c r="G239" s="1307"/>
      <c r="H239" s="1307"/>
      <c r="N239" s="521"/>
      <c r="O239" s="521"/>
      <c r="P239" s="521"/>
      <c r="R239" s="1759"/>
      <c r="S239" s="1759"/>
      <c r="T239" s="1759"/>
    </row>
    <row r="240" spans="1:20" x14ac:dyDescent="0.25">
      <c r="A240" s="1758" t="s">
        <v>2557</v>
      </c>
      <c r="B240" s="1753">
        <v>0.38439358217964698</v>
      </c>
      <c r="C240" s="1753">
        <v>0.36244034350184579</v>
      </c>
      <c r="D240" s="1307">
        <v>0.34201427997191247</v>
      </c>
      <c r="E240" s="1307">
        <v>0.32493256670761816</v>
      </c>
      <c r="F240" s="1307">
        <v>0.3122254768479813</v>
      </c>
      <c r="G240" s="1307"/>
      <c r="H240" s="1307"/>
      <c r="N240" s="521"/>
      <c r="O240" s="521"/>
      <c r="P240" s="521"/>
      <c r="R240" s="1759"/>
      <c r="S240" s="1759"/>
      <c r="T240" s="1759"/>
    </row>
    <row r="241" spans="1:20" x14ac:dyDescent="0.25">
      <c r="A241" s="1758" t="s">
        <v>2558</v>
      </c>
      <c r="B241" s="1753">
        <v>0.43905161801132236</v>
      </c>
      <c r="C241" s="1753">
        <v>0.41370740603355982</v>
      </c>
      <c r="D241" s="1307">
        <v>0.3899934528484813</v>
      </c>
      <c r="E241" s="1307">
        <v>0.37014188469385961</v>
      </c>
      <c r="F241" s="1307">
        <v>0.35531361790991972</v>
      </c>
      <c r="G241" s="1307"/>
      <c r="H241" s="1307"/>
      <c r="N241" s="521"/>
      <c r="O241" s="521"/>
      <c r="P241" s="521"/>
      <c r="R241" s="1759"/>
      <c r="S241" s="1759"/>
      <c r="T241" s="1759"/>
    </row>
    <row r="242" spans="1:20" x14ac:dyDescent="0.25">
      <c r="A242" s="1758" t="s">
        <v>2559</v>
      </c>
      <c r="B242" s="1753">
        <v>0.49031868054303634</v>
      </c>
      <c r="C242" s="1753">
        <v>0.46168657891012876</v>
      </c>
      <c r="D242" s="1307">
        <v>0.43520277083472281</v>
      </c>
      <c r="E242" s="1307">
        <v>0.41323002575579804</v>
      </c>
      <c r="F242" s="1307">
        <v>0.39599222351621222</v>
      </c>
      <c r="G242" s="1307"/>
      <c r="H242" s="1307"/>
      <c r="N242" s="521"/>
      <c r="O242" s="521"/>
      <c r="P242" s="521"/>
      <c r="R242" s="1759"/>
      <c r="S242" s="1759"/>
      <c r="T242" s="1759"/>
    </row>
    <row r="243" spans="1:20" x14ac:dyDescent="0.25">
      <c r="A243" s="1758" t="s">
        <v>2560</v>
      </c>
      <c r="B243" s="1753">
        <v>0.53829785341960523</v>
      </c>
      <c r="C243" s="1753">
        <v>0.50689589689637027</v>
      </c>
      <c r="D243" s="1307">
        <v>0.4782909118966614</v>
      </c>
      <c r="E243" s="1307">
        <v>0.45390863136209059</v>
      </c>
      <c r="F243" s="1307">
        <v>0.43489602506650515</v>
      </c>
      <c r="G243" s="1307"/>
      <c r="H243" s="1307"/>
      <c r="N243" s="521"/>
      <c r="O243" s="521"/>
      <c r="P243" s="521"/>
      <c r="R243" s="1759"/>
      <c r="S243" s="1759"/>
      <c r="T243" s="1759"/>
    </row>
    <row r="244" spans="1:20" x14ac:dyDescent="0.25">
      <c r="A244" s="1758" t="s">
        <v>2561</v>
      </c>
      <c r="B244" s="1753">
        <v>0.18100507251543599</v>
      </c>
      <c r="C244" s="1753">
        <v>0.16914887436097201</v>
      </c>
      <c r="D244" s="1307">
        <v>0.15683607030069899</v>
      </c>
      <c r="E244" s="1307">
        <v>0.151120699948011</v>
      </c>
      <c r="F244" s="1307">
        <v>0.14650812197367299</v>
      </c>
      <c r="G244" s="1307"/>
      <c r="H244" s="1307"/>
      <c r="N244" s="521"/>
      <c r="O244" s="521"/>
      <c r="P244" s="521"/>
      <c r="R244" s="1759"/>
      <c r="S244" s="1759"/>
      <c r="T244" s="1759"/>
    </row>
    <row r="245" spans="1:20" x14ac:dyDescent="0.25">
      <c r="A245" s="1758" t="s">
        <v>2562</v>
      </c>
      <c r="B245" s="1753">
        <v>1.4385474790086299</v>
      </c>
      <c r="C245" s="1753">
        <v>1.36600695800589</v>
      </c>
      <c r="D245" s="1307">
        <v>1.30047502147455</v>
      </c>
      <c r="E245" s="1307">
        <v>1.2426072110739601</v>
      </c>
      <c r="F245" s="1307">
        <v>1.18575148212459</v>
      </c>
      <c r="G245" s="1307"/>
      <c r="H245" s="1307"/>
      <c r="N245" s="521"/>
      <c r="O245" s="521"/>
      <c r="P245" s="521"/>
      <c r="R245" s="1759"/>
      <c r="S245" s="1759"/>
      <c r="T245" s="1759"/>
    </row>
    <row r="246" spans="1:20" x14ac:dyDescent="0.25">
      <c r="A246" s="1758" t="s">
        <v>2563</v>
      </c>
      <c r="B246" s="1753">
        <v>1.54701203052133</v>
      </c>
      <c r="C246" s="1753">
        <v>1.4696238958355199</v>
      </c>
      <c r="D246" s="1307">
        <v>1.39944328137466</v>
      </c>
      <c r="E246" s="1307">
        <v>1.3368721820725999</v>
      </c>
      <c r="F246" s="1307">
        <v>1.2757871257351201</v>
      </c>
      <c r="G246" s="1307"/>
      <c r="H246" s="1307"/>
      <c r="N246" s="521"/>
      <c r="O246" s="521"/>
      <c r="P246" s="521"/>
      <c r="R246" s="1759"/>
      <c r="S246" s="1759"/>
      <c r="T246" s="1759"/>
    </row>
    <row r="247" spans="1:20" x14ac:dyDescent="0.25">
      <c r="A247" s="1758" t="s">
        <v>2564</v>
      </c>
      <c r="B247" s="1753">
        <v>1.6506289683509601</v>
      </c>
      <c r="C247" s="1753">
        <v>1.5685921557356299</v>
      </c>
      <c r="D247" s="1307">
        <v>1.4937082523733001</v>
      </c>
      <c r="E247" s="1307">
        <v>1.42690782568313</v>
      </c>
      <c r="F247" s="1307">
        <v>1.3617832854393701</v>
      </c>
      <c r="G247" s="1307"/>
      <c r="H247" s="1307"/>
      <c r="N247" s="521"/>
      <c r="O247" s="521"/>
      <c r="P247" s="521"/>
      <c r="R247" s="1759"/>
      <c r="S247" s="1759"/>
      <c r="T247" s="1759"/>
    </row>
    <row r="248" spans="1:20" x14ac:dyDescent="0.25">
      <c r="A248" s="1758" t="s">
        <v>2565</v>
      </c>
      <c r="B248" s="1753">
        <v>1.7495972282510699</v>
      </c>
      <c r="C248" s="1753">
        <v>1.66285712673428</v>
      </c>
      <c r="D248" s="1307">
        <v>1.5837438959838299</v>
      </c>
      <c r="E248" s="1307">
        <v>1.51290398538738</v>
      </c>
      <c r="F248" s="1307">
        <v>1.4439212792354801</v>
      </c>
      <c r="G248" s="1307"/>
      <c r="H248" s="1307"/>
      <c r="N248" s="521"/>
      <c r="O248" s="521"/>
      <c r="P248" s="521"/>
      <c r="R248" s="1759"/>
      <c r="S248" s="1759"/>
      <c r="T248" s="1759"/>
    </row>
    <row r="249" spans="1:20" x14ac:dyDescent="0.25">
      <c r="A249" s="1758" t="s">
        <v>2566</v>
      </c>
      <c r="B249" s="1753">
        <v>1.84386219924971</v>
      </c>
      <c r="C249" s="1753">
        <v>1.7528927703448001</v>
      </c>
      <c r="D249" s="1307">
        <v>1.6697400556880799</v>
      </c>
      <c r="E249" s="1307">
        <v>1.59504197918349</v>
      </c>
      <c r="F249" s="1307">
        <v>1.52237428267137</v>
      </c>
      <c r="G249" s="1307"/>
      <c r="H249" s="1307"/>
      <c r="N249" s="521"/>
      <c r="O249" s="521"/>
      <c r="P249" s="521"/>
      <c r="R249" s="1759"/>
      <c r="S249" s="1759"/>
      <c r="T249" s="1759"/>
    </row>
    <row r="250" spans="1:20" x14ac:dyDescent="0.25">
      <c r="A250" s="1758" t="s">
        <v>2567</v>
      </c>
      <c r="B250" s="1753">
        <v>1.93389784286023</v>
      </c>
      <c r="C250" s="1753">
        <v>1.8388889300490501</v>
      </c>
      <c r="D250" s="1307">
        <v>1.7518780494841899</v>
      </c>
      <c r="E250" s="1307">
        <v>1.6734949826193799</v>
      </c>
      <c r="F250" s="1307">
        <v>1.5973076946617599</v>
      </c>
      <c r="G250" s="1307"/>
      <c r="H250" s="1307"/>
      <c r="N250" s="521"/>
      <c r="O250" s="521"/>
      <c r="P250" s="521"/>
      <c r="R250" s="1759"/>
      <c r="S250" s="1759"/>
      <c r="T250" s="1759"/>
    </row>
    <row r="251" spans="1:20" x14ac:dyDescent="0.25">
      <c r="A251" s="1758" t="s">
        <v>2568</v>
      </c>
      <c r="B251" s="1753">
        <v>2.0198940025644898</v>
      </c>
      <c r="C251" s="1753">
        <v>1.9210269238451601</v>
      </c>
      <c r="D251" s="1307">
        <v>1.83033105292008</v>
      </c>
      <c r="E251" s="1307">
        <v>1.7484283946097701</v>
      </c>
      <c r="F251" s="1307">
        <v>1.66926418983446</v>
      </c>
      <c r="G251" s="1307"/>
      <c r="H251" s="1307"/>
      <c r="N251" s="521"/>
      <c r="O251" s="521"/>
      <c r="P251" s="521"/>
      <c r="R251" s="1759"/>
      <c r="S251" s="1759"/>
      <c r="T251" s="1759"/>
    </row>
    <row r="252" spans="1:20" x14ac:dyDescent="0.25">
      <c r="A252" s="1758" t="s">
        <v>2569</v>
      </c>
      <c r="B252" s="1753">
        <v>2.1020319963606</v>
      </c>
      <c r="C252" s="1753">
        <v>1.99947992728105</v>
      </c>
      <c r="D252" s="1307">
        <v>1.90526446491047</v>
      </c>
      <c r="E252" s="1307">
        <v>1.8203848897824799</v>
      </c>
      <c r="F252" s="1307">
        <v>1.7379924469705299</v>
      </c>
      <c r="G252" s="1307"/>
      <c r="H252" s="1307"/>
      <c r="N252" s="521"/>
      <c r="O252" s="521"/>
      <c r="P252" s="521"/>
      <c r="R252" s="1759"/>
      <c r="S252" s="1759"/>
      <c r="T252" s="1759"/>
    </row>
    <row r="253" spans="1:20" x14ac:dyDescent="0.25">
      <c r="A253" s="1758" t="s">
        <v>2570</v>
      </c>
      <c r="B253" s="1753">
        <v>2.1804849997964801</v>
      </c>
      <c r="C253" s="1753">
        <v>2.0744133392714401</v>
      </c>
      <c r="D253" s="1307">
        <v>1.9772209600831701</v>
      </c>
      <c r="E253" s="1307">
        <v>1.88911314691854</v>
      </c>
      <c r="F253" s="1307">
        <v>1.8036373649614601</v>
      </c>
      <c r="G253" s="1307"/>
      <c r="H253" s="1307"/>
      <c r="N253" s="521"/>
      <c r="O253" s="521"/>
      <c r="P253" s="521"/>
      <c r="R253" s="1759"/>
      <c r="S253" s="1759"/>
      <c r="T253" s="1759"/>
    </row>
    <row r="254" spans="1:20" x14ac:dyDescent="0.25">
      <c r="A254" s="1758" t="s">
        <v>2571</v>
      </c>
      <c r="B254" s="1753">
        <v>2.2554184117868701</v>
      </c>
      <c r="C254" s="1753">
        <v>2.1463698344441502</v>
      </c>
      <c r="D254" s="1307">
        <v>2.0459492172192402</v>
      </c>
      <c r="E254" s="1307">
        <v>1.95475806490947</v>
      </c>
      <c r="F254" s="1307">
        <v>1.8663373359493001</v>
      </c>
      <c r="G254" s="1307"/>
      <c r="H254" s="1307"/>
      <c r="N254" s="521"/>
      <c r="O254" s="521"/>
      <c r="P254" s="521"/>
      <c r="R254" s="1759"/>
      <c r="S254" s="1759"/>
      <c r="T254" s="1759"/>
    </row>
    <row r="255" spans="1:20" x14ac:dyDescent="0.25">
      <c r="A255" s="1758" t="s">
        <v>2572</v>
      </c>
      <c r="B255" s="1753">
        <v>0.350153946876408</v>
      </c>
      <c r="C255" s="1753">
        <v>0.32598494466167099</v>
      </c>
      <c r="D255" s="1307">
        <v>0.30795677024870999</v>
      </c>
      <c r="E255" s="1307">
        <v>0.29762882192168399</v>
      </c>
      <c r="F255" s="1307">
        <v>0.28727129110062</v>
      </c>
      <c r="G255" s="1307"/>
      <c r="H255" s="1307"/>
      <c r="N255" s="521"/>
      <c r="O255" s="521"/>
      <c r="P255" s="521"/>
      <c r="R255" s="1759"/>
      <c r="S255" s="1759"/>
      <c r="T255" s="1759"/>
    </row>
    <row r="256" spans="1:20" x14ac:dyDescent="0.25">
      <c r="A256" s="1758" t="s">
        <v>2573</v>
      </c>
      <c r="B256" s="1753">
        <v>2.3273749069595802</v>
      </c>
      <c r="C256" s="1753">
        <v>2.2150980915802099</v>
      </c>
      <c r="D256" s="1307">
        <v>2.1115941352101699</v>
      </c>
      <c r="E256" s="1307">
        <v>2.01745803589731</v>
      </c>
      <c r="F256" s="1307">
        <v>1.9262245376463201</v>
      </c>
      <c r="G256" s="1307"/>
      <c r="H256" s="1307"/>
      <c r="N256" s="521"/>
      <c r="O256" s="521"/>
      <c r="P256" s="521"/>
      <c r="R256" s="1759"/>
      <c r="S256" s="1759"/>
      <c r="T256" s="1759"/>
    </row>
    <row r="257" spans="1:20" x14ac:dyDescent="0.25">
      <c r="A257" s="1758" t="s">
        <v>2574</v>
      </c>
      <c r="B257" s="1753">
        <v>2.3961031640956398</v>
      </c>
      <c r="C257" s="1753">
        <v>2.2807430095711401</v>
      </c>
      <c r="D257" s="1307">
        <v>2.1742941061980101</v>
      </c>
      <c r="E257" s="1307">
        <v>2.0773452375943302</v>
      </c>
      <c r="F257" s="1307">
        <v>1.9834252125163001</v>
      </c>
      <c r="G257" s="1307"/>
      <c r="H257" s="1307"/>
      <c r="N257" s="521"/>
      <c r="O257" s="521"/>
      <c r="P257" s="521"/>
      <c r="R257" s="1759"/>
      <c r="S257" s="1759"/>
      <c r="T257" s="1759"/>
    </row>
    <row r="258" spans="1:20" x14ac:dyDescent="0.25">
      <c r="A258" s="1758" t="s">
        <v>2575</v>
      </c>
      <c r="B258" s="1753">
        <v>2.4617480820865798</v>
      </c>
      <c r="C258" s="1753">
        <v>2.3434429805589798</v>
      </c>
      <c r="D258" s="1307">
        <v>2.2341813078950299</v>
      </c>
      <c r="E258" s="1307">
        <v>2.1345459124643198</v>
      </c>
      <c r="F258" s="1307">
        <v>2.0369538245975201</v>
      </c>
      <c r="G258" s="1307"/>
      <c r="H258" s="1307"/>
      <c r="N258" s="521"/>
      <c r="O258" s="521"/>
      <c r="P258" s="521"/>
      <c r="R258" s="1759"/>
      <c r="S258" s="1759"/>
      <c r="T258" s="1759"/>
    </row>
    <row r="259" spans="1:20" x14ac:dyDescent="0.25">
      <c r="A259" s="1758" t="s">
        <v>2576</v>
      </c>
      <c r="B259" s="1753">
        <v>2.52444805307442</v>
      </c>
      <c r="C259" s="1753">
        <v>2.403330182256</v>
      </c>
      <c r="D259" s="1307">
        <v>2.2913819827650102</v>
      </c>
      <c r="E259" s="1307">
        <v>2.18807452454553</v>
      </c>
      <c r="F259" s="1307">
        <v>2.0870461061633301</v>
      </c>
      <c r="G259" s="1307"/>
      <c r="H259" s="1307"/>
      <c r="N259" s="521"/>
      <c r="O259" s="521"/>
      <c r="P259" s="521"/>
      <c r="R259" s="1759"/>
      <c r="S259" s="1759"/>
      <c r="T259" s="1759"/>
    </row>
    <row r="260" spans="1:20" x14ac:dyDescent="0.25">
      <c r="A260" s="1758" t="s">
        <v>2577</v>
      </c>
      <c r="B260" s="1753">
        <v>2.58433525477143</v>
      </c>
      <c r="C260" s="1753">
        <v>2.4605308571259901</v>
      </c>
      <c r="D260" s="1307">
        <v>2.3449105948462301</v>
      </c>
      <c r="E260" s="1307">
        <v>2.23816680611134</v>
      </c>
      <c r="F260" s="1307">
        <v>2.1339226563839899</v>
      </c>
      <c r="G260" s="1307"/>
      <c r="H260" s="1307"/>
      <c r="N260" s="521"/>
      <c r="O260" s="521"/>
      <c r="P260" s="521"/>
      <c r="R260" s="1759"/>
      <c r="S260" s="1759"/>
      <c r="T260" s="1759"/>
    </row>
    <row r="261" spans="1:20" x14ac:dyDescent="0.25">
      <c r="A261" s="1758" t="s">
        <v>2578</v>
      </c>
      <c r="B261" s="1753">
        <v>2.64153592964142</v>
      </c>
      <c r="C261" s="1753">
        <v>2.5140594692071998</v>
      </c>
      <c r="D261" s="1307">
        <v>2.3950028764120401</v>
      </c>
      <c r="E261" s="1307">
        <v>2.2850433563319998</v>
      </c>
      <c r="F261" s="1307">
        <v>2.1777899128135898</v>
      </c>
      <c r="G261" s="1307"/>
      <c r="H261" s="1307"/>
      <c r="N261" s="521"/>
      <c r="O261" s="521"/>
      <c r="P261" s="521"/>
      <c r="R261" s="1759"/>
      <c r="S261" s="1759"/>
      <c r="T261" s="1759"/>
    </row>
    <row r="262" spans="1:20" x14ac:dyDescent="0.25">
      <c r="A262" s="1758" t="s">
        <v>2579</v>
      </c>
      <c r="B262" s="1753">
        <v>2.69506454172264</v>
      </c>
      <c r="C262" s="1753">
        <v>2.5641517507730098</v>
      </c>
      <c r="D262" s="1307">
        <v>2.4418794266327</v>
      </c>
      <c r="E262" s="1307">
        <v>2.3289106127616002</v>
      </c>
      <c r="F262" s="1307">
        <v>2.2188410605111302</v>
      </c>
      <c r="G262" s="1307"/>
      <c r="H262" s="1307"/>
      <c r="N262" s="521"/>
      <c r="O262" s="521"/>
      <c r="P262" s="521"/>
      <c r="R262" s="1759"/>
      <c r="S262" s="1759"/>
      <c r="T262" s="1759"/>
    </row>
    <row r="263" spans="1:20" x14ac:dyDescent="0.25">
      <c r="A263" s="1758" t="s">
        <v>2580</v>
      </c>
      <c r="B263" s="1753">
        <v>2.7451568232884398</v>
      </c>
      <c r="C263" s="1753">
        <v>2.6110283009936701</v>
      </c>
      <c r="D263" s="1307">
        <v>2.4857466830622998</v>
      </c>
      <c r="E263" s="1307">
        <v>2.3699617604591401</v>
      </c>
      <c r="F263" s="1307">
        <v>2.25725688279968</v>
      </c>
      <c r="G263" s="1307"/>
      <c r="H263" s="1307"/>
      <c r="N263" s="521"/>
      <c r="O263" s="521"/>
      <c r="P263" s="521"/>
      <c r="R263" s="1759"/>
      <c r="S263" s="1759"/>
      <c r="T263" s="1759"/>
    </row>
    <row r="264" spans="1:20" x14ac:dyDescent="0.25">
      <c r="A264" s="1758" t="s">
        <v>2581</v>
      </c>
      <c r="B264" s="1753">
        <v>2.7920333735091099</v>
      </c>
      <c r="C264" s="1753">
        <v>2.65489555742327</v>
      </c>
      <c r="D264" s="1307">
        <v>2.5267978307598402</v>
      </c>
      <c r="E264" s="1307">
        <v>2.4083775827476899</v>
      </c>
      <c r="F264" s="1307">
        <v>2.29320655740996</v>
      </c>
      <c r="G264" s="1307"/>
      <c r="H264" s="1307"/>
      <c r="N264" s="521"/>
      <c r="O264" s="521"/>
      <c r="P264" s="521"/>
      <c r="R264" s="1759"/>
      <c r="S264" s="1759"/>
      <c r="T264" s="1759"/>
    </row>
    <row r="265" spans="1:20" x14ac:dyDescent="0.25">
      <c r="A265" s="1758" t="s">
        <v>2582</v>
      </c>
      <c r="B265" s="1753">
        <v>2.8359006299387</v>
      </c>
      <c r="C265" s="1753">
        <v>2.6959467051208099</v>
      </c>
      <c r="D265" s="1307">
        <v>2.56521365304839</v>
      </c>
      <c r="E265" s="1307">
        <v>2.44432725735797</v>
      </c>
      <c r="F265" s="1307">
        <v>2.3268484015146602</v>
      </c>
      <c r="G265" s="1307"/>
      <c r="H265" s="1307"/>
      <c r="N265" s="521"/>
      <c r="O265" s="521"/>
      <c r="P265" s="521"/>
      <c r="R265" s="1759"/>
      <c r="S265" s="1759"/>
      <c r="T265" s="1759"/>
    </row>
    <row r="266" spans="1:20" x14ac:dyDescent="0.25">
      <c r="A266" s="1758" t="s">
        <v>2583</v>
      </c>
      <c r="B266" s="1753">
        <v>0.50699001717710701</v>
      </c>
      <c r="C266" s="1753">
        <v>0.47710564460968202</v>
      </c>
      <c r="D266" s="1307">
        <v>0.45446489222238301</v>
      </c>
      <c r="E266" s="1307">
        <v>0.43839199104863102</v>
      </c>
      <c r="F266" s="1307">
        <v>0.42050030082272999</v>
      </c>
      <c r="G266" s="1307"/>
      <c r="H266" s="1307"/>
      <c r="N266" s="521"/>
      <c r="O266" s="521"/>
      <c r="P266" s="521"/>
      <c r="R266" s="1759"/>
      <c r="S266" s="1759"/>
      <c r="T266" s="1759"/>
    </row>
    <row r="267" spans="1:20" x14ac:dyDescent="0.25">
      <c r="A267" s="1758" t="s">
        <v>2584</v>
      </c>
      <c r="B267" s="1753">
        <v>2.8769517776362501</v>
      </c>
      <c r="C267" s="1753">
        <v>2.7343625274093601</v>
      </c>
      <c r="D267" s="1307">
        <v>2.6011633276586701</v>
      </c>
      <c r="E267" s="1307">
        <v>2.4779691014626799</v>
      </c>
      <c r="F267" s="1307">
        <v>2.3583305689343699</v>
      </c>
      <c r="G267" s="1307"/>
      <c r="H267" s="1307"/>
      <c r="N267" s="521"/>
      <c r="O267" s="521"/>
      <c r="P267" s="521"/>
      <c r="R267" s="1759"/>
      <c r="S267" s="1759"/>
      <c r="T267" s="1759"/>
    </row>
    <row r="268" spans="1:20" x14ac:dyDescent="0.25">
      <c r="A268" s="1758" t="s">
        <v>2585</v>
      </c>
      <c r="B268" s="1753">
        <v>0.65811071712511804</v>
      </c>
      <c r="C268" s="1753">
        <v>0.62361376658335499</v>
      </c>
      <c r="D268" s="1307">
        <v>0.59522806134933004</v>
      </c>
      <c r="E268" s="1307">
        <v>0.57162100077074096</v>
      </c>
      <c r="F268" s="1307">
        <v>0.54658546041130696</v>
      </c>
      <c r="G268" s="1307"/>
      <c r="H268" s="1307"/>
      <c r="N268" s="521"/>
      <c r="O268" s="521"/>
      <c r="P268" s="521"/>
      <c r="R268" s="1759"/>
      <c r="S268" s="1759"/>
      <c r="T268" s="1759"/>
    </row>
    <row r="269" spans="1:20" x14ac:dyDescent="0.25">
      <c r="A269" s="1758" t="s">
        <v>2586</v>
      </c>
      <c r="B269" s="1753">
        <v>0.80461883909879095</v>
      </c>
      <c r="C269" s="1753">
        <v>0.76437693571030196</v>
      </c>
      <c r="D269" s="1307">
        <v>0.72845707107143998</v>
      </c>
      <c r="E269" s="1307">
        <v>0.69770616035931798</v>
      </c>
      <c r="F269" s="1307">
        <v>0.66626962510883903</v>
      </c>
      <c r="G269" s="1307"/>
      <c r="H269" s="1307"/>
      <c r="N269" s="521"/>
      <c r="O269" s="521"/>
      <c r="P269" s="521"/>
      <c r="R269" s="1759"/>
      <c r="S269" s="1759"/>
      <c r="T269" s="1759"/>
    </row>
    <row r="270" spans="1:20" x14ac:dyDescent="0.25">
      <c r="A270" s="1758" t="s">
        <v>2587</v>
      </c>
      <c r="B270" s="1753">
        <v>0.94538200822573804</v>
      </c>
      <c r="C270" s="1753">
        <v>0.89760594543241201</v>
      </c>
      <c r="D270" s="1307">
        <v>0.854542230660017</v>
      </c>
      <c r="E270" s="1307">
        <v>0.81739032505685005</v>
      </c>
      <c r="F270" s="1307">
        <v>0.78043676188351396</v>
      </c>
      <c r="G270" s="1307"/>
      <c r="H270" s="1307"/>
      <c r="N270" s="521"/>
      <c r="O270" s="521"/>
      <c r="P270" s="521"/>
      <c r="R270" s="1759"/>
      <c r="S270" s="1759"/>
      <c r="T270" s="1759"/>
    </row>
    <row r="271" spans="1:20" x14ac:dyDescent="0.25">
      <c r="A271" s="1758" t="s">
        <v>2588</v>
      </c>
      <c r="B271" s="1753">
        <v>1.0786110179478501</v>
      </c>
      <c r="C271" s="1753">
        <v>1.02369110502099</v>
      </c>
      <c r="D271" s="1307">
        <v>0.97422639535754896</v>
      </c>
      <c r="E271" s="1307">
        <v>0.93155746183152499</v>
      </c>
      <c r="F271" s="1307">
        <v>0.88890131339621303</v>
      </c>
      <c r="G271" s="1307"/>
      <c r="H271" s="1307"/>
      <c r="N271" s="521"/>
      <c r="O271" s="521"/>
      <c r="P271" s="521"/>
      <c r="R271" s="1759"/>
      <c r="S271" s="1759"/>
      <c r="T271" s="1759"/>
    </row>
    <row r="272" spans="1:20" x14ac:dyDescent="0.25">
      <c r="A272" s="1758" t="s">
        <v>2589</v>
      </c>
      <c r="B272" s="1753">
        <v>1.20469617753643</v>
      </c>
      <c r="C272" s="1753">
        <v>1.14337526971852</v>
      </c>
      <c r="D272" s="1307">
        <v>1.08839353213222</v>
      </c>
      <c r="E272" s="1307">
        <v>1.04002201334422</v>
      </c>
      <c r="F272" s="1307">
        <v>0.99251825122583903</v>
      </c>
      <c r="G272" s="1307"/>
      <c r="H272" s="1307"/>
      <c r="N272" s="521"/>
      <c r="O272" s="521"/>
      <c r="P272" s="521"/>
      <c r="R272" s="1759"/>
      <c r="S272" s="1759"/>
      <c r="T272" s="1759"/>
    </row>
    <row r="273" spans="1:20" x14ac:dyDescent="0.25">
      <c r="A273" s="1758" t="s">
        <v>2590</v>
      </c>
      <c r="B273" s="1753">
        <v>1.32438034223396</v>
      </c>
      <c r="C273" s="1753">
        <v>1.2575424064931999</v>
      </c>
      <c r="D273" s="1307">
        <v>1.1968580836449201</v>
      </c>
      <c r="E273" s="1307">
        <v>1.1436389511738501</v>
      </c>
      <c r="F273" s="1307">
        <v>1.09148651112595</v>
      </c>
      <c r="G273" s="1307"/>
      <c r="H273" s="1307"/>
      <c r="N273" s="521"/>
      <c r="O273" s="521"/>
      <c r="P273" s="521"/>
      <c r="R273" s="1759"/>
      <c r="S273" s="1759"/>
      <c r="T273" s="1759"/>
    </row>
    <row r="274" spans="1:20" x14ac:dyDescent="0.25">
      <c r="A274" s="1758" t="s">
        <v>2591</v>
      </c>
      <c r="B274" s="1753">
        <v>0.19315680364299076</v>
      </c>
      <c r="C274" s="1753">
        <v>0.18075688156746281</v>
      </c>
      <c r="D274" s="1307">
        <v>0.16877071105329161</v>
      </c>
      <c r="E274" s="1307">
        <v>0.1563035332280287</v>
      </c>
      <c r="F274" s="1307">
        <v>0.1506826510005696</v>
      </c>
      <c r="G274" s="1307"/>
      <c r="H274" s="1307"/>
      <c r="N274" s="521"/>
      <c r="O274" s="521"/>
      <c r="P274" s="521"/>
      <c r="R274" s="1759"/>
      <c r="S274" s="1759"/>
      <c r="T274" s="1759"/>
    </row>
    <row r="275" spans="1:20" x14ac:dyDescent="0.25">
      <c r="A275" s="1758" t="s">
        <v>2592</v>
      </c>
      <c r="B275" s="1753">
        <v>1.5143867191281133</v>
      </c>
      <c r="C275" s="1753">
        <v>1.4350795226650532</v>
      </c>
      <c r="D275" s="1307">
        <v>1.3624660905928456</v>
      </c>
      <c r="E275" s="1307">
        <v>1.2970088326269875</v>
      </c>
      <c r="F275" s="1307">
        <v>1.2393861303760394</v>
      </c>
      <c r="G275" s="1307"/>
      <c r="H275" s="1307"/>
      <c r="N275" s="521"/>
      <c r="O275" s="521"/>
      <c r="P275" s="521"/>
      <c r="R275" s="1759"/>
      <c r="S275" s="1759"/>
      <c r="T275" s="1759"/>
    </row>
    <row r="276" spans="1:20" x14ac:dyDescent="0.25">
      <c r="A276" s="1758" t="s">
        <v>2593</v>
      </c>
      <c r="B276" s="1753">
        <v>1.6282363263080439</v>
      </c>
      <c r="C276" s="1753">
        <v>1.5432229721603086</v>
      </c>
      <c r="D276" s="1307">
        <v>1.4657795436802792</v>
      </c>
      <c r="E276" s="1307">
        <v>1.3956896636040681</v>
      </c>
      <c r="F276" s="1307">
        <v>1.333369606222143</v>
      </c>
      <c r="G276" s="1307"/>
      <c r="H276" s="1307"/>
      <c r="N276" s="521"/>
      <c r="O276" s="521"/>
      <c r="P276" s="521"/>
      <c r="R276" s="1759"/>
      <c r="S276" s="1759"/>
      <c r="T276" s="1759"/>
    </row>
    <row r="277" spans="1:20" x14ac:dyDescent="0.25">
      <c r="A277" s="1758" t="s">
        <v>2594</v>
      </c>
      <c r="B277" s="1753">
        <v>1.7363797758032993</v>
      </c>
      <c r="C277" s="1753">
        <v>1.6465364252477421</v>
      </c>
      <c r="D277" s="1307">
        <v>1.5644603746573598</v>
      </c>
      <c r="E277" s="1307">
        <v>1.4896731394501719</v>
      </c>
      <c r="F277" s="1307">
        <v>1.423138599384812</v>
      </c>
      <c r="G277" s="1307"/>
      <c r="H277" s="1307"/>
      <c r="N277" s="521"/>
      <c r="O277" s="521"/>
      <c r="P277" s="521"/>
      <c r="R277" s="1759"/>
      <c r="S277" s="1759"/>
      <c r="T277" s="1759"/>
    </row>
    <row r="278" spans="1:20" x14ac:dyDescent="0.25">
      <c r="A278" s="1758" t="s">
        <v>2595</v>
      </c>
      <c r="B278" s="1753">
        <v>1.8396932288907328</v>
      </c>
      <c r="C278" s="1753">
        <v>1.7452172562248225</v>
      </c>
      <c r="D278" s="1307">
        <v>1.6584438505034635</v>
      </c>
      <c r="E278" s="1307">
        <v>1.5794421326128407</v>
      </c>
      <c r="F278" s="1307">
        <v>1.5088821897162121</v>
      </c>
      <c r="G278" s="1307"/>
      <c r="H278" s="1307"/>
      <c r="N278" s="521"/>
      <c r="O278" s="521"/>
      <c r="P278" s="521"/>
      <c r="R278" s="1759"/>
      <c r="S278" s="1759"/>
      <c r="T278" s="1759"/>
    </row>
    <row r="279" spans="1:20" x14ac:dyDescent="0.25">
      <c r="A279" s="1758" t="s">
        <v>2596</v>
      </c>
      <c r="B279" s="1753">
        <v>1.9383740598678132</v>
      </c>
      <c r="C279" s="1753">
        <v>1.8392007320709263</v>
      </c>
      <c r="D279" s="1307">
        <v>1.7482128436661322</v>
      </c>
      <c r="E279" s="1307">
        <v>1.6651857229442406</v>
      </c>
      <c r="F279" s="1307">
        <v>1.5907809701490174</v>
      </c>
      <c r="G279" s="1307"/>
      <c r="H279" s="1307"/>
      <c r="N279" s="521"/>
      <c r="O279" s="521"/>
      <c r="P279" s="521"/>
      <c r="R279" s="1759"/>
      <c r="S279" s="1759"/>
      <c r="T279" s="1759"/>
    </row>
    <row r="280" spans="1:20" x14ac:dyDescent="0.25">
      <c r="A280" s="1758" t="s">
        <v>2597</v>
      </c>
      <c r="B280" s="1753">
        <v>2.032357535713917</v>
      </c>
      <c r="C280" s="1753">
        <v>1.9289697252335953</v>
      </c>
      <c r="D280" s="1307">
        <v>1.8339564339975325</v>
      </c>
      <c r="E280" s="1307">
        <v>1.7470845033770459</v>
      </c>
      <c r="F280" s="1307">
        <v>1.6690074278098805</v>
      </c>
      <c r="G280" s="1307"/>
      <c r="H280" s="1307"/>
      <c r="N280" s="521"/>
      <c r="O280" s="521"/>
      <c r="P280" s="521"/>
      <c r="R280" s="1759"/>
      <c r="S280" s="1759"/>
      <c r="T280" s="1759"/>
    </row>
    <row r="281" spans="1:20" x14ac:dyDescent="0.25">
      <c r="A281" s="1758" t="s">
        <v>2598</v>
      </c>
      <c r="B281" s="1753">
        <v>2.1221265288765858</v>
      </c>
      <c r="C281" s="1753">
        <v>2.0147133155649954</v>
      </c>
      <c r="D281" s="1307">
        <v>1.9158552144303376</v>
      </c>
      <c r="E281" s="1307">
        <v>1.825310961037909</v>
      </c>
      <c r="F281" s="1307">
        <v>1.7437263080109511</v>
      </c>
      <c r="G281" s="1307"/>
      <c r="H281" s="1307"/>
      <c r="N281" s="521"/>
      <c r="O281" s="521"/>
      <c r="P281" s="521"/>
      <c r="R281" s="1759"/>
      <c r="S281" s="1759"/>
      <c r="T281" s="1759"/>
    </row>
    <row r="282" spans="1:20" x14ac:dyDescent="0.25">
      <c r="A282" s="1758" t="s">
        <v>2599</v>
      </c>
      <c r="B282" s="1753">
        <v>2.2078701192079859</v>
      </c>
      <c r="C282" s="1753">
        <v>2.0966120959978007</v>
      </c>
      <c r="D282" s="1307">
        <v>1.9940816720912007</v>
      </c>
      <c r="E282" s="1307">
        <v>1.9000298412389796</v>
      </c>
      <c r="F282" s="1307">
        <v>1.8154726336247564</v>
      </c>
      <c r="G282" s="1307"/>
      <c r="H282" s="1307"/>
      <c r="N282" s="521"/>
      <c r="O282" s="521"/>
      <c r="P282" s="521"/>
      <c r="R282" s="1759"/>
      <c r="S282" s="1759"/>
      <c r="T282" s="1759"/>
    </row>
    <row r="283" spans="1:20" x14ac:dyDescent="0.25">
      <c r="A283" s="1758" t="s">
        <v>2600</v>
      </c>
      <c r="B283" s="1753">
        <v>2.2897688996407912</v>
      </c>
      <c r="C283" s="1753">
        <v>2.1748385536586636</v>
      </c>
      <c r="D283" s="1307">
        <v>2.0688005522922714</v>
      </c>
      <c r="E283" s="1307">
        <v>1.9717761668527853</v>
      </c>
      <c r="F283" s="1307">
        <v>1.8840018453626157</v>
      </c>
      <c r="G283" s="1307"/>
      <c r="H283" s="1307"/>
      <c r="N283" s="521"/>
      <c r="O283" s="521"/>
      <c r="P283" s="521"/>
      <c r="R283" s="1759"/>
      <c r="S283" s="1759"/>
      <c r="T283" s="1759"/>
    </row>
    <row r="284" spans="1:20" x14ac:dyDescent="0.25">
      <c r="A284" s="1758" t="s">
        <v>2601</v>
      </c>
      <c r="B284" s="1753">
        <v>2.3679953573016546</v>
      </c>
      <c r="C284" s="1753">
        <v>2.2495574338597342</v>
      </c>
      <c r="D284" s="1307">
        <v>2.1405468779060772</v>
      </c>
      <c r="E284" s="1307">
        <v>2.0403053785906446</v>
      </c>
      <c r="F284" s="1307">
        <v>1.9494582683500667</v>
      </c>
      <c r="G284" s="1307"/>
      <c r="H284" s="1307"/>
      <c r="N284" s="521"/>
      <c r="O284" s="521"/>
      <c r="P284" s="521"/>
      <c r="R284" s="1759"/>
      <c r="S284" s="1759"/>
      <c r="T284" s="1759"/>
    </row>
    <row r="285" spans="1:20" x14ac:dyDescent="0.25">
      <c r="A285" s="1758" t="s">
        <v>2602</v>
      </c>
      <c r="B285" s="1753">
        <v>0.37391368521045359</v>
      </c>
      <c r="C285" s="1753">
        <v>0.34952759262075445</v>
      </c>
      <c r="D285" s="1307">
        <v>0.32507424428132031</v>
      </c>
      <c r="E285" s="1307">
        <v>0.30698618422859825</v>
      </c>
      <c r="F285" s="1307">
        <v>0.29686016783231706</v>
      </c>
      <c r="G285" s="1307"/>
      <c r="H285" s="1307"/>
      <c r="N285" s="521"/>
      <c r="O285" s="521"/>
      <c r="P285" s="521"/>
      <c r="R285" s="1759"/>
      <c r="S285" s="1759"/>
      <c r="T285" s="1759"/>
    </row>
    <row r="286" spans="1:20" x14ac:dyDescent="0.25">
      <c r="A286" s="1758" t="s">
        <v>2603</v>
      </c>
      <c r="B286" s="1753">
        <v>2.4427142375027251</v>
      </c>
      <c r="C286" s="1753">
        <v>2.32130375947354</v>
      </c>
      <c r="D286" s="1307">
        <v>2.2090760896439363</v>
      </c>
      <c r="E286" s="1307">
        <v>2.1057618015780952</v>
      </c>
      <c r="F286" s="1307">
        <v>2.0119797499975056</v>
      </c>
      <c r="G286" s="1307"/>
      <c r="H286" s="1307"/>
      <c r="N286" s="521"/>
      <c r="O286" s="521"/>
      <c r="P286" s="521"/>
      <c r="R286" s="1759"/>
      <c r="S286" s="1759"/>
      <c r="T286" s="1759"/>
    </row>
    <row r="287" spans="1:20" x14ac:dyDescent="0.25">
      <c r="A287" s="1758" t="s">
        <v>2604</v>
      </c>
      <c r="B287" s="1753">
        <v>2.5144605631165309</v>
      </c>
      <c r="C287" s="1753">
        <v>2.3898329712113995</v>
      </c>
      <c r="D287" s="1307">
        <v>2.2745325126313873</v>
      </c>
      <c r="E287" s="1307">
        <v>2.1682832832255343</v>
      </c>
      <c r="F287" s="1307">
        <v>2.0716979508720361</v>
      </c>
      <c r="G287" s="1307"/>
      <c r="H287" s="1307"/>
      <c r="N287" s="521"/>
      <c r="O287" s="521"/>
      <c r="P287" s="521"/>
      <c r="R287" s="1759"/>
      <c r="S287" s="1759"/>
      <c r="T287" s="1759"/>
    </row>
    <row r="288" spans="1:20" x14ac:dyDescent="0.25">
      <c r="A288" s="1758" t="s">
        <v>2605</v>
      </c>
      <c r="B288" s="1753">
        <v>2.58298977485439</v>
      </c>
      <c r="C288" s="1753">
        <v>2.4552893941988501</v>
      </c>
      <c r="D288" s="1307">
        <v>2.3370539942788264</v>
      </c>
      <c r="E288" s="1307">
        <v>2.2280014841000648</v>
      </c>
      <c r="F288" s="1307">
        <v>2.1275824734946553</v>
      </c>
      <c r="G288" s="1307"/>
      <c r="H288" s="1307"/>
      <c r="N288" s="521"/>
      <c r="O288" s="521"/>
      <c r="P288" s="521"/>
      <c r="R288" s="1759"/>
      <c r="S288" s="1759"/>
      <c r="T288" s="1759"/>
    </row>
    <row r="289" spans="1:20" x14ac:dyDescent="0.25">
      <c r="A289" s="1758" t="s">
        <v>2606</v>
      </c>
      <c r="B289" s="1753">
        <v>2.648446197841841</v>
      </c>
      <c r="C289" s="1753">
        <v>2.5178108758462892</v>
      </c>
      <c r="D289" s="1307">
        <v>2.3967721951533569</v>
      </c>
      <c r="E289" s="1307">
        <v>2.2838860067226836</v>
      </c>
      <c r="F289" s="1307">
        <v>2.1798794252283433</v>
      </c>
      <c r="G289" s="1307"/>
      <c r="H289" s="1307"/>
      <c r="N289" s="521"/>
      <c r="O289" s="521"/>
      <c r="P289" s="521"/>
      <c r="R289" s="1759"/>
      <c r="S289" s="1759"/>
      <c r="T289" s="1759"/>
    </row>
    <row r="290" spans="1:20" x14ac:dyDescent="0.25">
      <c r="A290" s="1758" t="s">
        <v>2607</v>
      </c>
      <c r="B290" s="1753">
        <v>2.7109676794892801</v>
      </c>
      <c r="C290" s="1753">
        <v>2.5775290767208197</v>
      </c>
      <c r="D290" s="1307">
        <v>2.4526567177759757</v>
      </c>
      <c r="E290" s="1307">
        <v>2.3361829584563725</v>
      </c>
      <c r="F290" s="1307">
        <v>2.2288191142922473</v>
      </c>
      <c r="G290" s="1307"/>
      <c r="H290" s="1307"/>
      <c r="N290" s="521"/>
      <c r="O290" s="521"/>
      <c r="P290" s="521"/>
      <c r="R290" s="1759"/>
      <c r="S290" s="1759"/>
      <c r="T290" s="1759"/>
    </row>
    <row r="291" spans="1:20" x14ac:dyDescent="0.25">
      <c r="A291" s="1758" t="s">
        <v>2608</v>
      </c>
      <c r="B291" s="1753">
        <v>2.7706858803638101</v>
      </c>
      <c r="C291" s="1753">
        <v>2.6334135993434389</v>
      </c>
      <c r="D291" s="1307">
        <v>2.5049536695096637</v>
      </c>
      <c r="E291" s="1307">
        <v>2.385122647520276</v>
      </c>
      <c r="F291" s="1307">
        <v>2.2746170640058021</v>
      </c>
      <c r="G291" s="1307"/>
      <c r="H291" s="1307"/>
      <c r="N291" s="521"/>
      <c r="O291" s="521"/>
      <c r="P291" s="521"/>
      <c r="R291" s="1759"/>
      <c r="S291" s="1759"/>
      <c r="T291" s="1759"/>
    </row>
    <row r="292" spans="1:20" x14ac:dyDescent="0.25">
      <c r="A292" s="1758" t="s">
        <v>2609</v>
      </c>
      <c r="B292" s="1753">
        <v>0.54268439626374521</v>
      </c>
      <c r="C292" s="1753">
        <v>0.50583112584878309</v>
      </c>
      <c r="D292" s="1307">
        <v>0.47575689528188997</v>
      </c>
      <c r="E292" s="1307">
        <v>0.45316370106034581</v>
      </c>
      <c r="F292" s="1307">
        <v>0.4373475554709349</v>
      </c>
      <c r="G292" s="1307"/>
      <c r="H292" s="1307"/>
      <c r="N292" s="521"/>
      <c r="O292" s="521"/>
      <c r="P292" s="521"/>
      <c r="R292" s="1759"/>
      <c r="S292" s="1759"/>
      <c r="T292" s="1759"/>
    </row>
    <row r="293" spans="1:20" x14ac:dyDescent="0.25">
      <c r="A293" s="1758" t="s">
        <v>2610</v>
      </c>
      <c r="B293" s="1753">
        <v>0.69898792949177391</v>
      </c>
      <c r="C293" s="1753">
        <v>0.65651377684935264</v>
      </c>
      <c r="D293" s="1307">
        <v>0.62193441211363742</v>
      </c>
      <c r="E293" s="1307">
        <v>0.59365108869896366</v>
      </c>
      <c r="F293" s="1307">
        <v>0.5702803899351615</v>
      </c>
      <c r="G293" s="1307"/>
      <c r="H293" s="1307"/>
      <c r="N293" s="521"/>
      <c r="O293" s="521"/>
      <c r="P293" s="521"/>
      <c r="R293" s="1759"/>
      <c r="S293" s="1759"/>
      <c r="T293" s="1759"/>
    </row>
    <row r="294" spans="1:20" x14ac:dyDescent="0.25">
      <c r="A294" s="1758" t="s">
        <v>2611</v>
      </c>
      <c r="B294" s="1753">
        <v>0.84967058049234345</v>
      </c>
      <c r="C294" s="1753">
        <v>0.80269129368110015</v>
      </c>
      <c r="D294" s="1307">
        <v>0.76242179975225521</v>
      </c>
      <c r="E294" s="1307">
        <v>0.7265839231631902</v>
      </c>
      <c r="F294" s="1307">
        <v>0.6960445549580504</v>
      </c>
      <c r="G294" s="1307"/>
      <c r="H294" s="1307"/>
      <c r="N294" s="521"/>
      <c r="O294" s="521"/>
      <c r="P294" s="521"/>
      <c r="R294" s="1759"/>
      <c r="S294" s="1759"/>
      <c r="T294" s="1759"/>
    </row>
    <row r="295" spans="1:20" x14ac:dyDescent="0.25">
      <c r="A295" s="1758" t="s">
        <v>2612</v>
      </c>
      <c r="B295" s="1753">
        <v>0.99584809732409096</v>
      </c>
      <c r="C295" s="1753">
        <v>0.94317868131971816</v>
      </c>
      <c r="D295" s="1307">
        <v>0.89535463421648187</v>
      </c>
      <c r="E295" s="1307">
        <v>0.85234808818607921</v>
      </c>
      <c r="F295" s="1307">
        <v>0.81539878963633905</v>
      </c>
      <c r="G295" s="1307"/>
      <c r="H295" s="1307"/>
      <c r="N295" s="521"/>
      <c r="O295" s="521"/>
      <c r="P295" s="521"/>
      <c r="R295" s="1759"/>
      <c r="S295" s="1759"/>
      <c r="T295" s="1759"/>
    </row>
    <row r="296" spans="1:20" x14ac:dyDescent="0.25">
      <c r="A296" s="1758" t="s">
        <v>2613</v>
      </c>
      <c r="B296" s="1753">
        <v>0.99584809732409096</v>
      </c>
      <c r="C296" s="1753">
        <v>0.94317868131971816</v>
      </c>
      <c r="D296" s="1307">
        <v>0.89535463421648187</v>
      </c>
      <c r="E296" s="1307">
        <v>0.85234808818607921</v>
      </c>
      <c r="F296" s="1307">
        <v>0.81539878963633905</v>
      </c>
      <c r="G296" s="1307"/>
      <c r="H296" s="1307"/>
      <c r="N296" s="521"/>
      <c r="O296" s="521"/>
      <c r="P296" s="521"/>
      <c r="R296" s="1759"/>
      <c r="S296" s="1759"/>
      <c r="T296" s="1759"/>
    </row>
    <row r="297" spans="1:20" x14ac:dyDescent="0.25">
      <c r="A297" s="1758" t="s">
        <v>2614</v>
      </c>
      <c r="B297" s="1753">
        <v>1.1363354849627088</v>
      </c>
      <c r="C297" s="1753">
        <v>1.0761115157839447</v>
      </c>
      <c r="D297" s="1307">
        <v>1.0211187992393707</v>
      </c>
      <c r="E297" s="1307">
        <v>0.97170232286436775</v>
      </c>
      <c r="F297" s="1307">
        <v>0.92924839681627003</v>
      </c>
      <c r="G297" s="1307"/>
      <c r="H297" s="1307"/>
      <c r="N297" s="521"/>
      <c r="O297" s="521"/>
      <c r="P297" s="521"/>
      <c r="R297" s="1759"/>
      <c r="S297" s="1759"/>
      <c r="T297" s="1759"/>
    </row>
    <row r="298" spans="1:20" x14ac:dyDescent="0.25">
      <c r="A298" s="1758" t="s">
        <v>2615</v>
      </c>
      <c r="B298" s="1753">
        <v>1.2692683194269354</v>
      </c>
      <c r="C298" s="1753">
        <v>1.2018756808068338</v>
      </c>
      <c r="D298" s="1307">
        <v>1.1404730339176594</v>
      </c>
      <c r="E298" s="1307">
        <v>1.0855519300442988</v>
      </c>
      <c r="F298" s="1307">
        <v>1.0373918463115253</v>
      </c>
      <c r="G298" s="1307"/>
      <c r="H298" s="1307"/>
      <c r="N298" s="521"/>
      <c r="O298" s="521"/>
      <c r="P298" s="521"/>
      <c r="R298" s="1759"/>
      <c r="S298" s="1759"/>
      <c r="T298" s="1759"/>
    </row>
    <row r="299" spans="1:20" x14ac:dyDescent="0.25">
      <c r="A299" s="1758" t="s">
        <v>2616</v>
      </c>
      <c r="B299" s="1753">
        <v>1.3950324844498243</v>
      </c>
      <c r="C299" s="1753">
        <v>1.3212299154851226</v>
      </c>
      <c r="D299" s="1307">
        <v>1.2543226410975905</v>
      </c>
      <c r="E299" s="1307">
        <v>1.193695379539554</v>
      </c>
      <c r="F299" s="1307">
        <v>1.1407052993989586</v>
      </c>
      <c r="G299" s="1307"/>
      <c r="H299" s="1307"/>
      <c r="N299" s="521"/>
      <c r="O299" s="521"/>
      <c r="P299" s="521"/>
      <c r="R299" s="1759"/>
      <c r="S299" s="1759"/>
      <c r="T299" s="1759"/>
    </row>
    <row r="300" spans="1:20" x14ac:dyDescent="0.25">
      <c r="A300" s="1758" t="s">
        <v>2617</v>
      </c>
      <c r="B300" s="1753">
        <v>1.2939208023167001</v>
      </c>
      <c r="C300" s="1753">
        <v>1.2316598723389451</v>
      </c>
      <c r="D300" s="1307">
        <v>1.1734459180757892</v>
      </c>
      <c r="E300" s="1307">
        <v>1.1194280786667059</v>
      </c>
      <c r="F300" s="1307">
        <v>1.0686030557262765</v>
      </c>
      <c r="G300" s="1307"/>
      <c r="H300" s="1307"/>
      <c r="I300" s="50" t="s">
        <v>2618</v>
      </c>
      <c r="N300" s="521"/>
      <c r="O300" s="521"/>
      <c r="P300" s="521"/>
      <c r="R300" s="1759"/>
      <c r="S300" s="1759"/>
      <c r="T300" s="1759"/>
    </row>
    <row r="301" spans="1:20" x14ac:dyDescent="0.25">
      <c r="A301" s="1758" t="s">
        <v>2619</v>
      </c>
      <c r="B301" s="1753">
        <v>6.5806458771008033E-2</v>
      </c>
      <c r="C301" s="1753">
        <v>6.1581937835493199E-2</v>
      </c>
      <c r="D301" s="1307">
        <v>5.5440170655037584E-2</v>
      </c>
      <c r="E301" s="1307">
        <v>4.878226253096684E-2</v>
      </c>
      <c r="F301" s="1307">
        <v>4.8086922181543611E-2</v>
      </c>
      <c r="G301" s="1307"/>
      <c r="H301" s="1307"/>
      <c r="N301" s="521"/>
      <c r="O301" s="521"/>
      <c r="P301" s="521"/>
      <c r="R301" s="1759"/>
      <c r="S301" s="1759"/>
      <c r="T301" s="1759"/>
    </row>
    <row r="302" spans="1:20" x14ac:dyDescent="0.25">
      <c r="A302" s="1758" t="s">
        <v>2620</v>
      </c>
      <c r="B302" s="1753">
        <v>0.49715258709923615</v>
      </c>
      <c r="C302" s="1753">
        <v>0.4678675684178582</v>
      </c>
      <c r="D302" s="1307">
        <v>0.44070270323018229</v>
      </c>
      <c r="E302" s="1307">
        <v>0.41818848637032224</v>
      </c>
      <c r="F302" s="1307">
        <v>0.4008901636879274</v>
      </c>
      <c r="G302" s="1307"/>
      <c r="H302" s="1307"/>
      <c r="N302" s="521"/>
      <c r="O302" s="521"/>
      <c r="P302" s="521"/>
      <c r="R302" s="1759"/>
      <c r="S302" s="1759"/>
      <c r="T302" s="1759"/>
    </row>
    <row r="303" spans="1:20" x14ac:dyDescent="0.25">
      <c r="A303" s="1758" t="s">
        <v>2621</v>
      </c>
      <c r="B303" s="1753">
        <v>0.53367402718886625</v>
      </c>
      <c r="C303" s="1753">
        <v>0.50228464106567539</v>
      </c>
      <c r="D303" s="1307">
        <v>0.47362865702535972</v>
      </c>
      <c r="E303" s="1307">
        <v>0.44967242621889431</v>
      </c>
      <c r="F303" s="1307">
        <v>0.43076651195232391</v>
      </c>
      <c r="G303" s="1307"/>
      <c r="H303" s="1307"/>
      <c r="N303" s="521"/>
      <c r="O303" s="521"/>
      <c r="P303" s="521"/>
      <c r="R303" s="1759"/>
      <c r="S303" s="1759"/>
      <c r="T303" s="1759"/>
    </row>
    <row r="304" spans="1:20" x14ac:dyDescent="0.25">
      <c r="A304" s="1758" t="s">
        <v>2622</v>
      </c>
      <c r="B304" s="1753">
        <v>0.56809109983668338</v>
      </c>
      <c r="C304" s="1753">
        <v>0.53521059486085298</v>
      </c>
      <c r="D304" s="1307">
        <v>0.50511259687393184</v>
      </c>
      <c r="E304" s="1307">
        <v>0.47954877448329064</v>
      </c>
      <c r="F304" s="1307">
        <v>0.45933434855342231</v>
      </c>
      <c r="G304" s="1307"/>
      <c r="H304" s="1307"/>
      <c r="N304" s="521"/>
      <c r="O304" s="521"/>
      <c r="P304" s="521"/>
      <c r="R304" s="1759"/>
      <c r="S304" s="1759"/>
      <c r="T304" s="1759"/>
    </row>
    <row r="305" spans="1:20" x14ac:dyDescent="0.25">
      <c r="A305" s="1758" t="s">
        <v>2623</v>
      </c>
      <c r="B305" s="1753">
        <v>0.60101705363186098</v>
      </c>
      <c r="C305" s="1753">
        <v>0.56669453470942499</v>
      </c>
      <c r="D305" s="1307">
        <v>0.53498894513832829</v>
      </c>
      <c r="E305" s="1307">
        <v>0.5081166110843891</v>
      </c>
      <c r="F305" s="1307">
        <v>0.48665100665335059</v>
      </c>
      <c r="G305" s="1307"/>
      <c r="H305" s="1307"/>
      <c r="N305" s="521"/>
      <c r="O305" s="521"/>
      <c r="P305" s="521"/>
      <c r="R305" s="1759"/>
      <c r="S305" s="1759"/>
      <c r="T305" s="1759"/>
    </row>
    <row r="306" spans="1:20" x14ac:dyDescent="0.25">
      <c r="A306" s="1758" t="s">
        <v>2624</v>
      </c>
      <c r="B306" s="1753">
        <v>0.63250099348043309</v>
      </c>
      <c r="C306" s="1753">
        <v>0.59657088297382155</v>
      </c>
      <c r="D306" s="1307">
        <v>0.56355678173942658</v>
      </c>
      <c r="E306" s="1307">
        <v>0.53543326918431744</v>
      </c>
      <c r="F306" s="1307">
        <v>0.5127713062716891</v>
      </c>
      <c r="G306" s="1307"/>
      <c r="H306" s="1307"/>
      <c r="N306" s="521"/>
      <c r="O306" s="521"/>
      <c r="P306" s="521"/>
      <c r="R306" s="1759"/>
      <c r="S306" s="1759"/>
      <c r="T306" s="1759"/>
    </row>
    <row r="307" spans="1:20" x14ac:dyDescent="0.25">
      <c r="A307" s="1758" t="s">
        <v>2625</v>
      </c>
      <c r="B307" s="1753">
        <v>0.66237734174482943</v>
      </c>
      <c r="C307" s="1753">
        <v>0.62513871957491984</v>
      </c>
      <c r="D307" s="1307">
        <v>0.59087343983935503</v>
      </c>
      <c r="E307" s="1307">
        <v>0.56155356880265594</v>
      </c>
      <c r="F307" s="1307">
        <v>0.53774766449419242</v>
      </c>
      <c r="G307" s="1307"/>
      <c r="H307" s="1307"/>
      <c r="N307" s="521"/>
      <c r="O307" s="521"/>
      <c r="P307" s="521"/>
      <c r="R307" s="1759"/>
      <c r="S307" s="1759"/>
      <c r="T307" s="1759"/>
    </row>
    <row r="308" spans="1:20" x14ac:dyDescent="0.25">
      <c r="A308" s="1758" t="s">
        <v>2626</v>
      </c>
      <c r="B308" s="1753">
        <v>0.69094517834592806</v>
      </c>
      <c r="C308" s="1753">
        <v>0.65245537767484818</v>
      </c>
      <c r="D308" s="1307">
        <v>0.61699373945769354</v>
      </c>
      <c r="E308" s="1307">
        <v>0.58652992702515938</v>
      </c>
      <c r="F308" s="1307">
        <v>0.56163020084639304</v>
      </c>
      <c r="G308" s="1307"/>
      <c r="H308" s="1307"/>
      <c r="N308" s="521"/>
      <c r="O308" s="521"/>
      <c r="P308" s="521"/>
      <c r="R308" s="1759"/>
      <c r="S308" s="1759"/>
      <c r="T308" s="1759"/>
    </row>
    <row r="309" spans="1:20" x14ac:dyDescent="0.25">
      <c r="A309" s="1758" t="s">
        <v>2627</v>
      </c>
      <c r="B309" s="1753">
        <v>0.71826183644585617</v>
      </c>
      <c r="C309" s="1753">
        <v>0.67857567729318669</v>
      </c>
      <c r="D309" s="1307">
        <v>0.64197009768019697</v>
      </c>
      <c r="E309" s="1307">
        <v>0.61041246337735988</v>
      </c>
      <c r="F309" s="1307">
        <v>0.58450396538546046</v>
      </c>
      <c r="G309" s="1307"/>
      <c r="H309" s="1307"/>
      <c r="N309" s="521"/>
      <c r="O309" s="521"/>
      <c r="P309" s="521"/>
      <c r="R309" s="1759"/>
      <c r="S309" s="1759"/>
      <c r="T309" s="1759"/>
    </row>
    <row r="310" spans="1:20" x14ac:dyDescent="0.25">
      <c r="A310" s="1758" t="s">
        <v>2628</v>
      </c>
      <c r="B310" s="1753">
        <v>0.7443821360641949</v>
      </c>
      <c r="C310" s="1753">
        <v>0.70355203551569001</v>
      </c>
      <c r="D310" s="1307">
        <v>0.66585263403239747</v>
      </c>
      <c r="E310" s="1307">
        <v>0.63328622791642697</v>
      </c>
      <c r="F310" s="1307">
        <v>0.60637596445349951</v>
      </c>
      <c r="G310" s="1307"/>
      <c r="H310" s="1307"/>
      <c r="N310" s="521"/>
      <c r="O310" s="521"/>
      <c r="P310" s="521"/>
      <c r="R310" s="1759"/>
      <c r="S310" s="1759"/>
      <c r="T310" s="1759"/>
    </row>
    <row r="311" spans="1:20" x14ac:dyDescent="0.25">
      <c r="A311" s="1758" t="s">
        <v>2629</v>
      </c>
      <c r="B311" s="1753">
        <v>0.76935849428669822</v>
      </c>
      <c r="C311" s="1753">
        <v>0.72743457186789062</v>
      </c>
      <c r="D311" s="1307">
        <v>0.68872639857146478</v>
      </c>
      <c r="E311" s="1307">
        <v>0.65515822698446646</v>
      </c>
      <c r="F311" s="1307">
        <v>0.62729008870922798</v>
      </c>
      <c r="G311" s="1307"/>
      <c r="H311" s="1307"/>
      <c r="N311" s="521"/>
      <c r="O311" s="521"/>
      <c r="P311" s="521"/>
      <c r="R311" s="1759"/>
      <c r="S311" s="1759"/>
      <c r="T311" s="1759"/>
    </row>
    <row r="312" spans="1:20" x14ac:dyDescent="0.25">
      <c r="A312" s="1758" t="s">
        <v>2630</v>
      </c>
      <c r="B312" s="1753">
        <v>0.1273883966065012</v>
      </c>
      <c r="C312" s="1753">
        <v>0.11702210849053077</v>
      </c>
      <c r="D312" s="1307">
        <v>0.10422243318600444</v>
      </c>
      <c r="E312" s="1307">
        <v>9.6869184712510464E-2</v>
      </c>
      <c r="F312" s="1307">
        <v>9.6062264705810793E-2</v>
      </c>
      <c r="G312" s="1307"/>
      <c r="H312" s="1307"/>
      <c r="N312" s="521"/>
      <c r="O312" s="521"/>
      <c r="P312" s="521"/>
      <c r="R312" s="1759"/>
      <c r="S312" s="1759"/>
      <c r="T312" s="1759"/>
    </row>
    <row r="313" spans="1:20" x14ac:dyDescent="0.25">
      <c r="A313" s="1758" t="s">
        <v>2631</v>
      </c>
      <c r="B313" s="1753">
        <v>0.79324103063889861</v>
      </c>
      <c r="C313" s="1753">
        <v>0.75030833640695782</v>
      </c>
      <c r="D313" s="1307">
        <v>0.71059839763950394</v>
      </c>
      <c r="E313" s="1307">
        <v>0.67607235124019482</v>
      </c>
      <c r="F313" s="1307">
        <v>0.6472883050088456</v>
      </c>
      <c r="G313" s="1307"/>
      <c r="H313" s="1307"/>
      <c r="N313" s="521"/>
      <c r="O313" s="521"/>
      <c r="P313" s="521"/>
      <c r="R313" s="1759"/>
      <c r="S313" s="1759"/>
      <c r="T313" s="1759"/>
    </row>
    <row r="314" spans="1:20" x14ac:dyDescent="0.25">
      <c r="A314" s="1758" t="s">
        <v>2632</v>
      </c>
      <c r="B314" s="1753">
        <v>0.81611479517796581</v>
      </c>
      <c r="C314" s="1753">
        <v>0.77218033547499709</v>
      </c>
      <c r="D314" s="1307">
        <v>0.7315125218952323</v>
      </c>
      <c r="E314" s="1307">
        <v>0.69607056753981256</v>
      </c>
      <c r="F314" s="1307">
        <v>0.66641074076590756</v>
      </c>
      <c r="G314" s="1307"/>
      <c r="H314" s="1307"/>
      <c r="N314" s="521"/>
      <c r="O314" s="521"/>
      <c r="P314" s="521"/>
      <c r="R314" s="1759"/>
      <c r="S314" s="1759"/>
      <c r="T314" s="1759"/>
    </row>
    <row r="315" spans="1:20" x14ac:dyDescent="0.25">
      <c r="A315" s="1758" t="s">
        <v>2633</v>
      </c>
      <c r="B315" s="1753">
        <v>0.83798679424600531</v>
      </c>
      <c r="C315" s="1753">
        <v>0.79309445973072545</v>
      </c>
      <c r="D315" s="1307">
        <v>0.75151073819484993</v>
      </c>
      <c r="E315" s="1307">
        <v>0.71519300329687452</v>
      </c>
      <c r="F315" s="1307">
        <v>0.68430558987414447</v>
      </c>
      <c r="G315" s="1307"/>
      <c r="H315" s="1307"/>
      <c r="N315" s="521"/>
      <c r="O315" s="521"/>
      <c r="P315" s="521"/>
      <c r="R315" s="1759"/>
      <c r="S315" s="1759"/>
      <c r="T315" s="1759"/>
    </row>
    <row r="316" spans="1:20" x14ac:dyDescent="0.25">
      <c r="A316" s="1758" t="s">
        <v>2634</v>
      </c>
      <c r="B316" s="1753">
        <v>0.85890091850173378</v>
      </c>
      <c r="C316" s="1753">
        <v>0.81309267603034308</v>
      </c>
      <c r="D316" s="1307">
        <v>0.77063317395191189</v>
      </c>
      <c r="E316" s="1307">
        <v>0.73308785240511132</v>
      </c>
      <c r="F316" s="1307">
        <v>0.70105165866343599</v>
      </c>
      <c r="G316" s="1307"/>
      <c r="H316" s="1307"/>
      <c r="N316" s="521"/>
      <c r="O316" s="521"/>
      <c r="P316" s="521"/>
      <c r="R316" s="1759"/>
      <c r="S316" s="1759"/>
      <c r="T316" s="1759"/>
    </row>
    <row r="317" spans="1:20" x14ac:dyDescent="0.25">
      <c r="A317" s="1758" t="s">
        <v>2635</v>
      </c>
      <c r="B317" s="1753">
        <v>0.87889913480135129</v>
      </c>
      <c r="C317" s="1753">
        <v>0.83221511178740515</v>
      </c>
      <c r="D317" s="1307">
        <v>0.78852802306014902</v>
      </c>
      <c r="E317" s="1307">
        <v>0.74983392119440295</v>
      </c>
      <c r="F317" s="1307">
        <v>0.71672269440112235</v>
      </c>
      <c r="G317" s="1307"/>
      <c r="H317" s="1307"/>
      <c r="N317" s="521"/>
      <c r="O317" s="521"/>
      <c r="P317" s="521"/>
      <c r="R317" s="1759"/>
      <c r="S317" s="1759"/>
      <c r="T317" s="1759"/>
    </row>
    <row r="318" spans="1:20" x14ac:dyDescent="0.25">
      <c r="A318" s="1758" t="s">
        <v>2636</v>
      </c>
      <c r="B318" s="1753">
        <v>0.89802157055841325</v>
      </c>
      <c r="C318" s="1753">
        <v>0.85010996089564206</v>
      </c>
      <c r="D318" s="1307">
        <v>0.80527409184944032</v>
      </c>
      <c r="E318" s="1307">
        <v>0.7655049569320892</v>
      </c>
      <c r="F318" s="1307">
        <v>0.73138771006431358</v>
      </c>
      <c r="G318" s="1307"/>
      <c r="H318" s="1307"/>
      <c r="N318" s="521"/>
      <c r="O318" s="521"/>
      <c r="P318" s="521"/>
      <c r="R318" s="1759"/>
      <c r="S318" s="1759"/>
      <c r="T318" s="1759"/>
    </row>
    <row r="319" spans="1:20" x14ac:dyDescent="0.25">
      <c r="A319" s="1758" t="s">
        <v>2637</v>
      </c>
      <c r="B319" s="1753">
        <v>0.18282856726153876</v>
      </c>
      <c r="C319" s="1753">
        <v>0.16580437102149759</v>
      </c>
      <c r="D319" s="1307">
        <v>0.15230935536754805</v>
      </c>
      <c r="E319" s="1307">
        <v>0.14484452723677763</v>
      </c>
      <c r="F319" s="1307">
        <v>0.14275981904655938</v>
      </c>
      <c r="G319" s="1307"/>
      <c r="H319" s="1307"/>
      <c r="N319" s="521"/>
      <c r="O319" s="521"/>
      <c r="P319" s="521"/>
      <c r="R319" s="1759"/>
      <c r="S319" s="1759"/>
      <c r="T319" s="1759"/>
    </row>
    <row r="320" spans="1:20" x14ac:dyDescent="0.25">
      <c r="A320" s="1758" t="s">
        <v>2638</v>
      </c>
      <c r="B320" s="1753">
        <v>0.23161082979250566</v>
      </c>
      <c r="C320" s="1753">
        <v>0.21389129320304126</v>
      </c>
      <c r="D320" s="1307">
        <v>0.20028469789181516</v>
      </c>
      <c r="E320" s="1307">
        <v>0.19154208157752625</v>
      </c>
      <c r="F320" s="1307">
        <v>0.18645116485026669</v>
      </c>
      <c r="G320" s="1307"/>
      <c r="H320" s="1307"/>
      <c r="N320" s="521"/>
      <c r="O320" s="521"/>
      <c r="P320" s="521"/>
      <c r="R320" s="1759"/>
      <c r="S320" s="1759"/>
      <c r="T320" s="1759"/>
    </row>
    <row r="321" spans="1:20" x14ac:dyDescent="0.25">
      <c r="A321" s="1758" t="s">
        <v>2639</v>
      </c>
      <c r="B321" s="1753">
        <v>0.27969775197404922</v>
      </c>
      <c r="C321" s="1753">
        <v>0.26186663572730845</v>
      </c>
      <c r="D321" s="1307">
        <v>0.2469822522325639</v>
      </c>
      <c r="E321" s="1307">
        <v>0.23523342738123343</v>
      </c>
      <c r="F321" s="1307">
        <v>0.22721301109973979</v>
      </c>
      <c r="G321" s="1307"/>
      <c r="H321" s="1307"/>
      <c r="N321" s="521"/>
      <c r="O321" s="521"/>
      <c r="P321" s="521"/>
      <c r="R321" s="1759"/>
      <c r="S321" s="1759"/>
      <c r="T321" s="1759"/>
    </row>
    <row r="322" spans="1:20" x14ac:dyDescent="0.25">
      <c r="A322" s="1758" t="s">
        <v>2640</v>
      </c>
      <c r="B322" s="1753">
        <v>0.3276730944983165</v>
      </c>
      <c r="C322" s="1753">
        <v>0.30856419006805702</v>
      </c>
      <c r="D322" s="1307">
        <v>0.29067359803627107</v>
      </c>
      <c r="E322" s="1307">
        <v>0.27599527363070664</v>
      </c>
      <c r="F322" s="1307">
        <v>0.26554175730673063</v>
      </c>
      <c r="G322" s="1307"/>
      <c r="H322" s="1307"/>
      <c r="N322" s="521"/>
      <c r="O322" s="521"/>
      <c r="P322" s="521"/>
      <c r="R322" s="1759"/>
      <c r="S322" s="1759"/>
      <c r="T322" s="1759"/>
    </row>
    <row r="323" spans="1:20" x14ac:dyDescent="0.25">
      <c r="A323" s="1758" t="s">
        <v>2641</v>
      </c>
      <c r="B323" s="1753">
        <v>0.37437064883906507</v>
      </c>
      <c r="C323" s="1753">
        <v>0.35225553587176417</v>
      </c>
      <c r="D323" s="1307">
        <v>0.33143544428574412</v>
      </c>
      <c r="E323" s="1307">
        <v>0.31432401983769742</v>
      </c>
      <c r="F323" s="1307">
        <v>0.30206319739636073</v>
      </c>
      <c r="G323" s="1307"/>
      <c r="H323" s="1307"/>
      <c r="N323" s="521"/>
      <c r="O323" s="521"/>
      <c r="P323" s="521"/>
      <c r="R323" s="1759"/>
      <c r="S323" s="1759"/>
      <c r="T323" s="1759"/>
    </row>
    <row r="324" spans="1:20" x14ac:dyDescent="0.25">
      <c r="A324" s="1758" t="s">
        <v>2642</v>
      </c>
      <c r="B324" s="1753">
        <v>0.41806199464277233</v>
      </c>
      <c r="C324" s="1753">
        <v>0.39301738212123749</v>
      </c>
      <c r="D324" s="1307">
        <v>0.36976419049273512</v>
      </c>
      <c r="E324" s="1307">
        <v>0.35084545992732746</v>
      </c>
      <c r="F324" s="1307">
        <v>0.3364802700441778</v>
      </c>
      <c r="G324" s="1307"/>
      <c r="H324" s="1307"/>
      <c r="N324" s="521"/>
      <c r="O324" s="521"/>
      <c r="P324" s="521"/>
      <c r="R324" s="1759"/>
      <c r="S324" s="1759"/>
      <c r="T324" s="1759"/>
    </row>
    <row r="325" spans="1:20" x14ac:dyDescent="0.25">
      <c r="A325" s="1758" t="s">
        <v>2643</v>
      </c>
      <c r="B325" s="1753">
        <v>0.45882384089224548</v>
      </c>
      <c r="C325" s="1753">
        <v>0.43134612832822816</v>
      </c>
      <c r="D325" s="1307">
        <v>0.40628563058236505</v>
      </c>
      <c r="E325" s="1307">
        <v>0.3852625325751447</v>
      </c>
      <c r="F325" s="1307">
        <v>0.36940622383935529</v>
      </c>
      <c r="G325" s="1307"/>
      <c r="H325" s="1307"/>
      <c r="N325" s="521"/>
      <c r="O325" s="521"/>
      <c r="P325" s="521"/>
      <c r="R325" s="1759"/>
      <c r="S325" s="1759"/>
      <c r="T325" s="1759"/>
    </row>
    <row r="326" spans="1:20" x14ac:dyDescent="0.25">
      <c r="A326" s="1758" t="s">
        <v>2644</v>
      </c>
      <c r="B326" s="1753">
        <v>4.4564911431382498E-2</v>
      </c>
      <c r="C326" s="1753">
        <v>3.9539894861179099E-2</v>
      </c>
      <c r="D326" s="1307">
        <v>3.4042024321826798E-2</v>
      </c>
      <c r="E326" s="1307">
        <v>3.3882764310127697E-2</v>
      </c>
      <c r="F326" s="1307">
        <v>3.4203379104143797E-2</v>
      </c>
      <c r="G326" s="1307"/>
      <c r="H326" s="1307"/>
      <c r="N326" s="521"/>
      <c r="O326" s="521"/>
      <c r="P326" s="521"/>
      <c r="R326" s="1759"/>
      <c r="S326" s="1759"/>
      <c r="T326" s="1759"/>
    </row>
    <row r="327" spans="1:20" x14ac:dyDescent="0.25">
      <c r="A327" s="1758" t="s">
        <v>2645</v>
      </c>
      <c r="B327" s="1753">
        <v>0.33264532852883699</v>
      </c>
      <c r="C327" s="1753">
        <v>0.31230277076828999</v>
      </c>
      <c r="D327" s="1307">
        <v>0.29594969707543201</v>
      </c>
      <c r="E327" s="1307">
        <v>0.28408938207781698</v>
      </c>
      <c r="F327" s="1307">
        <v>0.27122291831731699</v>
      </c>
      <c r="G327" s="1307"/>
      <c r="H327" s="1307"/>
      <c r="N327" s="521"/>
      <c r="O327" s="521"/>
      <c r="P327" s="521"/>
      <c r="R327" s="1759"/>
      <c r="S327" s="1759"/>
      <c r="T327" s="1759"/>
    </row>
    <row r="328" spans="1:20" x14ac:dyDescent="0.25">
      <c r="A328" s="1758" t="s">
        <v>2646</v>
      </c>
      <c r="B328" s="1753">
        <v>0.35686768219967202</v>
      </c>
      <c r="C328" s="1753">
        <v>0.33548959193661099</v>
      </c>
      <c r="D328" s="1307">
        <v>0.31813140639964399</v>
      </c>
      <c r="E328" s="1307">
        <v>0.30510568262744497</v>
      </c>
      <c r="F328" s="1307">
        <v>0.29132819358781498</v>
      </c>
      <c r="G328" s="1307"/>
      <c r="H328" s="1307"/>
      <c r="N328" s="521"/>
      <c r="O328" s="521"/>
      <c r="P328" s="521"/>
      <c r="R328" s="1759"/>
      <c r="S328" s="1759"/>
      <c r="T328" s="1759"/>
    </row>
    <row r="329" spans="1:20" x14ac:dyDescent="0.25">
      <c r="A329" s="1758" t="s">
        <v>2647</v>
      </c>
      <c r="B329" s="1753">
        <v>0.38005450336799401</v>
      </c>
      <c r="C329" s="1753">
        <v>0.35767130126082303</v>
      </c>
      <c r="D329" s="1307">
        <v>0.33914770694927199</v>
      </c>
      <c r="E329" s="1307">
        <v>0.32521095789794302</v>
      </c>
      <c r="F329" s="1307">
        <v>0.31056193601148202</v>
      </c>
      <c r="G329" s="1307"/>
      <c r="H329" s="1307"/>
      <c r="N329" s="521"/>
      <c r="O329" s="521"/>
      <c r="P329" s="521"/>
      <c r="R329" s="1759"/>
      <c r="S329" s="1759"/>
      <c r="T329" s="1759"/>
    </row>
    <row r="330" spans="1:20" x14ac:dyDescent="0.25">
      <c r="A330" s="1758" t="s">
        <v>2648</v>
      </c>
      <c r="B330" s="1753">
        <v>0.402236212692206</v>
      </c>
      <c r="C330" s="1753">
        <v>0.37868760181045102</v>
      </c>
      <c r="D330" s="1307">
        <v>0.35925298221976898</v>
      </c>
      <c r="E330" s="1307">
        <v>0.34444470032161001</v>
      </c>
      <c r="F330" s="1307">
        <v>0.32896192600750801</v>
      </c>
      <c r="G330" s="1307"/>
      <c r="H330" s="1307"/>
      <c r="N330" s="521"/>
      <c r="O330" s="521"/>
      <c r="P330" s="521"/>
      <c r="R330" s="1759"/>
      <c r="S330" s="1759"/>
      <c r="T330" s="1759"/>
    </row>
    <row r="331" spans="1:20" x14ac:dyDescent="0.25">
      <c r="A331" s="1758" t="s">
        <v>2649</v>
      </c>
      <c r="B331" s="1753">
        <v>0.42325251324183299</v>
      </c>
      <c r="C331" s="1753">
        <v>0.39879287708094902</v>
      </c>
      <c r="D331" s="1307">
        <v>0.37848672464343702</v>
      </c>
      <c r="E331" s="1307">
        <v>0.362844690317636</v>
      </c>
      <c r="F331" s="1307">
        <v>0.34656430620018702</v>
      </c>
      <c r="G331" s="1307"/>
      <c r="H331" s="1307"/>
      <c r="N331" s="521"/>
      <c r="O331" s="521"/>
      <c r="P331" s="521"/>
      <c r="R331" s="1759"/>
      <c r="S331" s="1759"/>
      <c r="T331" s="1759"/>
    </row>
    <row r="332" spans="1:20" x14ac:dyDescent="0.25">
      <c r="A332" s="1758" t="s">
        <v>2650</v>
      </c>
      <c r="B332" s="1753">
        <v>0.44335778851233099</v>
      </c>
      <c r="C332" s="1753">
        <v>0.418026619504616</v>
      </c>
      <c r="D332" s="1307">
        <v>0.39688671463946301</v>
      </c>
      <c r="E332" s="1307">
        <v>0.38044707051031501</v>
      </c>
      <c r="F332" s="1307">
        <v>0.36340365241959099</v>
      </c>
      <c r="G332" s="1307"/>
      <c r="H332" s="1307"/>
      <c r="N332" s="521"/>
      <c r="O332" s="521"/>
      <c r="P332" s="521"/>
      <c r="R332" s="1759"/>
      <c r="S332" s="1759"/>
      <c r="T332" s="1759"/>
    </row>
    <row r="333" spans="1:20" x14ac:dyDescent="0.25">
      <c r="A333" s="1758" t="s">
        <v>2651</v>
      </c>
      <c r="B333" s="1753">
        <v>0.46259153093599797</v>
      </c>
      <c r="C333" s="1753">
        <v>0.43642660950064199</v>
      </c>
      <c r="D333" s="1307">
        <v>0.41448909483214202</v>
      </c>
      <c r="E333" s="1307">
        <v>0.39728641672971898</v>
      </c>
      <c r="F333" s="1307">
        <v>0.37951409491098698</v>
      </c>
      <c r="G333" s="1307"/>
      <c r="H333" s="1307"/>
      <c r="N333" s="521"/>
      <c r="O333" s="521"/>
      <c r="P333" s="521"/>
      <c r="R333" s="1759"/>
      <c r="S333" s="1759"/>
      <c r="T333" s="1759"/>
    </row>
    <row r="334" spans="1:20" x14ac:dyDescent="0.25">
      <c r="A334" s="1758" t="s">
        <v>2652</v>
      </c>
      <c r="B334" s="1753">
        <v>0.48099152093202402</v>
      </c>
      <c r="C334" s="1753">
        <v>0.45402898969332101</v>
      </c>
      <c r="D334" s="1307">
        <v>0.431328441051546</v>
      </c>
      <c r="E334" s="1307">
        <v>0.41339685922111502</v>
      </c>
      <c r="F334" s="1307">
        <v>0.39492617554889298</v>
      </c>
      <c r="G334" s="1307"/>
      <c r="H334" s="1307"/>
      <c r="N334" s="521"/>
      <c r="O334" s="521"/>
      <c r="P334" s="521"/>
      <c r="R334" s="1759"/>
      <c r="S334" s="1759"/>
      <c r="T334" s="1759"/>
    </row>
    <row r="335" spans="1:20" x14ac:dyDescent="0.25">
      <c r="A335" s="1758" t="s">
        <v>2653</v>
      </c>
      <c r="B335" s="1753">
        <v>0.49859390112470298</v>
      </c>
      <c r="C335" s="1753">
        <v>0.47086833591272498</v>
      </c>
      <c r="D335" s="1307">
        <v>0.44743888354294198</v>
      </c>
      <c r="E335" s="1307">
        <v>0.42880893985902002</v>
      </c>
      <c r="F335" s="1307">
        <v>0.40967016784430099</v>
      </c>
      <c r="G335" s="1307"/>
      <c r="H335" s="1307"/>
      <c r="N335" s="521"/>
      <c r="O335" s="521"/>
      <c r="P335" s="521"/>
      <c r="R335" s="1759"/>
      <c r="S335" s="1759"/>
      <c r="T335" s="1759"/>
    </row>
    <row r="336" spans="1:20" x14ac:dyDescent="0.25">
      <c r="A336" s="1758" t="s">
        <v>2654</v>
      </c>
      <c r="B336" s="1753">
        <v>0.515433247344107</v>
      </c>
      <c r="C336" s="1753">
        <v>0.48697877840412102</v>
      </c>
      <c r="D336" s="1307">
        <v>0.46285096418084698</v>
      </c>
      <c r="E336" s="1307">
        <v>0.44355293215442898</v>
      </c>
      <c r="F336" s="1307">
        <v>0.42377503294282298</v>
      </c>
      <c r="G336" s="1307"/>
      <c r="H336" s="1307"/>
      <c r="N336" s="521"/>
      <c r="O336" s="521"/>
      <c r="P336" s="521"/>
      <c r="R336" s="1759"/>
      <c r="S336" s="1759"/>
      <c r="T336" s="1759"/>
    </row>
    <row r="337" spans="1:20" x14ac:dyDescent="0.25">
      <c r="A337" s="1758" t="s">
        <v>2655</v>
      </c>
      <c r="B337" s="1753">
        <v>8.4104806292561701E-2</v>
      </c>
      <c r="C337" s="1753">
        <v>7.3581919183005898E-2</v>
      </c>
      <c r="D337" s="1307">
        <v>6.7924788631954502E-2</v>
      </c>
      <c r="E337" s="1307">
        <v>6.8086143414271494E-2</v>
      </c>
      <c r="F337" s="1307">
        <v>6.7668402003890904E-2</v>
      </c>
      <c r="G337" s="1307"/>
      <c r="H337" s="1307"/>
      <c r="N337" s="521"/>
      <c r="O337" s="521"/>
      <c r="P337" s="521"/>
      <c r="R337" s="1759"/>
      <c r="S337" s="1759"/>
      <c r="T337" s="1759"/>
    </row>
    <row r="338" spans="1:20" x14ac:dyDescent="0.25">
      <c r="A338" s="1758" t="s">
        <v>2656</v>
      </c>
      <c r="B338" s="1753">
        <v>0.53154368983550304</v>
      </c>
      <c r="C338" s="1753">
        <v>0.50239085904202596</v>
      </c>
      <c r="D338" s="1307">
        <v>0.47759495647625599</v>
      </c>
      <c r="E338" s="1307">
        <v>0.45765779725295103</v>
      </c>
      <c r="F338" s="1307">
        <v>0.437268476517433</v>
      </c>
      <c r="G338" s="1307"/>
      <c r="H338" s="1307"/>
      <c r="N338" s="521"/>
      <c r="O338" s="521"/>
      <c r="P338" s="521"/>
      <c r="R338" s="1759"/>
      <c r="S338" s="1759"/>
      <c r="T338" s="1759"/>
    </row>
    <row r="339" spans="1:20" x14ac:dyDescent="0.25">
      <c r="A339" s="1758" t="s">
        <v>2657</v>
      </c>
      <c r="B339" s="1753">
        <v>0.54695577047340904</v>
      </c>
      <c r="C339" s="1753">
        <v>0.51713485133743498</v>
      </c>
      <c r="D339" s="1307">
        <v>0.49169982157477798</v>
      </c>
      <c r="E339" s="1307">
        <v>0.47115124082756099</v>
      </c>
      <c r="F339" s="1307">
        <v>0.45017700319477899</v>
      </c>
      <c r="G339" s="1307"/>
      <c r="H339" s="1307"/>
      <c r="N339" s="521"/>
      <c r="O339" s="521"/>
      <c r="P339" s="521"/>
      <c r="R339" s="1759"/>
      <c r="S339" s="1759"/>
      <c r="T339" s="1759"/>
    </row>
    <row r="340" spans="1:20" x14ac:dyDescent="0.25">
      <c r="A340" s="1758" t="s">
        <v>2658</v>
      </c>
      <c r="B340" s="1753">
        <v>0.56169976276881695</v>
      </c>
      <c r="C340" s="1753">
        <v>0.53123971643595702</v>
      </c>
      <c r="D340" s="1307">
        <v>0.505193265149388</v>
      </c>
      <c r="E340" s="1307">
        <v>0.48405976750490698</v>
      </c>
      <c r="F340" s="1307">
        <v>0.462256852228417</v>
      </c>
      <c r="G340" s="1307"/>
      <c r="H340" s="1307"/>
      <c r="N340" s="521"/>
      <c r="O340" s="521"/>
      <c r="P340" s="521"/>
      <c r="R340" s="1759"/>
      <c r="S340" s="1759"/>
      <c r="T340" s="1759"/>
    </row>
    <row r="341" spans="1:20" x14ac:dyDescent="0.25">
      <c r="A341" s="1758" t="s">
        <v>2659</v>
      </c>
      <c r="B341" s="1753">
        <v>0.57580462786733999</v>
      </c>
      <c r="C341" s="1753">
        <v>0.54473316001056704</v>
      </c>
      <c r="D341" s="1307">
        <v>0.51810179182673399</v>
      </c>
      <c r="E341" s="1307">
        <v>0.49613961653854499</v>
      </c>
      <c r="F341" s="1307">
        <v>0.47356122152809699</v>
      </c>
      <c r="G341" s="1307"/>
      <c r="H341" s="1307"/>
      <c r="N341" s="521"/>
      <c r="O341" s="521"/>
      <c r="P341" s="521"/>
      <c r="R341" s="1759"/>
      <c r="S341" s="1759"/>
      <c r="T341" s="1759"/>
    </row>
    <row r="342" spans="1:20" x14ac:dyDescent="0.25">
      <c r="A342" s="1758" t="s">
        <v>2660</v>
      </c>
      <c r="B342" s="1753">
        <v>0.58929807144195001</v>
      </c>
      <c r="C342" s="1753">
        <v>0.55764168668791303</v>
      </c>
      <c r="D342" s="1307">
        <v>0.53018164086037201</v>
      </c>
      <c r="E342" s="1307">
        <v>0.50744398583822503</v>
      </c>
      <c r="F342" s="1307">
        <v>0.48413989390286799</v>
      </c>
      <c r="G342" s="1307"/>
      <c r="H342" s="1307"/>
      <c r="N342" s="521"/>
      <c r="O342" s="521"/>
      <c r="P342" s="521"/>
      <c r="R342" s="1759"/>
      <c r="S342" s="1759"/>
      <c r="T342" s="1759"/>
    </row>
    <row r="343" spans="1:20" x14ac:dyDescent="0.25">
      <c r="A343" s="1758" t="s">
        <v>2661</v>
      </c>
      <c r="B343" s="1753">
        <v>0.602206598119295</v>
      </c>
      <c r="C343" s="1753">
        <v>0.56972153572155104</v>
      </c>
      <c r="D343" s="1307">
        <v>0.54148601016005204</v>
      </c>
      <c r="E343" s="1307">
        <v>0.51802265821299598</v>
      </c>
      <c r="F343" s="1307">
        <v>0.494039456297376</v>
      </c>
      <c r="G343" s="1307"/>
      <c r="H343" s="1307"/>
      <c r="N343" s="521"/>
      <c r="O343" s="521"/>
      <c r="P343" s="521"/>
      <c r="R343" s="1759"/>
      <c r="S343" s="1759"/>
      <c r="T343" s="1759"/>
    </row>
    <row r="344" spans="1:20" x14ac:dyDescent="0.25">
      <c r="A344" s="1758" t="s">
        <v>2662</v>
      </c>
      <c r="B344" s="1753">
        <v>0.61428644715293301</v>
      </c>
      <c r="C344" s="1753">
        <v>0.58102590502123097</v>
      </c>
      <c r="D344" s="1307">
        <v>0.55206468253482299</v>
      </c>
      <c r="E344" s="1307">
        <v>0.52792222060750404</v>
      </c>
      <c r="F344" s="1307">
        <v>0.50330350495403697</v>
      </c>
      <c r="G344" s="1307"/>
      <c r="H344" s="1307"/>
      <c r="N344" s="521"/>
      <c r="O344" s="521"/>
      <c r="P344" s="521"/>
      <c r="R344" s="1759"/>
      <c r="S344" s="1759"/>
      <c r="T344" s="1759"/>
    </row>
    <row r="345" spans="1:20" x14ac:dyDescent="0.25">
      <c r="A345" s="1758" t="s">
        <v>2663</v>
      </c>
      <c r="B345" s="1753">
        <v>0.62559081645261405</v>
      </c>
      <c r="C345" s="1753">
        <v>0.59160457739600203</v>
      </c>
      <c r="D345" s="1307">
        <v>0.56196424492932995</v>
      </c>
      <c r="E345" s="1307">
        <v>0.53718626926416402</v>
      </c>
      <c r="F345" s="1307">
        <v>0.51197283740458899</v>
      </c>
      <c r="G345" s="1307"/>
      <c r="H345" s="1307"/>
      <c r="N345" s="521"/>
      <c r="O345" s="521"/>
      <c r="P345" s="521"/>
      <c r="R345" s="1759"/>
      <c r="S345" s="1759"/>
      <c r="T345" s="1759"/>
    </row>
    <row r="346" spans="1:20" x14ac:dyDescent="0.25">
      <c r="A346" s="1758" t="s">
        <v>2664</v>
      </c>
      <c r="B346" s="1753">
        <v>0.636169488827384</v>
      </c>
      <c r="C346" s="1753">
        <v>0.60150413979050998</v>
      </c>
      <c r="D346" s="1307">
        <v>0.57122829358599103</v>
      </c>
      <c r="E346" s="1307">
        <v>0.54585560171471703</v>
      </c>
      <c r="F346" s="1307">
        <v>0.52008563213653103</v>
      </c>
      <c r="G346" s="1307"/>
      <c r="H346" s="1307"/>
      <c r="N346" s="521"/>
      <c r="O346" s="521"/>
      <c r="P346" s="521"/>
      <c r="R346" s="1759"/>
      <c r="S346" s="1759"/>
      <c r="T346" s="1759"/>
    </row>
    <row r="347" spans="1:20" x14ac:dyDescent="0.25">
      <c r="A347" s="1758" t="s">
        <v>2665</v>
      </c>
      <c r="B347" s="1753">
        <v>0.64606905122189195</v>
      </c>
      <c r="C347" s="1753">
        <v>0.61076818844716996</v>
      </c>
      <c r="D347" s="1307">
        <v>0.57989762603654404</v>
      </c>
      <c r="E347" s="1307">
        <v>0.55396839644665896</v>
      </c>
      <c r="F347" s="1307">
        <v>0.52767761672565805</v>
      </c>
      <c r="G347" s="1307"/>
      <c r="H347" s="1307"/>
      <c r="N347" s="521"/>
      <c r="O347" s="521"/>
      <c r="P347" s="521"/>
      <c r="R347" s="1759"/>
      <c r="S347" s="1759"/>
      <c r="T347" s="1759"/>
    </row>
    <row r="348" spans="1:20" x14ac:dyDescent="0.25">
      <c r="A348" s="1758" t="s">
        <v>2666</v>
      </c>
      <c r="B348" s="1753">
        <v>0.11814683061438799</v>
      </c>
      <c r="C348" s="1753">
        <v>0.107464683493134</v>
      </c>
      <c r="D348" s="1307">
        <v>0.10212816773609799</v>
      </c>
      <c r="E348" s="1307">
        <v>0.101551166314019</v>
      </c>
      <c r="F348" s="1307">
        <v>9.8835974914980501E-2</v>
      </c>
      <c r="G348" s="1307"/>
      <c r="H348" s="1307"/>
      <c r="N348" s="521"/>
      <c r="O348" s="521"/>
      <c r="P348" s="521"/>
      <c r="R348" s="1759"/>
      <c r="S348" s="1759"/>
      <c r="T348" s="1759"/>
    </row>
    <row r="349" spans="1:20" x14ac:dyDescent="0.25">
      <c r="A349" s="1758" t="s">
        <v>2667</v>
      </c>
      <c r="B349" s="1753">
        <v>0.65533309987855304</v>
      </c>
      <c r="C349" s="1753">
        <v>0.61943752089772297</v>
      </c>
      <c r="D349" s="1307">
        <v>0.58801042076848498</v>
      </c>
      <c r="E349" s="1307">
        <v>0.56156038103578598</v>
      </c>
      <c r="F349" s="1307">
        <v>0.53478222517515095</v>
      </c>
      <c r="G349" s="1307"/>
      <c r="H349" s="1307"/>
      <c r="N349" s="521"/>
      <c r="O349" s="521"/>
      <c r="P349" s="521"/>
      <c r="R349" s="1759"/>
      <c r="S349" s="1759"/>
      <c r="T349" s="1759"/>
    </row>
    <row r="350" spans="1:20" x14ac:dyDescent="0.25">
      <c r="A350" s="1758" t="s">
        <v>2668</v>
      </c>
      <c r="B350" s="1753">
        <v>0.15202959492451601</v>
      </c>
      <c r="C350" s="1753">
        <v>0.14166806259727699</v>
      </c>
      <c r="D350" s="1307">
        <v>0.13559319063584499</v>
      </c>
      <c r="E350" s="1307">
        <v>0.13271873922510799</v>
      </c>
      <c r="F350" s="1307">
        <v>0.12774616814637799</v>
      </c>
      <c r="G350" s="1307"/>
      <c r="H350" s="1307"/>
      <c r="N350" s="521"/>
      <c r="O350" s="521"/>
      <c r="P350" s="521"/>
      <c r="R350" s="1759"/>
      <c r="S350" s="1759"/>
      <c r="T350" s="1759"/>
    </row>
    <row r="351" spans="1:20" x14ac:dyDescent="0.25">
      <c r="A351" s="1758" t="s">
        <v>2669</v>
      </c>
      <c r="B351" s="1753">
        <v>0.18623297402865999</v>
      </c>
      <c r="C351" s="1753">
        <v>0.175133085497025</v>
      </c>
      <c r="D351" s="1307">
        <v>0.166760763546935</v>
      </c>
      <c r="E351" s="1307">
        <v>0.161628932456506</v>
      </c>
      <c r="F351" s="1307">
        <v>0.15482529950403601</v>
      </c>
      <c r="G351" s="1307"/>
      <c r="H351" s="1307"/>
      <c r="N351" s="521"/>
      <c r="O351" s="521"/>
      <c r="P351" s="521"/>
      <c r="R351" s="1759"/>
      <c r="S351" s="1759"/>
      <c r="T351" s="1759"/>
    </row>
    <row r="352" spans="1:20" x14ac:dyDescent="0.25">
      <c r="A352" s="1758" t="s">
        <v>2670</v>
      </c>
      <c r="B352" s="1753">
        <v>0.219697996928407</v>
      </c>
      <c r="C352" s="1753">
        <v>0.20630065840811401</v>
      </c>
      <c r="D352" s="1307">
        <v>0.19567095677833199</v>
      </c>
      <c r="E352" s="1307">
        <v>0.188708063814164</v>
      </c>
      <c r="F352" s="1307">
        <v>0.18061573360432001</v>
      </c>
      <c r="G352" s="1307"/>
      <c r="H352" s="1307"/>
      <c r="N352" s="521"/>
      <c r="O352" s="521"/>
      <c r="P352" s="521"/>
      <c r="R352" s="1759"/>
      <c r="S352" s="1759"/>
      <c r="T352" s="1759"/>
    </row>
    <row r="353" spans="1:20" x14ac:dyDescent="0.25">
      <c r="A353" s="1758" t="s">
        <v>2671</v>
      </c>
      <c r="B353" s="1753">
        <v>0.25086556983949698</v>
      </c>
      <c r="C353" s="1753">
        <v>0.235210851639512</v>
      </c>
      <c r="D353" s="1307">
        <v>0.22275008813599101</v>
      </c>
      <c r="E353" s="1307">
        <v>0.214498497914448</v>
      </c>
      <c r="F353" s="1307">
        <v>0.20483808727515601</v>
      </c>
      <c r="G353" s="1307"/>
      <c r="H353" s="1307"/>
      <c r="N353" s="521"/>
      <c r="O353" s="521"/>
      <c r="P353" s="521"/>
      <c r="R353" s="1759"/>
      <c r="S353" s="1759"/>
      <c r="T353" s="1759"/>
    </row>
    <row r="354" spans="1:20" x14ac:dyDescent="0.25">
      <c r="A354" s="1758" t="s">
        <v>2672</v>
      </c>
      <c r="B354" s="1753">
        <v>0.27977576307089402</v>
      </c>
      <c r="C354" s="1753">
        <v>0.26228998299716999</v>
      </c>
      <c r="D354" s="1307">
        <v>0.24854052223627501</v>
      </c>
      <c r="E354" s="1307">
        <v>0.238720851585284</v>
      </c>
      <c r="F354" s="1307">
        <v>0.228024908443477</v>
      </c>
      <c r="G354" s="1307"/>
      <c r="H354" s="1307"/>
      <c r="N354" s="521"/>
      <c r="O354" s="521"/>
      <c r="P354" s="521"/>
      <c r="R354" s="1759"/>
      <c r="S354" s="1759"/>
      <c r="T354" s="1759"/>
    </row>
    <row r="355" spans="1:20" x14ac:dyDescent="0.25">
      <c r="A355" s="1758" t="s">
        <v>2673</v>
      </c>
      <c r="B355" s="1753">
        <v>0.30685489442855302</v>
      </c>
      <c r="C355" s="1753">
        <v>0.28808041709745402</v>
      </c>
      <c r="D355" s="1307">
        <v>0.27276287590711101</v>
      </c>
      <c r="E355" s="1307">
        <v>0.26190767275360499</v>
      </c>
      <c r="F355" s="1307">
        <v>0.25020661776768899</v>
      </c>
      <c r="G355" s="1307"/>
      <c r="H355" s="1307"/>
      <c r="N355" s="521"/>
      <c r="O355" s="521"/>
      <c r="P355" s="521"/>
      <c r="R355" s="1759"/>
      <c r="S355" s="1759"/>
      <c r="T355" s="1759"/>
    </row>
    <row r="356" spans="1:20" x14ac:dyDescent="0.25">
      <c r="A356" s="1758" t="s">
        <v>2674</v>
      </c>
      <c r="B356" s="1753">
        <v>7.2138214284916596E-2</v>
      </c>
      <c r="C356" s="1753">
        <v>6.7507219057567472E-2</v>
      </c>
      <c r="D356" s="1307">
        <v>6.120204054935674E-2</v>
      </c>
      <c r="E356" s="1307">
        <v>5.4404232951077165E-2</v>
      </c>
      <c r="F356" s="1307">
        <v>5.3388642782205252E-2</v>
      </c>
      <c r="G356" s="1307"/>
      <c r="H356" s="1307"/>
      <c r="N356" s="521"/>
      <c r="O356" s="521"/>
      <c r="P356" s="521"/>
      <c r="R356" s="1759"/>
      <c r="S356" s="1759"/>
      <c r="T356" s="1759"/>
    </row>
    <row r="357" spans="1:20" x14ac:dyDescent="0.25">
      <c r="A357" s="1758" t="s">
        <v>2675</v>
      </c>
      <c r="B357" s="1753">
        <v>0.54888914682689161</v>
      </c>
      <c r="C357" s="1753">
        <v>0.5172570665411812</v>
      </c>
      <c r="D357" s="1307">
        <v>0.48798244270263469</v>
      </c>
      <c r="E357" s="1307">
        <v>0.46334633196577735</v>
      </c>
      <c r="F357" s="1307">
        <v>0.44389896085346059</v>
      </c>
      <c r="G357" s="1307"/>
      <c r="H357" s="1307"/>
      <c r="N357" s="521"/>
      <c r="O357" s="521"/>
      <c r="P357" s="521"/>
      <c r="R357" s="1759"/>
      <c r="S357" s="1759"/>
      <c r="T357" s="1759"/>
    </row>
    <row r="358" spans="1:20" x14ac:dyDescent="0.25">
      <c r="A358" s="1758" t="s">
        <v>2676</v>
      </c>
      <c r="B358" s="1753">
        <v>0.58939528082609782</v>
      </c>
      <c r="C358" s="1753">
        <v>0.55548966176020231</v>
      </c>
      <c r="D358" s="1307">
        <v>0.52454837251513409</v>
      </c>
      <c r="E358" s="1307">
        <v>0.4983031938045378</v>
      </c>
      <c r="F358" s="1307">
        <v>0.47709505870338764</v>
      </c>
      <c r="G358" s="1307"/>
      <c r="H358" s="1307"/>
      <c r="N358" s="521"/>
      <c r="O358" s="521"/>
      <c r="P358" s="521"/>
      <c r="R358" s="1759"/>
      <c r="S358" s="1759"/>
      <c r="T358" s="1759"/>
    </row>
    <row r="359" spans="1:20" x14ac:dyDescent="0.25">
      <c r="A359" s="1758" t="s">
        <v>2677</v>
      </c>
      <c r="B359" s="1753">
        <v>0.62762787604511894</v>
      </c>
      <c r="C359" s="1753">
        <v>0.59205559157270149</v>
      </c>
      <c r="D359" s="1307">
        <v>0.55950523435389454</v>
      </c>
      <c r="E359" s="1307">
        <v>0.53149929165446474</v>
      </c>
      <c r="F359" s="1307">
        <v>0.50883029597861285</v>
      </c>
      <c r="G359" s="1307"/>
      <c r="H359" s="1307"/>
      <c r="N359" s="521"/>
      <c r="O359" s="521"/>
      <c r="P359" s="521"/>
      <c r="R359" s="1759"/>
      <c r="S359" s="1759"/>
      <c r="T359" s="1759"/>
    </row>
    <row r="360" spans="1:20" x14ac:dyDescent="0.25">
      <c r="A360" s="1758" t="s">
        <v>2678</v>
      </c>
      <c r="B360" s="1753">
        <v>0.66419380585761811</v>
      </c>
      <c r="C360" s="1753">
        <v>0.62701245341146206</v>
      </c>
      <c r="D360" s="1307">
        <v>0.59270133220382148</v>
      </c>
      <c r="E360" s="1307">
        <v>0.56323452892968995</v>
      </c>
      <c r="F360" s="1307">
        <v>0.5391689938889529</v>
      </c>
      <c r="G360" s="1307"/>
      <c r="H360" s="1307"/>
      <c r="N360" s="521"/>
      <c r="O360" s="521"/>
      <c r="P360" s="521"/>
      <c r="R360" s="1759"/>
      <c r="S360" s="1759"/>
      <c r="T360" s="1759"/>
    </row>
    <row r="361" spans="1:20" x14ac:dyDescent="0.25">
      <c r="A361" s="1758" t="s">
        <v>2679</v>
      </c>
      <c r="B361" s="1753">
        <v>0.69915066769637857</v>
      </c>
      <c r="C361" s="1753">
        <v>0.66020855126138889</v>
      </c>
      <c r="D361" s="1307">
        <v>0.62443656947904669</v>
      </c>
      <c r="E361" s="1307">
        <v>0.59357322684003</v>
      </c>
      <c r="F361" s="1307">
        <v>0.5681726401192958</v>
      </c>
      <c r="G361" s="1307"/>
      <c r="H361" s="1307"/>
      <c r="N361" s="521"/>
      <c r="O361" s="521"/>
      <c r="P361" s="521"/>
      <c r="R361" s="1759"/>
      <c r="S361" s="1759"/>
      <c r="T361" s="1759"/>
    </row>
    <row r="362" spans="1:20" x14ac:dyDescent="0.25">
      <c r="A362" s="1758" t="s">
        <v>2680</v>
      </c>
      <c r="B362" s="1753">
        <v>0.73234676554630562</v>
      </c>
      <c r="C362" s="1753">
        <v>0.6919437885366142</v>
      </c>
      <c r="D362" s="1307">
        <v>0.65477526738938663</v>
      </c>
      <c r="E362" s="1307">
        <v>0.62257687307037279</v>
      </c>
      <c r="F362" s="1307">
        <v>0.59590001372049661</v>
      </c>
      <c r="G362" s="1307"/>
      <c r="H362" s="1307"/>
      <c r="N362" s="521"/>
      <c r="O362" s="521"/>
      <c r="P362" s="521"/>
      <c r="R362" s="1759"/>
      <c r="S362" s="1759"/>
      <c r="T362" s="1759"/>
    </row>
    <row r="363" spans="1:20" x14ac:dyDescent="0.25">
      <c r="A363" s="1758" t="s">
        <v>2681</v>
      </c>
      <c r="B363" s="1753">
        <v>0.7640820028215306</v>
      </c>
      <c r="C363" s="1753">
        <v>0.72228248644695414</v>
      </c>
      <c r="D363" s="1307">
        <v>0.68377891361972964</v>
      </c>
      <c r="E363" s="1307">
        <v>0.65030424667157394</v>
      </c>
      <c r="F363" s="1307">
        <v>0.62240730449259396</v>
      </c>
      <c r="G363" s="1307"/>
      <c r="H363" s="1307"/>
      <c r="N363" s="521"/>
      <c r="O363" s="521"/>
      <c r="P363" s="521"/>
      <c r="R363" s="1759"/>
      <c r="S363" s="1759"/>
      <c r="T363" s="1759"/>
    </row>
    <row r="364" spans="1:20" x14ac:dyDescent="0.25">
      <c r="A364" s="1758" t="s">
        <v>2682</v>
      </c>
      <c r="B364" s="1753">
        <v>0.79442070073187065</v>
      </c>
      <c r="C364" s="1753">
        <v>0.75128613267729694</v>
      </c>
      <c r="D364" s="1307">
        <v>0.71150628722093046</v>
      </c>
      <c r="E364" s="1307">
        <v>0.67681153744367106</v>
      </c>
      <c r="F364" s="1307">
        <v>0.64780794197827851</v>
      </c>
      <c r="G364" s="1307"/>
      <c r="H364" s="1307"/>
      <c r="N364" s="521"/>
      <c r="O364" s="521"/>
      <c r="P364" s="521"/>
      <c r="R364" s="1759"/>
      <c r="S364" s="1759"/>
      <c r="T364" s="1759"/>
    </row>
    <row r="365" spans="1:20" x14ac:dyDescent="0.25">
      <c r="A365" s="1758" t="s">
        <v>2683</v>
      </c>
      <c r="B365" s="1753">
        <v>0.82342434696221356</v>
      </c>
      <c r="C365" s="1753">
        <v>0.77901350627849797</v>
      </c>
      <c r="D365" s="1307">
        <v>0.73801357799302758</v>
      </c>
      <c r="E365" s="1307">
        <v>0.70221217492935539</v>
      </c>
      <c r="F365" s="1307">
        <v>0.67209084408780628</v>
      </c>
      <c r="G365" s="1307"/>
      <c r="H365" s="1307"/>
      <c r="N365" s="521"/>
      <c r="O365" s="521"/>
      <c r="P365" s="521"/>
      <c r="R365" s="1759"/>
      <c r="S365" s="1759"/>
      <c r="T365" s="1759"/>
    </row>
    <row r="366" spans="1:20" x14ac:dyDescent="0.25">
      <c r="A366" s="1758" t="s">
        <v>2684</v>
      </c>
      <c r="B366" s="1753">
        <v>0.8511517205634147</v>
      </c>
      <c r="C366" s="1753">
        <v>0.80552079705059532</v>
      </c>
      <c r="D366" s="1307">
        <v>0.76341421547871224</v>
      </c>
      <c r="E366" s="1307">
        <v>0.72649507703888339</v>
      </c>
      <c r="F366" s="1307">
        <v>0.69530522118909577</v>
      </c>
      <c r="G366" s="1307"/>
      <c r="H366" s="1307"/>
      <c r="N366" s="521"/>
      <c r="O366" s="521"/>
      <c r="P366" s="521"/>
      <c r="R366" s="1759"/>
      <c r="S366" s="1759"/>
      <c r="T366" s="1759"/>
    </row>
    <row r="367" spans="1:20" x14ac:dyDescent="0.25">
      <c r="A367" s="1758" t="s">
        <v>2685</v>
      </c>
      <c r="B367" s="1753">
        <v>0.13964543334248405</v>
      </c>
      <c r="C367" s="1753">
        <v>0.12870925960692423</v>
      </c>
      <c r="D367" s="1307">
        <v>0.11560627350043388</v>
      </c>
      <c r="E367" s="1307">
        <v>0.10779287573328242</v>
      </c>
      <c r="F367" s="1307">
        <v>0.106359324207235</v>
      </c>
      <c r="G367" s="1307"/>
      <c r="H367" s="1307"/>
      <c r="N367" s="521"/>
      <c r="O367" s="521"/>
      <c r="P367" s="521"/>
      <c r="R367" s="1759"/>
      <c r="S367" s="1759"/>
      <c r="T367" s="1759"/>
    </row>
    <row r="368" spans="1:20" x14ac:dyDescent="0.25">
      <c r="A368" s="1758" t="s">
        <v>2686</v>
      </c>
      <c r="B368" s="1753">
        <v>0.87765901133551172</v>
      </c>
      <c r="C368" s="1753">
        <v>0.83092143453627987</v>
      </c>
      <c r="D368" s="1307">
        <v>0.78769711758824024</v>
      </c>
      <c r="E368" s="1307">
        <v>0.74970945414017276</v>
      </c>
      <c r="F368" s="1307">
        <v>0.71749811594007828</v>
      </c>
      <c r="G368" s="1307"/>
      <c r="H368" s="1307"/>
      <c r="N368" s="521"/>
      <c r="O368" s="521"/>
      <c r="P368" s="521"/>
      <c r="R368" s="1759"/>
      <c r="S368" s="1759"/>
      <c r="T368" s="1759"/>
    </row>
    <row r="369" spans="1:20" x14ac:dyDescent="0.25">
      <c r="A369" s="1758" t="s">
        <v>2687</v>
      </c>
      <c r="B369" s="1753">
        <v>0.9030596488211966</v>
      </c>
      <c r="C369" s="1753">
        <v>0.85520433664580753</v>
      </c>
      <c r="D369" s="1307">
        <v>0.81091149468952972</v>
      </c>
      <c r="E369" s="1307">
        <v>0.77190234889115572</v>
      </c>
      <c r="F369" s="1307">
        <v>0.73871449882671758</v>
      </c>
      <c r="G369" s="1307"/>
      <c r="H369" s="1307"/>
      <c r="N369" s="521"/>
      <c r="O369" s="521"/>
      <c r="P369" s="521"/>
      <c r="R369" s="1759"/>
      <c r="S369" s="1759"/>
      <c r="T369" s="1759"/>
    </row>
    <row r="370" spans="1:20" x14ac:dyDescent="0.25">
      <c r="A370" s="1758" t="s">
        <v>2688</v>
      </c>
      <c r="B370" s="1753">
        <v>0.92734255093072415</v>
      </c>
      <c r="C370" s="1753">
        <v>0.87841871374709724</v>
      </c>
      <c r="D370" s="1307">
        <v>0.83310438944051257</v>
      </c>
      <c r="E370" s="1307">
        <v>0.79311873177779457</v>
      </c>
      <c r="F370" s="1307">
        <v>0.7585688717320509</v>
      </c>
      <c r="G370" s="1307"/>
      <c r="H370" s="1307"/>
      <c r="N370" s="521"/>
      <c r="O370" s="521"/>
      <c r="P370" s="521"/>
      <c r="R370" s="1759"/>
      <c r="S370" s="1759"/>
      <c r="T370" s="1759"/>
    </row>
    <row r="371" spans="1:20" x14ac:dyDescent="0.25">
      <c r="A371" s="1758" t="s">
        <v>2689</v>
      </c>
      <c r="B371" s="1753">
        <v>0.95055692803201364</v>
      </c>
      <c r="C371" s="1753">
        <v>0.90061160849807975</v>
      </c>
      <c r="D371" s="1307">
        <v>0.85432077232715153</v>
      </c>
      <c r="E371" s="1307">
        <v>0.812973104683128</v>
      </c>
      <c r="F371" s="1307">
        <v>0.77714867044563274</v>
      </c>
      <c r="G371" s="1307"/>
      <c r="H371" s="1307"/>
      <c r="N371" s="521"/>
      <c r="O371" s="521"/>
      <c r="P371" s="521"/>
      <c r="R371" s="1759"/>
      <c r="S371" s="1759"/>
      <c r="T371" s="1759"/>
    </row>
    <row r="372" spans="1:20" x14ac:dyDescent="0.25">
      <c r="A372" s="1758" t="s">
        <v>2690</v>
      </c>
      <c r="B372" s="1753">
        <v>0.97274982278299627</v>
      </c>
      <c r="C372" s="1753">
        <v>0.92182799138471894</v>
      </c>
      <c r="D372" s="1307">
        <v>0.87417514523248485</v>
      </c>
      <c r="E372" s="1307">
        <v>0.83155290339670973</v>
      </c>
      <c r="F372" s="1307">
        <v>0.79453571771643672</v>
      </c>
      <c r="G372" s="1307"/>
      <c r="H372" s="1307"/>
      <c r="N372" s="521"/>
      <c r="O372" s="521"/>
      <c r="P372" s="521"/>
      <c r="R372" s="1759"/>
      <c r="S372" s="1759"/>
      <c r="T372" s="1759"/>
    </row>
    <row r="373" spans="1:20" x14ac:dyDescent="0.25">
      <c r="A373" s="1758" t="s">
        <v>2691</v>
      </c>
      <c r="B373" s="1753">
        <v>0.99396620566963578</v>
      </c>
      <c r="C373" s="1753">
        <v>0.94168236429005203</v>
      </c>
      <c r="D373" s="1307">
        <v>0.89275494394606625</v>
      </c>
      <c r="E373" s="1307">
        <v>0.84893995066751393</v>
      </c>
      <c r="F373" s="1307">
        <v>0.81080658358842306</v>
      </c>
      <c r="G373" s="1307"/>
      <c r="H373" s="1307"/>
      <c r="N373" s="521"/>
      <c r="O373" s="521"/>
      <c r="P373" s="521"/>
      <c r="R373" s="1759"/>
      <c r="S373" s="1759"/>
      <c r="T373" s="1759"/>
    </row>
    <row r="374" spans="1:20" x14ac:dyDescent="0.25">
      <c r="A374" s="1758" t="s">
        <v>2692</v>
      </c>
      <c r="B374" s="1753">
        <v>0.20084747389184082</v>
      </c>
      <c r="C374" s="1753">
        <v>0.18311349255800136</v>
      </c>
      <c r="D374" s="1307">
        <v>0.16899491628263913</v>
      </c>
      <c r="E374" s="1307">
        <v>0.16076355715831214</v>
      </c>
      <c r="F374" s="1307">
        <v>0.15779201284663077</v>
      </c>
      <c r="G374" s="1307"/>
      <c r="H374" s="1307"/>
      <c r="N374" s="521"/>
      <c r="O374" s="521"/>
      <c r="P374" s="521"/>
      <c r="R374" s="1759"/>
      <c r="S374" s="1759"/>
      <c r="T374" s="1759"/>
    </row>
    <row r="375" spans="1:20" x14ac:dyDescent="0.25">
      <c r="A375" s="1758" t="s">
        <v>2693</v>
      </c>
      <c r="B375" s="1753">
        <v>0.25525170684291792</v>
      </c>
      <c r="C375" s="1753">
        <v>0.23650213534020664</v>
      </c>
      <c r="D375" s="1307">
        <v>0.22196559770766888</v>
      </c>
      <c r="E375" s="1307">
        <v>0.21219624579770791</v>
      </c>
      <c r="F375" s="1307">
        <v>0.20601907234360284</v>
      </c>
      <c r="G375" s="1307"/>
      <c r="H375" s="1307"/>
      <c r="N375" s="521"/>
      <c r="O375" s="521"/>
      <c r="P375" s="521"/>
      <c r="R375" s="1759"/>
      <c r="S375" s="1759"/>
      <c r="T375" s="1759"/>
    </row>
    <row r="376" spans="1:20" x14ac:dyDescent="0.25">
      <c r="A376" s="1758" t="s">
        <v>2694</v>
      </c>
      <c r="B376" s="1753">
        <v>0.30864034962512327</v>
      </c>
      <c r="C376" s="1753">
        <v>0.28947281676523634</v>
      </c>
      <c r="D376" s="1307">
        <v>0.27339828634706465</v>
      </c>
      <c r="E376" s="1307">
        <v>0.26042330529468</v>
      </c>
      <c r="F376" s="1307">
        <v>0.25113596682435069</v>
      </c>
      <c r="G376" s="1307"/>
      <c r="H376" s="1307"/>
      <c r="N376" s="521"/>
      <c r="O376" s="521"/>
      <c r="P376" s="521"/>
      <c r="R376" s="1759"/>
      <c r="S376" s="1759"/>
      <c r="T376" s="1759"/>
    </row>
    <row r="377" spans="1:20" x14ac:dyDescent="0.25">
      <c r="A377" s="1758" t="s">
        <v>2695</v>
      </c>
      <c r="B377" s="1753">
        <v>0.36161103105015302</v>
      </c>
      <c r="C377" s="1753">
        <v>0.34090550540463205</v>
      </c>
      <c r="D377" s="1307">
        <v>0.32162534584403668</v>
      </c>
      <c r="E377" s="1307">
        <v>0.30554019977542801</v>
      </c>
      <c r="F377" s="1307">
        <v>0.29363743998397362</v>
      </c>
      <c r="G377" s="1307"/>
      <c r="H377" s="1307"/>
      <c r="N377" s="521"/>
      <c r="O377" s="521"/>
      <c r="P377" s="521"/>
      <c r="R377" s="1759"/>
      <c r="S377" s="1759"/>
      <c r="T377" s="1759"/>
    </row>
    <row r="378" spans="1:20" x14ac:dyDescent="0.25">
      <c r="A378" s="1758" t="s">
        <v>2696</v>
      </c>
      <c r="B378" s="1753">
        <v>0.41304371968954873</v>
      </c>
      <c r="C378" s="1753">
        <v>0.38913256490160414</v>
      </c>
      <c r="D378" s="1307">
        <v>0.36674224032478464</v>
      </c>
      <c r="E378" s="1307">
        <v>0.34804167293505067</v>
      </c>
      <c r="F378" s="1307">
        <v>0.33414357398318001</v>
      </c>
      <c r="G378" s="1307"/>
      <c r="H378" s="1307"/>
      <c r="N378" s="521"/>
      <c r="O378" s="521"/>
      <c r="P378" s="521"/>
      <c r="R378" s="1759"/>
      <c r="S378" s="1759"/>
      <c r="T378" s="1759"/>
    </row>
    <row r="379" spans="1:20" x14ac:dyDescent="0.25">
      <c r="A379" s="1758" t="s">
        <v>2697</v>
      </c>
      <c r="B379" s="1753">
        <v>0.46127077918652071</v>
      </c>
      <c r="C379" s="1753">
        <v>0.43424945938235215</v>
      </c>
      <c r="D379" s="1307">
        <v>0.40924371348440758</v>
      </c>
      <c r="E379" s="1307">
        <v>0.38854780693425706</v>
      </c>
      <c r="F379" s="1307">
        <v>0.3723761692022009</v>
      </c>
      <c r="G379" s="1307"/>
      <c r="H379" s="1307"/>
      <c r="N379" s="521"/>
      <c r="O379" s="521"/>
      <c r="P379" s="521"/>
      <c r="R379" s="1759"/>
      <c r="S379" s="1759"/>
      <c r="T379" s="1759"/>
    </row>
    <row r="380" spans="1:20" x14ac:dyDescent="0.25">
      <c r="A380" s="1758" t="s">
        <v>2698</v>
      </c>
      <c r="B380" s="1753">
        <v>0.50638767366726878</v>
      </c>
      <c r="C380" s="1753">
        <v>0.47675093254197498</v>
      </c>
      <c r="D380" s="1307">
        <v>0.44974984748361391</v>
      </c>
      <c r="E380" s="1307">
        <v>0.42678040215327817</v>
      </c>
      <c r="F380" s="1307">
        <v>0.4089420990147003</v>
      </c>
      <c r="G380" s="1307"/>
      <c r="H380" s="1307"/>
      <c r="N380" s="521"/>
      <c r="O380" s="521"/>
      <c r="P380" s="521"/>
      <c r="R380" s="1759"/>
      <c r="S380" s="1759"/>
      <c r="T380" s="1759"/>
    </row>
    <row r="381" spans="1:20" x14ac:dyDescent="0.25">
      <c r="A381" s="1758" t="s">
        <v>2699</v>
      </c>
      <c r="B381" s="1753">
        <v>5.2467220237808899E-2</v>
      </c>
      <c r="C381" s="1753">
        <v>4.65232797959566E-2</v>
      </c>
      <c r="D381" s="1307">
        <v>4.0017866344826701E-2</v>
      </c>
      <c r="E381" s="1307">
        <v>3.9846887800983798E-2</v>
      </c>
      <c r="F381" s="1307">
        <v>4.0243634649090303E-2</v>
      </c>
      <c r="G381" s="1307"/>
      <c r="H381" s="1307"/>
      <c r="N381" s="521"/>
      <c r="O381" s="521"/>
      <c r="P381" s="521"/>
      <c r="R381" s="1759"/>
      <c r="S381" s="1759"/>
      <c r="T381" s="1759"/>
    </row>
    <row r="382" spans="1:20" x14ac:dyDescent="0.25">
      <c r="A382" s="1758" t="s">
        <v>2700</v>
      </c>
      <c r="B382" s="1753">
        <v>0.39134530228154202</v>
      </c>
      <c r="C382" s="1753">
        <v>0.367362708473638</v>
      </c>
      <c r="D382" s="1307">
        <v>0.34810699230907199</v>
      </c>
      <c r="E382" s="1307">
        <v>0.334175195976466</v>
      </c>
      <c r="F382" s="1307">
        <v>0.31904221934323401</v>
      </c>
      <c r="G382" s="1307"/>
      <c r="H382" s="1307"/>
      <c r="N382" s="521"/>
      <c r="O382" s="521"/>
      <c r="P382" s="521"/>
      <c r="R382" s="1759"/>
      <c r="S382" s="1759"/>
      <c r="T382" s="1759"/>
    </row>
    <row r="383" spans="1:20" x14ac:dyDescent="0.25">
      <c r="A383" s="1758" t="s">
        <v>2701</v>
      </c>
      <c r="B383" s="1753">
        <v>0.41982992871144598</v>
      </c>
      <c r="C383" s="1753">
        <v>0.39463027210502899</v>
      </c>
      <c r="D383" s="1307">
        <v>0.37419306232129301</v>
      </c>
      <c r="E383" s="1307">
        <v>0.35888910714421801</v>
      </c>
      <c r="F383" s="1307">
        <v>0.34268528572469897</v>
      </c>
      <c r="G383" s="1307"/>
      <c r="H383" s="1307"/>
      <c r="N383" s="521"/>
      <c r="O383" s="521"/>
      <c r="P383" s="521"/>
      <c r="R383" s="1759"/>
      <c r="S383" s="1759"/>
      <c r="T383" s="1759"/>
    </row>
    <row r="384" spans="1:20" x14ac:dyDescent="0.25">
      <c r="A384" s="1758" t="s">
        <v>2702</v>
      </c>
      <c r="B384" s="1753">
        <v>0.44709749234283802</v>
      </c>
      <c r="C384" s="1753">
        <v>0.42071634211725001</v>
      </c>
      <c r="D384" s="1307">
        <v>0.39890697348904502</v>
      </c>
      <c r="E384" s="1307">
        <v>0.38253217352568297</v>
      </c>
      <c r="F384" s="1307">
        <v>0.36530390663516499</v>
      </c>
      <c r="G384" s="1307"/>
      <c r="H384" s="1307"/>
      <c r="N384" s="521"/>
      <c r="O384" s="521"/>
      <c r="P384" s="521"/>
      <c r="R384" s="1759"/>
      <c r="S384" s="1759"/>
      <c r="T384" s="1759"/>
    </row>
    <row r="385" spans="1:20" x14ac:dyDescent="0.25">
      <c r="A385" s="1758" t="s">
        <v>2703</v>
      </c>
      <c r="B385" s="1753">
        <v>0.47318356235505799</v>
      </c>
      <c r="C385" s="1753">
        <v>0.44543025328500102</v>
      </c>
      <c r="D385" s="1307">
        <v>0.42255003987050899</v>
      </c>
      <c r="E385" s="1307">
        <v>0.40515079443614899</v>
      </c>
      <c r="F385" s="1307">
        <v>0.38694247092446099</v>
      </c>
      <c r="G385" s="1307"/>
      <c r="H385" s="1307"/>
      <c r="N385" s="521"/>
      <c r="O385" s="521"/>
      <c r="P385" s="521"/>
      <c r="R385" s="1759"/>
      <c r="S385" s="1759"/>
      <c r="T385" s="1759"/>
    </row>
    <row r="386" spans="1:20" x14ac:dyDescent="0.25">
      <c r="A386" s="1758" t="s">
        <v>2704</v>
      </c>
      <c r="B386" s="1753">
        <v>0.49789747352281</v>
      </c>
      <c r="C386" s="1753">
        <v>0.46907331966646598</v>
      </c>
      <c r="D386" s="1307">
        <v>0.445168660780976</v>
      </c>
      <c r="E386" s="1307">
        <v>0.42678935872544499</v>
      </c>
      <c r="F386" s="1307">
        <v>0.407643444089686</v>
      </c>
      <c r="G386" s="1307"/>
      <c r="H386" s="1307"/>
      <c r="N386" s="521"/>
      <c r="O386" s="521"/>
      <c r="P386" s="521"/>
      <c r="R386" s="1759"/>
      <c r="S386" s="1759"/>
      <c r="T386" s="1759"/>
    </row>
    <row r="387" spans="1:20" x14ac:dyDescent="0.25">
      <c r="A387" s="1758" t="s">
        <v>2705</v>
      </c>
      <c r="B387" s="1753">
        <v>0.52154053990427496</v>
      </c>
      <c r="C387" s="1753">
        <v>0.491691940576932</v>
      </c>
      <c r="D387" s="1307">
        <v>0.466807225070271</v>
      </c>
      <c r="E387" s="1307">
        <v>0.44749033189067</v>
      </c>
      <c r="F387" s="1307">
        <v>0.42744745161339198</v>
      </c>
      <c r="G387" s="1307"/>
      <c r="H387" s="1307"/>
      <c r="N387" s="521"/>
      <c r="O387" s="521"/>
      <c r="P387" s="521"/>
      <c r="R387" s="1759"/>
      <c r="S387" s="1759"/>
      <c r="T387" s="1759"/>
    </row>
    <row r="388" spans="1:20" x14ac:dyDescent="0.25">
      <c r="A388" s="1758" t="s">
        <v>2706</v>
      </c>
      <c r="B388" s="1753">
        <v>0.54415916081474103</v>
      </c>
      <c r="C388" s="1753">
        <v>0.513330504866228</v>
      </c>
      <c r="D388" s="1307">
        <v>0.48750819823549701</v>
      </c>
      <c r="E388" s="1307">
        <v>0.46729433941437498</v>
      </c>
      <c r="F388" s="1307">
        <v>0.44639335869073599</v>
      </c>
      <c r="G388" s="1307"/>
      <c r="H388" s="1307"/>
      <c r="N388" s="521"/>
      <c r="O388" s="521"/>
      <c r="P388" s="521"/>
      <c r="R388" s="1759"/>
      <c r="S388" s="1759"/>
      <c r="T388" s="1759"/>
    </row>
    <row r="389" spans="1:20" x14ac:dyDescent="0.25">
      <c r="A389" s="1758" t="s">
        <v>2707</v>
      </c>
      <c r="B389" s="1753">
        <v>0.56579772510403703</v>
      </c>
      <c r="C389" s="1753">
        <v>0.53403147803145301</v>
      </c>
      <c r="D389" s="1307">
        <v>0.507312205759202</v>
      </c>
      <c r="E389" s="1307">
        <v>0.48624024649171999</v>
      </c>
      <c r="F389" s="1307">
        <v>0.464518346502103</v>
      </c>
      <c r="G389" s="1307"/>
      <c r="H389" s="1307"/>
      <c r="N389" s="521"/>
      <c r="O389" s="521"/>
      <c r="P389" s="521"/>
      <c r="R389" s="1759"/>
      <c r="S389" s="1759"/>
      <c r="T389" s="1759"/>
    </row>
    <row r="390" spans="1:20" x14ac:dyDescent="0.25">
      <c r="A390" s="1758" t="s">
        <v>2708</v>
      </c>
      <c r="B390" s="1753">
        <v>0.58649869826926204</v>
      </c>
      <c r="C390" s="1753">
        <v>0.55383548555515805</v>
      </c>
      <c r="D390" s="1307">
        <v>0.526258112836546</v>
      </c>
      <c r="E390" s="1307">
        <v>0.504365234303087</v>
      </c>
      <c r="F390" s="1307">
        <v>0.48185798518084699</v>
      </c>
      <c r="G390" s="1307"/>
      <c r="H390" s="1307"/>
      <c r="N390" s="521"/>
      <c r="O390" s="521"/>
      <c r="P390" s="521"/>
      <c r="R390" s="1759"/>
      <c r="S390" s="1759"/>
      <c r="T390" s="1759"/>
    </row>
    <row r="391" spans="1:20" x14ac:dyDescent="0.25">
      <c r="A391" s="1758" t="s">
        <v>2709</v>
      </c>
      <c r="B391" s="1753">
        <v>0.60630270579296697</v>
      </c>
      <c r="C391" s="1753">
        <v>0.57278139263250305</v>
      </c>
      <c r="D391" s="1307">
        <v>0.54438310064791395</v>
      </c>
      <c r="E391" s="1307">
        <v>0.52170487298183099</v>
      </c>
      <c r="F391" s="1307">
        <v>0.49844630361937398</v>
      </c>
      <c r="G391" s="1307"/>
      <c r="H391" s="1307"/>
      <c r="N391" s="521"/>
      <c r="O391" s="521"/>
      <c r="P391" s="521"/>
      <c r="R391" s="1759"/>
      <c r="S391" s="1759"/>
      <c r="T391" s="1759"/>
    </row>
    <row r="392" spans="1:20" x14ac:dyDescent="0.25">
      <c r="A392" s="1758" t="s">
        <v>2710</v>
      </c>
      <c r="B392" s="1753">
        <v>9.8990500033765402E-2</v>
      </c>
      <c r="C392" s="1753">
        <v>8.6541146140783204E-2</v>
      </c>
      <c r="D392" s="1307">
        <v>7.9864754145810402E-2</v>
      </c>
      <c r="E392" s="1307">
        <v>8.0090522450074003E-2</v>
      </c>
      <c r="F392" s="1307">
        <v>7.9626937968155495E-2</v>
      </c>
      <c r="G392" s="1307"/>
      <c r="H392" s="1307"/>
      <c r="N392" s="521"/>
      <c r="O392" s="521"/>
      <c r="P392" s="521"/>
      <c r="R392" s="1759"/>
      <c r="S392" s="1759"/>
      <c r="T392" s="1759"/>
    </row>
    <row r="393" spans="1:20" x14ac:dyDescent="0.25">
      <c r="A393" s="1758" t="s">
        <v>2711</v>
      </c>
      <c r="B393" s="1753">
        <v>0.62524861287031197</v>
      </c>
      <c r="C393" s="1753">
        <v>0.59090638044387001</v>
      </c>
      <c r="D393" s="1307">
        <v>0.56172273932665695</v>
      </c>
      <c r="E393" s="1307">
        <v>0.53829319142035803</v>
      </c>
      <c r="F393" s="1307">
        <v>0.51431585625055498</v>
      </c>
      <c r="G393" s="1307"/>
      <c r="H393" s="1307"/>
      <c r="N393" s="521"/>
      <c r="O393" s="521"/>
      <c r="P393" s="521"/>
      <c r="R393" s="1759"/>
      <c r="S393" s="1759"/>
      <c r="T393" s="1759"/>
    </row>
    <row r="394" spans="1:20" x14ac:dyDescent="0.25">
      <c r="A394" s="1758" t="s">
        <v>2712</v>
      </c>
      <c r="B394" s="1753">
        <v>0.64337360068167904</v>
      </c>
      <c r="C394" s="1753">
        <v>0.608246019122614</v>
      </c>
      <c r="D394" s="1307">
        <v>0.57831105776518499</v>
      </c>
      <c r="E394" s="1307">
        <v>0.55416274405153898</v>
      </c>
      <c r="F394" s="1307">
        <v>0.52949778693551897</v>
      </c>
      <c r="G394" s="1307"/>
      <c r="H394" s="1307"/>
      <c r="N394" s="521"/>
      <c r="O394" s="521"/>
      <c r="P394" s="521"/>
      <c r="R394" s="1759"/>
      <c r="S394" s="1759"/>
      <c r="T394" s="1759"/>
    </row>
    <row r="395" spans="1:20" x14ac:dyDescent="0.25">
      <c r="A395" s="1758" t="s">
        <v>2713</v>
      </c>
      <c r="B395" s="1753">
        <v>0.66071323936042303</v>
      </c>
      <c r="C395" s="1753">
        <v>0.62483433756114104</v>
      </c>
      <c r="D395" s="1307">
        <v>0.59418061039636605</v>
      </c>
      <c r="E395" s="1307">
        <v>0.56934467473650197</v>
      </c>
      <c r="F395" s="1307">
        <v>0.54370509620462204</v>
      </c>
      <c r="G395" s="1307"/>
      <c r="H395" s="1307"/>
      <c r="N395" s="521"/>
      <c r="O395" s="521"/>
      <c r="P395" s="521"/>
      <c r="R395" s="1759"/>
      <c r="S395" s="1759"/>
      <c r="T395" s="1759"/>
    </row>
    <row r="396" spans="1:20" x14ac:dyDescent="0.25">
      <c r="A396" s="1758" t="s">
        <v>2714</v>
      </c>
      <c r="B396" s="1753">
        <v>0.67730155779894996</v>
      </c>
      <c r="C396" s="1753">
        <v>0.64070389019232199</v>
      </c>
      <c r="D396" s="1307">
        <v>0.60936254108132903</v>
      </c>
      <c r="E396" s="1307">
        <v>0.58355198400560504</v>
      </c>
      <c r="F396" s="1307">
        <v>0.55700035099509804</v>
      </c>
      <c r="G396" s="1307"/>
      <c r="H396" s="1307"/>
      <c r="N396" s="521"/>
      <c r="O396" s="521"/>
      <c r="P396" s="521"/>
      <c r="R396" s="1759"/>
      <c r="S396" s="1759"/>
      <c r="T396" s="1759"/>
    </row>
    <row r="397" spans="1:20" x14ac:dyDescent="0.25">
      <c r="A397" s="1758" t="s">
        <v>2715</v>
      </c>
      <c r="B397" s="1753">
        <v>0.69317111043013102</v>
      </c>
      <c r="C397" s="1753">
        <v>0.65588582087728597</v>
      </c>
      <c r="D397" s="1307">
        <v>0.623569850350432</v>
      </c>
      <c r="E397" s="1307">
        <v>0.59684723879608204</v>
      </c>
      <c r="F397" s="1307">
        <v>0.56944210168803799</v>
      </c>
      <c r="G397" s="1307"/>
      <c r="H397" s="1307"/>
      <c r="N397" s="521"/>
      <c r="O397" s="521"/>
      <c r="P397" s="521"/>
      <c r="R397" s="1759"/>
      <c r="S397" s="1759"/>
      <c r="T397" s="1759"/>
    </row>
    <row r="398" spans="1:20" x14ac:dyDescent="0.25">
      <c r="A398" s="1758" t="s">
        <v>2716</v>
      </c>
      <c r="B398" s="1753">
        <v>0.70835304111509401</v>
      </c>
      <c r="C398" s="1753">
        <v>0.67009313014638905</v>
      </c>
      <c r="D398" s="1307">
        <v>0.63686510514090799</v>
      </c>
      <c r="E398" s="1307">
        <v>0.60928898948902199</v>
      </c>
      <c r="F398" s="1307">
        <v>0.58108513995581001</v>
      </c>
      <c r="G398" s="1307"/>
      <c r="H398" s="1307"/>
      <c r="N398" s="521"/>
      <c r="O398" s="521"/>
      <c r="P398" s="521"/>
      <c r="R398" s="1759"/>
      <c r="S398" s="1759"/>
      <c r="T398" s="1759"/>
    </row>
    <row r="399" spans="1:20" x14ac:dyDescent="0.25">
      <c r="A399" s="1758" t="s">
        <v>2717</v>
      </c>
      <c r="B399" s="1753">
        <v>0.72256035038419797</v>
      </c>
      <c r="C399" s="1753">
        <v>0.68338838493686505</v>
      </c>
      <c r="D399" s="1307">
        <v>0.64930685583384895</v>
      </c>
      <c r="E399" s="1307">
        <v>0.62093202775679401</v>
      </c>
      <c r="F399" s="1307">
        <v>0.59198074005666301</v>
      </c>
      <c r="G399" s="1307"/>
      <c r="H399" s="1307"/>
      <c r="N399" s="521"/>
      <c r="O399" s="521"/>
      <c r="P399" s="521"/>
      <c r="R399" s="1759"/>
      <c r="S399" s="1759"/>
      <c r="T399" s="1759"/>
    </row>
    <row r="400" spans="1:20" x14ac:dyDescent="0.25">
      <c r="A400" s="1758" t="s">
        <v>2718</v>
      </c>
      <c r="B400" s="1753">
        <v>0.73585560517467397</v>
      </c>
      <c r="C400" s="1753">
        <v>0.695830135629805</v>
      </c>
      <c r="D400" s="1307">
        <v>0.66094989410161997</v>
      </c>
      <c r="E400" s="1307">
        <v>0.63182762785764701</v>
      </c>
      <c r="F400" s="1307">
        <v>0.60217688463915697</v>
      </c>
      <c r="G400" s="1307"/>
      <c r="H400" s="1307"/>
      <c r="N400" s="521"/>
      <c r="O400" s="521"/>
      <c r="P400" s="521"/>
      <c r="R400" s="1759"/>
      <c r="S400" s="1759"/>
      <c r="T400" s="1759"/>
    </row>
    <row r="401" spans="1:20" x14ac:dyDescent="0.25">
      <c r="A401" s="1758" t="s">
        <v>2719</v>
      </c>
      <c r="B401" s="1753">
        <v>0.74829735586761403</v>
      </c>
      <c r="C401" s="1753">
        <v>0.70747317389757702</v>
      </c>
      <c r="D401" s="1307">
        <v>0.67184549420247297</v>
      </c>
      <c r="E401" s="1307">
        <v>0.64202377244013997</v>
      </c>
      <c r="F401" s="1307">
        <v>0.61171847605081098</v>
      </c>
      <c r="G401" s="1307"/>
      <c r="H401" s="1307"/>
      <c r="N401" s="521"/>
      <c r="O401" s="521"/>
      <c r="P401" s="521"/>
      <c r="R401" s="1759"/>
      <c r="S401" s="1759"/>
      <c r="T401" s="1759"/>
    </row>
    <row r="402" spans="1:20" x14ac:dyDescent="0.25">
      <c r="A402" s="1758" t="s">
        <v>2720</v>
      </c>
      <c r="B402" s="1753">
        <v>0.75994039413538605</v>
      </c>
      <c r="C402" s="1753">
        <v>0.71836877399843002</v>
      </c>
      <c r="D402" s="1307">
        <v>0.68204163878496704</v>
      </c>
      <c r="E402" s="1307">
        <v>0.65156536385179498</v>
      </c>
      <c r="F402" s="1307">
        <v>0.62064753408155604</v>
      </c>
      <c r="G402" s="1307"/>
      <c r="H402" s="1307"/>
      <c r="N402" s="521"/>
      <c r="O402" s="521"/>
      <c r="P402" s="521"/>
      <c r="R402" s="1759"/>
      <c r="S402" s="1759"/>
      <c r="T402" s="1759"/>
    </row>
    <row r="403" spans="1:20" x14ac:dyDescent="0.25">
      <c r="A403" s="1758" t="s">
        <v>2721</v>
      </c>
      <c r="B403" s="1753">
        <v>0.13900836637859201</v>
      </c>
      <c r="C403" s="1753">
        <v>0.12638803394176701</v>
      </c>
      <c r="D403" s="1307">
        <v>0.120108388794901</v>
      </c>
      <c r="E403" s="1307">
        <v>0.11947382576913899</v>
      </c>
      <c r="F403" s="1307">
        <v>0.116299546254616</v>
      </c>
      <c r="G403" s="1307"/>
      <c r="H403" s="1307"/>
      <c r="N403" s="521"/>
      <c r="O403" s="521"/>
      <c r="P403" s="521"/>
      <c r="R403" s="1759"/>
      <c r="S403" s="1759"/>
      <c r="T403" s="1759"/>
    </row>
    <row r="404" spans="1:20" x14ac:dyDescent="0.25">
      <c r="A404" s="1758" t="s">
        <v>2722</v>
      </c>
      <c r="B404" s="1753">
        <v>0.77083599423623805</v>
      </c>
      <c r="C404" s="1753">
        <v>0.72856491858092398</v>
      </c>
      <c r="D404" s="1307">
        <v>0.69158323019662105</v>
      </c>
      <c r="E404" s="1307">
        <v>0.66049442188254004</v>
      </c>
      <c r="F404" s="1307">
        <v>0.62900338101281705</v>
      </c>
      <c r="G404" s="1307"/>
      <c r="H404" s="1307"/>
      <c r="N404" s="521"/>
      <c r="O404" s="521"/>
      <c r="P404" s="521"/>
      <c r="R404" s="1759"/>
      <c r="S404" s="1759"/>
      <c r="T404" s="1759"/>
    </row>
    <row r="405" spans="1:20" x14ac:dyDescent="0.25">
      <c r="A405" s="1758" t="s">
        <v>2723</v>
      </c>
      <c r="B405" s="1753">
        <v>0.17885525417957601</v>
      </c>
      <c r="C405" s="1753">
        <v>0.16663166859085701</v>
      </c>
      <c r="D405" s="1307">
        <v>0.15949169211396599</v>
      </c>
      <c r="E405" s="1307">
        <v>0.1561464340556</v>
      </c>
      <c r="F405" s="1307">
        <v>0.15030789337018399</v>
      </c>
      <c r="G405" s="1307"/>
      <c r="H405" s="1307"/>
      <c r="N405" s="521"/>
      <c r="O405" s="521"/>
      <c r="P405" s="521"/>
      <c r="R405" s="1759"/>
      <c r="S405" s="1759"/>
      <c r="T405" s="1759"/>
    </row>
    <row r="406" spans="1:20" x14ac:dyDescent="0.25">
      <c r="A406" s="1758" t="s">
        <v>2724</v>
      </c>
      <c r="B406" s="1753">
        <v>0.21909888882866599</v>
      </c>
      <c r="C406" s="1753">
        <v>0.20601497190992199</v>
      </c>
      <c r="D406" s="1307">
        <v>0.19616430040042601</v>
      </c>
      <c r="E406" s="1307">
        <v>0.19015478117116799</v>
      </c>
      <c r="F406" s="1307">
        <v>0.18215711511705801</v>
      </c>
      <c r="G406" s="1307"/>
      <c r="H406" s="1307"/>
      <c r="N406" s="521"/>
      <c r="O406" s="521"/>
      <c r="P406" s="521"/>
      <c r="R406" s="1759"/>
      <c r="S406" s="1759"/>
      <c r="T406" s="1759"/>
    </row>
    <row r="407" spans="1:20" x14ac:dyDescent="0.25">
      <c r="A407" s="1307" t="s">
        <v>2725</v>
      </c>
      <c r="B407" s="1753">
        <v>0.25848219214773099</v>
      </c>
      <c r="C407" s="1753">
        <v>0.24268758019638301</v>
      </c>
      <c r="D407" s="1307">
        <v>0.230172647515995</v>
      </c>
      <c r="E407" s="1307">
        <v>0.22200400291804101</v>
      </c>
      <c r="F407" s="1307">
        <v>0.21249004810196601</v>
      </c>
      <c r="G407" s="1307"/>
      <c r="H407" s="1307"/>
      <c r="N407" s="521"/>
      <c r="O407" s="521"/>
      <c r="P407" s="521"/>
      <c r="R407" s="1759"/>
      <c r="S407" s="1759"/>
      <c r="T407" s="1759"/>
    </row>
    <row r="408" spans="1:20" x14ac:dyDescent="0.25">
      <c r="A408" s="1307" t="s">
        <v>2726</v>
      </c>
      <c r="B408" s="1753">
        <v>0.29515480043419201</v>
      </c>
      <c r="C408" s="1753">
        <v>0.27669592731195097</v>
      </c>
      <c r="D408" s="1307">
        <v>0.26202186926286802</v>
      </c>
      <c r="E408" s="1307">
        <v>0.25233693590294998</v>
      </c>
      <c r="F408" s="1307">
        <v>0.24097467453186999</v>
      </c>
      <c r="G408" s="1307"/>
      <c r="H408" s="1307"/>
      <c r="N408" s="521"/>
      <c r="O408" s="521"/>
      <c r="P408" s="521"/>
      <c r="R408" s="1759"/>
      <c r="S408" s="1759"/>
      <c r="T408" s="1759"/>
    </row>
    <row r="409" spans="1:20" x14ac:dyDescent="0.25">
      <c r="A409" s="1307" t="s">
        <v>2727</v>
      </c>
      <c r="B409" s="1753">
        <v>0.32916314754976</v>
      </c>
      <c r="C409" s="1753">
        <v>0.30854514905882502</v>
      </c>
      <c r="D409" s="1307">
        <v>0.29235480224777699</v>
      </c>
      <c r="E409" s="1307">
        <v>0.28082156233285399</v>
      </c>
      <c r="F409" s="1307">
        <v>0.26824223816326198</v>
      </c>
      <c r="G409" s="1307"/>
      <c r="H409" s="1307"/>
      <c r="N409" s="521"/>
      <c r="O409" s="521"/>
      <c r="P409" s="521"/>
      <c r="R409" s="1759"/>
      <c r="S409" s="1759"/>
      <c r="T409" s="1759"/>
    </row>
    <row r="410" spans="1:20" x14ac:dyDescent="0.25">
      <c r="A410" s="1307" t="s">
        <v>2728</v>
      </c>
      <c r="B410" s="1753">
        <v>0.361012369296633</v>
      </c>
      <c r="C410" s="1753">
        <v>0.33887808204373299</v>
      </c>
      <c r="D410" s="1307">
        <v>0.320839428677681</v>
      </c>
      <c r="E410" s="1307">
        <v>0.30808912596424598</v>
      </c>
      <c r="F410" s="1307">
        <v>0.294328308175483</v>
      </c>
      <c r="G410" s="1307"/>
      <c r="H410" s="1307"/>
      <c r="N410" s="521"/>
      <c r="O410" s="521"/>
      <c r="P410" s="521"/>
      <c r="R410" s="1759"/>
      <c r="S410" s="1759"/>
      <c r="T410" s="1759"/>
    </row>
    <row r="411" spans="1:20" x14ac:dyDescent="0.25">
      <c r="A411" s="1307" t="s">
        <v>2729</v>
      </c>
      <c r="B411" s="1753">
        <v>5.46429232060133E-2</v>
      </c>
      <c r="C411" s="1753">
        <v>5.1135058212627073E-2</v>
      </c>
      <c r="D411" s="1307">
        <v>4.5342036605443128E-2</v>
      </c>
      <c r="E411" s="1307">
        <v>3.9001797995260067E-2</v>
      </c>
      <c r="F411" s="1307">
        <v>3.8835160659550443E-2</v>
      </c>
      <c r="G411" s="1307"/>
      <c r="H411" s="1307"/>
      <c r="N411" s="521"/>
      <c r="O411" s="521"/>
      <c r="P411" s="521"/>
      <c r="R411" s="1759"/>
      <c r="S411" s="1759"/>
      <c r="T411" s="1759"/>
    </row>
    <row r="412" spans="1:20" x14ac:dyDescent="0.25">
      <c r="A412" s="1758" t="s">
        <v>2730</v>
      </c>
      <c r="B412" s="1753">
        <v>0.406489055625258</v>
      </c>
      <c r="C412" s="1753">
        <v>0.38140890107580272</v>
      </c>
      <c r="D412" s="1307">
        <v>0.35803523414817578</v>
      </c>
      <c r="E412" s="1307">
        <v>0.33926842770144661</v>
      </c>
      <c r="F412" s="1307">
        <v>0.32569036480340707</v>
      </c>
      <c r="G412" s="1307"/>
      <c r="H412" s="1307"/>
      <c r="N412" s="521"/>
      <c r="O412" s="521"/>
      <c r="P412" s="521"/>
      <c r="R412" s="1759"/>
      <c r="S412" s="1759"/>
      <c r="T412" s="1759"/>
    </row>
    <row r="413" spans="1:20" x14ac:dyDescent="0.25">
      <c r="A413" s="1758" t="s">
        <v>2731</v>
      </c>
      <c r="B413" s="1753">
        <v>0.4360518242818161</v>
      </c>
      <c r="C413" s="1753">
        <v>0.40917029236080271</v>
      </c>
      <c r="D413" s="1307">
        <v>0.38461046430688972</v>
      </c>
      <c r="E413" s="1307">
        <v>0.36469216279866717</v>
      </c>
      <c r="F413" s="1307">
        <v>0.34977678067405393</v>
      </c>
      <c r="G413" s="1307"/>
      <c r="H413" s="1307"/>
      <c r="N413" s="521"/>
      <c r="O413" s="521"/>
      <c r="P413" s="521"/>
      <c r="R413" s="1759"/>
      <c r="S413" s="1759"/>
      <c r="T413" s="1759"/>
    </row>
    <row r="414" spans="1:20" x14ac:dyDescent="0.25">
      <c r="A414" s="1758" t="s">
        <v>2732</v>
      </c>
      <c r="B414" s="1753">
        <v>0.46381321556681609</v>
      </c>
      <c r="C414" s="1753">
        <v>0.43574552251951687</v>
      </c>
      <c r="D414" s="1307">
        <v>0.41003419940411023</v>
      </c>
      <c r="E414" s="1307">
        <v>0.38877857866931398</v>
      </c>
      <c r="F414" s="1307">
        <v>0.3728195409015142</v>
      </c>
      <c r="G414" s="1307"/>
      <c r="H414" s="1307"/>
      <c r="N414" s="521"/>
      <c r="O414" s="521"/>
      <c r="P414" s="521"/>
      <c r="R414" s="1759"/>
      <c r="S414" s="1759"/>
      <c r="T414" s="1759"/>
    </row>
    <row r="415" spans="1:20" x14ac:dyDescent="0.25">
      <c r="A415" s="1758" t="s">
        <v>2733</v>
      </c>
      <c r="B415" s="1753">
        <v>0.49038844572553025</v>
      </c>
      <c r="C415" s="1753">
        <v>0.46116925761673738</v>
      </c>
      <c r="D415" s="1307">
        <v>0.4341206152747572</v>
      </c>
      <c r="E415" s="1307">
        <v>0.41182133889677436</v>
      </c>
      <c r="F415" s="1307">
        <v>0.39486386670539175</v>
      </c>
      <c r="G415" s="1307"/>
      <c r="H415" s="1307"/>
      <c r="N415" s="521"/>
      <c r="O415" s="521"/>
      <c r="P415" s="521"/>
      <c r="R415" s="1759"/>
      <c r="S415" s="1759"/>
      <c r="T415" s="1759"/>
    </row>
    <row r="416" spans="1:20" x14ac:dyDescent="0.25">
      <c r="A416" s="1758" t="s">
        <v>2734</v>
      </c>
      <c r="B416" s="1753">
        <v>0.5158121808227506</v>
      </c>
      <c r="C416" s="1753">
        <v>0.4852556734873843</v>
      </c>
      <c r="D416" s="1307">
        <v>0.45716337550221742</v>
      </c>
      <c r="E416" s="1307">
        <v>0.4338656647006518</v>
      </c>
      <c r="F416" s="1307">
        <v>0.41595301988628475</v>
      </c>
      <c r="G416" s="1307"/>
      <c r="H416" s="1307"/>
      <c r="N416" s="521"/>
      <c r="O416" s="521"/>
      <c r="P416" s="521"/>
      <c r="R416" s="1759"/>
      <c r="S416" s="1759"/>
      <c r="T416" s="1759"/>
    </row>
    <row r="417" spans="1:20" x14ac:dyDescent="0.25">
      <c r="A417" s="1758" t="s">
        <v>2735</v>
      </c>
      <c r="B417" s="1753">
        <v>0.53989859669339768</v>
      </c>
      <c r="C417" s="1753">
        <v>0.50829843371484429</v>
      </c>
      <c r="D417" s="1307">
        <v>0.4792077013060948</v>
      </c>
      <c r="E417" s="1307">
        <v>0.45495481788154474</v>
      </c>
      <c r="F417" s="1307">
        <v>0.43612838772669921</v>
      </c>
      <c r="G417" s="1307"/>
      <c r="H417" s="1307"/>
      <c r="N417" s="521"/>
      <c r="O417" s="521"/>
      <c r="P417" s="521"/>
      <c r="R417" s="1759"/>
      <c r="S417" s="1759"/>
      <c r="T417" s="1759"/>
    </row>
    <row r="418" spans="1:20" x14ac:dyDescent="0.25">
      <c r="A418" s="1758" t="s">
        <v>2736</v>
      </c>
      <c r="B418" s="1753">
        <v>0.56294135692085778</v>
      </c>
      <c r="C418" s="1753">
        <v>0.5303427595187219</v>
      </c>
      <c r="D418" s="1307">
        <v>0.50029685448698802</v>
      </c>
      <c r="E418" s="1307">
        <v>0.47513018572195925</v>
      </c>
      <c r="F418" s="1307">
        <v>0.45542956421323638</v>
      </c>
      <c r="G418" s="1307"/>
      <c r="H418" s="1307"/>
      <c r="N418" s="521"/>
      <c r="O418" s="521"/>
      <c r="P418" s="521"/>
      <c r="R418" s="1759"/>
      <c r="S418" s="1759"/>
      <c r="T418" s="1759"/>
    </row>
    <row r="419" spans="1:20" x14ac:dyDescent="0.25">
      <c r="A419" s="1307" t="s">
        <v>2737</v>
      </c>
      <c r="B419" s="1753">
        <v>0.58498568272473517</v>
      </c>
      <c r="C419" s="1753">
        <v>0.55143191269961478</v>
      </c>
      <c r="D419" s="1307">
        <v>0.52047222232740242</v>
      </c>
      <c r="E419" s="1307">
        <v>0.49443136220849654</v>
      </c>
      <c r="F419" s="1307">
        <v>0.47389442773945217</v>
      </c>
      <c r="G419" s="1307"/>
      <c r="H419" s="1307"/>
      <c r="N419" s="521"/>
      <c r="O419" s="521"/>
      <c r="P419" s="521"/>
      <c r="R419" s="1759"/>
      <c r="S419" s="1759"/>
      <c r="T419" s="1759"/>
    </row>
    <row r="420" spans="1:20" x14ac:dyDescent="0.25">
      <c r="A420" s="1307" t="s">
        <v>2738</v>
      </c>
      <c r="B420" s="1753">
        <v>0.60607483590562827</v>
      </c>
      <c r="C420" s="1753">
        <v>0.57160728054002963</v>
      </c>
      <c r="D420" s="1307">
        <v>0.53977339881393971</v>
      </c>
      <c r="E420" s="1307">
        <v>0.51289622573471227</v>
      </c>
      <c r="F420" s="1307">
        <v>0.49155921544188003</v>
      </c>
      <c r="G420" s="1307"/>
      <c r="H420" s="1307"/>
      <c r="N420" s="521"/>
      <c r="O420" s="521"/>
      <c r="P420" s="521"/>
      <c r="R420" s="1759"/>
      <c r="S420" s="1759"/>
      <c r="T420" s="1759"/>
    </row>
    <row r="421" spans="1:20" x14ac:dyDescent="0.25">
      <c r="A421" s="1307" t="s">
        <v>2739</v>
      </c>
      <c r="B421" s="1753">
        <v>0.62625020374604257</v>
      </c>
      <c r="C421" s="1753">
        <v>0.59090845702656658</v>
      </c>
      <c r="D421" s="1307">
        <v>0.55823826234015517</v>
      </c>
      <c r="E421" s="1307">
        <v>0.53056101343713979</v>
      </c>
      <c r="F421" s="1307">
        <v>0.50845859431510132</v>
      </c>
      <c r="G421" s="1307"/>
      <c r="H421" s="1307"/>
      <c r="N421" s="521"/>
      <c r="O421" s="521"/>
      <c r="P421" s="521"/>
      <c r="R421" s="1759"/>
      <c r="S421" s="1759"/>
      <c r="T421" s="1759"/>
    </row>
    <row r="422" spans="1:20" x14ac:dyDescent="0.25">
      <c r="A422" s="1307" t="s">
        <v>2740</v>
      </c>
      <c r="B422" s="1753">
        <v>0.10577798141864038</v>
      </c>
      <c r="C422" s="1753">
        <v>9.6477094818070236E-2</v>
      </c>
      <c r="D422" s="1307">
        <v>8.4343834600703202E-2</v>
      </c>
      <c r="E422" s="1307">
        <v>7.7836958654810495E-2</v>
      </c>
      <c r="F422" s="1307">
        <v>7.805699461876589E-2</v>
      </c>
      <c r="G422" s="1307"/>
      <c r="H422" s="1307"/>
      <c r="N422" s="521"/>
      <c r="O422" s="521"/>
      <c r="P422" s="521"/>
      <c r="R422" s="1759"/>
      <c r="S422" s="1759"/>
      <c r="T422" s="1759"/>
    </row>
    <row r="423" spans="1:20" x14ac:dyDescent="0.25">
      <c r="A423" s="1307" t="s">
        <v>2741</v>
      </c>
      <c r="B423" s="1753">
        <v>0.64555138023258007</v>
      </c>
      <c r="C423" s="1753">
        <v>0.60937332055278226</v>
      </c>
      <c r="D423" s="1307">
        <v>0.57590305004258313</v>
      </c>
      <c r="E423" s="1307">
        <v>0.54746039231036148</v>
      </c>
      <c r="F423" s="1307">
        <v>0.52462572924542528</v>
      </c>
      <c r="G423" s="1307"/>
      <c r="H423" s="1307"/>
      <c r="N423" s="521"/>
      <c r="O423" s="521"/>
      <c r="P423" s="521"/>
      <c r="R423" s="1759"/>
      <c r="S423" s="1759"/>
      <c r="T423" s="1759"/>
    </row>
    <row r="424" spans="1:20" x14ac:dyDescent="0.25">
      <c r="A424" s="1307" t="s">
        <v>2742</v>
      </c>
      <c r="B424" s="1753">
        <v>0.66401624375879575</v>
      </c>
      <c r="C424" s="1753">
        <v>0.62703810825521022</v>
      </c>
      <c r="D424" s="1307">
        <v>0.5928024289158047</v>
      </c>
      <c r="E424" s="1307">
        <v>0.56362752724068543</v>
      </c>
      <c r="F424" s="1307">
        <v>0.5400923480966946</v>
      </c>
      <c r="G424" s="1307"/>
      <c r="H424" s="1307"/>
      <c r="N424" s="521"/>
      <c r="O424" s="521"/>
      <c r="P424" s="521"/>
      <c r="R424" s="1759"/>
      <c r="S424" s="1759"/>
      <c r="T424" s="1759"/>
    </row>
    <row r="425" spans="1:20" x14ac:dyDescent="0.25">
      <c r="A425" s="1307" t="s">
        <v>2743</v>
      </c>
      <c r="B425" s="1753">
        <v>0.68168103146122327</v>
      </c>
      <c r="C425" s="1753">
        <v>0.64393748712843135</v>
      </c>
      <c r="D425" s="1307">
        <v>0.60896956384612866</v>
      </c>
      <c r="E425" s="1307">
        <v>0.57909414609195453</v>
      </c>
      <c r="F425" s="1307">
        <v>0.55456606964944499</v>
      </c>
      <c r="G425" s="1307"/>
      <c r="H425" s="1307"/>
      <c r="N425" s="521"/>
      <c r="O425" s="521"/>
      <c r="P425" s="521"/>
      <c r="R425" s="1759"/>
      <c r="S425" s="1759"/>
      <c r="T425" s="1759"/>
    </row>
    <row r="426" spans="1:20" x14ac:dyDescent="0.25">
      <c r="A426" s="1307" t="s">
        <v>2744</v>
      </c>
      <c r="B426" s="1753">
        <v>0.69858041033444496</v>
      </c>
      <c r="C426" s="1753">
        <v>0.66010462205875553</v>
      </c>
      <c r="D426" s="1307">
        <v>0.62443618269739765</v>
      </c>
      <c r="E426" s="1307">
        <v>0.59356786764470504</v>
      </c>
      <c r="F426" s="1307">
        <v>0.56811063408211449</v>
      </c>
      <c r="G426" s="1307"/>
      <c r="H426" s="1307"/>
      <c r="N426" s="521"/>
      <c r="O426" s="521"/>
      <c r="P426" s="521"/>
      <c r="R426" s="1759"/>
      <c r="S426" s="1759"/>
      <c r="T426" s="1759"/>
    </row>
    <row r="427" spans="1:20" x14ac:dyDescent="0.25">
      <c r="A427" s="1307" t="s">
        <v>2745</v>
      </c>
      <c r="B427" s="1753">
        <v>0.71474754526476891</v>
      </c>
      <c r="C427" s="1753">
        <v>0.67557124091002485</v>
      </c>
      <c r="D427" s="1307">
        <v>0.63890990425014826</v>
      </c>
      <c r="E427" s="1307">
        <v>0.60711243207737431</v>
      </c>
      <c r="F427" s="1307">
        <v>0.58078568969943534</v>
      </c>
      <c r="G427" s="1307"/>
      <c r="H427" s="1307"/>
      <c r="N427" s="521"/>
      <c r="O427" s="521"/>
      <c r="P427" s="521"/>
      <c r="R427" s="1759"/>
      <c r="S427" s="1759"/>
      <c r="T427" s="1759"/>
    </row>
    <row r="428" spans="1:20" x14ac:dyDescent="0.25">
      <c r="A428" s="1307" t="s">
        <v>2746</v>
      </c>
      <c r="B428" s="1753">
        <v>0.73021416411603834</v>
      </c>
      <c r="C428" s="1753">
        <v>0.69004496246277558</v>
      </c>
      <c r="D428" s="1307">
        <v>0.65245446868281742</v>
      </c>
      <c r="E428" s="1307">
        <v>0.61978748769469549</v>
      </c>
      <c r="F428" s="1307">
        <v>0.59264705561495212</v>
      </c>
      <c r="G428" s="1307"/>
      <c r="H428" s="1307"/>
      <c r="N428" s="521"/>
      <c r="O428" s="521"/>
      <c r="P428" s="521"/>
      <c r="R428" s="1759"/>
      <c r="S428" s="1759"/>
      <c r="T428" s="1759"/>
    </row>
    <row r="429" spans="1:20" x14ac:dyDescent="0.25">
      <c r="A429" s="1307" t="s">
        <v>2747</v>
      </c>
      <c r="B429" s="1753">
        <v>0.15112001802408354</v>
      </c>
      <c r="C429" s="1753">
        <v>0.13547889281333028</v>
      </c>
      <c r="D429" s="1307">
        <v>0.12317899526025368</v>
      </c>
      <c r="E429" s="1307">
        <v>0.11705879261402594</v>
      </c>
      <c r="F429" s="1307">
        <v>0.11644034137695219</v>
      </c>
      <c r="G429" s="1307"/>
      <c r="H429" s="1307"/>
      <c r="N429" s="521"/>
      <c r="O429" s="521"/>
      <c r="P429" s="521"/>
      <c r="R429" s="1759"/>
      <c r="S429" s="1759"/>
      <c r="T429" s="1759"/>
    </row>
    <row r="430" spans="1:20" x14ac:dyDescent="0.25">
      <c r="A430" s="1307" t="s">
        <v>2748</v>
      </c>
      <c r="B430" s="1753">
        <v>0.19012181601934358</v>
      </c>
      <c r="C430" s="1753">
        <v>0.17431405347288076</v>
      </c>
      <c r="D430" s="1307">
        <v>0.16240082921946913</v>
      </c>
      <c r="E430" s="1307">
        <v>0.15544213937221224</v>
      </c>
      <c r="F430" s="1307">
        <v>0.15218181864670996</v>
      </c>
      <c r="G430" s="1307"/>
      <c r="H430" s="1307"/>
      <c r="N430" s="521"/>
      <c r="O430" s="521"/>
      <c r="P430" s="521"/>
      <c r="R430" s="1759"/>
      <c r="S430" s="1759"/>
      <c r="T430" s="1759"/>
    </row>
    <row r="431" spans="1:20" x14ac:dyDescent="0.25">
      <c r="A431" s="1307" t="s">
        <v>2749</v>
      </c>
      <c r="B431" s="1753">
        <v>0.22895697667889403</v>
      </c>
      <c r="C431" s="1753">
        <v>0.21353588743209617</v>
      </c>
      <c r="D431" s="1307">
        <v>0.20078417597765541</v>
      </c>
      <c r="E431" s="1307">
        <v>0.19118361664197012</v>
      </c>
      <c r="F431" s="1307">
        <v>0.18532668131691962</v>
      </c>
      <c r="G431" s="1307"/>
      <c r="H431" s="1307"/>
      <c r="N431" s="521"/>
      <c r="O431" s="521"/>
      <c r="P431" s="521"/>
      <c r="R431" s="1759"/>
      <c r="S431" s="1759"/>
      <c r="T431" s="1759"/>
    </row>
    <row r="432" spans="1:20" x14ac:dyDescent="0.25">
      <c r="A432" s="1307" t="s">
        <v>2750</v>
      </c>
      <c r="B432" s="1753">
        <v>0.26817881063810944</v>
      </c>
      <c r="C432" s="1753">
        <v>0.25191923419028245</v>
      </c>
      <c r="D432" s="1307">
        <v>0.23652565324741312</v>
      </c>
      <c r="E432" s="1307">
        <v>0.22432847931217964</v>
      </c>
      <c r="F432" s="1307">
        <v>0.2163672396059145</v>
      </c>
      <c r="G432" s="1307"/>
      <c r="H432" s="1307"/>
      <c r="N432" s="521"/>
      <c r="O432" s="521"/>
      <c r="P432" s="521"/>
      <c r="R432" s="1759"/>
      <c r="S432" s="1759"/>
      <c r="T432" s="1759"/>
    </row>
    <row r="433" spans="1:20" x14ac:dyDescent="0.25">
      <c r="A433" s="1307" t="s">
        <v>2751</v>
      </c>
      <c r="B433" s="1753">
        <v>0.26817881063810944</v>
      </c>
      <c r="C433" s="1753">
        <v>0.25191923419028245</v>
      </c>
      <c r="D433" s="1307">
        <v>0.23652565324741312</v>
      </c>
      <c r="E433" s="1307">
        <v>0.22432847931217964</v>
      </c>
      <c r="F433" s="1307">
        <v>0.2163672396059145</v>
      </c>
      <c r="G433" s="1307"/>
      <c r="H433" s="1307"/>
      <c r="N433" s="521"/>
      <c r="O433" s="521"/>
      <c r="P433" s="521"/>
      <c r="R433" s="1759"/>
      <c r="S433" s="1759"/>
      <c r="T433" s="1759"/>
    </row>
    <row r="434" spans="1:20" x14ac:dyDescent="0.25">
      <c r="A434" s="1307" t="s">
        <v>2752</v>
      </c>
      <c r="B434" s="1753">
        <v>0.30656215739629572</v>
      </c>
      <c r="C434" s="1753">
        <v>0.2876607114600403</v>
      </c>
      <c r="D434" s="1307">
        <v>0.26967051591762287</v>
      </c>
      <c r="E434" s="1307">
        <v>0.25536903760117458</v>
      </c>
      <c r="F434" s="1307">
        <v>0.24593000826247233</v>
      </c>
      <c r="G434" s="1307"/>
      <c r="H434" s="1307"/>
      <c r="N434" s="521"/>
      <c r="O434" s="521"/>
      <c r="P434" s="521"/>
      <c r="R434" s="1759"/>
      <c r="S434" s="1759"/>
      <c r="T434" s="1759"/>
    </row>
    <row r="435" spans="1:20" x14ac:dyDescent="0.25">
      <c r="A435" s="1307" t="s">
        <v>2753</v>
      </c>
      <c r="B435" s="1753">
        <v>0.3423036346660534</v>
      </c>
      <c r="C435" s="1753">
        <v>0.32080557413024985</v>
      </c>
      <c r="D435" s="1307">
        <v>0.30071107420661769</v>
      </c>
      <c r="E435" s="1307">
        <v>0.28493180625773235</v>
      </c>
      <c r="F435" s="1307">
        <v>0.27369139954747251</v>
      </c>
      <c r="G435" s="1307"/>
      <c r="H435" s="1307"/>
      <c r="N435" s="521"/>
      <c r="O435" s="521"/>
      <c r="P435" s="521"/>
      <c r="R435" s="1759"/>
      <c r="S435" s="1759"/>
      <c r="T435" s="1759"/>
    </row>
    <row r="436" spans="1:20" x14ac:dyDescent="0.25">
      <c r="A436" s="1307" t="s">
        <v>2754</v>
      </c>
      <c r="B436" s="1753">
        <v>0.37544849733626323</v>
      </c>
      <c r="C436" s="1753">
        <v>0.35184613241924467</v>
      </c>
      <c r="D436" s="1307">
        <v>0.33027384286317563</v>
      </c>
      <c r="E436" s="1307">
        <v>0.31269319754273261</v>
      </c>
      <c r="F436" s="1307">
        <v>0.30026662970618656</v>
      </c>
      <c r="G436" s="1307"/>
      <c r="H436" s="1307"/>
      <c r="N436" s="521"/>
      <c r="O436" s="521"/>
      <c r="P436" s="521"/>
      <c r="R436" s="1759"/>
      <c r="S436" s="1759"/>
      <c r="T436" s="1759"/>
    </row>
    <row r="437" spans="1:20" x14ac:dyDescent="0.25">
      <c r="A437" s="1307" t="s">
        <v>2755</v>
      </c>
      <c r="B437" s="1753">
        <v>0.33789602526751877</v>
      </c>
      <c r="C437" s="1753">
        <v>0.31968804634974701</v>
      </c>
      <c r="D437" s="1307">
        <v>0.30324774556652645</v>
      </c>
      <c r="E437" s="1307">
        <v>0.28856774642253247</v>
      </c>
      <c r="F437" s="1307">
        <v>0.27519197583596555</v>
      </c>
      <c r="G437" s="1307"/>
      <c r="H437" s="1307"/>
      <c r="I437" s="50" t="s">
        <v>2618</v>
      </c>
      <c r="N437" s="521"/>
      <c r="O437" s="521"/>
      <c r="P437" s="521"/>
      <c r="R437" s="1759"/>
      <c r="S437" s="1759"/>
      <c r="T437" s="1759"/>
    </row>
    <row r="438" spans="1:20" x14ac:dyDescent="0.25">
      <c r="A438" s="1307" t="s">
        <v>2756</v>
      </c>
      <c r="B438" s="1753">
        <v>0.11606278234226</v>
      </c>
      <c r="C438" s="1753">
        <v>0.107131110447286</v>
      </c>
      <c r="D438" s="1307">
        <v>9.7679139909727805E-2</v>
      </c>
      <c r="E438" s="1307">
        <v>9.4802090584990201E-2</v>
      </c>
      <c r="F438" s="1307">
        <v>9.2763688218569895E-2</v>
      </c>
      <c r="G438" s="1307"/>
      <c r="H438" s="1307"/>
      <c r="N438" s="521"/>
      <c r="O438" s="521"/>
      <c r="P438" s="521"/>
      <c r="R438" s="1759"/>
      <c r="S438" s="1759"/>
      <c r="T438" s="1759"/>
    </row>
    <row r="439" spans="1:20" x14ac:dyDescent="0.25">
      <c r="A439" s="1758" t="s">
        <v>2757</v>
      </c>
      <c r="B439" s="1753">
        <v>0.90882053685083897</v>
      </c>
      <c r="C439" s="1753">
        <v>0.86073959302135605</v>
      </c>
      <c r="D439" s="1307">
        <v>0.81858169645108603</v>
      </c>
      <c r="E439" s="1307">
        <v>0.782982990975297</v>
      </c>
      <c r="F439" s="1307">
        <v>0.74724084104877897</v>
      </c>
      <c r="G439" s="1307"/>
      <c r="H439" s="1307"/>
      <c r="N439" s="521"/>
      <c r="O439" s="521"/>
      <c r="P439" s="521"/>
      <c r="R439" s="1759"/>
      <c r="S439" s="1759"/>
      <c r="T439" s="1759"/>
    </row>
    <row r="440" spans="1:20" x14ac:dyDescent="0.25">
      <c r="A440" s="1307" t="s">
        <v>2758</v>
      </c>
      <c r="B440" s="1753">
        <v>0.97680237536361703</v>
      </c>
      <c r="C440" s="1753">
        <v>0.92571280689837199</v>
      </c>
      <c r="D440" s="1307">
        <v>0.88066213088502499</v>
      </c>
      <c r="E440" s="1307">
        <v>0.84204293163376898</v>
      </c>
      <c r="F440" s="1307">
        <v>0.80367111256799695</v>
      </c>
      <c r="G440" s="1307"/>
      <c r="H440" s="1307"/>
      <c r="N440" s="521"/>
      <c r="O440" s="521"/>
      <c r="P440" s="521"/>
      <c r="R440" s="1759"/>
      <c r="S440" s="1759"/>
      <c r="T440" s="1759"/>
    </row>
    <row r="441" spans="1:20" x14ac:dyDescent="0.25">
      <c r="A441" s="1307" t="s">
        <v>2759</v>
      </c>
      <c r="B441" s="1753">
        <v>1.04177558924063</v>
      </c>
      <c r="C441" s="1753">
        <v>0.98779324133231095</v>
      </c>
      <c r="D441" s="1307">
        <v>0.93972207154349696</v>
      </c>
      <c r="E441" s="1307">
        <v>0.89847320315298695</v>
      </c>
      <c r="F441" s="1307">
        <v>0.85758886951190805</v>
      </c>
      <c r="G441" s="1307"/>
      <c r="H441" s="1307"/>
      <c r="N441" s="521"/>
      <c r="O441" s="521"/>
      <c r="P441" s="521"/>
      <c r="R441" s="1759"/>
      <c r="S441" s="1759"/>
      <c r="T441" s="1759"/>
    </row>
    <row r="442" spans="1:20" x14ac:dyDescent="0.25">
      <c r="A442" s="1307" t="s">
        <v>2760</v>
      </c>
      <c r="B442" s="1753">
        <v>1.10385602367457</v>
      </c>
      <c r="C442" s="1753">
        <v>1.04685318199078</v>
      </c>
      <c r="D442" s="1307">
        <v>0.99615234306271405</v>
      </c>
      <c r="E442" s="1307">
        <v>0.95239096009689805</v>
      </c>
      <c r="F442" s="1307">
        <v>0.90910604409981599</v>
      </c>
      <c r="G442" s="1307"/>
      <c r="H442" s="1307"/>
      <c r="N442" s="521"/>
      <c r="O442" s="521"/>
      <c r="P442" s="521"/>
      <c r="R442" s="1759"/>
      <c r="S442" s="1759"/>
      <c r="T442" s="1759"/>
    </row>
    <row r="443" spans="1:20" x14ac:dyDescent="0.25">
      <c r="A443" s="1307" t="s">
        <v>2761</v>
      </c>
      <c r="B443" s="1753">
        <v>1.16291596433304</v>
      </c>
      <c r="C443" s="1753">
        <v>1.10328345351</v>
      </c>
      <c r="D443" s="1307">
        <v>1.0500701000066299</v>
      </c>
      <c r="E443" s="1307">
        <v>1.00390813468481</v>
      </c>
      <c r="F443" s="1307">
        <v>0.95832957913239702</v>
      </c>
      <c r="G443" s="1307"/>
      <c r="H443" s="1307"/>
      <c r="N443" s="521"/>
      <c r="O443" s="521"/>
      <c r="P443" s="521"/>
      <c r="R443" s="1759"/>
      <c r="S443" s="1759"/>
      <c r="T443" s="1759"/>
    </row>
    <row r="444" spans="1:20" x14ac:dyDescent="0.25">
      <c r="A444" s="1307" t="s">
        <v>2762</v>
      </c>
      <c r="B444" s="1753">
        <v>1.21934623585226</v>
      </c>
      <c r="C444" s="1753">
        <v>1.15720121045391</v>
      </c>
      <c r="D444" s="1307">
        <v>1.1015872745945301</v>
      </c>
      <c r="E444" s="1307">
        <v>1.05313166971739</v>
      </c>
      <c r="F444" s="1307">
        <v>1.0053616505229701</v>
      </c>
      <c r="G444" s="1307"/>
      <c r="H444" s="1307"/>
      <c r="N444" s="521"/>
      <c r="O444" s="521"/>
      <c r="P444" s="521"/>
      <c r="R444" s="1759"/>
      <c r="S444" s="1759"/>
      <c r="T444" s="1759"/>
    </row>
    <row r="445" spans="1:20" x14ac:dyDescent="0.25">
      <c r="A445" s="1307" t="s">
        <v>2763</v>
      </c>
      <c r="B445" s="1753">
        <v>1.27326399279617</v>
      </c>
      <c r="C445" s="1753">
        <v>1.2087183850418199</v>
      </c>
      <c r="D445" s="1307">
        <v>1.1508108096271199</v>
      </c>
      <c r="E445" s="1307">
        <v>1.1001637411079599</v>
      </c>
      <c r="F445" s="1307">
        <v>1.05048743296748</v>
      </c>
      <c r="G445" s="1307"/>
      <c r="H445" s="1307"/>
      <c r="N445" s="521"/>
      <c r="O445" s="521"/>
      <c r="P445" s="521"/>
      <c r="R445" s="1759"/>
      <c r="S445" s="1759"/>
      <c r="T445" s="1759"/>
    </row>
    <row r="446" spans="1:20" x14ac:dyDescent="0.25">
      <c r="A446" s="1307" t="s">
        <v>2764</v>
      </c>
      <c r="B446" s="1753">
        <v>1.3247811673840799</v>
      </c>
      <c r="C446" s="1753">
        <v>1.2579419200744</v>
      </c>
      <c r="D446" s="1307">
        <v>1.19784288101769</v>
      </c>
      <c r="E446" s="1307">
        <v>1.14528952355247</v>
      </c>
      <c r="F446" s="1307">
        <v>1.09360411392371</v>
      </c>
      <c r="G446" s="1307"/>
      <c r="H446" s="1307"/>
      <c r="N446" s="521"/>
      <c r="O446" s="521"/>
      <c r="P446" s="521"/>
      <c r="R446" s="1759"/>
      <c r="S446" s="1759"/>
      <c r="T446" s="1759"/>
    </row>
    <row r="447" spans="1:20" x14ac:dyDescent="0.25">
      <c r="A447" s="1307" t="s">
        <v>2765</v>
      </c>
      <c r="B447" s="1753">
        <v>1.37400470241666</v>
      </c>
      <c r="C447" s="1753">
        <v>1.3049739914649701</v>
      </c>
      <c r="D447" s="1307">
        <v>1.2429686634621999</v>
      </c>
      <c r="E447" s="1307">
        <v>1.1884062045087</v>
      </c>
      <c r="F447" s="1307">
        <v>1.1348011946632</v>
      </c>
      <c r="G447" s="1307"/>
      <c r="H447" s="1307"/>
      <c r="N447" s="521"/>
      <c r="O447" s="521"/>
      <c r="P447" s="521"/>
      <c r="R447" s="1759"/>
      <c r="S447" s="1759"/>
      <c r="T447" s="1759"/>
    </row>
    <row r="448" spans="1:20" x14ac:dyDescent="0.25">
      <c r="A448" s="1307" t="s">
        <v>2766</v>
      </c>
      <c r="B448" s="1753">
        <v>1.42103677380723</v>
      </c>
      <c r="C448" s="1753">
        <v>1.35009977390949</v>
      </c>
      <c r="D448" s="1307">
        <v>1.2860853444184299</v>
      </c>
      <c r="E448" s="1307">
        <v>1.22960328524819</v>
      </c>
      <c r="F448" s="1307">
        <v>1.17416418708135</v>
      </c>
      <c r="G448" s="1307"/>
      <c r="H448" s="1307"/>
      <c r="N448" s="521"/>
      <c r="O448" s="521"/>
      <c r="P448" s="521"/>
      <c r="R448" s="1759"/>
      <c r="S448" s="1759"/>
      <c r="T448" s="1759"/>
    </row>
    <row r="449" spans="1:20" x14ac:dyDescent="0.25">
      <c r="A449" s="1307" t="s">
        <v>2767</v>
      </c>
      <c r="B449" s="1753">
        <v>0.22319389278954599</v>
      </c>
      <c r="C449" s="1753">
        <v>0.204810250357014</v>
      </c>
      <c r="D449" s="1307">
        <v>0.19248123049471799</v>
      </c>
      <c r="E449" s="1307">
        <v>0.18756577880356001</v>
      </c>
      <c r="F449" s="1307">
        <v>0.18227041250044301</v>
      </c>
      <c r="G449" s="1307"/>
      <c r="H449" s="1307"/>
      <c r="N449" s="521"/>
      <c r="O449" s="521"/>
      <c r="P449" s="521"/>
      <c r="R449" s="1759"/>
      <c r="S449" s="1759"/>
      <c r="T449" s="1759"/>
    </row>
    <row r="450" spans="1:20" x14ac:dyDescent="0.25">
      <c r="A450" s="1307" t="s">
        <v>2768</v>
      </c>
      <c r="B450" s="1753">
        <v>1.46616255625175</v>
      </c>
      <c r="C450" s="1753">
        <v>1.39321645486572</v>
      </c>
      <c r="D450" s="1307">
        <v>1.3272824251579201</v>
      </c>
      <c r="E450" s="1307">
        <v>1.26896627766634</v>
      </c>
      <c r="F450" s="1307">
        <v>1.2117747916184101</v>
      </c>
      <c r="G450" s="1307"/>
      <c r="H450" s="1307"/>
      <c r="N450" s="521"/>
      <c r="O450" s="521"/>
      <c r="P450" s="521"/>
      <c r="R450" s="1759"/>
      <c r="S450" s="1759"/>
      <c r="T450" s="1759"/>
    </row>
    <row r="451" spans="1:20" x14ac:dyDescent="0.25">
      <c r="A451" s="1307" t="s">
        <v>2769</v>
      </c>
      <c r="B451" s="1753">
        <v>1.50927923720798</v>
      </c>
      <c r="C451" s="1753">
        <v>1.4344135356052099</v>
      </c>
      <c r="D451" s="1307">
        <v>1.3666454175760701</v>
      </c>
      <c r="E451" s="1307">
        <v>1.3065768822034001</v>
      </c>
      <c r="F451" s="1307">
        <v>1.2477110672409999</v>
      </c>
      <c r="G451" s="1307"/>
      <c r="H451" s="1307"/>
      <c r="N451" s="521"/>
      <c r="O451" s="521"/>
      <c r="P451" s="521"/>
      <c r="R451" s="1759"/>
      <c r="S451" s="1759"/>
      <c r="T451" s="1759"/>
    </row>
    <row r="452" spans="1:20" x14ac:dyDescent="0.25">
      <c r="A452" s="1307" t="s">
        <v>2770</v>
      </c>
      <c r="B452" s="1753">
        <v>1.5504763179474701</v>
      </c>
      <c r="C452" s="1753">
        <v>1.4737765280233499</v>
      </c>
      <c r="D452" s="1307">
        <v>1.4042560221131299</v>
      </c>
      <c r="E452" s="1307">
        <v>1.3425131578259899</v>
      </c>
      <c r="F452" s="1307">
        <v>1.2813403725213499</v>
      </c>
      <c r="G452" s="1307"/>
      <c r="H452" s="1307"/>
      <c r="N452" s="521"/>
      <c r="O452" s="521"/>
      <c r="P452" s="521"/>
      <c r="R452" s="1759"/>
      <c r="S452" s="1759"/>
      <c r="T452" s="1759"/>
    </row>
    <row r="453" spans="1:20" x14ac:dyDescent="0.25">
      <c r="A453" s="1307" t="s">
        <v>2771</v>
      </c>
      <c r="B453" s="1753">
        <v>1.5898393103656101</v>
      </c>
      <c r="C453" s="1753">
        <v>1.51138713256042</v>
      </c>
      <c r="D453" s="1307">
        <v>1.44019229773572</v>
      </c>
      <c r="E453" s="1307">
        <v>1.3761424631063399</v>
      </c>
      <c r="F453" s="1307">
        <v>1.3128108060608901</v>
      </c>
      <c r="G453" s="1307"/>
      <c r="H453" s="1307"/>
      <c r="N453" s="521"/>
      <c r="O453" s="521"/>
      <c r="P453" s="521"/>
      <c r="R453" s="1759"/>
      <c r="S453" s="1759"/>
      <c r="T453" s="1759"/>
    </row>
    <row r="454" spans="1:20" x14ac:dyDescent="0.25">
      <c r="A454" s="1307" t="s">
        <v>2772</v>
      </c>
      <c r="B454" s="1753">
        <v>1.62744991490268</v>
      </c>
      <c r="C454" s="1753">
        <v>1.5473234081830001</v>
      </c>
      <c r="D454" s="1307">
        <v>1.47382160301607</v>
      </c>
      <c r="E454" s="1307">
        <v>1.4076128966458801</v>
      </c>
      <c r="F454" s="1307">
        <v>1.34226095910182</v>
      </c>
      <c r="G454" s="1307"/>
      <c r="H454" s="1307"/>
      <c r="N454" s="521"/>
      <c r="O454" s="521"/>
      <c r="P454" s="521"/>
      <c r="R454" s="1759"/>
      <c r="S454" s="1759"/>
      <c r="T454" s="1759"/>
    </row>
    <row r="455" spans="1:20" x14ac:dyDescent="0.25">
      <c r="A455" s="1307" t="s">
        <v>2773</v>
      </c>
      <c r="B455" s="1753">
        <v>1.66338619052526</v>
      </c>
      <c r="C455" s="1753">
        <v>1.5809527134633501</v>
      </c>
      <c r="D455" s="1307">
        <v>1.5052920365556</v>
      </c>
      <c r="E455" s="1307">
        <v>1.43706304968681</v>
      </c>
      <c r="F455" s="1307">
        <v>1.3698205258629299</v>
      </c>
      <c r="G455" s="1307"/>
      <c r="H455" s="1307"/>
      <c r="N455" s="521"/>
      <c r="O455" s="521"/>
      <c r="P455" s="521"/>
      <c r="R455" s="1759"/>
      <c r="S455" s="1759"/>
      <c r="T455" s="1759"/>
    </row>
    <row r="456" spans="1:20" x14ac:dyDescent="0.25">
      <c r="A456" s="1307" t="s">
        <v>2774</v>
      </c>
      <c r="B456" s="1753">
        <v>1.6970154958056101</v>
      </c>
      <c r="C456" s="1753">
        <v>1.61242314700289</v>
      </c>
      <c r="D456" s="1307">
        <v>1.5347421895965301</v>
      </c>
      <c r="E456" s="1307">
        <v>1.4646226164479199</v>
      </c>
      <c r="F456" s="1307">
        <v>1.39561087469423</v>
      </c>
      <c r="G456" s="1307"/>
      <c r="H456" s="1307"/>
      <c r="N456" s="521"/>
      <c r="O456" s="521"/>
      <c r="P456" s="521"/>
      <c r="R456" s="1759"/>
      <c r="S456" s="1759"/>
      <c r="T456" s="1759"/>
    </row>
    <row r="457" spans="1:20" x14ac:dyDescent="0.25">
      <c r="A457" s="1307" t="s">
        <v>2775</v>
      </c>
      <c r="B457" s="1753">
        <v>1.72848592934515</v>
      </c>
      <c r="C457" s="1753">
        <v>1.6418733000438199</v>
      </c>
      <c r="D457" s="1307">
        <v>1.56230175635765</v>
      </c>
      <c r="E457" s="1307">
        <v>1.49041296527922</v>
      </c>
      <c r="F457" s="1307">
        <v>1.4197455825655401</v>
      </c>
      <c r="G457" s="1307"/>
      <c r="H457" s="1307"/>
      <c r="N457" s="521"/>
      <c r="O457" s="521"/>
      <c r="P457" s="521"/>
      <c r="R457" s="1759"/>
      <c r="S457" s="1759"/>
      <c r="T457" s="1759"/>
    </row>
    <row r="458" spans="1:20" x14ac:dyDescent="0.25">
      <c r="A458" s="1307" t="s">
        <v>2776</v>
      </c>
      <c r="B458" s="1753">
        <v>1.7579360823860799</v>
      </c>
      <c r="C458" s="1753">
        <v>1.6694328668049401</v>
      </c>
      <c r="D458" s="1307">
        <v>1.5880921051889401</v>
      </c>
      <c r="E458" s="1307">
        <v>1.5145476731505301</v>
      </c>
      <c r="F458" s="1307">
        <v>1.4423309352431799</v>
      </c>
      <c r="G458" s="1307"/>
      <c r="H458" s="1307"/>
      <c r="N458" s="521"/>
      <c r="O458" s="521"/>
      <c r="P458" s="521"/>
      <c r="R458" s="1759"/>
      <c r="S458" s="1759"/>
      <c r="T458" s="1759"/>
    </row>
    <row r="459" spans="1:20" x14ac:dyDescent="0.25">
      <c r="A459" s="1307" t="s">
        <v>2777</v>
      </c>
      <c r="B459" s="1753">
        <v>1.7854956491472</v>
      </c>
      <c r="C459" s="1753">
        <v>1.6952232156362299</v>
      </c>
      <c r="D459" s="1307">
        <v>1.6122268130602599</v>
      </c>
      <c r="E459" s="1307">
        <v>1.5371330258281699</v>
      </c>
      <c r="F459" s="1307">
        <v>1.463466395357</v>
      </c>
      <c r="G459" s="1307"/>
      <c r="H459" s="1307"/>
      <c r="N459" s="521"/>
      <c r="O459" s="521"/>
      <c r="P459" s="521"/>
      <c r="R459" s="1759"/>
      <c r="S459" s="1759"/>
      <c r="T459" s="1759"/>
    </row>
    <row r="460" spans="1:20" x14ac:dyDescent="0.25">
      <c r="A460" s="1307" t="s">
        <v>2778</v>
      </c>
      <c r="B460" s="1753">
        <v>0.32087303269927397</v>
      </c>
      <c r="C460" s="1753">
        <v>0.29961234094200401</v>
      </c>
      <c r="D460" s="1307">
        <v>0.285244918713288</v>
      </c>
      <c r="E460" s="1307">
        <v>0.27707250308543302</v>
      </c>
      <c r="F460" s="1307">
        <v>0.26666683028717603</v>
      </c>
      <c r="G460" s="1307"/>
      <c r="H460" s="1307"/>
      <c r="N460" s="521"/>
      <c r="O460" s="521"/>
      <c r="P460" s="521"/>
      <c r="R460" s="1759"/>
      <c r="S460" s="1759"/>
      <c r="T460" s="1759"/>
    </row>
    <row r="461" spans="1:20" x14ac:dyDescent="0.25">
      <c r="A461" s="1307" t="s">
        <v>2779</v>
      </c>
      <c r="B461" s="1753">
        <v>1.8112859979784901</v>
      </c>
      <c r="C461" s="1753">
        <v>1.71935792350755</v>
      </c>
      <c r="D461" s="1307">
        <v>1.6348121657379</v>
      </c>
      <c r="E461" s="1307">
        <v>1.55826848594199</v>
      </c>
      <c r="F461" s="1307">
        <v>1.4832450404195401</v>
      </c>
      <c r="G461" s="1307"/>
      <c r="H461" s="1307"/>
      <c r="N461" s="521"/>
      <c r="O461" s="521"/>
      <c r="P461" s="521"/>
      <c r="R461" s="1759"/>
      <c r="S461" s="1759"/>
      <c r="T461" s="1759"/>
    </row>
    <row r="462" spans="1:20" x14ac:dyDescent="0.25">
      <c r="A462" s="1307" t="s">
        <v>2780</v>
      </c>
      <c r="B462" s="1753">
        <v>0.41567512328426498</v>
      </c>
      <c r="C462" s="1753">
        <v>0.39237602916057401</v>
      </c>
      <c r="D462" s="1307">
        <v>0.37475164299516101</v>
      </c>
      <c r="E462" s="1307">
        <v>0.36146892087216598</v>
      </c>
      <c r="F462" s="1307">
        <v>0.34616784693557001</v>
      </c>
      <c r="G462" s="1307"/>
      <c r="H462" s="1307"/>
      <c r="N462" s="521"/>
      <c r="O462" s="521"/>
      <c r="P462" s="521"/>
      <c r="R462" s="1759"/>
      <c r="S462" s="1759"/>
      <c r="T462" s="1759"/>
    </row>
    <row r="463" spans="1:20" x14ac:dyDescent="0.25">
      <c r="A463" s="1307" t="s">
        <v>2781</v>
      </c>
      <c r="B463" s="1753">
        <v>0.50843881150283399</v>
      </c>
      <c r="C463" s="1753">
        <v>0.48188275344244702</v>
      </c>
      <c r="D463" s="1307">
        <v>0.45914806078189402</v>
      </c>
      <c r="E463" s="1307">
        <v>0.44096993752056102</v>
      </c>
      <c r="F463" s="1307">
        <v>0.42140344557348602</v>
      </c>
      <c r="G463" s="1307"/>
      <c r="H463" s="1307"/>
      <c r="N463" s="521"/>
      <c r="O463" s="521"/>
      <c r="P463" s="521"/>
      <c r="R463" s="1759"/>
      <c r="S463" s="1759"/>
      <c r="T463" s="1759"/>
    </row>
    <row r="464" spans="1:20" x14ac:dyDescent="0.25">
      <c r="A464" s="1307" t="s">
        <v>2782</v>
      </c>
      <c r="B464" s="1753">
        <v>0.59794553578470699</v>
      </c>
      <c r="C464" s="1753">
        <v>0.56627917122918003</v>
      </c>
      <c r="D464" s="1307">
        <v>0.538649077430289</v>
      </c>
      <c r="E464" s="1307">
        <v>0.51620553615847597</v>
      </c>
      <c r="F464" s="1307">
        <v>0.49314541356657399</v>
      </c>
      <c r="G464" s="1307"/>
      <c r="H464" s="1307"/>
      <c r="N464" s="521"/>
      <c r="O464" s="521"/>
      <c r="P464" s="521"/>
      <c r="R464" s="1759"/>
      <c r="S464" s="1759"/>
      <c r="T464" s="1759"/>
    </row>
    <row r="465" spans="1:20" x14ac:dyDescent="0.25">
      <c r="A465" s="1307" t="s">
        <v>2783</v>
      </c>
      <c r="B465" s="1753">
        <v>0.68234195357144001</v>
      </c>
      <c r="C465" s="1753">
        <v>0.64578018787757496</v>
      </c>
      <c r="D465" s="1307">
        <v>0.61388467606820396</v>
      </c>
      <c r="E465" s="1307">
        <v>0.58794750415156405</v>
      </c>
      <c r="F465" s="1307">
        <v>0.56112725207935299</v>
      </c>
      <c r="G465" s="1307"/>
      <c r="H465" s="1307"/>
      <c r="N465" s="521"/>
      <c r="O465" s="521"/>
      <c r="P465" s="521"/>
      <c r="R465" s="1759"/>
      <c r="S465" s="1759"/>
      <c r="T465" s="1759"/>
    </row>
    <row r="466" spans="1:20" x14ac:dyDescent="0.25">
      <c r="A466" s="1307" t="s">
        <v>2784</v>
      </c>
      <c r="B466" s="1753">
        <v>0.76184297021983505</v>
      </c>
      <c r="C466" s="1753">
        <v>0.72101578651549003</v>
      </c>
      <c r="D466" s="1307">
        <v>0.68562664406129203</v>
      </c>
      <c r="E466" s="1307">
        <v>0.655929342664343</v>
      </c>
      <c r="F466" s="1307">
        <v>0.62610046595636804</v>
      </c>
      <c r="G466" s="1307"/>
      <c r="H466" s="1307"/>
      <c r="N466" s="521"/>
      <c r="O466" s="521"/>
      <c r="P466" s="521"/>
      <c r="R466" s="1759"/>
      <c r="S466" s="1759"/>
      <c r="T466" s="1759"/>
    </row>
    <row r="467" spans="1:20" x14ac:dyDescent="0.25">
      <c r="A467" s="1307" t="s">
        <v>2785</v>
      </c>
      <c r="B467" s="1753">
        <v>0.83707856885775</v>
      </c>
      <c r="C467" s="1753">
        <v>0.79275775450857799</v>
      </c>
      <c r="D467" s="1307">
        <v>0.75360848257407098</v>
      </c>
      <c r="E467" s="1307">
        <v>0.72090255654135904</v>
      </c>
      <c r="F467" s="1307">
        <v>0.68818090039030699</v>
      </c>
      <c r="G467" s="1307"/>
      <c r="H467" s="1307"/>
      <c r="N467" s="521"/>
      <c r="O467" s="521"/>
      <c r="P467" s="521"/>
      <c r="R467" s="1759"/>
      <c r="S467" s="1759"/>
      <c r="T467" s="1759"/>
    </row>
    <row r="468" spans="1:20" x14ac:dyDescent="0.25">
      <c r="A468" s="1307" t="s">
        <v>2786</v>
      </c>
      <c r="B468" s="1753">
        <v>0.12218265722831925</v>
      </c>
      <c r="C468" s="1753">
        <v>0.11433900171094821</v>
      </c>
      <c r="D468" s="1307">
        <v>0.10556308362787219</v>
      </c>
      <c r="E468" s="1307">
        <v>9.6278547961797079E-2</v>
      </c>
      <c r="F468" s="1307">
        <v>9.3430540950719926E-2</v>
      </c>
      <c r="G468" s="1307"/>
      <c r="H468" s="1307"/>
      <c r="N468" s="521"/>
      <c r="O468" s="521"/>
      <c r="P468" s="521"/>
      <c r="R468" s="1759"/>
      <c r="S468" s="1759"/>
      <c r="T468" s="1759"/>
    </row>
    <row r="469" spans="1:20" x14ac:dyDescent="0.25">
      <c r="A469" s="1307" t="s">
        <v>2787</v>
      </c>
      <c r="B469" s="1753">
        <v>0.94703961869439535</v>
      </c>
      <c r="C469" s="1753">
        <v>0.89555883811934534</v>
      </c>
      <c r="D469" s="1307">
        <v>0.848219229059478</v>
      </c>
      <c r="E469" s="1307">
        <v>0.80668986501513207</v>
      </c>
      <c r="F469" s="1307">
        <v>0.77159369178142578</v>
      </c>
      <c r="G469" s="1307"/>
      <c r="H469" s="1307"/>
      <c r="N469" s="521"/>
      <c r="O469" s="521"/>
      <c r="P469" s="521"/>
      <c r="R469" s="1759"/>
      <c r="S469" s="1759"/>
      <c r="T469" s="1759"/>
    </row>
    <row r="470" spans="1:20" x14ac:dyDescent="0.25">
      <c r="A470" s="1307" t="s">
        <v>2788</v>
      </c>
      <c r="B470" s="1753">
        <v>1.0177414953476644</v>
      </c>
      <c r="C470" s="1753">
        <v>0.96255823077042613</v>
      </c>
      <c r="D470" s="1307">
        <v>0.91225294864300444</v>
      </c>
      <c r="E470" s="1307">
        <v>0.86787223974322292</v>
      </c>
      <c r="F470" s="1307">
        <v>0.8298005149284986</v>
      </c>
      <c r="G470" s="1307"/>
      <c r="H470" s="1307"/>
      <c r="N470" s="521"/>
      <c r="O470" s="521"/>
      <c r="P470" s="521"/>
      <c r="R470" s="1759"/>
      <c r="S470" s="1759"/>
      <c r="T470" s="1759"/>
    </row>
    <row r="471" spans="1:20" x14ac:dyDescent="0.25">
      <c r="A471" s="1307" t="s">
        <v>2789</v>
      </c>
      <c r="B471" s="1753">
        <v>1.0847408879987457</v>
      </c>
      <c r="C471" s="1753">
        <v>1.0265919503539525</v>
      </c>
      <c r="D471" s="1307">
        <v>0.97343532337109495</v>
      </c>
      <c r="E471" s="1307">
        <v>0.92607906289029573</v>
      </c>
      <c r="F471" s="1307">
        <v>0.88541529625699977</v>
      </c>
      <c r="G471" s="1307"/>
      <c r="H471" s="1307"/>
      <c r="N471" s="521"/>
      <c r="O471" s="521"/>
      <c r="P471" s="521"/>
      <c r="R471" s="1759"/>
      <c r="S471" s="1759"/>
      <c r="T471" s="1759"/>
    </row>
    <row r="472" spans="1:20" x14ac:dyDescent="0.25">
      <c r="A472" s="1307" t="s">
        <v>2790</v>
      </c>
      <c r="B472" s="1753">
        <v>1.1487746075822718</v>
      </c>
      <c r="C472" s="1753">
        <v>1.0877743250820431</v>
      </c>
      <c r="D472" s="1307">
        <v>1.031642146518168</v>
      </c>
      <c r="E472" s="1307">
        <v>0.98169384421879702</v>
      </c>
      <c r="F472" s="1307">
        <v>0.93855352984271578</v>
      </c>
      <c r="G472" s="1307"/>
      <c r="H472" s="1307"/>
      <c r="N472" s="521"/>
      <c r="O472" s="521"/>
      <c r="P472" s="521"/>
      <c r="R472" s="1759"/>
      <c r="S472" s="1759"/>
      <c r="T472" s="1759"/>
    </row>
    <row r="473" spans="1:20" x14ac:dyDescent="0.25">
      <c r="A473" s="1307" t="s">
        <v>2791</v>
      </c>
      <c r="B473" s="1753">
        <v>1.2099569823103624</v>
      </c>
      <c r="C473" s="1753">
        <v>1.1459811482291162</v>
      </c>
      <c r="D473" s="1307">
        <v>1.0872569278466691</v>
      </c>
      <c r="E473" s="1307">
        <v>1.0348320778045128</v>
      </c>
      <c r="F473" s="1307">
        <v>0.98932556073454136</v>
      </c>
      <c r="G473" s="1307"/>
      <c r="H473" s="1307"/>
      <c r="N473" s="521"/>
      <c r="O473" s="521"/>
      <c r="P473" s="521"/>
      <c r="R473" s="1759"/>
      <c r="S473" s="1759"/>
      <c r="T473" s="1759"/>
    </row>
    <row r="474" spans="1:20" x14ac:dyDescent="0.25">
      <c r="A474" s="1307" t="s">
        <v>2792</v>
      </c>
      <c r="B474" s="1753">
        <v>1.2681638054574353</v>
      </c>
      <c r="C474" s="1753">
        <v>1.2015959295576175</v>
      </c>
      <c r="D474" s="1307">
        <v>1.1403951614323851</v>
      </c>
      <c r="E474" s="1307">
        <v>1.0856041086963384</v>
      </c>
      <c r="F474" s="1307">
        <v>1.037836814641389</v>
      </c>
      <c r="G474" s="1307"/>
      <c r="H474" s="1307"/>
      <c r="N474" s="521"/>
      <c r="O474" s="521"/>
      <c r="P474" s="521"/>
      <c r="R474" s="1759"/>
      <c r="S474" s="1759"/>
      <c r="T474" s="1759"/>
    </row>
    <row r="475" spans="1:20" x14ac:dyDescent="0.25">
      <c r="A475" s="1307" t="s">
        <v>2793</v>
      </c>
      <c r="B475" s="1753">
        <v>1.3237785867859366</v>
      </c>
      <c r="C475" s="1753">
        <v>1.2547341631433331</v>
      </c>
      <c r="D475" s="1307">
        <v>1.1911671923242109</v>
      </c>
      <c r="E475" s="1307">
        <v>1.1341153626031861</v>
      </c>
      <c r="F475" s="1307">
        <v>1.0841880173675242</v>
      </c>
      <c r="G475" s="1307"/>
      <c r="H475" s="1307"/>
      <c r="N475" s="521"/>
      <c r="O475" s="521"/>
      <c r="P475" s="521"/>
      <c r="R475" s="1759"/>
      <c r="S475" s="1759"/>
      <c r="T475" s="1759"/>
    </row>
    <row r="476" spans="1:20" x14ac:dyDescent="0.25">
      <c r="A476" s="1307" t="s">
        <v>2794</v>
      </c>
      <c r="B476" s="1753">
        <v>1.3769168203716526</v>
      </c>
      <c r="C476" s="1753">
        <v>1.3055061940351593</v>
      </c>
      <c r="D476" s="1307">
        <v>1.2396784462310584</v>
      </c>
      <c r="E476" s="1307">
        <v>1.1804665653293211</v>
      </c>
      <c r="F476" s="1307">
        <v>1.1286611993333333</v>
      </c>
      <c r="G476" s="1307"/>
      <c r="H476" s="1307"/>
      <c r="N476" s="521"/>
      <c r="O476" s="521"/>
      <c r="P476" s="521"/>
      <c r="R476" s="1759"/>
      <c r="S476" s="1759"/>
      <c r="T476" s="1759"/>
    </row>
    <row r="477" spans="1:20" x14ac:dyDescent="0.25">
      <c r="A477" s="1307" t="s">
        <v>2795</v>
      </c>
      <c r="B477" s="1753">
        <v>1.4276888512634784</v>
      </c>
      <c r="C477" s="1753">
        <v>1.3540174479420068</v>
      </c>
      <c r="D477" s="1307">
        <v>1.2860296489571936</v>
      </c>
      <c r="E477" s="1307">
        <v>1.2249397472951309</v>
      </c>
      <c r="F477" s="1307">
        <v>1.1711540612592681</v>
      </c>
      <c r="G477" s="1307"/>
      <c r="H477" s="1307"/>
      <c r="N477" s="521"/>
      <c r="O477" s="521"/>
      <c r="P477" s="521"/>
      <c r="R477" s="1759"/>
      <c r="S477" s="1759"/>
      <c r="T477" s="1759"/>
    </row>
    <row r="478" spans="1:20" x14ac:dyDescent="0.25">
      <c r="A478" s="1307" t="s">
        <v>2796</v>
      </c>
      <c r="B478" s="1753">
        <v>1.476200105170326</v>
      </c>
      <c r="C478" s="1753">
        <v>1.4003686506681416</v>
      </c>
      <c r="D478" s="1307">
        <v>1.3305028309230029</v>
      </c>
      <c r="E478" s="1307">
        <v>1.2674326092210655</v>
      </c>
      <c r="F478" s="1307">
        <v>1.2117548343821629</v>
      </c>
      <c r="G478" s="1307"/>
      <c r="H478" s="1307"/>
      <c r="N478" s="521"/>
      <c r="O478" s="521"/>
      <c r="P478" s="521"/>
      <c r="R478" s="1759"/>
      <c r="S478" s="1759"/>
      <c r="T478" s="1759"/>
    </row>
    <row r="479" spans="1:20" x14ac:dyDescent="0.25">
      <c r="A479" s="1307" t="s">
        <v>2797</v>
      </c>
      <c r="B479" s="1753">
        <v>0.23652165893926744</v>
      </c>
      <c r="C479" s="1753">
        <v>0.21990208533882039</v>
      </c>
      <c r="D479" s="1307">
        <v>0.20184163158966925</v>
      </c>
      <c r="E479" s="1307">
        <v>0.189709088912517</v>
      </c>
      <c r="F479" s="1307">
        <v>0.184836980714504</v>
      </c>
      <c r="G479" s="1307"/>
      <c r="H479" s="1307"/>
      <c r="N479" s="521"/>
      <c r="O479" s="521"/>
      <c r="P479" s="521"/>
      <c r="R479" s="1759"/>
      <c r="S479" s="1759"/>
      <c r="T479" s="1759"/>
    </row>
    <row r="480" spans="1:20" x14ac:dyDescent="0.25">
      <c r="A480" s="1307" t="s">
        <v>2798</v>
      </c>
      <c r="B480" s="1753">
        <v>1.5225513078964612</v>
      </c>
      <c r="C480" s="1753">
        <v>1.4448418326339514</v>
      </c>
      <c r="D480" s="1307">
        <v>1.3729956928489373</v>
      </c>
      <c r="E480" s="1307">
        <v>1.3080333823439603</v>
      </c>
      <c r="F480" s="1307">
        <v>1.2505478166363977</v>
      </c>
      <c r="G480" s="1307"/>
      <c r="H480" s="1307"/>
      <c r="N480" s="521"/>
      <c r="O480" s="521"/>
      <c r="P480" s="521"/>
      <c r="R480" s="1759"/>
      <c r="S480" s="1759"/>
      <c r="T480" s="1759"/>
    </row>
    <row r="481" spans="1:20" x14ac:dyDescent="0.25">
      <c r="A481" s="1307" t="s">
        <v>2799</v>
      </c>
      <c r="B481" s="1753">
        <v>1.5670244898622705</v>
      </c>
      <c r="C481" s="1753">
        <v>1.4873346945598858</v>
      </c>
      <c r="D481" s="1307">
        <v>1.4135964659718323</v>
      </c>
      <c r="E481" s="1307">
        <v>1.3468263645981948</v>
      </c>
      <c r="F481" s="1307">
        <v>1.2876135480977782</v>
      </c>
      <c r="G481" s="1307"/>
      <c r="H481" s="1307"/>
      <c r="N481" s="521"/>
      <c r="O481" s="521"/>
      <c r="P481" s="521"/>
      <c r="R481" s="1759"/>
      <c r="S481" s="1759"/>
      <c r="T481" s="1759"/>
    </row>
    <row r="482" spans="1:20" x14ac:dyDescent="0.25">
      <c r="A482" s="1307" t="s">
        <v>2800</v>
      </c>
      <c r="B482" s="1753">
        <v>1.6095173517882051</v>
      </c>
      <c r="C482" s="1753">
        <v>1.5279354676827805</v>
      </c>
      <c r="D482" s="1307">
        <v>1.4523894482260669</v>
      </c>
      <c r="E482" s="1307">
        <v>1.3838920960595753</v>
      </c>
      <c r="F482" s="1307">
        <v>1.3222998025067063</v>
      </c>
      <c r="G482" s="1307"/>
      <c r="H482" s="1307"/>
      <c r="N482" s="521"/>
      <c r="O482" s="521"/>
      <c r="P482" s="521"/>
      <c r="R482" s="1759"/>
      <c r="S482" s="1759"/>
      <c r="T482" s="1759"/>
    </row>
    <row r="483" spans="1:20" x14ac:dyDescent="0.25">
      <c r="A483" s="1307" t="s">
        <v>2801</v>
      </c>
      <c r="B483" s="1753">
        <v>1.6501181249110999</v>
      </c>
      <c r="C483" s="1753">
        <v>1.5667284499370151</v>
      </c>
      <c r="D483" s="1307">
        <v>1.4894551796874473</v>
      </c>
      <c r="E483" s="1307">
        <v>1.4185783504685032</v>
      </c>
      <c r="F483" s="1307">
        <v>1.3547593331158472</v>
      </c>
      <c r="G483" s="1307"/>
      <c r="H483" s="1307"/>
      <c r="N483" s="521"/>
      <c r="O483" s="521"/>
      <c r="P483" s="521"/>
      <c r="R483" s="1759"/>
      <c r="S483" s="1759"/>
      <c r="T483" s="1759"/>
    </row>
    <row r="484" spans="1:20" x14ac:dyDescent="0.25">
      <c r="A484" s="1307" t="s">
        <v>2802</v>
      </c>
      <c r="B484" s="1753">
        <v>1.6889111071653344</v>
      </c>
      <c r="C484" s="1753">
        <v>1.6037941813983958</v>
      </c>
      <c r="D484" s="1307">
        <v>1.5241414340963757</v>
      </c>
      <c r="E484" s="1307">
        <v>1.4510378810776443</v>
      </c>
      <c r="F484" s="1307">
        <v>1.3851350870079877</v>
      </c>
      <c r="G484" s="1307"/>
      <c r="H484" s="1307"/>
      <c r="N484" s="521"/>
      <c r="O484" s="521"/>
      <c r="P484" s="521"/>
      <c r="R484" s="1759"/>
      <c r="S484" s="1759"/>
      <c r="T484" s="1759"/>
    </row>
    <row r="485" spans="1:20" x14ac:dyDescent="0.25">
      <c r="A485" s="1307" t="s">
        <v>2803</v>
      </c>
      <c r="B485" s="1753">
        <v>1.7259768386267149</v>
      </c>
      <c r="C485" s="1753">
        <v>1.6384804358073239</v>
      </c>
      <c r="D485" s="1307">
        <v>1.5566009647055168</v>
      </c>
      <c r="E485" s="1307">
        <v>1.4814136349697848</v>
      </c>
      <c r="F485" s="1307">
        <v>1.4135608346143329</v>
      </c>
      <c r="G485" s="1307"/>
      <c r="H485" s="1307"/>
      <c r="N485" s="521"/>
      <c r="O485" s="521"/>
      <c r="P485" s="521"/>
      <c r="R485" s="1759"/>
      <c r="S485" s="1759"/>
      <c r="T485" s="1759"/>
    </row>
    <row r="486" spans="1:20" x14ac:dyDescent="0.25">
      <c r="A486" s="1307" t="s">
        <v>2804</v>
      </c>
      <c r="B486" s="1753">
        <v>0.34208474256713955</v>
      </c>
      <c r="C486" s="1753">
        <v>0.31618063330061752</v>
      </c>
      <c r="D486" s="1307">
        <v>0.29527217254038923</v>
      </c>
      <c r="E486" s="1307">
        <v>0.28111552867630107</v>
      </c>
      <c r="F486" s="1307">
        <v>0.27302741347453752</v>
      </c>
      <c r="G486" s="1307"/>
      <c r="H486" s="1307"/>
      <c r="N486" s="521"/>
      <c r="O486" s="521"/>
      <c r="P486" s="521"/>
      <c r="R486" s="1759"/>
      <c r="S486" s="1759"/>
      <c r="T486" s="1759"/>
    </row>
    <row r="487" spans="1:20" x14ac:dyDescent="0.25">
      <c r="A487" s="1307" t="s">
        <v>2805</v>
      </c>
      <c r="B487" s="1753">
        <v>0.43836329052893674</v>
      </c>
      <c r="C487" s="1753">
        <v>0.40961117425133742</v>
      </c>
      <c r="D487" s="1307">
        <v>0.38667861230417327</v>
      </c>
      <c r="E487" s="1307">
        <v>0.3693059614363346</v>
      </c>
      <c r="F487" s="1307">
        <v>0.35618829216917203</v>
      </c>
      <c r="G487" s="1307"/>
      <c r="H487" s="1307"/>
      <c r="N487" s="521"/>
      <c r="O487" s="521"/>
      <c r="P487" s="521"/>
      <c r="R487" s="1759"/>
      <c r="S487" s="1759"/>
      <c r="T487" s="1759"/>
    </row>
    <row r="488" spans="1:20" x14ac:dyDescent="0.25">
      <c r="A488" s="1307" t="s">
        <v>2806</v>
      </c>
      <c r="B488" s="1753">
        <v>0.53179383147965675</v>
      </c>
      <c r="C488" s="1753">
        <v>0.50101761401512157</v>
      </c>
      <c r="D488" s="1307">
        <v>0.4748690450642068</v>
      </c>
      <c r="E488" s="1307">
        <v>0.45246684013096905</v>
      </c>
      <c r="F488" s="1307">
        <v>0.43453194489723268</v>
      </c>
      <c r="G488" s="1307"/>
      <c r="H488" s="1307"/>
      <c r="N488" s="521"/>
      <c r="O488" s="521"/>
      <c r="P488" s="521"/>
      <c r="R488" s="1759"/>
      <c r="S488" s="1759"/>
      <c r="T488" s="1759"/>
    </row>
    <row r="489" spans="1:20" x14ac:dyDescent="0.25">
      <c r="A489" s="1307" t="s">
        <v>2807</v>
      </c>
      <c r="B489" s="1753">
        <v>0.6232002712434408</v>
      </c>
      <c r="C489" s="1753">
        <v>0.58920804677515504</v>
      </c>
      <c r="D489" s="1307">
        <v>0.5580299237588412</v>
      </c>
      <c r="E489" s="1307">
        <v>0.53081049285902981</v>
      </c>
      <c r="F489" s="1307">
        <v>0.50867632816545871</v>
      </c>
      <c r="G489" s="1307"/>
      <c r="H489" s="1307"/>
      <c r="N489" s="521"/>
      <c r="O489" s="521"/>
      <c r="P489" s="521"/>
      <c r="R489" s="1759"/>
      <c r="S489" s="1759"/>
      <c r="T489" s="1759"/>
    </row>
    <row r="490" spans="1:20" x14ac:dyDescent="0.25">
      <c r="A490" s="1307" t="s">
        <v>2808</v>
      </c>
      <c r="B490" s="1753">
        <v>0.6232002712434408</v>
      </c>
      <c r="C490" s="1753">
        <v>0.58920804677515504</v>
      </c>
      <c r="D490" s="1307">
        <v>0.5580299237588412</v>
      </c>
      <c r="E490" s="1307">
        <v>0.53081049285902981</v>
      </c>
      <c r="F490" s="1307">
        <v>0.50867632816545871</v>
      </c>
      <c r="G490" s="1307"/>
      <c r="H490" s="1307"/>
      <c r="N490" s="521"/>
      <c r="O490" s="521"/>
      <c r="P490" s="521"/>
      <c r="R490" s="1759"/>
      <c r="S490" s="1759"/>
      <c r="T490" s="1759"/>
    </row>
    <row r="491" spans="1:20" x14ac:dyDescent="0.25">
      <c r="A491" s="1307" t="s">
        <v>2809</v>
      </c>
      <c r="B491" s="1753">
        <v>0.71139070400347426</v>
      </c>
      <c r="C491" s="1753">
        <v>0.67236892546978944</v>
      </c>
      <c r="D491" s="1307">
        <v>0.63637357648690207</v>
      </c>
      <c r="E491" s="1307">
        <v>0.60495487612725563</v>
      </c>
      <c r="F491" s="1307">
        <v>0.57937820481872793</v>
      </c>
      <c r="G491" s="1307"/>
      <c r="H491" s="1307"/>
      <c r="N491" s="521"/>
      <c r="O491" s="521"/>
      <c r="P491" s="521"/>
      <c r="R491" s="1759"/>
      <c r="S491" s="1759"/>
      <c r="T491" s="1759"/>
    </row>
    <row r="492" spans="1:20" x14ac:dyDescent="0.25">
      <c r="A492" s="1307" t="s">
        <v>2810</v>
      </c>
      <c r="B492" s="1753">
        <v>0.79455158269810888</v>
      </c>
      <c r="C492" s="1753">
        <v>0.75071257819785031</v>
      </c>
      <c r="D492" s="1307">
        <v>0.71051795975512799</v>
      </c>
      <c r="E492" s="1307">
        <v>0.67565675278052484</v>
      </c>
      <c r="F492" s="1307">
        <v>0.64637759746980872</v>
      </c>
      <c r="G492" s="1307"/>
      <c r="H492" s="1307"/>
      <c r="N492" s="521"/>
      <c r="O492" s="521"/>
      <c r="P492" s="521"/>
      <c r="R492" s="1759"/>
      <c r="S492" s="1759"/>
      <c r="T492" s="1759"/>
    </row>
    <row r="493" spans="1:20" x14ac:dyDescent="0.25">
      <c r="A493" s="1307" t="s">
        <v>2811</v>
      </c>
      <c r="B493" s="1753">
        <v>0.87289523542616954</v>
      </c>
      <c r="C493" s="1753">
        <v>0.82485696146607612</v>
      </c>
      <c r="D493" s="1307">
        <v>0.78121983640839709</v>
      </c>
      <c r="E493" s="1307">
        <v>0.74265614543160563</v>
      </c>
      <c r="F493" s="1307">
        <v>0.71041131705333505</v>
      </c>
      <c r="G493" s="1307"/>
      <c r="H493" s="1307"/>
      <c r="N493" s="521"/>
      <c r="O493" s="521"/>
      <c r="P493" s="521"/>
      <c r="R493" s="1759"/>
      <c r="S493" s="1759"/>
      <c r="T493" s="1759"/>
    </row>
    <row r="494" spans="1:20" x14ac:dyDescent="0.25">
      <c r="A494" s="1307" t="s">
        <v>2812</v>
      </c>
      <c r="B494" s="1753">
        <v>0.80448858002003742</v>
      </c>
      <c r="C494" s="1753">
        <v>0.76480940116685148</v>
      </c>
      <c r="D494" s="1307">
        <v>0.72799972519835232</v>
      </c>
      <c r="E494" s="1307">
        <v>0.69412925443610085</v>
      </c>
      <c r="F494" s="1307">
        <v>0.66247773309380964</v>
      </c>
      <c r="G494" s="1307"/>
      <c r="H494" s="1307"/>
      <c r="I494" s="50" t="s">
        <v>2618</v>
      </c>
      <c r="N494" s="521"/>
      <c r="O494" s="521"/>
      <c r="P494" s="521"/>
      <c r="R494" s="1759"/>
      <c r="S494" s="1759"/>
      <c r="T494" s="1759"/>
    </row>
    <row r="495" spans="1:20" x14ac:dyDescent="0.25">
      <c r="A495" s="1307" t="s">
        <v>2813</v>
      </c>
      <c r="B495" s="1753">
        <v>7.4942947869214099E-2</v>
      </c>
      <c r="C495" s="1753">
        <v>6.7980816380858997E-2</v>
      </c>
      <c r="D495" s="1307">
        <v>6.0478219942876499E-2</v>
      </c>
      <c r="E495" s="1307">
        <v>5.9328517572048003E-2</v>
      </c>
      <c r="F495" s="1307">
        <v>5.8838556505590299E-2</v>
      </c>
      <c r="G495" s="1307"/>
      <c r="H495" s="1307"/>
      <c r="N495" s="521"/>
      <c r="O495" s="521"/>
      <c r="P495" s="521"/>
      <c r="R495" s="1759"/>
      <c r="S495" s="1759"/>
      <c r="T495" s="1759"/>
    </row>
    <row r="496" spans="1:20" x14ac:dyDescent="0.25">
      <c r="A496" s="1307" t="s">
        <v>2814</v>
      </c>
      <c r="B496" s="1753">
        <v>0.57461542347781702</v>
      </c>
      <c r="C496" s="1753">
        <v>0.54216054089256505</v>
      </c>
      <c r="D496" s="1307">
        <v>0.514814729278667</v>
      </c>
      <c r="E496" s="1307">
        <v>0.49318272608227098</v>
      </c>
      <c r="F496" s="1307">
        <v>0.470745850408682</v>
      </c>
      <c r="G496" s="1307"/>
      <c r="H496" s="1307"/>
      <c r="N496" s="521"/>
      <c r="O496" s="521"/>
      <c r="P496" s="521"/>
      <c r="R496" s="1759"/>
      <c r="S496" s="1759"/>
      <c r="T496" s="1759"/>
    </row>
    <row r="497" spans="1:20" x14ac:dyDescent="0.25">
      <c r="A497" s="1307" t="s">
        <v>2815</v>
      </c>
      <c r="B497" s="1753">
        <v>0.61710348876177901</v>
      </c>
      <c r="C497" s="1753">
        <v>0.58279554565952596</v>
      </c>
      <c r="D497" s="1307">
        <v>0.55366094602514804</v>
      </c>
      <c r="E497" s="1307">
        <v>0.53007436798073004</v>
      </c>
      <c r="F497" s="1307">
        <v>0.50601339963214498</v>
      </c>
      <c r="G497" s="1307"/>
      <c r="H497" s="1307"/>
      <c r="N497" s="521"/>
      <c r="O497" s="521"/>
      <c r="P497" s="521"/>
      <c r="R497" s="1759"/>
      <c r="S497" s="1759"/>
      <c r="T497" s="1759"/>
    </row>
    <row r="498" spans="1:20" x14ac:dyDescent="0.25">
      <c r="A498" s="1307" t="s">
        <v>2816</v>
      </c>
      <c r="B498" s="1753">
        <v>0.65773849352874003</v>
      </c>
      <c r="C498" s="1753">
        <v>0.62164176240600599</v>
      </c>
      <c r="D498" s="1307">
        <v>0.59055258792360699</v>
      </c>
      <c r="E498" s="1307">
        <v>0.56534191720419302</v>
      </c>
      <c r="F498" s="1307">
        <v>0.53972839141725704</v>
      </c>
      <c r="G498" s="1307"/>
      <c r="H498" s="1307"/>
      <c r="N498" s="521"/>
      <c r="O498" s="521"/>
      <c r="P498" s="521"/>
      <c r="R498" s="1759"/>
      <c r="S498" s="1759"/>
      <c r="T498" s="1759"/>
    </row>
    <row r="499" spans="1:20" x14ac:dyDescent="0.25">
      <c r="A499" s="1307" t="s">
        <v>2817</v>
      </c>
      <c r="B499" s="1753">
        <v>0.69658471027522095</v>
      </c>
      <c r="C499" s="1753">
        <v>0.65853340430446605</v>
      </c>
      <c r="D499" s="1307">
        <v>0.62582013714706897</v>
      </c>
      <c r="E499" s="1307">
        <v>0.59905690898930497</v>
      </c>
      <c r="F499" s="1307">
        <v>0.57195920847100501</v>
      </c>
      <c r="G499" s="1307"/>
      <c r="H499" s="1307"/>
      <c r="N499" s="521"/>
      <c r="O499" s="521"/>
      <c r="P499" s="521"/>
      <c r="R499" s="1759"/>
      <c r="S499" s="1759"/>
      <c r="T499" s="1759"/>
    </row>
    <row r="500" spans="1:20" x14ac:dyDescent="0.25">
      <c r="A500" s="1307" t="s">
        <v>2818</v>
      </c>
      <c r="B500" s="1753">
        <v>0.73347635217368001</v>
      </c>
      <c r="C500" s="1753">
        <v>0.69380095352792803</v>
      </c>
      <c r="D500" s="1307">
        <v>0.65953512893218103</v>
      </c>
      <c r="E500" s="1307">
        <v>0.63128772604305305</v>
      </c>
      <c r="F500" s="1307">
        <v>0.60277121997611605</v>
      </c>
      <c r="G500" s="1307"/>
      <c r="H500" s="1307"/>
      <c r="N500" s="521"/>
      <c r="O500" s="521"/>
      <c r="P500" s="521"/>
      <c r="R500" s="1759"/>
      <c r="S500" s="1759"/>
      <c r="T500" s="1759"/>
    </row>
    <row r="501" spans="1:20" x14ac:dyDescent="0.25">
      <c r="A501" s="1307" t="s">
        <v>2819</v>
      </c>
      <c r="B501" s="1753">
        <v>0.76874390139714199</v>
      </c>
      <c r="C501" s="1753">
        <v>0.72751594531303998</v>
      </c>
      <c r="D501" s="1307">
        <v>0.691765945985929</v>
      </c>
      <c r="E501" s="1307">
        <v>0.66209973754816398</v>
      </c>
      <c r="F501" s="1307">
        <v>0.63222691446391199</v>
      </c>
      <c r="G501" s="1307"/>
      <c r="H501" s="1307"/>
      <c r="N501" s="521"/>
      <c r="O501" s="521"/>
      <c r="P501" s="521"/>
      <c r="R501" s="1759"/>
      <c r="S501" s="1759"/>
      <c r="T501" s="1759"/>
    </row>
    <row r="502" spans="1:20" x14ac:dyDescent="0.25">
      <c r="A502" s="1307" t="s">
        <v>2820</v>
      </c>
      <c r="B502" s="1753">
        <v>0.80245889318225405</v>
      </c>
      <c r="C502" s="1753">
        <v>0.75974676236678795</v>
      </c>
      <c r="D502" s="1307">
        <v>0.72257795749104103</v>
      </c>
      <c r="E502" s="1307">
        <v>0.69155543203596004</v>
      </c>
      <c r="F502" s="1307">
        <v>0.660453988966615</v>
      </c>
      <c r="G502" s="1307"/>
      <c r="H502" s="1307"/>
      <c r="N502" s="521"/>
      <c r="O502" s="521"/>
      <c r="P502" s="521"/>
      <c r="R502" s="1759"/>
      <c r="S502" s="1759"/>
      <c r="T502" s="1759"/>
    </row>
    <row r="503" spans="1:20" x14ac:dyDescent="0.25">
      <c r="A503" s="1307" t="s">
        <v>2821</v>
      </c>
      <c r="B503" s="1753">
        <v>0.83468971023600302</v>
      </c>
      <c r="C503" s="1753">
        <v>0.79055877387189999</v>
      </c>
      <c r="D503" s="1307">
        <v>0.75203365197883698</v>
      </c>
      <c r="E503" s="1307">
        <v>0.71978250653866305</v>
      </c>
      <c r="F503" s="1307">
        <v>0.68743849307862004</v>
      </c>
      <c r="G503" s="1307"/>
      <c r="H503" s="1307"/>
      <c r="N503" s="521"/>
      <c r="O503" s="521"/>
      <c r="P503" s="521"/>
      <c r="R503" s="1759"/>
      <c r="S503" s="1759"/>
      <c r="T503" s="1759"/>
    </row>
    <row r="504" spans="1:20" x14ac:dyDescent="0.25">
      <c r="A504" s="1307" t="s">
        <v>2822</v>
      </c>
      <c r="B504" s="1753">
        <v>0.86550172174111395</v>
      </c>
      <c r="C504" s="1753">
        <v>0.82001446835969505</v>
      </c>
      <c r="D504" s="1307">
        <v>0.78026072648153999</v>
      </c>
      <c r="E504" s="1307">
        <v>0.74676701065066797</v>
      </c>
      <c r="F504" s="1307">
        <v>0.71323515385341096</v>
      </c>
      <c r="G504" s="1307"/>
      <c r="H504" s="1307"/>
      <c r="N504" s="521"/>
      <c r="O504" s="521"/>
      <c r="P504" s="521"/>
      <c r="R504" s="1759"/>
      <c r="S504" s="1759"/>
      <c r="T504" s="1759"/>
    </row>
    <row r="505" spans="1:20" x14ac:dyDescent="0.25">
      <c r="A505" s="1307" t="s">
        <v>2823</v>
      </c>
      <c r="B505" s="1753">
        <v>0.89495741622891001</v>
      </c>
      <c r="C505" s="1753">
        <v>0.84824154286239895</v>
      </c>
      <c r="D505" s="1307">
        <v>0.80724523059354503</v>
      </c>
      <c r="E505" s="1307">
        <v>0.77256367142545901</v>
      </c>
      <c r="F505" s="1307">
        <v>0.73789628670349405</v>
      </c>
      <c r="G505" s="1307"/>
      <c r="H505" s="1307"/>
      <c r="N505" s="521"/>
      <c r="O505" s="521"/>
      <c r="P505" s="521"/>
      <c r="R505" s="1759"/>
      <c r="S505" s="1759"/>
      <c r="T505" s="1759"/>
    </row>
    <row r="506" spans="1:20" x14ac:dyDescent="0.25">
      <c r="A506" s="1307" t="s">
        <v>2824</v>
      </c>
      <c r="B506" s="1753">
        <v>0.142923764250073</v>
      </c>
      <c r="C506" s="1753">
        <v>0.12845903632373501</v>
      </c>
      <c r="D506" s="1307">
        <v>0.119806737514924</v>
      </c>
      <c r="E506" s="1307">
        <v>0.118167074077638</v>
      </c>
      <c r="F506" s="1307">
        <v>0.115957661169617</v>
      </c>
      <c r="G506" s="1307"/>
      <c r="H506" s="1307"/>
      <c r="N506" s="521"/>
      <c r="O506" s="521"/>
      <c r="P506" s="521"/>
      <c r="R506" s="1759"/>
      <c r="S506" s="1759"/>
      <c r="T506" s="1759"/>
    </row>
    <row r="507" spans="1:20" x14ac:dyDescent="0.25">
      <c r="A507" s="1307" t="s">
        <v>2825</v>
      </c>
      <c r="B507" s="1753">
        <v>0.92318449073161302</v>
      </c>
      <c r="C507" s="1753">
        <v>0.87522604697440398</v>
      </c>
      <c r="D507" s="1307">
        <v>0.83304189136833595</v>
      </c>
      <c r="E507" s="1307">
        <v>0.79722480427554199</v>
      </c>
      <c r="F507" s="1307">
        <v>0.76147190173048696</v>
      </c>
      <c r="G507" s="1307"/>
      <c r="H507" s="1307"/>
      <c r="N507" s="521"/>
      <c r="O507" s="521"/>
      <c r="P507" s="521"/>
      <c r="R507" s="1759"/>
      <c r="S507" s="1759"/>
      <c r="T507" s="1759"/>
    </row>
    <row r="508" spans="1:20" x14ac:dyDescent="0.25">
      <c r="A508" s="1307" t="s">
        <v>2826</v>
      </c>
      <c r="B508" s="1753">
        <v>0.95016899484361805</v>
      </c>
      <c r="C508" s="1753">
        <v>0.90102270774919402</v>
      </c>
      <c r="D508" s="1307">
        <v>0.85770302421841904</v>
      </c>
      <c r="E508" s="1307">
        <v>0.820800419302535</v>
      </c>
      <c r="F508" s="1307">
        <v>0.78400980536452003</v>
      </c>
      <c r="G508" s="1307"/>
      <c r="H508" s="1307"/>
      <c r="N508" s="521"/>
      <c r="O508" s="521"/>
      <c r="P508" s="521"/>
      <c r="R508" s="1759"/>
      <c r="S508" s="1759"/>
      <c r="T508" s="1759"/>
    </row>
    <row r="509" spans="1:20" x14ac:dyDescent="0.25">
      <c r="A509" s="1307" t="s">
        <v>2827</v>
      </c>
      <c r="B509" s="1753">
        <v>0.97596565561840898</v>
      </c>
      <c r="C509" s="1753">
        <v>0.925683840599278</v>
      </c>
      <c r="D509" s="1307">
        <v>0.88127863924541106</v>
      </c>
      <c r="E509" s="1307">
        <v>0.84333832293656796</v>
      </c>
      <c r="F509" s="1307">
        <v>0.80510086248040302</v>
      </c>
      <c r="G509" s="1307"/>
      <c r="H509" s="1307"/>
      <c r="N509" s="521"/>
      <c r="O509" s="521"/>
      <c r="P509" s="521"/>
      <c r="R509" s="1759"/>
      <c r="S509" s="1759"/>
      <c r="T509" s="1759"/>
    </row>
    <row r="510" spans="1:20" x14ac:dyDescent="0.25">
      <c r="A510" s="1307" t="s">
        <v>2828</v>
      </c>
      <c r="B510" s="1753">
        <v>1.0006267884684901</v>
      </c>
      <c r="C510" s="1753">
        <v>0.94925945562627001</v>
      </c>
      <c r="D510" s="1307">
        <v>0.90381654287944402</v>
      </c>
      <c r="E510" s="1307">
        <v>0.86442938005245096</v>
      </c>
      <c r="F510" s="1307">
        <v>0.824837955046268</v>
      </c>
      <c r="G510" s="1307"/>
      <c r="H510" s="1307"/>
      <c r="N510" s="521"/>
      <c r="O510" s="521"/>
      <c r="P510" s="521"/>
      <c r="R510" s="1759"/>
      <c r="S510" s="1759"/>
      <c r="T510" s="1759"/>
    </row>
    <row r="511" spans="1:20" x14ac:dyDescent="0.25">
      <c r="A511" s="1307" t="s">
        <v>2829</v>
      </c>
      <c r="B511" s="1753">
        <v>1.02420240349548</v>
      </c>
      <c r="C511" s="1753">
        <v>0.97179735926030297</v>
      </c>
      <c r="D511" s="1307">
        <v>0.92490759999532801</v>
      </c>
      <c r="E511" s="1307">
        <v>0.88416647261831605</v>
      </c>
      <c r="F511" s="1307">
        <v>0.84330800236600001</v>
      </c>
      <c r="G511" s="1307"/>
      <c r="H511" s="1307"/>
      <c r="N511" s="521"/>
      <c r="O511" s="521"/>
      <c r="P511" s="521"/>
      <c r="R511" s="1759"/>
      <c r="S511" s="1759"/>
      <c r="T511" s="1759"/>
    </row>
    <row r="512" spans="1:20" x14ac:dyDescent="0.25">
      <c r="A512" s="1307" t="s">
        <v>2830</v>
      </c>
      <c r="B512" s="1753">
        <v>1.04674030712952</v>
      </c>
      <c r="C512" s="1753">
        <v>0.99288841637618697</v>
      </c>
      <c r="D512" s="1307">
        <v>0.94464469256119299</v>
      </c>
      <c r="E512" s="1307">
        <v>0.90263651993804705</v>
      </c>
      <c r="F512" s="1307">
        <v>0.86059234385929095</v>
      </c>
      <c r="G512" s="1307"/>
      <c r="H512" s="1307"/>
      <c r="N512" s="521"/>
      <c r="O512" s="521"/>
      <c r="P512" s="521"/>
      <c r="R512" s="1759"/>
      <c r="S512" s="1759"/>
      <c r="T512" s="1759"/>
    </row>
    <row r="513" spans="1:20" x14ac:dyDescent="0.25">
      <c r="A513" s="1307" t="s">
        <v>2831</v>
      </c>
      <c r="B513" s="1753">
        <v>1.0678313642454</v>
      </c>
      <c r="C513" s="1753">
        <v>1.0126255089420499</v>
      </c>
      <c r="D513" s="1307">
        <v>0.963114739880924</v>
      </c>
      <c r="E513" s="1307">
        <v>0.919920861431339</v>
      </c>
      <c r="F513" s="1307">
        <v>0.87676709726869795</v>
      </c>
      <c r="G513" s="1307"/>
      <c r="H513" s="1307"/>
      <c r="N513" s="521"/>
      <c r="O513" s="521"/>
      <c r="P513" s="521"/>
      <c r="R513" s="1759"/>
      <c r="S513" s="1759"/>
      <c r="T513" s="1759"/>
    </row>
    <row r="514" spans="1:20" x14ac:dyDescent="0.25">
      <c r="A514" s="1307" t="s">
        <v>2832</v>
      </c>
      <c r="B514" s="1753">
        <v>1.08756845681127</v>
      </c>
      <c r="C514" s="1753">
        <v>1.0310955562617801</v>
      </c>
      <c r="D514" s="1307">
        <v>0.98039908137421605</v>
      </c>
      <c r="E514" s="1307">
        <v>0.93609561484074599</v>
      </c>
      <c r="F514" s="1307">
        <v>0.89190349387117396</v>
      </c>
      <c r="G514" s="1307"/>
      <c r="H514" s="1307"/>
      <c r="N514" s="521"/>
      <c r="O514" s="521"/>
      <c r="P514" s="521"/>
      <c r="R514" s="1759"/>
      <c r="S514" s="1759"/>
      <c r="T514" s="1759"/>
    </row>
    <row r="515" spans="1:20" x14ac:dyDescent="0.25">
      <c r="A515" s="1307" t="s">
        <v>2833</v>
      </c>
      <c r="B515" s="1753">
        <v>1.1060385041309999</v>
      </c>
      <c r="C515" s="1753">
        <v>1.04837989775507</v>
      </c>
      <c r="D515" s="1307">
        <v>0.99657383478362205</v>
      </c>
      <c r="E515" s="1307">
        <v>0.951232011443222</v>
      </c>
      <c r="F515" s="1307">
        <v>0.90606819217032897</v>
      </c>
      <c r="G515" s="1307"/>
      <c r="H515" s="1307"/>
      <c r="N515" s="521"/>
      <c r="O515" s="521"/>
      <c r="P515" s="521"/>
      <c r="R515" s="1759"/>
      <c r="S515" s="1759"/>
      <c r="T515" s="1759"/>
    </row>
    <row r="516" spans="1:20" x14ac:dyDescent="0.25">
      <c r="A516" s="1307" t="s">
        <v>2834</v>
      </c>
      <c r="B516" s="1753">
        <v>1.1233228456242901</v>
      </c>
      <c r="C516" s="1753">
        <v>1.0645546511644799</v>
      </c>
      <c r="D516" s="1307">
        <v>1.0117102313860999</v>
      </c>
      <c r="E516" s="1307">
        <v>0.96539670974237601</v>
      </c>
      <c r="F516" s="1307">
        <v>0.91932357145083998</v>
      </c>
      <c r="G516" s="1307"/>
      <c r="H516" s="1307"/>
      <c r="N516" s="521"/>
      <c r="O516" s="521"/>
      <c r="P516" s="521"/>
      <c r="R516" s="1759"/>
      <c r="S516" s="1759"/>
      <c r="T516" s="1759"/>
    </row>
    <row r="517" spans="1:20" x14ac:dyDescent="0.25">
      <c r="A517" s="1307" t="s">
        <v>2835</v>
      </c>
      <c r="B517" s="1753">
        <v>0.20340198419295</v>
      </c>
      <c r="C517" s="1753">
        <v>0.187787553895783</v>
      </c>
      <c r="D517" s="1307">
        <v>0.17864529402051499</v>
      </c>
      <c r="E517" s="1307">
        <v>0.17528617874166499</v>
      </c>
      <c r="F517" s="1307">
        <v>0.169525934272862</v>
      </c>
      <c r="G517" s="1307"/>
      <c r="H517" s="1307"/>
      <c r="N517" s="521"/>
      <c r="O517" s="521"/>
      <c r="P517" s="521"/>
      <c r="R517" s="1759"/>
      <c r="S517" s="1759"/>
      <c r="T517" s="1759"/>
    </row>
    <row r="518" spans="1:20" x14ac:dyDescent="0.25">
      <c r="A518" s="1307" t="s">
        <v>2836</v>
      </c>
      <c r="B518" s="1753">
        <v>1.1394975990337</v>
      </c>
      <c r="C518" s="1753">
        <v>1.0796910477669599</v>
      </c>
      <c r="D518" s="1307">
        <v>1.0258749296852501</v>
      </c>
      <c r="E518" s="1307">
        <v>0.97865208902288803</v>
      </c>
      <c r="F518" s="1307">
        <v>0.93172800648781495</v>
      </c>
      <c r="G518" s="1307"/>
      <c r="H518" s="1307"/>
      <c r="N518" s="521"/>
      <c r="O518" s="521"/>
      <c r="P518" s="521"/>
      <c r="R518" s="1759"/>
      <c r="S518" s="1759"/>
      <c r="T518" s="1759"/>
    </row>
    <row r="519" spans="1:20" x14ac:dyDescent="0.25">
      <c r="A519" s="1307" t="s">
        <v>2837</v>
      </c>
      <c r="B519" s="1753">
        <v>0.26273050176499801</v>
      </c>
      <c r="C519" s="1753">
        <v>0.246626110401374</v>
      </c>
      <c r="D519" s="1307">
        <v>0.23576439868454199</v>
      </c>
      <c r="E519" s="1307">
        <v>0.22885445184490999</v>
      </c>
      <c r="F519" s="1307">
        <v>0.21965035389704399</v>
      </c>
      <c r="G519" s="1307"/>
      <c r="H519" s="1307"/>
      <c r="N519" s="521"/>
      <c r="O519" s="521"/>
      <c r="P519" s="521"/>
      <c r="R519" s="1759"/>
      <c r="S519" s="1759"/>
      <c r="T519" s="1759"/>
    </row>
    <row r="520" spans="1:20" x14ac:dyDescent="0.25">
      <c r="A520" s="1307" t="s">
        <v>2838</v>
      </c>
      <c r="B520" s="1753">
        <v>0.32156905827058802</v>
      </c>
      <c r="C520" s="1753">
        <v>0.30374521506540098</v>
      </c>
      <c r="D520" s="1307">
        <v>0.28933267178778699</v>
      </c>
      <c r="E520" s="1307">
        <v>0.278978871469093</v>
      </c>
      <c r="F520" s="1307">
        <v>0.26687581863077697</v>
      </c>
      <c r="G520" s="1307"/>
      <c r="H520" s="1307"/>
      <c r="N520" s="521"/>
      <c r="O520" s="521"/>
      <c r="P520" s="521"/>
      <c r="R520" s="1759"/>
      <c r="S520" s="1759"/>
      <c r="T520" s="1759"/>
    </row>
    <row r="521" spans="1:20" x14ac:dyDescent="0.25">
      <c r="A521" s="1307" t="s">
        <v>2839</v>
      </c>
      <c r="B521" s="1753">
        <v>0.37868816293461499</v>
      </c>
      <c r="C521" s="1753">
        <v>0.357313488168646</v>
      </c>
      <c r="D521" s="1307">
        <v>0.339457091411969</v>
      </c>
      <c r="E521" s="1307">
        <v>0.32620433620282502</v>
      </c>
      <c r="F521" s="1307">
        <v>0.31188492171281901</v>
      </c>
      <c r="G521" s="1307"/>
      <c r="H521" s="1307"/>
      <c r="N521" s="521"/>
      <c r="O521" s="521"/>
      <c r="P521" s="521"/>
      <c r="R521" s="1759"/>
      <c r="S521" s="1759"/>
      <c r="T521" s="1759"/>
    </row>
    <row r="522" spans="1:20" x14ac:dyDescent="0.25">
      <c r="A522" s="1307" t="s">
        <v>2840</v>
      </c>
      <c r="B522" s="1753">
        <v>0.43225643603786001</v>
      </c>
      <c r="C522" s="1753">
        <v>0.40743790779282801</v>
      </c>
      <c r="D522" s="1307">
        <v>0.38668255614570202</v>
      </c>
      <c r="E522" s="1307">
        <v>0.371213439284867</v>
      </c>
      <c r="F522" s="1307">
        <v>0.35437298699678199</v>
      </c>
      <c r="G522" s="1307"/>
      <c r="H522" s="1307"/>
      <c r="N522" s="521"/>
      <c r="O522" s="521"/>
      <c r="P522" s="521"/>
      <c r="R522" s="1759"/>
      <c r="S522" s="1759"/>
      <c r="T522" s="1759"/>
    </row>
    <row r="523" spans="1:20" x14ac:dyDescent="0.25">
      <c r="A523" s="1307" t="s">
        <v>2841</v>
      </c>
      <c r="B523" s="1753">
        <v>0.48238085566204197</v>
      </c>
      <c r="C523" s="1753">
        <v>0.45466337252656103</v>
      </c>
      <c r="D523" s="1307">
        <v>0.431691659227744</v>
      </c>
      <c r="E523" s="1307">
        <v>0.41370150456882998</v>
      </c>
      <c r="F523" s="1307">
        <v>0.39500799176374302</v>
      </c>
      <c r="G523" s="1307"/>
      <c r="H523" s="1307"/>
      <c r="N523" s="521"/>
      <c r="O523" s="521"/>
      <c r="P523" s="521"/>
      <c r="R523" s="1759"/>
      <c r="S523" s="1759"/>
      <c r="T523" s="1759"/>
    </row>
    <row r="524" spans="1:20" x14ac:dyDescent="0.25">
      <c r="A524" s="1307" t="s">
        <v>2842</v>
      </c>
      <c r="B524" s="1753">
        <v>0.52960632039577504</v>
      </c>
      <c r="C524" s="1753">
        <v>0.49967247560860301</v>
      </c>
      <c r="D524" s="1307">
        <v>0.47417972451170598</v>
      </c>
      <c r="E524" s="1307">
        <v>0.45433650933579101</v>
      </c>
      <c r="F524" s="1307">
        <v>0.43385420851022299</v>
      </c>
      <c r="G524" s="1307"/>
      <c r="H524" s="1307"/>
      <c r="N524" s="521"/>
      <c r="O524" s="521"/>
      <c r="P524" s="521"/>
      <c r="R524" s="1759"/>
      <c r="S524" s="1759"/>
      <c r="T524" s="1759"/>
    </row>
    <row r="525" spans="1:20" x14ac:dyDescent="0.25">
      <c r="A525" s="1307" t="s">
        <v>2843</v>
      </c>
      <c r="B525" s="1753">
        <v>6.2939947776107591E-2</v>
      </c>
      <c r="C525" s="1753">
        <v>5.889944579459816E-2</v>
      </c>
      <c r="D525" s="1307">
        <v>5.292414624354011E-2</v>
      </c>
      <c r="E525" s="1307">
        <v>4.6437891018163598E-2</v>
      </c>
      <c r="F525" s="1307">
        <v>4.5832728321793498E-2</v>
      </c>
      <c r="G525" s="1307"/>
      <c r="H525" s="1307"/>
      <c r="N525" s="521"/>
      <c r="O525" s="521"/>
      <c r="P525" s="521"/>
      <c r="R525" s="1759"/>
      <c r="S525" s="1759"/>
      <c r="T525" s="1759"/>
    </row>
    <row r="526" spans="1:20" x14ac:dyDescent="0.25">
      <c r="A526" s="1307" t="s">
        <v>2844</v>
      </c>
      <c r="B526" s="1753">
        <v>0.47457445064834375</v>
      </c>
      <c r="C526" s="1753">
        <v>0.44645381442116189</v>
      </c>
      <c r="D526" s="1307">
        <v>0.4203531050451893</v>
      </c>
      <c r="E526" s="1307">
        <v>0.39880911119171675</v>
      </c>
      <c r="F526" s="1307">
        <v>0.38237886377810698</v>
      </c>
      <c r="G526" s="1307"/>
      <c r="H526" s="1307"/>
      <c r="N526" s="521"/>
      <c r="O526" s="521"/>
      <c r="P526" s="521"/>
      <c r="R526" s="1759"/>
      <c r="S526" s="1759"/>
      <c r="T526" s="1759"/>
    </row>
    <row r="527" spans="1:20" x14ac:dyDescent="0.25">
      <c r="A527" s="1307" t="s">
        <v>2845</v>
      </c>
      <c r="B527" s="1753">
        <v>0.5093937621972694</v>
      </c>
      <c r="C527" s="1753">
        <v>0.47925255083978752</v>
      </c>
      <c r="D527" s="1307">
        <v>0.45173325743525683</v>
      </c>
      <c r="E527" s="1307">
        <v>0.42881675479627057</v>
      </c>
      <c r="F527" s="1307">
        <v>0.41084858589424939</v>
      </c>
      <c r="G527" s="1307"/>
      <c r="H527" s="1307"/>
      <c r="N527" s="521"/>
      <c r="O527" s="521"/>
      <c r="P527" s="521"/>
      <c r="R527" s="1759"/>
      <c r="S527" s="1759"/>
      <c r="T527" s="1759"/>
    </row>
    <row r="528" spans="1:20" x14ac:dyDescent="0.25">
      <c r="A528" s="1307" t="s">
        <v>2846</v>
      </c>
      <c r="B528" s="1753">
        <v>0.54219249861589514</v>
      </c>
      <c r="C528" s="1753">
        <v>0.51063270322985488</v>
      </c>
      <c r="D528" s="1307">
        <v>0.48174090103981071</v>
      </c>
      <c r="E528" s="1307">
        <v>0.45728647691241309</v>
      </c>
      <c r="F528" s="1307">
        <v>0.43807304654130136</v>
      </c>
      <c r="G528" s="1307"/>
      <c r="H528" s="1307"/>
      <c r="N528" s="521"/>
      <c r="O528" s="521"/>
      <c r="P528" s="521"/>
      <c r="R528" s="1759"/>
      <c r="S528" s="1759"/>
      <c r="T528" s="1759"/>
    </row>
    <row r="529" spans="1:20" x14ac:dyDescent="0.25">
      <c r="A529" s="1307" t="s">
        <v>2847</v>
      </c>
      <c r="B529" s="1753">
        <v>0.57357265100596266</v>
      </c>
      <c r="C529" s="1753">
        <v>0.54064034683440876</v>
      </c>
      <c r="D529" s="1307">
        <v>0.51021062315595322</v>
      </c>
      <c r="E529" s="1307">
        <v>0.48451093755946495</v>
      </c>
      <c r="F529" s="1307">
        <v>0.46410673359679344</v>
      </c>
      <c r="G529" s="1307"/>
      <c r="H529" s="1307"/>
      <c r="N529" s="521"/>
      <c r="O529" s="521"/>
      <c r="P529" s="521"/>
      <c r="R529" s="1759"/>
      <c r="S529" s="1759"/>
      <c r="T529" s="1759"/>
    </row>
    <row r="530" spans="1:20" x14ac:dyDescent="0.25">
      <c r="A530" s="1307" t="s">
        <v>2848</v>
      </c>
      <c r="B530" s="1753">
        <v>0.60358029461051643</v>
      </c>
      <c r="C530" s="1753">
        <v>0.56911006895055138</v>
      </c>
      <c r="D530" s="1307">
        <v>0.53743508380300509</v>
      </c>
      <c r="E530" s="1307">
        <v>0.51054462461495709</v>
      </c>
      <c r="F530" s="1307">
        <v>0.48900174984155836</v>
      </c>
      <c r="G530" s="1307"/>
      <c r="H530" s="1307"/>
      <c r="N530" s="521"/>
      <c r="O530" s="521"/>
      <c r="P530" s="521"/>
      <c r="R530" s="1759"/>
      <c r="S530" s="1759"/>
      <c r="T530" s="1759"/>
    </row>
    <row r="531" spans="1:20" x14ac:dyDescent="0.25">
      <c r="A531" s="1307" t="s">
        <v>2849</v>
      </c>
      <c r="B531" s="1753">
        <v>0.63205001672665895</v>
      </c>
      <c r="C531" s="1753">
        <v>0.59633452959760347</v>
      </c>
      <c r="D531" s="1307">
        <v>0.56346877085849723</v>
      </c>
      <c r="E531" s="1307">
        <v>0.53543964085972195</v>
      </c>
      <c r="F531" s="1307">
        <v>0.51280791740375542</v>
      </c>
      <c r="G531" s="1307"/>
      <c r="H531" s="1307"/>
      <c r="N531" s="521"/>
      <c r="O531" s="521"/>
      <c r="P531" s="521"/>
      <c r="R531" s="1759"/>
      <c r="S531" s="1759"/>
      <c r="T531" s="1759"/>
    </row>
    <row r="532" spans="1:20" x14ac:dyDescent="0.25">
      <c r="A532" s="1307" t="s">
        <v>2850</v>
      </c>
      <c r="B532" s="1753">
        <v>0.65927447737371103</v>
      </c>
      <c r="C532" s="1753">
        <v>0.62236821665309527</v>
      </c>
      <c r="D532" s="1307">
        <v>0.58836378710326198</v>
      </c>
      <c r="E532" s="1307">
        <v>0.55924580842191907</v>
      </c>
      <c r="F532" s="1307">
        <v>0.53557287762740635</v>
      </c>
      <c r="G532" s="1307"/>
      <c r="H532" s="1307"/>
      <c r="N532" s="521"/>
      <c r="O532" s="521"/>
      <c r="P532" s="521"/>
      <c r="R532" s="1759"/>
      <c r="S532" s="1759"/>
      <c r="T532" s="1759"/>
    </row>
    <row r="533" spans="1:20" x14ac:dyDescent="0.25">
      <c r="A533" s="1307" t="s">
        <v>2851</v>
      </c>
      <c r="B533" s="1753">
        <v>0.68530816442920295</v>
      </c>
      <c r="C533" s="1753">
        <v>0.64726323289786036</v>
      </c>
      <c r="D533" s="1307">
        <v>0.61216995466545931</v>
      </c>
      <c r="E533" s="1307">
        <v>0.58201076864557</v>
      </c>
      <c r="F533" s="1307">
        <v>0.55737320160949133</v>
      </c>
      <c r="G533" s="1307"/>
      <c r="H533" s="1307"/>
      <c r="N533" s="521"/>
      <c r="O533" s="521"/>
      <c r="P533" s="521"/>
      <c r="R533" s="1759"/>
      <c r="S533" s="1759"/>
      <c r="T533" s="1759"/>
    </row>
    <row r="534" spans="1:20" x14ac:dyDescent="0.25">
      <c r="A534" s="1307" t="s">
        <v>2852</v>
      </c>
      <c r="B534" s="1753">
        <v>0.71020318067396793</v>
      </c>
      <c r="C534" s="1753">
        <v>0.67106940046005725</v>
      </c>
      <c r="D534" s="1307">
        <v>0.63493491488911014</v>
      </c>
      <c r="E534" s="1307">
        <v>0.60381109262765498</v>
      </c>
      <c r="F534" s="1307">
        <v>0.57822002581346399</v>
      </c>
      <c r="G534" s="1307"/>
      <c r="H534" s="1307"/>
      <c r="N534" s="521"/>
      <c r="O534" s="521"/>
      <c r="P534" s="521"/>
      <c r="R534" s="1759"/>
      <c r="S534" s="1759"/>
      <c r="T534" s="1759"/>
    </row>
    <row r="535" spans="1:20" x14ac:dyDescent="0.25">
      <c r="A535" s="1307" t="s">
        <v>2853</v>
      </c>
      <c r="B535" s="1753">
        <v>0.7340093482361647</v>
      </c>
      <c r="C535" s="1753">
        <v>0.69383436068370818</v>
      </c>
      <c r="D535" s="1307">
        <v>0.65673523887119511</v>
      </c>
      <c r="E535" s="1307">
        <v>0.62465791683162741</v>
      </c>
      <c r="F535" s="1307">
        <v>0.59815506979544986</v>
      </c>
      <c r="G535" s="1307"/>
      <c r="H535" s="1307"/>
      <c r="N535" s="521"/>
      <c r="O535" s="521"/>
      <c r="P535" s="521"/>
      <c r="R535" s="1759"/>
      <c r="S535" s="1759"/>
      <c r="T535" s="1759"/>
    </row>
    <row r="536" spans="1:20" x14ac:dyDescent="0.25">
      <c r="A536" s="1307" t="s">
        <v>2854</v>
      </c>
      <c r="B536" s="1753">
        <v>0.12183939357070575</v>
      </c>
      <c r="C536" s="1753">
        <v>0.11182359203813828</v>
      </c>
      <c r="D536" s="1307">
        <v>9.9362037261703715E-2</v>
      </c>
      <c r="E536" s="1307">
        <v>9.2270619339957116E-2</v>
      </c>
      <c r="F536" s="1307">
        <v>9.1628625574283945E-2</v>
      </c>
      <c r="G536" s="1307"/>
      <c r="H536" s="1307"/>
      <c r="N536" s="521"/>
      <c r="O536" s="521"/>
      <c r="P536" s="521"/>
      <c r="R536" s="1759"/>
      <c r="S536" s="1759"/>
      <c r="T536" s="1759"/>
    </row>
    <row r="537" spans="1:20" x14ac:dyDescent="0.25">
      <c r="A537" s="1307" t="s">
        <v>2855</v>
      </c>
      <c r="B537" s="1753">
        <v>0.75677430845981597</v>
      </c>
      <c r="C537" s="1753">
        <v>0.71563468466579327</v>
      </c>
      <c r="D537" s="1307">
        <v>0.67758206307516766</v>
      </c>
      <c r="E537" s="1307">
        <v>0.6445929608136135</v>
      </c>
      <c r="F537" s="1307">
        <v>0.61721822700998263</v>
      </c>
      <c r="G537" s="1307"/>
      <c r="H537" s="1307"/>
      <c r="N537" s="521"/>
      <c r="O537" s="521"/>
      <c r="P537" s="521"/>
      <c r="R537" s="1759"/>
      <c r="S537" s="1759"/>
      <c r="T537" s="1759"/>
    </row>
    <row r="538" spans="1:20" x14ac:dyDescent="0.25">
      <c r="A538" s="1307" t="s">
        <v>2856</v>
      </c>
      <c r="B538" s="1753">
        <v>0.77857463244190084</v>
      </c>
      <c r="C538" s="1753">
        <v>0.73648150886976593</v>
      </c>
      <c r="D538" s="1307">
        <v>0.69751710705715353</v>
      </c>
      <c r="E538" s="1307">
        <v>0.66365611802814628</v>
      </c>
      <c r="F538" s="1307">
        <v>0.63544764477153526</v>
      </c>
      <c r="G538" s="1307"/>
      <c r="H538" s="1307"/>
      <c r="N538" s="521"/>
      <c r="O538" s="521"/>
      <c r="P538" s="521"/>
      <c r="R538" s="1759"/>
      <c r="S538" s="1759"/>
      <c r="T538" s="1759"/>
    </row>
    <row r="539" spans="1:20" x14ac:dyDescent="0.25">
      <c r="A539" s="1307" t="s">
        <v>2857</v>
      </c>
      <c r="B539" s="1753">
        <v>0.79942145664587316</v>
      </c>
      <c r="C539" s="1753">
        <v>0.75641655285175169</v>
      </c>
      <c r="D539" s="1307">
        <v>0.71658026427168631</v>
      </c>
      <c r="E539" s="1307">
        <v>0.6818855357896989</v>
      </c>
      <c r="F539" s="1307">
        <v>0.6525068041965334</v>
      </c>
      <c r="G539" s="1307"/>
      <c r="H539" s="1307"/>
      <c r="N539" s="521"/>
      <c r="O539" s="521"/>
      <c r="P539" s="521"/>
      <c r="R539" s="1759"/>
      <c r="S539" s="1759"/>
      <c r="T539" s="1759"/>
    </row>
    <row r="540" spans="1:20" x14ac:dyDescent="0.25">
      <c r="A540" s="1307" t="s">
        <v>2858</v>
      </c>
      <c r="B540" s="1753">
        <v>0.81935650062785936</v>
      </c>
      <c r="C540" s="1753">
        <v>0.77547971006628458</v>
      </c>
      <c r="D540" s="1307">
        <v>0.73480968203323904</v>
      </c>
      <c r="E540" s="1307">
        <v>0.69894469521469671</v>
      </c>
      <c r="F540" s="1307">
        <v>0.66847083135823826</v>
      </c>
      <c r="G540" s="1307"/>
      <c r="H540" s="1307"/>
      <c r="N540" s="521"/>
      <c r="O540" s="521"/>
      <c r="P540" s="521"/>
      <c r="R540" s="1759"/>
      <c r="S540" s="1759"/>
      <c r="T540" s="1759"/>
    </row>
    <row r="541" spans="1:20" x14ac:dyDescent="0.25">
      <c r="A541" s="1307" t="s">
        <v>2859</v>
      </c>
      <c r="B541" s="1753">
        <v>0.83841965784239214</v>
      </c>
      <c r="C541" s="1753">
        <v>0.79370912782783709</v>
      </c>
      <c r="D541" s="1307">
        <v>0.75186884145823696</v>
      </c>
      <c r="E541" s="1307">
        <v>0.7149087223764018</v>
      </c>
      <c r="F541" s="1307">
        <v>0.6834100295256581</v>
      </c>
      <c r="G541" s="1307"/>
      <c r="H541" s="1307"/>
      <c r="N541" s="521"/>
      <c r="O541" s="521"/>
      <c r="P541" s="521"/>
      <c r="R541" s="1759"/>
      <c r="S541" s="1759"/>
      <c r="T541" s="1759"/>
    </row>
    <row r="542" spans="1:20" x14ac:dyDescent="0.25">
      <c r="A542" s="1307" t="s">
        <v>2860</v>
      </c>
      <c r="B542" s="1753">
        <v>0.85664907560394499</v>
      </c>
      <c r="C542" s="1753">
        <v>0.81076828725283512</v>
      </c>
      <c r="D542" s="1307">
        <v>0.76783286861994182</v>
      </c>
      <c r="E542" s="1307">
        <v>0.72984792054382164</v>
      </c>
      <c r="F542" s="1307">
        <v>0.69739018876898595</v>
      </c>
      <c r="G542" s="1307"/>
      <c r="H542" s="1307"/>
      <c r="N542" s="521"/>
      <c r="O542" s="521"/>
      <c r="P542" s="521"/>
      <c r="R542" s="1759"/>
      <c r="S542" s="1759"/>
      <c r="T542" s="1759"/>
    </row>
    <row r="543" spans="1:20" x14ac:dyDescent="0.25">
      <c r="A543" s="1307" t="s">
        <v>2861</v>
      </c>
      <c r="B543" s="1753">
        <v>0.17476353981424586</v>
      </c>
      <c r="C543" s="1753">
        <v>0.15826148305630189</v>
      </c>
      <c r="D543" s="1307">
        <v>0.14519476558349717</v>
      </c>
      <c r="E543" s="1307">
        <v>0.13806651659244751</v>
      </c>
      <c r="F543" s="1307">
        <v>0.13623484153320792</v>
      </c>
      <c r="G543" s="1307"/>
      <c r="H543" s="1307"/>
      <c r="N543" s="521"/>
      <c r="O543" s="521"/>
      <c r="P543" s="521"/>
      <c r="R543" s="1759"/>
      <c r="S543" s="1759"/>
      <c r="T543" s="1759"/>
    </row>
    <row r="544" spans="1:20" x14ac:dyDescent="0.25">
      <c r="A544" s="1307" t="s">
        <v>2862</v>
      </c>
      <c r="B544" s="1753">
        <v>0.22120143083240948</v>
      </c>
      <c r="C544" s="1753">
        <v>0.20409421137809541</v>
      </c>
      <c r="D544" s="1307">
        <v>0.19099066283598767</v>
      </c>
      <c r="E544" s="1307">
        <v>0.18267273255137148</v>
      </c>
      <c r="F544" s="1307">
        <v>0.17794456342182069</v>
      </c>
      <c r="G544" s="1307"/>
      <c r="H544" s="1307"/>
      <c r="N544" s="521"/>
      <c r="O544" s="521"/>
      <c r="P544" s="521"/>
      <c r="R544" s="1759"/>
      <c r="S544" s="1759"/>
      <c r="T544" s="1759"/>
    </row>
    <row r="545" spans="1:20" x14ac:dyDescent="0.25">
      <c r="A545" s="1307" t="s">
        <v>2863</v>
      </c>
      <c r="B545" s="1753">
        <v>0.26703415915420303</v>
      </c>
      <c r="C545" s="1753">
        <v>0.24989010863058583</v>
      </c>
      <c r="D545" s="1307">
        <v>0.23559687879491167</v>
      </c>
      <c r="E545" s="1307">
        <v>0.22438245443998431</v>
      </c>
      <c r="F545" s="1307">
        <v>0.21682846999390507</v>
      </c>
      <c r="G545" s="1307"/>
      <c r="H545" s="1307"/>
      <c r="N545" s="521"/>
      <c r="O545" s="521"/>
      <c r="P545" s="521"/>
      <c r="R545" s="1759"/>
      <c r="S545" s="1759"/>
      <c r="T545" s="1759"/>
    </row>
    <row r="546" spans="1:20" x14ac:dyDescent="0.25">
      <c r="A546" s="1307" t="s">
        <v>2864</v>
      </c>
      <c r="B546" s="1753">
        <v>0.31283005640669348</v>
      </c>
      <c r="C546" s="1753">
        <v>0.29449632458950981</v>
      </c>
      <c r="D546" s="1307">
        <v>0.27730660068352442</v>
      </c>
      <c r="E546" s="1307">
        <v>0.26326636101206863</v>
      </c>
      <c r="F546" s="1307">
        <v>0.2533730198159343</v>
      </c>
      <c r="G546" s="1307"/>
      <c r="H546" s="1307"/>
      <c r="N546" s="521"/>
      <c r="O546" s="521"/>
      <c r="P546" s="521"/>
      <c r="R546" s="1759"/>
      <c r="S546" s="1759"/>
      <c r="T546" s="1759"/>
    </row>
    <row r="547" spans="1:20" x14ac:dyDescent="0.25">
      <c r="A547" s="1307" t="s">
        <v>2865</v>
      </c>
      <c r="B547" s="1753">
        <v>0.35743627236561748</v>
      </c>
      <c r="C547" s="1753">
        <v>0.33620604647812263</v>
      </c>
      <c r="D547" s="1307">
        <v>0.31619050725560877</v>
      </c>
      <c r="E547" s="1307">
        <v>0.29981091083409783</v>
      </c>
      <c r="F547" s="1307">
        <v>0.28819233136486</v>
      </c>
      <c r="G547" s="1307"/>
      <c r="H547" s="1307"/>
      <c r="N547" s="521"/>
      <c r="O547" s="521"/>
      <c r="P547" s="521"/>
      <c r="R547" s="1759"/>
      <c r="S547" s="1759"/>
      <c r="T547" s="1759"/>
    </row>
    <row r="548" spans="1:20" x14ac:dyDescent="0.25">
      <c r="A548" s="1307" t="s">
        <v>2866</v>
      </c>
      <c r="B548" s="1753">
        <v>0.3991459942542302</v>
      </c>
      <c r="C548" s="1753">
        <v>0.37508995305020698</v>
      </c>
      <c r="D548" s="1307">
        <v>0.35273505707763797</v>
      </c>
      <c r="E548" s="1307">
        <v>0.33463022238302353</v>
      </c>
      <c r="F548" s="1307">
        <v>0.32099106778348557</v>
      </c>
      <c r="G548" s="1307"/>
      <c r="H548" s="1307"/>
      <c r="N548" s="521"/>
      <c r="O548" s="521"/>
      <c r="P548" s="521"/>
      <c r="R548" s="1759"/>
      <c r="S548" s="1759"/>
      <c r="T548" s="1759"/>
    </row>
    <row r="549" spans="1:20" x14ac:dyDescent="0.25">
      <c r="A549" s="1307" t="s">
        <v>2867</v>
      </c>
      <c r="B549" s="1753">
        <v>0.43802990082631449</v>
      </c>
      <c r="C549" s="1753">
        <v>0.41163450287223619</v>
      </c>
      <c r="D549" s="1307">
        <v>0.38755436862656378</v>
      </c>
      <c r="E549" s="1307">
        <v>0.36742895880164911</v>
      </c>
      <c r="F549" s="1307">
        <v>0.3523712201735531</v>
      </c>
      <c r="G549" s="1307"/>
      <c r="H549" s="1307"/>
      <c r="N549" s="521"/>
      <c r="O549" s="521"/>
      <c r="P549" s="521"/>
      <c r="R549" s="1759"/>
      <c r="S549" s="1759"/>
      <c r="T549" s="1759"/>
    </row>
    <row r="550" spans="1:20" x14ac:dyDescent="0.25">
      <c r="A550" s="1307" t="s">
        <v>2868</v>
      </c>
      <c r="B550" s="1753">
        <v>6.9716271613440697E-2</v>
      </c>
      <c r="C550" s="1753">
        <v>6.3109478788013804E-2</v>
      </c>
      <c r="D550" s="1307">
        <v>5.59776275933562E-2</v>
      </c>
      <c r="E550" s="1307">
        <v>5.4985269379490498E-2</v>
      </c>
      <c r="F550" s="1307">
        <v>5.4619524087442903E-2</v>
      </c>
      <c r="G550" s="1307"/>
      <c r="H550" s="1307"/>
      <c r="N550" s="521"/>
      <c r="O550" s="521"/>
      <c r="P550" s="521"/>
      <c r="R550" s="1759"/>
      <c r="S550" s="1759"/>
      <c r="T550" s="1759"/>
    </row>
    <row r="551" spans="1:20" x14ac:dyDescent="0.25">
      <c r="A551" s="1307" t="s">
        <v>2869</v>
      </c>
      <c r="B551" s="1753">
        <v>0.533208885762264</v>
      </c>
      <c r="C551" s="1753">
        <v>0.50286397471632904</v>
      </c>
      <c r="D551" s="1307">
        <v>0.47741180113305798</v>
      </c>
      <c r="E551" s="1307">
        <v>0.45743606583441199</v>
      </c>
      <c r="F551" s="1307">
        <v>0.436633971133562</v>
      </c>
      <c r="G551" s="1307"/>
      <c r="H551" s="1307"/>
      <c r="N551" s="521"/>
      <c r="O551" s="521"/>
      <c r="P551" s="521"/>
      <c r="R551" s="1759"/>
      <c r="S551" s="1759"/>
      <c r="T551" s="1759"/>
    </row>
    <row r="552" spans="1:20" x14ac:dyDescent="0.25">
      <c r="A552" s="1307" t="s">
        <v>2870</v>
      </c>
      <c r="B552" s="1753">
        <v>0.57258024632977</v>
      </c>
      <c r="C552" s="1753">
        <v>0.54052127992107202</v>
      </c>
      <c r="D552" s="1307">
        <v>0.51341369342776799</v>
      </c>
      <c r="E552" s="1307">
        <v>0.491619240513052</v>
      </c>
      <c r="F552" s="1307">
        <v>0.46931437560960099</v>
      </c>
      <c r="G552" s="1307"/>
      <c r="H552" s="1307"/>
      <c r="N552" s="521"/>
      <c r="O552" s="521"/>
      <c r="P552" s="521"/>
      <c r="R552" s="1759"/>
      <c r="S552" s="1759"/>
      <c r="T552" s="1759"/>
    </row>
    <row r="553" spans="1:20" x14ac:dyDescent="0.25">
      <c r="A553" s="1307" t="s">
        <v>2871</v>
      </c>
      <c r="B553" s="1753">
        <v>0.61023755153451198</v>
      </c>
      <c r="C553" s="1753">
        <v>0.57652317221578198</v>
      </c>
      <c r="D553" s="1307">
        <v>0.54759686810640795</v>
      </c>
      <c r="E553" s="1307">
        <v>0.52429964498909098</v>
      </c>
      <c r="F553" s="1307">
        <v>0.50055810790656297</v>
      </c>
      <c r="G553" s="1307"/>
      <c r="H553" s="1307"/>
      <c r="N553" s="521"/>
      <c r="O553" s="521"/>
      <c r="P553" s="521"/>
      <c r="R553" s="1759"/>
      <c r="S553" s="1759"/>
      <c r="T553" s="1759"/>
    </row>
    <row r="554" spans="1:20" x14ac:dyDescent="0.25">
      <c r="A554" s="1307" t="s">
        <v>2872</v>
      </c>
      <c r="B554" s="1753">
        <v>0.64623944382922305</v>
      </c>
      <c r="C554" s="1753">
        <v>0.61070634689442205</v>
      </c>
      <c r="D554" s="1307">
        <v>0.58027727258244699</v>
      </c>
      <c r="E554" s="1307">
        <v>0.55554337728605296</v>
      </c>
      <c r="F554" s="1307">
        <v>0.53042835731331395</v>
      </c>
      <c r="G554" s="1307"/>
      <c r="H554" s="1307"/>
      <c r="N554" s="521"/>
      <c r="O554" s="521"/>
      <c r="P554" s="521"/>
      <c r="R554" s="1759"/>
      <c r="S554" s="1759"/>
      <c r="T554" s="1759"/>
    </row>
    <row r="555" spans="1:20" x14ac:dyDescent="0.25">
      <c r="A555" s="1307" t="s">
        <v>2873</v>
      </c>
      <c r="B555" s="1753">
        <v>0.68042261850786301</v>
      </c>
      <c r="C555" s="1753">
        <v>0.64338675137046097</v>
      </c>
      <c r="D555" s="1307">
        <v>0.61152100487940897</v>
      </c>
      <c r="E555" s="1307">
        <v>0.58541362669280395</v>
      </c>
      <c r="F555" s="1307">
        <v>0.55898553245286198</v>
      </c>
      <c r="G555" s="1307"/>
      <c r="H555" s="1307"/>
      <c r="N555" s="521"/>
      <c r="O555" s="521"/>
      <c r="P555" s="521"/>
      <c r="R555" s="1759"/>
      <c r="S555" s="1759"/>
      <c r="T555" s="1759"/>
    </row>
    <row r="556" spans="1:20" x14ac:dyDescent="0.25">
      <c r="A556" s="1307" t="s">
        <v>2874</v>
      </c>
      <c r="B556" s="1753">
        <v>0.71310302298390205</v>
      </c>
      <c r="C556" s="1753">
        <v>0.67463048366742295</v>
      </c>
      <c r="D556" s="1307">
        <v>0.64139125428615995</v>
      </c>
      <c r="E556" s="1307">
        <v>0.61397080183235198</v>
      </c>
      <c r="F556" s="1307">
        <v>0.58628738370945699</v>
      </c>
      <c r="G556" s="1307"/>
      <c r="H556" s="1307"/>
      <c r="N556" s="521"/>
      <c r="O556" s="521"/>
      <c r="P556" s="521"/>
      <c r="R556" s="1759"/>
      <c r="S556" s="1759"/>
      <c r="T556" s="1759"/>
    </row>
    <row r="557" spans="1:20" x14ac:dyDescent="0.25">
      <c r="A557" s="1307" t="s">
        <v>2875</v>
      </c>
      <c r="B557" s="1753">
        <v>0.74434675528086403</v>
      </c>
      <c r="C557" s="1753">
        <v>0.70450073307417405</v>
      </c>
      <c r="D557" s="1307">
        <v>0.66994842942570798</v>
      </c>
      <c r="E557" s="1307">
        <v>0.64127265308894699</v>
      </c>
      <c r="F557" s="1307">
        <v>0.61244655111442303</v>
      </c>
      <c r="G557" s="1307"/>
      <c r="H557" s="1307"/>
      <c r="N557" s="521"/>
      <c r="O557" s="521"/>
      <c r="P557" s="521"/>
      <c r="R557" s="1759"/>
      <c r="S557" s="1759"/>
      <c r="T557" s="1759"/>
    </row>
    <row r="558" spans="1:20" x14ac:dyDescent="0.25">
      <c r="A558" s="1307" t="s">
        <v>2876</v>
      </c>
      <c r="B558" s="1753">
        <v>0.77421700468761501</v>
      </c>
      <c r="C558" s="1753">
        <v>0.73305790821372196</v>
      </c>
      <c r="D558" s="1307">
        <v>0.69725028068230299</v>
      </c>
      <c r="E558" s="1307">
        <v>0.66743182049391403</v>
      </c>
      <c r="F558" s="1307">
        <v>0.637455771710566</v>
      </c>
      <c r="G558" s="1307"/>
      <c r="H558" s="1307"/>
      <c r="N558" s="521"/>
      <c r="O558" s="521"/>
      <c r="P558" s="521"/>
      <c r="R558" s="1759"/>
      <c r="S558" s="1759"/>
      <c r="T558" s="1759"/>
    </row>
    <row r="559" spans="1:20" x14ac:dyDescent="0.25">
      <c r="A559" s="1307" t="s">
        <v>2877</v>
      </c>
      <c r="B559" s="1753">
        <v>0.80277417982716304</v>
      </c>
      <c r="C559" s="1753">
        <v>0.76035975947031798</v>
      </c>
      <c r="D559" s="1307">
        <v>0.72340944808727004</v>
      </c>
      <c r="E559" s="1307">
        <v>0.692441041090057</v>
      </c>
      <c r="F559" s="1307">
        <v>0.66136562176815406</v>
      </c>
      <c r="G559" s="1307"/>
      <c r="H559" s="1307"/>
      <c r="N559" s="521"/>
      <c r="O559" s="521"/>
      <c r="P559" s="521"/>
      <c r="R559" s="1759"/>
      <c r="S559" s="1759"/>
      <c r="T559" s="1759"/>
    </row>
    <row r="560" spans="1:20" x14ac:dyDescent="0.25">
      <c r="A560" s="1307" t="s">
        <v>2878</v>
      </c>
      <c r="B560" s="1753">
        <v>0.83007603108375805</v>
      </c>
      <c r="C560" s="1753">
        <v>0.78651892687528402</v>
      </c>
      <c r="D560" s="1307">
        <v>0.748418668683413</v>
      </c>
      <c r="E560" s="1307">
        <v>0.71635089114764505</v>
      </c>
      <c r="F560" s="1307">
        <v>0.68422445201905602</v>
      </c>
      <c r="G560" s="1307"/>
      <c r="H560" s="1307"/>
      <c r="N560" s="521"/>
      <c r="O560" s="521"/>
      <c r="P560" s="521"/>
      <c r="R560" s="1759"/>
      <c r="S560" s="1759"/>
      <c r="T560" s="1759"/>
    </row>
    <row r="561" spans="1:20" x14ac:dyDescent="0.25">
      <c r="A561" s="1307" t="s">
        <v>2879</v>
      </c>
      <c r="B561" s="1753">
        <v>0.132825750401454</v>
      </c>
      <c r="C561" s="1753">
        <v>0.11908710638137</v>
      </c>
      <c r="D561" s="1307">
        <v>0.110962896972847</v>
      </c>
      <c r="E561" s="1307">
        <v>0.109604793466933</v>
      </c>
      <c r="F561" s="1307">
        <v>0.10768131933181101</v>
      </c>
      <c r="G561" s="1307"/>
      <c r="H561" s="1307"/>
      <c r="N561" s="521"/>
      <c r="O561" s="521"/>
      <c r="P561" s="521"/>
      <c r="R561" s="1759"/>
      <c r="S561" s="1759"/>
      <c r="T561" s="1759"/>
    </row>
    <row r="562" spans="1:20" x14ac:dyDescent="0.25">
      <c r="A562" s="1307" t="s">
        <v>2880</v>
      </c>
      <c r="B562" s="1753">
        <v>0.85623519848872498</v>
      </c>
      <c r="C562" s="1753">
        <v>0.81152814747142699</v>
      </c>
      <c r="D562" s="1307">
        <v>0.77232851874100095</v>
      </c>
      <c r="E562" s="1307">
        <v>0.73920972139854602</v>
      </c>
      <c r="F562" s="1307">
        <v>0.70607848563878794</v>
      </c>
      <c r="G562" s="1307"/>
      <c r="H562" s="1307"/>
      <c r="N562" s="521"/>
      <c r="O562" s="521"/>
      <c r="P562" s="521"/>
      <c r="R562" s="1759"/>
      <c r="S562" s="1759"/>
      <c r="T562" s="1759"/>
    </row>
    <row r="563" spans="1:20" x14ac:dyDescent="0.25">
      <c r="A563" s="1307" t="s">
        <v>2881</v>
      </c>
      <c r="B563" s="1753">
        <v>0.88124441908486695</v>
      </c>
      <c r="C563" s="1753">
        <v>0.83543799752901504</v>
      </c>
      <c r="D563" s="1307">
        <v>0.79518734899190302</v>
      </c>
      <c r="E563" s="1307">
        <v>0.76106375501827805</v>
      </c>
      <c r="F563" s="1307">
        <v>0.72697191191252897</v>
      </c>
      <c r="G563" s="1307"/>
      <c r="H563" s="1307"/>
      <c r="N563" s="521"/>
      <c r="O563" s="521"/>
      <c r="P563" s="521"/>
      <c r="R563" s="1759"/>
      <c r="S563" s="1759"/>
      <c r="T563" s="1759"/>
    </row>
    <row r="564" spans="1:20" x14ac:dyDescent="0.25">
      <c r="A564" s="1307" t="s">
        <v>2882</v>
      </c>
      <c r="B564" s="1753">
        <v>0.905154269142456</v>
      </c>
      <c r="C564" s="1753">
        <v>0.858296827779917</v>
      </c>
      <c r="D564" s="1307">
        <v>0.81704138261163495</v>
      </c>
      <c r="E564" s="1307">
        <v>0.78195718129201996</v>
      </c>
      <c r="F564" s="1307">
        <v>0.74652406077434996</v>
      </c>
      <c r="G564" s="1307"/>
      <c r="H564" s="1307"/>
      <c r="N564" s="521"/>
      <c r="O564" s="521"/>
      <c r="P564" s="521"/>
      <c r="R564" s="1759"/>
      <c r="S564" s="1759"/>
      <c r="T564" s="1759"/>
    </row>
    <row r="565" spans="1:20" x14ac:dyDescent="0.25">
      <c r="A565" s="1307" t="s">
        <v>2883</v>
      </c>
      <c r="B565" s="1753">
        <v>0.92801309939335697</v>
      </c>
      <c r="C565" s="1753">
        <v>0.88015086139964804</v>
      </c>
      <c r="D565" s="1307">
        <v>0.83793480888537597</v>
      </c>
      <c r="E565" s="1307">
        <v>0.80150933015383996</v>
      </c>
      <c r="F565" s="1307">
        <v>0.76482103706278404</v>
      </c>
      <c r="G565" s="1307"/>
      <c r="H565" s="1307"/>
      <c r="N565" s="521"/>
      <c r="O565" s="521"/>
      <c r="P565" s="521"/>
      <c r="R565" s="1759"/>
      <c r="S565" s="1759"/>
      <c r="T565" s="1759"/>
    </row>
    <row r="566" spans="1:20" x14ac:dyDescent="0.25">
      <c r="A566" s="1307" t="s">
        <v>2884</v>
      </c>
      <c r="B566" s="1753">
        <v>0.949867133013089</v>
      </c>
      <c r="C566" s="1753">
        <v>0.90104428767338995</v>
      </c>
      <c r="D566" s="1307">
        <v>0.85748695774719697</v>
      </c>
      <c r="E566" s="1307">
        <v>0.81980630644227404</v>
      </c>
      <c r="F566" s="1307">
        <v>0.78194341801770995</v>
      </c>
      <c r="G566" s="1307"/>
      <c r="H566" s="1307"/>
      <c r="N566" s="521"/>
      <c r="O566" s="521"/>
      <c r="P566" s="521"/>
      <c r="R566" s="1759"/>
      <c r="S566" s="1759"/>
      <c r="T566" s="1759"/>
    </row>
    <row r="567" spans="1:20" x14ac:dyDescent="0.25">
      <c r="A567" s="1307" t="s">
        <v>2885</v>
      </c>
      <c r="B567" s="1753">
        <v>0.97076055928683003</v>
      </c>
      <c r="C567" s="1753">
        <v>0.92059643653520995</v>
      </c>
      <c r="D567" s="1307">
        <v>0.87578393403563004</v>
      </c>
      <c r="E567" s="1307">
        <v>0.83692868739720006</v>
      </c>
      <c r="F567" s="1307">
        <v>0.79796660813087295</v>
      </c>
      <c r="G567" s="1307"/>
      <c r="H567" s="1307"/>
      <c r="N567" s="521"/>
      <c r="O567" s="521"/>
      <c r="P567" s="521"/>
      <c r="R567" s="1759"/>
      <c r="S567" s="1759"/>
      <c r="T567" s="1759"/>
    </row>
    <row r="568" spans="1:20" x14ac:dyDescent="0.25">
      <c r="A568" s="1307" t="s">
        <v>2886</v>
      </c>
      <c r="B568" s="1753">
        <v>0.99031270814865102</v>
      </c>
      <c r="C568" s="1753">
        <v>0.93889341282364402</v>
      </c>
      <c r="D568" s="1307">
        <v>0.89290631499055595</v>
      </c>
      <c r="E568" s="1307">
        <v>0.85295187751036305</v>
      </c>
      <c r="F568" s="1307">
        <v>0.81296117121637101</v>
      </c>
      <c r="G568" s="1307"/>
      <c r="H568" s="1307"/>
      <c r="N568" s="521"/>
      <c r="O568" s="521"/>
      <c r="P568" s="521"/>
      <c r="R568" s="1759"/>
      <c r="S568" s="1759"/>
      <c r="T568" s="1759"/>
    </row>
    <row r="569" spans="1:20" x14ac:dyDescent="0.25">
      <c r="A569" s="1307" t="s">
        <v>2887</v>
      </c>
      <c r="B569" s="1753">
        <v>1.00860968443708</v>
      </c>
      <c r="C569" s="1753">
        <v>0.95601579377857004</v>
      </c>
      <c r="D569" s="1307">
        <v>0.90892950510371995</v>
      </c>
      <c r="E569" s="1307">
        <v>0.86794644059586101</v>
      </c>
      <c r="F569" s="1307">
        <v>0.82699314116349598</v>
      </c>
      <c r="G569" s="1307"/>
      <c r="H569" s="1307"/>
      <c r="N569" s="521"/>
      <c r="O569" s="521"/>
      <c r="P569" s="521"/>
      <c r="R569" s="1759"/>
      <c r="S569" s="1759"/>
      <c r="T569" s="1759"/>
    </row>
    <row r="570" spans="1:20" x14ac:dyDescent="0.25">
      <c r="A570" s="1307" t="s">
        <v>2888</v>
      </c>
      <c r="B570" s="1753">
        <v>1.0257320653920099</v>
      </c>
      <c r="C570" s="1753">
        <v>0.97203898389173304</v>
      </c>
      <c r="D570" s="1307">
        <v>0.92392406818921702</v>
      </c>
      <c r="E570" s="1307">
        <v>0.88197841054298598</v>
      </c>
      <c r="F570" s="1307">
        <v>0.84012431274044197</v>
      </c>
      <c r="G570" s="1307"/>
      <c r="H570" s="1307"/>
      <c r="N570" s="521"/>
      <c r="O570" s="521"/>
      <c r="P570" s="521"/>
      <c r="R570" s="1759"/>
      <c r="S570" s="1759"/>
      <c r="T570" s="1759"/>
    </row>
    <row r="571" spans="1:20" x14ac:dyDescent="0.25">
      <c r="A571" s="1307" t="s">
        <v>2889</v>
      </c>
      <c r="B571" s="1753">
        <v>1.0417552555051699</v>
      </c>
      <c r="C571" s="1753">
        <v>0.987033546977231</v>
      </c>
      <c r="D571" s="1307">
        <v>0.93795603813634199</v>
      </c>
      <c r="E571" s="1307">
        <v>0.89510958211993297</v>
      </c>
      <c r="F571" s="1307">
        <v>0.85241251372953697</v>
      </c>
      <c r="G571" s="1307"/>
      <c r="H571" s="1307"/>
      <c r="N571" s="521"/>
      <c r="O571" s="521"/>
      <c r="P571" s="521"/>
      <c r="R571" s="1759"/>
      <c r="S571" s="1759"/>
      <c r="T571" s="1759"/>
    </row>
    <row r="572" spans="1:20" x14ac:dyDescent="0.25">
      <c r="A572" s="1307" t="s">
        <v>2890</v>
      </c>
      <c r="B572" s="1753">
        <v>0.18880337799481101</v>
      </c>
      <c r="C572" s="1753">
        <v>0.17407237576085999</v>
      </c>
      <c r="D572" s="1307">
        <v>0.16558242106029</v>
      </c>
      <c r="E572" s="1307">
        <v>0.16266658871130099</v>
      </c>
      <c r="F572" s="1307">
        <v>0.15741256572722701</v>
      </c>
      <c r="G572" s="1307"/>
      <c r="H572" s="1307"/>
      <c r="N572" s="521"/>
      <c r="O572" s="521"/>
      <c r="P572" s="521"/>
      <c r="R572" s="1759"/>
      <c r="S572" s="1759"/>
      <c r="T572" s="1759"/>
    </row>
    <row r="573" spans="1:20" x14ac:dyDescent="0.25">
      <c r="A573" s="1307" t="s">
        <v>2891</v>
      </c>
      <c r="B573" s="1753">
        <v>1.0567498185906701</v>
      </c>
      <c r="C573" s="1753">
        <v>1.0010655169243601</v>
      </c>
      <c r="D573" s="1307">
        <v>0.95108720971328897</v>
      </c>
      <c r="E573" s="1307">
        <v>0.90739778310902697</v>
      </c>
      <c r="F573" s="1307">
        <v>0.86391185959243699</v>
      </c>
      <c r="G573" s="1307"/>
      <c r="H573" s="1307"/>
      <c r="N573" s="521"/>
      <c r="O573" s="521"/>
      <c r="P573" s="521"/>
      <c r="R573" s="1759"/>
      <c r="S573" s="1759"/>
      <c r="T573" s="1759"/>
    </row>
    <row r="574" spans="1:20" x14ac:dyDescent="0.25">
      <c r="A574" s="1307" t="s">
        <v>2892</v>
      </c>
      <c r="B574" s="1753">
        <v>0.243788647374301</v>
      </c>
      <c r="C574" s="1753">
        <v>0.22869189984830299</v>
      </c>
      <c r="D574" s="1307">
        <v>0.218644216304657</v>
      </c>
      <c r="E574" s="1307">
        <v>0.212397835106718</v>
      </c>
      <c r="F574" s="1307">
        <v>0.20390931618864</v>
      </c>
      <c r="G574" s="1307"/>
      <c r="H574" s="1307"/>
      <c r="N574" s="521"/>
      <c r="O574" s="521"/>
      <c r="P574" s="521"/>
      <c r="R574" s="1759"/>
      <c r="S574" s="1759"/>
      <c r="T574" s="1759"/>
    </row>
    <row r="575" spans="1:20" x14ac:dyDescent="0.25">
      <c r="A575" s="1307" t="s">
        <v>2893</v>
      </c>
      <c r="B575" s="1753">
        <v>0.29840817146174398</v>
      </c>
      <c r="C575" s="1753">
        <v>0.28175369509267101</v>
      </c>
      <c r="D575" s="1307">
        <v>0.26837546270007401</v>
      </c>
      <c r="E575" s="1307">
        <v>0.258894585568131</v>
      </c>
      <c r="F575" s="1307">
        <v>0.24769351829184699</v>
      </c>
      <c r="G575" s="1307"/>
      <c r="H575" s="1307"/>
      <c r="N575" s="521"/>
      <c r="O575" s="521"/>
      <c r="P575" s="521"/>
      <c r="R575" s="1759"/>
      <c r="S575" s="1759"/>
      <c r="T575" s="1759"/>
    </row>
    <row r="576" spans="1:20" x14ac:dyDescent="0.25">
      <c r="A576" s="1307" t="s">
        <v>2894</v>
      </c>
      <c r="B576" s="1753">
        <v>0.35146996670611202</v>
      </c>
      <c r="C576" s="1753">
        <v>0.33148494148808799</v>
      </c>
      <c r="D576" s="1307">
        <v>0.314872213161487</v>
      </c>
      <c r="E576" s="1307">
        <v>0.30267878767133699</v>
      </c>
      <c r="F576" s="1307">
        <v>0.28942023838796199</v>
      </c>
      <c r="G576" s="1307"/>
      <c r="H576" s="1307"/>
      <c r="N576" s="521"/>
      <c r="O576" s="521"/>
      <c r="P576" s="521"/>
      <c r="R576" s="1759"/>
      <c r="S576" s="1759"/>
      <c r="T576" s="1759"/>
    </row>
    <row r="577" spans="1:20" x14ac:dyDescent="0.25">
      <c r="A577" s="1307" t="s">
        <v>2895</v>
      </c>
      <c r="B577" s="1753">
        <v>0.40120121310152801</v>
      </c>
      <c r="C577" s="1753">
        <v>0.37798169194950099</v>
      </c>
      <c r="D577" s="1307">
        <v>0.358656415264693</v>
      </c>
      <c r="E577" s="1307">
        <v>0.34440550776745299</v>
      </c>
      <c r="F577" s="1307">
        <v>0.328791598955469</v>
      </c>
      <c r="G577" s="1307"/>
      <c r="H577" s="1307"/>
      <c r="N577" s="521"/>
      <c r="O577" s="521"/>
      <c r="P577" s="521"/>
      <c r="R577" s="1759"/>
      <c r="S577" s="1759"/>
      <c r="T577" s="1759"/>
    </row>
    <row r="578" spans="1:20" x14ac:dyDescent="0.25">
      <c r="A578" s="1307" t="s">
        <v>2896</v>
      </c>
      <c r="B578" s="1753">
        <v>0.447697963562941</v>
      </c>
      <c r="C578" s="1753">
        <v>0.42176589405270698</v>
      </c>
      <c r="D578" s="1307">
        <v>0.40038313536080899</v>
      </c>
      <c r="E578" s="1307">
        <v>0.383776868334959</v>
      </c>
      <c r="F578" s="1307">
        <v>0.36644890416021098</v>
      </c>
      <c r="G578" s="1307"/>
      <c r="H578" s="1307"/>
      <c r="N578" s="521"/>
      <c r="O578" s="521"/>
      <c r="P578" s="521"/>
      <c r="R578" s="1759"/>
      <c r="S578" s="1759"/>
      <c r="T578" s="1759"/>
    </row>
    <row r="579" spans="1:20" x14ac:dyDescent="0.25">
      <c r="A579" s="1307" t="s">
        <v>2897</v>
      </c>
      <c r="B579" s="1753">
        <v>0.491482165666148</v>
      </c>
      <c r="C579" s="1753">
        <v>0.46349261414882298</v>
      </c>
      <c r="D579" s="1307">
        <v>0.439754495928316</v>
      </c>
      <c r="E579" s="1307">
        <v>0.42143417353970197</v>
      </c>
      <c r="F579" s="1307">
        <v>0.40245079645492099</v>
      </c>
      <c r="G579" s="1307"/>
      <c r="H579" s="1307"/>
      <c r="N579" s="521"/>
      <c r="O579" s="521"/>
      <c r="P579" s="521"/>
      <c r="R579" s="1759"/>
      <c r="S579" s="1759"/>
      <c r="T579" s="1759"/>
    </row>
    <row r="580" spans="1:20" x14ac:dyDescent="0.25">
      <c r="A580" s="1307" t="s">
        <v>2898</v>
      </c>
      <c r="B580" s="1753">
        <v>6.6098903215431201E-2</v>
      </c>
      <c r="C580" s="1753">
        <v>6.185560847410744E-2</v>
      </c>
      <c r="D580" s="1307">
        <v>5.5872641343812285E-2</v>
      </c>
      <c r="E580" s="1307">
        <v>4.9403089974068823E-2</v>
      </c>
      <c r="F580" s="1307">
        <v>4.8594385516091347E-2</v>
      </c>
      <c r="G580" s="1307"/>
      <c r="H580" s="1307"/>
      <c r="N580" s="521"/>
      <c r="O580" s="521"/>
      <c r="P580" s="521"/>
      <c r="R580" s="1759"/>
      <c r="S580" s="1759"/>
      <c r="T580" s="1759"/>
    </row>
    <row r="581" spans="1:20" x14ac:dyDescent="0.25">
      <c r="A581" s="1307" t="s">
        <v>2899</v>
      </c>
      <c r="B581" s="1753">
        <v>0.50106019485349695</v>
      </c>
      <c r="C581" s="1753">
        <v>0.47184990651739783</v>
      </c>
      <c r="D581" s="1307">
        <v>0.44478369094442571</v>
      </c>
      <c r="E581" s="1307">
        <v>0.42218873608745633</v>
      </c>
      <c r="F581" s="1307">
        <v>0.4046025893104408</v>
      </c>
      <c r="G581" s="1307"/>
      <c r="H581" s="1307"/>
      <c r="N581" s="521"/>
      <c r="O581" s="521"/>
      <c r="P581" s="521"/>
      <c r="R581" s="1759"/>
      <c r="S581" s="1759"/>
      <c r="T581" s="1759"/>
    </row>
    <row r="582" spans="1:20" x14ac:dyDescent="0.25">
      <c r="A582" s="1307" t="s">
        <v>2900</v>
      </c>
      <c r="B582" s="1753">
        <v>0.53794880973282921</v>
      </c>
      <c r="C582" s="1753">
        <v>0.50663929941853325</v>
      </c>
      <c r="D582" s="1307">
        <v>0.47806137743126853</v>
      </c>
      <c r="E582" s="1307">
        <v>0.45400567928450963</v>
      </c>
      <c r="F582" s="1307">
        <v>0.43480545254789443</v>
      </c>
      <c r="G582" s="1307"/>
      <c r="H582" s="1307"/>
      <c r="N582" s="521"/>
      <c r="O582" s="521"/>
      <c r="P582" s="521"/>
      <c r="R582" s="1759"/>
      <c r="S582" s="1759"/>
      <c r="T582" s="1759"/>
    </row>
    <row r="583" spans="1:20" x14ac:dyDescent="0.25">
      <c r="A583" s="1307" t="s">
        <v>2901</v>
      </c>
      <c r="B583" s="1753">
        <v>0.57273820263396447</v>
      </c>
      <c r="C583" s="1753">
        <v>0.53991698590537596</v>
      </c>
      <c r="D583" s="1307">
        <v>0.50987832062832195</v>
      </c>
      <c r="E583" s="1307">
        <v>0.48420854252196316</v>
      </c>
      <c r="F583" s="1307">
        <v>0.46368247758711628</v>
      </c>
      <c r="G583" s="1307"/>
      <c r="H583" s="1307"/>
      <c r="N583" s="521"/>
      <c r="O583" s="521"/>
      <c r="P583" s="521"/>
      <c r="R583" s="1759"/>
      <c r="S583" s="1759"/>
      <c r="T583" s="1759"/>
    </row>
    <row r="584" spans="1:20" x14ac:dyDescent="0.25">
      <c r="A584" s="1307" t="s">
        <v>2902</v>
      </c>
      <c r="B584" s="1753">
        <v>0.60601588912080717</v>
      </c>
      <c r="C584" s="1753">
        <v>0.57173392910242937</v>
      </c>
      <c r="D584" s="1307">
        <v>0.54008118386577553</v>
      </c>
      <c r="E584" s="1307">
        <v>0.51308556756118517</v>
      </c>
      <c r="F584" s="1307">
        <v>0.49129189291290604</v>
      </c>
      <c r="G584" s="1307"/>
      <c r="H584" s="1307"/>
      <c r="N584" s="521"/>
      <c r="O584" s="521"/>
      <c r="P584" s="521"/>
      <c r="R584" s="1759"/>
      <c r="S584" s="1759"/>
      <c r="T584" s="1759"/>
    </row>
    <row r="585" spans="1:20" x14ac:dyDescent="0.25">
      <c r="A585" s="1307" t="s">
        <v>2903</v>
      </c>
      <c r="B585" s="1753">
        <v>0.6378328323178607</v>
      </c>
      <c r="C585" s="1753">
        <v>0.60193679233988284</v>
      </c>
      <c r="D585" s="1307">
        <v>0.56895820890499738</v>
      </c>
      <c r="E585" s="1307">
        <v>0.54069498288697482</v>
      </c>
      <c r="F585" s="1307">
        <v>0.51768936849844716</v>
      </c>
      <c r="G585" s="1307"/>
      <c r="H585" s="1307"/>
      <c r="N585" s="521"/>
      <c r="O585" s="521"/>
      <c r="P585" s="521"/>
      <c r="R585" s="1759"/>
      <c r="S585" s="1759"/>
      <c r="T585" s="1759"/>
    </row>
    <row r="586" spans="1:20" x14ac:dyDescent="0.25">
      <c r="A586" s="1307" t="s">
        <v>2904</v>
      </c>
      <c r="B586" s="1753">
        <v>0.66803569555531417</v>
      </c>
      <c r="C586" s="1753">
        <v>0.6308138173791048</v>
      </c>
      <c r="D586" s="1307">
        <v>0.59656762423078713</v>
      </c>
      <c r="E586" s="1307">
        <v>0.5670924584725161</v>
      </c>
      <c r="F586" s="1307">
        <v>0.54292812827888848</v>
      </c>
      <c r="G586" s="1307"/>
      <c r="H586" s="1307"/>
      <c r="N586" s="521"/>
      <c r="O586" s="521"/>
      <c r="P586" s="521"/>
      <c r="R586" s="1759"/>
      <c r="S586" s="1759"/>
      <c r="T586" s="1759"/>
    </row>
    <row r="587" spans="1:20" x14ac:dyDescent="0.25">
      <c r="A587" s="1307" t="s">
        <v>2905</v>
      </c>
      <c r="B587" s="1753">
        <v>0.69691272059453602</v>
      </c>
      <c r="C587" s="1753">
        <v>0.65842323270489456</v>
      </c>
      <c r="D587" s="1307">
        <v>0.62296509981632842</v>
      </c>
      <c r="E587" s="1307">
        <v>0.59233121825295698</v>
      </c>
      <c r="F587" s="1307">
        <v>0.56705905767807019</v>
      </c>
      <c r="G587" s="1307"/>
      <c r="H587" s="1307"/>
      <c r="N587" s="521"/>
      <c r="O587" s="521"/>
      <c r="P587" s="521"/>
      <c r="R587" s="1759"/>
      <c r="S587" s="1759"/>
      <c r="T587" s="1759"/>
    </row>
    <row r="588" spans="1:20" x14ac:dyDescent="0.25">
      <c r="A588" s="1307" t="s">
        <v>2906</v>
      </c>
      <c r="B588" s="1753">
        <v>0.72452213592032566</v>
      </c>
      <c r="C588" s="1753">
        <v>0.68482070829043573</v>
      </c>
      <c r="D588" s="1307">
        <v>0.64820385959676952</v>
      </c>
      <c r="E588" s="1307">
        <v>0.61646214765213891</v>
      </c>
      <c r="F588" s="1307">
        <v>0.59017637551474922</v>
      </c>
      <c r="G588" s="1307"/>
      <c r="H588" s="1307"/>
      <c r="N588" s="521"/>
      <c r="O588" s="521"/>
      <c r="P588" s="521"/>
      <c r="R588" s="1759"/>
      <c r="S588" s="1759"/>
      <c r="T588" s="1759"/>
    </row>
    <row r="589" spans="1:20" x14ac:dyDescent="0.25">
      <c r="A589" s="1307" t="s">
        <v>2907</v>
      </c>
      <c r="B589" s="1753">
        <v>0.75091961150586695</v>
      </c>
      <c r="C589" s="1753">
        <v>0.71005946807087694</v>
      </c>
      <c r="D589" s="1307">
        <v>0.67233478899595123</v>
      </c>
      <c r="E589" s="1307">
        <v>0.63957946548881817</v>
      </c>
      <c r="F589" s="1307">
        <v>0.61227895246696207</v>
      </c>
      <c r="G589" s="1307"/>
      <c r="H589" s="1307"/>
      <c r="N589" s="521"/>
      <c r="O589" s="521"/>
      <c r="P589" s="521"/>
      <c r="R589" s="1759"/>
      <c r="S589" s="1759"/>
      <c r="T589" s="1759"/>
    </row>
    <row r="590" spans="1:20" x14ac:dyDescent="0.25">
      <c r="A590" s="1307" t="s">
        <v>2908</v>
      </c>
      <c r="B590" s="1753">
        <v>0.77615837128630794</v>
      </c>
      <c r="C590" s="1753">
        <v>0.73419039747005888</v>
      </c>
      <c r="D590" s="1307">
        <v>0.69545210683263037</v>
      </c>
      <c r="E590" s="1307">
        <v>0.66168204244103079</v>
      </c>
      <c r="F590" s="1307">
        <v>0.63341135158144957</v>
      </c>
      <c r="G590" s="1307"/>
      <c r="H590" s="1307"/>
      <c r="N590" s="521"/>
      <c r="O590" s="521"/>
      <c r="P590" s="521"/>
      <c r="R590" s="1759"/>
      <c r="S590" s="1759"/>
      <c r="T590" s="1759"/>
    </row>
    <row r="591" spans="1:20" x14ac:dyDescent="0.25">
      <c r="A591" s="1307" t="s">
        <v>2909</v>
      </c>
      <c r="B591" s="1753">
        <v>0.12795451168953864</v>
      </c>
      <c r="C591" s="1753">
        <v>0.11772824981791973</v>
      </c>
      <c r="D591" s="1307">
        <v>0.10527573131788111</v>
      </c>
      <c r="E591" s="1307">
        <v>9.7997475490160177E-2</v>
      </c>
      <c r="F591" s="1307">
        <v>9.6948009509917082E-2</v>
      </c>
      <c r="G591" s="1307"/>
      <c r="H591" s="1307"/>
      <c r="N591" s="521"/>
      <c r="O591" s="521"/>
      <c r="P591" s="521"/>
      <c r="R591" s="1759"/>
      <c r="S591" s="1759"/>
      <c r="T591" s="1759"/>
    </row>
    <row r="592" spans="1:20" x14ac:dyDescent="0.25">
      <c r="A592" s="1307" t="s">
        <v>2910</v>
      </c>
      <c r="B592" s="1753">
        <v>0.80028930068548987</v>
      </c>
      <c r="C592" s="1753">
        <v>0.75730771530673802</v>
      </c>
      <c r="D592" s="1307">
        <v>0.71755468378484288</v>
      </c>
      <c r="E592" s="1307">
        <v>0.6828144415555184</v>
      </c>
      <c r="F592" s="1307">
        <v>0.6536161779576567</v>
      </c>
      <c r="G592" s="1307"/>
      <c r="H592" s="1307"/>
      <c r="N592" s="521"/>
      <c r="O592" s="521"/>
      <c r="P592" s="521"/>
      <c r="R592" s="1759"/>
      <c r="S592" s="1759"/>
      <c r="T592" s="1759"/>
    </row>
    <row r="593" spans="1:20" x14ac:dyDescent="0.25">
      <c r="A593" s="1307" t="s">
        <v>2911</v>
      </c>
      <c r="B593" s="1753">
        <v>0.82340661852216901</v>
      </c>
      <c r="C593" s="1753">
        <v>0.77941029225895053</v>
      </c>
      <c r="D593" s="1307">
        <v>0.73868708289933094</v>
      </c>
      <c r="E593" s="1307">
        <v>0.70301926793172542</v>
      </c>
      <c r="F593" s="1307">
        <v>0.67293416481495794</v>
      </c>
      <c r="G593" s="1307"/>
      <c r="H593" s="1307"/>
      <c r="N593" s="521"/>
      <c r="O593" s="521"/>
      <c r="P593" s="521"/>
      <c r="R593" s="1759"/>
      <c r="S593" s="1759"/>
      <c r="T593" s="1759"/>
    </row>
    <row r="594" spans="1:20" x14ac:dyDescent="0.25">
      <c r="A594" s="1307" t="s">
        <v>2912</v>
      </c>
      <c r="B594" s="1753">
        <v>0.84550919547438164</v>
      </c>
      <c r="C594" s="1753">
        <v>0.80054269137343814</v>
      </c>
      <c r="D594" s="1307">
        <v>0.75889190927553762</v>
      </c>
      <c r="E594" s="1307">
        <v>0.72233725478902699</v>
      </c>
      <c r="F594" s="1307">
        <v>0.69101201139674873</v>
      </c>
      <c r="G594" s="1307"/>
      <c r="H594" s="1307"/>
      <c r="N594" s="521"/>
      <c r="O594" s="521"/>
      <c r="P594" s="521"/>
      <c r="R594" s="1759"/>
      <c r="S594" s="1759"/>
      <c r="T594" s="1759"/>
    </row>
    <row r="595" spans="1:20" x14ac:dyDescent="0.25">
      <c r="A595" s="1307" t="s">
        <v>2913</v>
      </c>
      <c r="B595" s="1753">
        <v>0.86664159458886958</v>
      </c>
      <c r="C595" s="1753">
        <v>0.82074751774964538</v>
      </c>
      <c r="D595" s="1307">
        <v>0.7782098961328392</v>
      </c>
      <c r="E595" s="1307">
        <v>0.74041510137081756</v>
      </c>
      <c r="F595" s="1307">
        <v>0.7079293299273407</v>
      </c>
      <c r="G595" s="1307"/>
      <c r="H595" s="1307"/>
      <c r="N595" s="521"/>
      <c r="O595" s="521"/>
      <c r="P595" s="521"/>
      <c r="R595" s="1759"/>
      <c r="S595" s="1759"/>
      <c r="T595" s="1759"/>
    </row>
    <row r="596" spans="1:20" x14ac:dyDescent="0.25">
      <c r="A596" s="1307" t="s">
        <v>2914</v>
      </c>
      <c r="B596" s="1753">
        <v>0.88684642096507638</v>
      </c>
      <c r="C596" s="1753">
        <v>0.84006550460694662</v>
      </c>
      <c r="D596" s="1307">
        <v>0.79628774271462999</v>
      </c>
      <c r="E596" s="1307">
        <v>0.75733241990140954</v>
      </c>
      <c r="F596" s="1307">
        <v>0.72376062183319123</v>
      </c>
      <c r="G596" s="1307"/>
      <c r="H596" s="1307"/>
      <c r="N596" s="521"/>
      <c r="O596" s="521"/>
      <c r="P596" s="521"/>
      <c r="R596" s="1759"/>
      <c r="S596" s="1759"/>
      <c r="T596" s="1759"/>
    </row>
    <row r="597" spans="1:20" x14ac:dyDescent="0.25">
      <c r="A597" s="1307" t="s">
        <v>2915</v>
      </c>
      <c r="B597" s="1753">
        <v>0.90616440782237795</v>
      </c>
      <c r="C597" s="1753">
        <v>0.85814335118873741</v>
      </c>
      <c r="D597" s="1307">
        <v>0.81320506124522207</v>
      </c>
      <c r="E597" s="1307">
        <v>0.77316371180726007</v>
      </c>
      <c r="F597" s="1307">
        <v>0.73857560583642068</v>
      </c>
      <c r="G597" s="1307"/>
      <c r="H597" s="1307"/>
      <c r="N597" s="521"/>
      <c r="O597" s="521"/>
      <c r="P597" s="521"/>
      <c r="R597" s="1759"/>
      <c r="S597" s="1759"/>
      <c r="T597" s="1759"/>
    </row>
    <row r="598" spans="1:20" x14ac:dyDescent="0.25">
      <c r="A598" s="1307" t="s">
        <v>2916</v>
      </c>
      <c r="B598" s="1753">
        <v>0.18382715303335095</v>
      </c>
      <c r="C598" s="1753">
        <v>0.16713133979198855</v>
      </c>
      <c r="D598" s="1307">
        <v>0.15387011683397245</v>
      </c>
      <c r="E598" s="1307">
        <v>0.14635109948398586</v>
      </c>
      <c r="F598" s="1307">
        <v>0.14395842214707397</v>
      </c>
      <c r="G598" s="1307"/>
      <c r="H598" s="1307"/>
      <c r="N598" s="521"/>
      <c r="O598" s="521"/>
      <c r="P598" s="521"/>
      <c r="R598" s="1759"/>
      <c r="S598" s="1759"/>
      <c r="T598" s="1759"/>
    </row>
    <row r="599" spans="1:20" x14ac:dyDescent="0.25">
      <c r="A599" s="1307" t="s">
        <v>2917</v>
      </c>
      <c r="B599" s="1753">
        <v>0.23323024300741971</v>
      </c>
      <c r="C599" s="1753">
        <v>0.2157257253080799</v>
      </c>
      <c r="D599" s="1307">
        <v>0.20222374082779818</v>
      </c>
      <c r="E599" s="1307">
        <v>0.19336151212114283</v>
      </c>
      <c r="F599" s="1307">
        <v>0.18798836714955569</v>
      </c>
      <c r="G599" s="1307"/>
      <c r="H599" s="1307"/>
      <c r="N599" s="521"/>
      <c r="O599" s="521"/>
      <c r="P599" s="521"/>
      <c r="R599" s="1759"/>
      <c r="S599" s="1759"/>
      <c r="T599" s="1759"/>
    </row>
    <row r="600" spans="1:20" x14ac:dyDescent="0.25">
      <c r="A600" s="1307" t="s">
        <v>2918</v>
      </c>
      <c r="B600" s="1753">
        <v>0.28182462852351109</v>
      </c>
      <c r="C600" s="1753">
        <v>0.26407934930190557</v>
      </c>
      <c r="D600" s="1307">
        <v>0.24923415346495512</v>
      </c>
      <c r="E600" s="1307">
        <v>0.23739145712362444</v>
      </c>
      <c r="F600" s="1307">
        <v>0.2291198453285635</v>
      </c>
      <c r="G600" s="1307"/>
      <c r="H600" s="1307"/>
      <c r="N600" s="521"/>
      <c r="O600" s="521"/>
      <c r="P600" s="521"/>
      <c r="R600" s="1759"/>
      <c r="S600" s="1759"/>
      <c r="T600" s="1759"/>
    </row>
    <row r="601" spans="1:20" x14ac:dyDescent="0.25">
      <c r="A601" s="1307" t="s">
        <v>2919</v>
      </c>
      <c r="B601" s="1753">
        <v>0.33017825251733685</v>
      </c>
      <c r="C601" s="1753">
        <v>0.31108976193906246</v>
      </c>
      <c r="D601" s="1307">
        <v>0.29326409846743678</v>
      </c>
      <c r="E601" s="1307">
        <v>0.27852293530263234</v>
      </c>
      <c r="F601" s="1307">
        <v>0.26782995184607711</v>
      </c>
      <c r="G601" s="1307"/>
      <c r="H601" s="1307"/>
      <c r="N601" s="521"/>
      <c r="O601" s="521"/>
      <c r="P601" s="521"/>
      <c r="R601" s="1759"/>
      <c r="S601" s="1759"/>
      <c r="T601" s="1759"/>
    </row>
    <row r="602" spans="1:20" x14ac:dyDescent="0.25">
      <c r="A602" s="1307" t="s">
        <v>2920</v>
      </c>
      <c r="B602" s="1753">
        <v>0.37718866515449362</v>
      </c>
      <c r="C602" s="1753">
        <v>0.35511970694154416</v>
      </c>
      <c r="D602" s="1307">
        <v>0.33439557664644465</v>
      </c>
      <c r="E602" s="1307">
        <v>0.31723304182014589</v>
      </c>
      <c r="F602" s="1307">
        <v>0.30471856672540937</v>
      </c>
      <c r="G602" s="1307"/>
      <c r="H602" s="1307"/>
      <c r="N602" s="521"/>
      <c r="O602" s="521"/>
      <c r="P602" s="521"/>
      <c r="R602" s="1759"/>
      <c r="S602" s="1759"/>
      <c r="T602" s="1759"/>
    </row>
    <row r="603" spans="1:20" x14ac:dyDescent="0.25">
      <c r="A603" s="1307" t="s">
        <v>2921</v>
      </c>
      <c r="B603" s="1753">
        <v>0.42121861015697543</v>
      </c>
      <c r="C603" s="1753">
        <v>0.39625118512055213</v>
      </c>
      <c r="D603" s="1307">
        <v>0.3731056831639582</v>
      </c>
      <c r="E603" s="1307">
        <v>0.35412165669947809</v>
      </c>
      <c r="F603" s="1307">
        <v>0.33950795962654468</v>
      </c>
      <c r="G603" s="1307"/>
      <c r="H603" s="1307"/>
      <c r="N603" s="521"/>
      <c r="O603" s="521"/>
      <c r="P603" s="521"/>
      <c r="R603" s="1759"/>
      <c r="S603" s="1759"/>
      <c r="T603" s="1759"/>
    </row>
    <row r="604" spans="1:20" x14ac:dyDescent="0.25">
      <c r="A604" s="1307" t="s">
        <v>2922</v>
      </c>
      <c r="B604" s="1753">
        <v>0.46235008833598312</v>
      </c>
      <c r="C604" s="1753">
        <v>0.43496129163806563</v>
      </c>
      <c r="D604" s="1307">
        <v>0.40999429804329035</v>
      </c>
      <c r="E604" s="1307">
        <v>0.38891104960061351</v>
      </c>
      <c r="F604" s="1307">
        <v>0.37278564611338744</v>
      </c>
      <c r="G604" s="1307"/>
      <c r="H604" s="1307"/>
      <c r="N604" s="521"/>
      <c r="O604" s="521"/>
      <c r="P604" s="521"/>
      <c r="R604" s="1759"/>
      <c r="S604" s="1759"/>
      <c r="T604" s="1759"/>
    </row>
    <row r="605" spans="1:20" x14ac:dyDescent="0.25">
      <c r="A605" s="1307" t="s">
        <v>2923</v>
      </c>
      <c r="B605" s="1753">
        <v>6.9716271613440697E-2</v>
      </c>
      <c r="C605" s="1753">
        <v>6.3109478788013804E-2</v>
      </c>
      <c r="D605" s="1307">
        <v>5.59776275933562E-2</v>
      </c>
      <c r="E605" s="1307">
        <v>5.4985269379490498E-2</v>
      </c>
      <c r="F605" s="1307">
        <v>5.4619524087442903E-2</v>
      </c>
      <c r="G605" s="1307"/>
      <c r="H605" s="1307"/>
      <c r="N605" s="521"/>
      <c r="O605" s="521"/>
      <c r="P605" s="521"/>
      <c r="R605" s="1759"/>
      <c r="S605" s="1759"/>
      <c r="T605" s="1759"/>
    </row>
    <row r="606" spans="1:20" x14ac:dyDescent="0.25">
      <c r="A606" s="1307" t="s">
        <v>2924</v>
      </c>
      <c r="B606" s="1753">
        <v>0.533208885762264</v>
      </c>
      <c r="C606" s="1753">
        <v>0.50286397471632904</v>
      </c>
      <c r="D606" s="1307">
        <v>0.47741180113305798</v>
      </c>
      <c r="E606" s="1307">
        <v>0.45743606583441199</v>
      </c>
      <c r="F606" s="1307">
        <v>0.436633971133562</v>
      </c>
      <c r="G606" s="1307"/>
      <c r="H606" s="1307"/>
      <c r="N606" s="521"/>
      <c r="O606" s="521"/>
      <c r="P606" s="521"/>
      <c r="R606" s="1759"/>
      <c r="S606" s="1759"/>
      <c r="T606" s="1759"/>
    </row>
    <row r="607" spans="1:20" x14ac:dyDescent="0.25">
      <c r="A607" s="1307" t="s">
        <v>2925</v>
      </c>
      <c r="B607" s="1753">
        <v>0.57258024632977</v>
      </c>
      <c r="C607" s="1753">
        <v>0.54052127992107202</v>
      </c>
      <c r="D607" s="1307">
        <v>0.51341369342776799</v>
      </c>
      <c r="E607" s="1307">
        <v>0.491619240513052</v>
      </c>
      <c r="F607" s="1307">
        <v>0.46931437560960099</v>
      </c>
      <c r="G607" s="1307"/>
      <c r="H607" s="1307"/>
      <c r="N607" s="521"/>
      <c r="O607" s="521"/>
      <c r="P607" s="521"/>
      <c r="R607" s="1759"/>
      <c r="S607" s="1759"/>
      <c r="T607" s="1759"/>
    </row>
    <row r="608" spans="1:20" x14ac:dyDescent="0.25">
      <c r="A608" s="1307" t="s">
        <v>2926</v>
      </c>
      <c r="B608" s="1753">
        <v>0.61023755153451198</v>
      </c>
      <c r="C608" s="1753">
        <v>0.57652317221578198</v>
      </c>
      <c r="D608" s="1307">
        <v>0.54759686810640795</v>
      </c>
      <c r="E608" s="1307">
        <v>0.52429964498909098</v>
      </c>
      <c r="F608" s="1307">
        <v>0.50055810790656297</v>
      </c>
      <c r="G608" s="1307"/>
      <c r="H608" s="1307"/>
      <c r="N608" s="521"/>
      <c r="O608" s="521"/>
      <c r="P608" s="521"/>
      <c r="R608" s="1759"/>
      <c r="S608" s="1759"/>
      <c r="T608" s="1759"/>
    </row>
    <row r="609" spans="1:20" x14ac:dyDescent="0.25">
      <c r="A609" s="1307" t="s">
        <v>2927</v>
      </c>
      <c r="B609" s="1753">
        <v>0.64623944382922305</v>
      </c>
      <c r="C609" s="1753">
        <v>0.61070634689442205</v>
      </c>
      <c r="D609" s="1307">
        <v>0.58027727258244699</v>
      </c>
      <c r="E609" s="1307">
        <v>0.55554337728605296</v>
      </c>
      <c r="F609" s="1307">
        <v>0.53042835731331395</v>
      </c>
      <c r="G609" s="1307"/>
      <c r="H609" s="1307"/>
      <c r="N609" s="521"/>
      <c r="O609" s="521"/>
      <c r="P609" s="521"/>
      <c r="R609" s="1759"/>
      <c r="S609" s="1759"/>
      <c r="T609" s="1759"/>
    </row>
    <row r="610" spans="1:20" x14ac:dyDescent="0.25">
      <c r="A610" s="1307" t="s">
        <v>2928</v>
      </c>
      <c r="B610" s="1753">
        <v>0.68042261850786301</v>
      </c>
      <c r="C610" s="1753">
        <v>0.64338675137046097</v>
      </c>
      <c r="D610" s="1307">
        <v>0.61152100487940897</v>
      </c>
      <c r="E610" s="1307">
        <v>0.58541362669280395</v>
      </c>
      <c r="F610" s="1307">
        <v>0.55898553245286198</v>
      </c>
      <c r="G610" s="1307"/>
      <c r="H610" s="1307"/>
      <c r="N610" s="521"/>
      <c r="O610" s="521"/>
      <c r="P610" s="521"/>
      <c r="R610" s="1759"/>
      <c r="S610" s="1759"/>
      <c r="T610" s="1759"/>
    </row>
    <row r="611" spans="1:20" x14ac:dyDescent="0.25">
      <c r="A611" s="1307" t="s">
        <v>2929</v>
      </c>
      <c r="B611" s="1753">
        <v>0.71310302298390205</v>
      </c>
      <c r="C611" s="1753">
        <v>0.67463048366742295</v>
      </c>
      <c r="D611" s="1307">
        <v>0.64139125428615995</v>
      </c>
      <c r="E611" s="1307">
        <v>0.61397080183235198</v>
      </c>
      <c r="F611" s="1307">
        <v>0.58628738370945699</v>
      </c>
      <c r="G611" s="1307"/>
      <c r="H611" s="1307"/>
      <c r="N611" s="521"/>
      <c r="O611" s="521"/>
      <c r="P611" s="521"/>
      <c r="R611" s="1759"/>
      <c r="S611" s="1759"/>
      <c r="T611" s="1759"/>
    </row>
    <row r="612" spans="1:20" x14ac:dyDescent="0.25">
      <c r="A612" s="1307" t="s">
        <v>2930</v>
      </c>
      <c r="B612" s="1753">
        <v>0.74434675528086403</v>
      </c>
      <c r="C612" s="1753">
        <v>0.70450073307417405</v>
      </c>
      <c r="D612" s="1307">
        <v>0.66994842942570798</v>
      </c>
      <c r="E612" s="1307">
        <v>0.64127265308894699</v>
      </c>
      <c r="F612" s="1307">
        <v>0.61244655111442303</v>
      </c>
      <c r="G612" s="1307"/>
      <c r="H612" s="1307"/>
      <c r="N612" s="521"/>
      <c r="O612" s="521"/>
      <c r="P612" s="521"/>
      <c r="R612" s="1759"/>
      <c r="S612" s="1759"/>
      <c r="T612" s="1759"/>
    </row>
    <row r="613" spans="1:20" x14ac:dyDescent="0.25">
      <c r="A613" s="1307" t="s">
        <v>2931</v>
      </c>
      <c r="B613" s="1753">
        <v>0.77421700468761501</v>
      </c>
      <c r="C613" s="1753">
        <v>0.73305790821372196</v>
      </c>
      <c r="D613" s="1307">
        <v>0.69725028068230299</v>
      </c>
      <c r="E613" s="1307">
        <v>0.66743182049391403</v>
      </c>
      <c r="F613" s="1307">
        <v>0.637455771710566</v>
      </c>
      <c r="G613" s="1307"/>
      <c r="H613" s="1307"/>
      <c r="N613" s="521"/>
      <c r="O613" s="521"/>
      <c r="P613" s="521"/>
      <c r="R613" s="1759"/>
      <c r="S613" s="1759"/>
      <c r="T613" s="1759"/>
    </row>
    <row r="614" spans="1:20" x14ac:dyDescent="0.25">
      <c r="A614" s="1307" t="s">
        <v>2932</v>
      </c>
      <c r="B614" s="1753">
        <v>0.80277417982716304</v>
      </c>
      <c r="C614" s="1753">
        <v>0.76035975947031798</v>
      </c>
      <c r="D614" s="1307">
        <v>0.72340944808727004</v>
      </c>
      <c r="E614" s="1307">
        <v>0.692441041090057</v>
      </c>
      <c r="F614" s="1307">
        <v>0.66136562176815406</v>
      </c>
      <c r="G614" s="1307"/>
      <c r="H614" s="1307"/>
      <c r="N614" s="521"/>
      <c r="O614" s="521"/>
      <c r="P614" s="521"/>
      <c r="R614" s="1759"/>
      <c r="S614" s="1759"/>
      <c r="T614" s="1759"/>
    </row>
    <row r="615" spans="1:20" x14ac:dyDescent="0.25">
      <c r="A615" s="1307" t="s">
        <v>2933</v>
      </c>
      <c r="B615" s="1753">
        <v>0.83007603108375805</v>
      </c>
      <c r="C615" s="1753">
        <v>0.78651892687528402</v>
      </c>
      <c r="D615" s="1307">
        <v>0.748418668683413</v>
      </c>
      <c r="E615" s="1307">
        <v>0.71635089114764505</v>
      </c>
      <c r="F615" s="1307">
        <v>0.68422445201905602</v>
      </c>
      <c r="G615" s="1307"/>
      <c r="H615" s="1307"/>
      <c r="N615" s="521"/>
      <c r="O615" s="521"/>
      <c r="P615" s="521"/>
      <c r="R615" s="1759"/>
      <c r="S615" s="1759"/>
      <c r="T615" s="1759"/>
    </row>
    <row r="616" spans="1:20" x14ac:dyDescent="0.25">
      <c r="A616" s="1307" t="s">
        <v>2934</v>
      </c>
      <c r="B616" s="1753">
        <v>0.132825750401454</v>
      </c>
      <c r="C616" s="1753">
        <v>0.11908710638137</v>
      </c>
      <c r="D616" s="1307">
        <v>0.110962896972847</v>
      </c>
      <c r="E616" s="1307">
        <v>0.109604793466933</v>
      </c>
      <c r="F616" s="1307">
        <v>0.10768131933181101</v>
      </c>
      <c r="G616" s="1307"/>
      <c r="H616" s="1307"/>
      <c r="N616" s="521"/>
      <c r="O616" s="521"/>
      <c r="P616" s="521"/>
      <c r="R616" s="1759"/>
      <c r="S616" s="1759"/>
      <c r="T616" s="1759"/>
    </row>
    <row r="617" spans="1:20" x14ac:dyDescent="0.25">
      <c r="A617" s="1307" t="s">
        <v>2935</v>
      </c>
      <c r="B617" s="1753">
        <v>0.85623519848872498</v>
      </c>
      <c r="C617" s="1753">
        <v>0.81152814747142699</v>
      </c>
      <c r="D617" s="1307">
        <v>0.77232851874100095</v>
      </c>
      <c r="E617" s="1307">
        <v>0.73920972139854602</v>
      </c>
      <c r="F617" s="1307">
        <v>0.70607848563878794</v>
      </c>
      <c r="G617" s="1307"/>
      <c r="H617" s="1307"/>
      <c r="N617" s="521"/>
      <c r="O617" s="521"/>
      <c r="P617" s="521"/>
      <c r="R617" s="1759"/>
      <c r="S617" s="1759"/>
      <c r="T617" s="1759"/>
    </row>
    <row r="618" spans="1:20" x14ac:dyDescent="0.25">
      <c r="A618" s="1307" t="s">
        <v>2936</v>
      </c>
      <c r="B618" s="1753">
        <v>0.88124441908486695</v>
      </c>
      <c r="C618" s="1753">
        <v>0.83543799752901504</v>
      </c>
      <c r="D618" s="1307">
        <v>0.79518734899190302</v>
      </c>
      <c r="E618" s="1307">
        <v>0.76106375501827805</v>
      </c>
      <c r="F618" s="1307">
        <v>0.72697191191252897</v>
      </c>
      <c r="G618" s="1307"/>
      <c r="H618" s="1307"/>
      <c r="N618" s="521"/>
      <c r="O618" s="521"/>
      <c r="P618" s="521"/>
      <c r="R618" s="1759"/>
      <c r="S618" s="1759"/>
      <c r="T618" s="1759"/>
    </row>
    <row r="619" spans="1:20" x14ac:dyDescent="0.25">
      <c r="A619" s="1307" t="s">
        <v>2937</v>
      </c>
      <c r="B619" s="1753">
        <v>0.905154269142456</v>
      </c>
      <c r="C619" s="1753">
        <v>0.858296827779917</v>
      </c>
      <c r="D619" s="1307">
        <v>0.81704138261163495</v>
      </c>
      <c r="E619" s="1307">
        <v>0.78195718129201996</v>
      </c>
      <c r="F619" s="1307">
        <v>0.74652406077434996</v>
      </c>
      <c r="G619" s="1307"/>
      <c r="H619" s="1307"/>
      <c r="N619" s="521"/>
      <c r="O619" s="521"/>
      <c r="P619" s="521"/>
      <c r="R619" s="1759"/>
      <c r="S619" s="1759"/>
      <c r="T619" s="1759"/>
    </row>
    <row r="620" spans="1:20" x14ac:dyDescent="0.25">
      <c r="A620" s="1307" t="s">
        <v>2938</v>
      </c>
      <c r="B620" s="1753">
        <v>0.92801309939335697</v>
      </c>
      <c r="C620" s="1753">
        <v>0.88015086139964804</v>
      </c>
      <c r="D620" s="1307">
        <v>0.83793480888537597</v>
      </c>
      <c r="E620" s="1307">
        <v>0.80150933015383996</v>
      </c>
      <c r="F620" s="1307">
        <v>0.76482103706278404</v>
      </c>
      <c r="G620" s="1307"/>
      <c r="H620" s="1307"/>
      <c r="N620" s="521"/>
      <c r="O620" s="521"/>
      <c r="P620" s="521"/>
      <c r="R620" s="1759"/>
      <c r="S620" s="1759"/>
      <c r="T620" s="1759"/>
    </row>
    <row r="621" spans="1:20" x14ac:dyDescent="0.25">
      <c r="A621" s="1307" t="s">
        <v>2939</v>
      </c>
      <c r="B621" s="1753">
        <v>0.949867133013089</v>
      </c>
      <c r="C621" s="1753">
        <v>0.90104428767338995</v>
      </c>
      <c r="D621" s="1307">
        <v>0.85748695774719697</v>
      </c>
      <c r="E621" s="1307">
        <v>0.81980630644227404</v>
      </c>
      <c r="F621" s="1307">
        <v>0.78194341801770995</v>
      </c>
      <c r="G621" s="1307"/>
      <c r="H621" s="1307"/>
      <c r="N621" s="521"/>
      <c r="O621" s="521"/>
      <c r="P621" s="521"/>
      <c r="R621" s="1759"/>
      <c r="S621" s="1759"/>
      <c r="T621" s="1759"/>
    </row>
    <row r="622" spans="1:20" x14ac:dyDescent="0.25">
      <c r="A622" s="1307" t="s">
        <v>2940</v>
      </c>
      <c r="B622" s="1753">
        <v>0.97076055928683003</v>
      </c>
      <c r="C622" s="1753">
        <v>0.92059643653520995</v>
      </c>
      <c r="D622" s="1307">
        <v>0.87578393403563004</v>
      </c>
      <c r="E622" s="1307">
        <v>0.83692868739720006</v>
      </c>
      <c r="F622" s="1307">
        <v>0.79796660813087295</v>
      </c>
      <c r="G622" s="1307"/>
      <c r="H622" s="1307"/>
      <c r="N622" s="521"/>
      <c r="O622" s="521"/>
      <c r="P622" s="521"/>
      <c r="R622" s="1759"/>
      <c r="S622" s="1759"/>
      <c r="T622" s="1759"/>
    </row>
    <row r="623" spans="1:20" x14ac:dyDescent="0.25">
      <c r="A623" s="1307" t="s">
        <v>2941</v>
      </c>
      <c r="B623" s="1753">
        <v>0.99031270814865102</v>
      </c>
      <c r="C623" s="1753">
        <v>0.93889341282364402</v>
      </c>
      <c r="D623" s="1307">
        <v>0.89290631499055595</v>
      </c>
      <c r="E623" s="1307">
        <v>0.85295187751036305</v>
      </c>
      <c r="F623" s="1307">
        <v>0.81296117121637101</v>
      </c>
      <c r="G623" s="1307"/>
      <c r="H623" s="1307"/>
      <c r="N623" s="521"/>
      <c r="O623" s="521"/>
      <c r="P623" s="521"/>
      <c r="R623" s="1759"/>
      <c r="S623" s="1759"/>
      <c r="T623" s="1759"/>
    </row>
    <row r="624" spans="1:20" x14ac:dyDescent="0.25">
      <c r="A624" s="1307" t="s">
        <v>2942</v>
      </c>
      <c r="B624" s="1753">
        <v>1.00860968443708</v>
      </c>
      <c r="C624" s="1753">
        <v>0.95601579377857004</v>
      </c>
      <c r="D624" s="1307">
        <v>0.90892950510371995</v>
      </c>
      <c r="E624" s="1307">
        <v>0.86794644059586101</v>
      </c>
      <c r="F624" s="1307">
        <v>0.82699314116349598</v>
      </c>
      <c r="G624" s="1307"/>
      <c r="H624" s="1307"/>
      <c r="N624" s="521"/>
      <c r="O624" s="521"/>
      <c r="P624" s="521"/>
      <c r="R624" s="1759"/>
      <c r="S624" s="1759"/>
      <c r="T624" s="1759"/>
    </row>
    <row r="625" spans="1:20" x14ac:dyDescent="0.25">
      <c r="A625" s="1307" t="s">
        <v>2943</v>
      </c>
      <c r="B625" s="1753">
        <v>1.0257320653920099</v>
      </c>
      <c r="C625" s="1753">
        <v>0.97203898389173304</v>
      </c>
      <c r="D625" s="1307">
        <v>0.92392406818921702</v>
      </c>
      <c r="E625" s="1307">
        <v>0.88197841054298598</v>
      </c>
      <c r="F625" s="1307">
        <v>0.84012431274044197</v>
      </c>
      <c r="G625" s="1307"/>
      <c r="H625" s="1307"/>
      <c r="N625" s="521"/>
      <c r="O625" s="521"/>
      <c r="P625" s="521"/>
      <c r="R625" s="1759"/>
      <c r="S625" s="1759"/>
      <c r="T625" s="1759"/>
    </row>
    <row r="626" spans="1:20" x14ac:dyDescent="0.25">
      <c r="A626" s="1307" t="s">
        <v>2944</v>
      </c>
      <c r="B626" s="1753">
        <v>1.0417552555051699</v>
      </c>
      <c r="C626" s="1753">
        <v>0.987033546977231</v>
      </c>
      <c r="D626" s="1307">
        <v>0.93795603813634199</v>
      </c>
      <c r="E626" s="1307">
        <v>0.89510958211993297</v>
      </c>
      <c r="F626" s="1307">
        <v>0.85241251372953697</v>
      </c>
      <c r="G626" s="1307"/>
      <c r="H626" s="1307"/>
      <c r="N626" s="521"/>
      <c r="O626" s="521"/>
      <c r="P626" s="521"/>
      <c r="R626" s="1759"/>
      <c r="S626" s="1759"/>
      <c r="T626" s="1759"/>
    </row>
    <row r="627" spans="1:20" x14ac:dyDescent="0.25">
      <c r="A627" s="1307" t="s">
        <v>2945</v>
      </c>
      <c r="B627" s="1753">
        <v>0.18880337799481101</v>
      </c>
      <c r="C627" s="1753">
        <v>0.17407237576085999</v>
      </c>
      <c r="D627" s="1307">
        <v>0.16558242106029</v>
      </c>
      <c r="E627" s="1307">
        <v>0.16266658871130099</v>
      </c>
      <c r="F627" s="1307">
        <v>0.15741256572722701</v>
      </c>
      <c r="G627" s="1307"/>
      <c r="H627" s="1307"/>
      <c r="N627" s="521"/>
      <c r="O627" s="521"/>
      <c r="P627" s="521"/>
      <c r="R627" s="1759"/>
      <c r="S627" s="1759"/>
      <c r="T627" s="1759"/>
    </row>
    <row r="628" spans="1:20" x14ac:dyDescent="0.25">
      <c r="A628" s="1307" t="s">
        <v>2946</v>
      </c>
      <c r="B628" s="1753">
        <v>1.0567498185906701</v>
      </c>
      <c r="C628" s="1753">
        <v>1.0010655169243601</v>
      </c>
      <c r="D628" s="1307">
        <v>0.95108720971328897</v>
      </c>
      <c r="E628" s="1307">
        <v>0.90739778310902697</v>
      </c>
      <c r="F628" s="1307">
        <v>0.86391185959243699</v>
      </c>
      <c r="G628" s="1307"/>
      <c r="H628" s="1307"/>
      <c r="N628" s="521"/>
      <c r="O628" s="521"/>
      <c r="P628" s="521"/>
      <c r="R628" s="1759"/>
      <c r="S628" s="1759"/>
      <c r="T628" s="1759"/>
    </row>
    <row r="629" spans="1:20" x14ac:dyDescent="0.25">
      <c r="A629" s="1307" t="s">
        <v>2947</v>
      </c>
      <c r="B629" s="1753">
        <v>0.243788647374301</v>
      </c>
      <c r="C629" s="1753">
        <v>0.22869189984830299</v>
      </c>
      <c r="D629" s="1307">
        <v>0.218644216304657</v>
      </c>
      <c r="E629" s="1307">
        <v>0.212397835106718</v>
      </c>
      <c r="F629" s="1307">
        <v>0.20390931618864</v>
      </c>
      <c r="G629" s="1307"/>
      <c r="H629" s="1307"/>
      <c r="N629" s="521"/>
      <c r="O629" s="521"/>
      <c r="P629" s="521"/>
      <c r="R629" s="1759"/>
      <c r="S629" s="1759"/>
      <c r="T629" s="1759"/>
    </row>
    <row r="630" spans="1:20" x14ac:dyDescent="0.25">
      <c r="A630" s="1307" t="s">
        <v>2948</v>
      </c>
      <c r="B630" s="1753">
        <v>0.29840817146174398</v>
      </c>
      <c r="C630" s="1753">
        <v>0.28175369509267101</v>
      </c>
      <c r="D630" s="1307">
        <v>0.26837546270007401</v>
      </c>
      <c r="E630" s="1307">
        <v>0.258894585568131</v>
      </c>
      <c r="F630" s="1307">
        <v>0.24769351829184699</v>
      </c>
      <c r="G630" s="1307"/>
      <c r="H630" s="1307"/>
      <c r="N630" s="521"/>
      <c r="O630" s="521"/>
      <c r="P630" s="521"/>
      <c r="R630" s="1759"/>
      <c r="S630" s="1759"/>
      <c r="T630" s="1759"/>
    </row>
    <row r="631" spans="1:20" x14ac:dyDescent="0.25">
      <c r="A631" s="1307" t="s">
        <v>2949</v>
      </c>
      <c r="B631" s="1753">
        <v>0.35146996670611202</v>
      </c>
      <c r="C631" s="1753">
        <v>0.33148494148808799</v>
      </c>
      <c r="D631" s="1307">
        <v>0.314872213161487</v>
      </c>
      <c r="E631" s="1307">
        <v>0.30267878767133699</v>
      </c>
      <c r="F631" s="1307">
        <v>0.28942023838796199</v>
      </c>
      <c r="G631" s="1307"/>
      <c r="H631" s="1307"/>
      <c r="N631" s="521"/>
      <c r="O631" s="521"/>
      <c r="P631" s="521"/>
      <c r="R631" s="1759"/>
      <c r="S631" s="1759"/>
      <c r="T631" s="1759"/>
    </row>
    <row r="632" spans="1:20" x14ac:dyDescent="0.25">
      <c r="A632" s="1307" t="s">
        <v>2950</v>
      </c>
      <c r="B632" s="1753">
        <v>0.40120121310152801</v>
      </c>
      <c r="C632" s="1753">
        <v>0.37798169194950099</v>
      </c>
      <c r="D632" s="1307">
        <v>0.358656415264693</v>
      </c>
      <c r="E632" s="1307">
        <v>0.34440550776745299</v>
      </c>
      <c r="F632" s="1307">
        <v>0.328791598955469</v>
      </c>
      <c r="G632" s="1307"/>
      <c r="H632" s="1307"/>
      <c r="N632" s="521"/>
      <c r="O632" s="521"/>
      <c r="P632" s="521"/>
      <c r="R632" s="1759"/>
      <c r="S632" s="1759"/>
      <c r="T632" s="1759"/>
    </row>
    <row r="633" spans="1:20" x14ac:dyDescent="0.25">
      <c r="A633" s="1307" t="s">
        <v>2951</v>
      </c>
      <c r="B633" s="1753">
        <v>0.447697963562941</v>
      </c>
      <c r="C633" s="1753">
        <v>0.42176589405270698</v>
      </c>
      <c r="D633" s="1307">
        <v>0.40038313536080899</v>
      </c>
      <c r="E633" s="1307">
        <v>0.383776868334959</v>
      </c>
      <c r="F633" s="1307">
        <v>0.36644890416021098</v>
      </c>
      <c r="G633" s="1307"/>
      <c r="H633" s="1307"/>
      <c r="N633" s="521"/>
      <c r="O633" s="521"/>
      <c r="P633" s="521"/>
      <c r="R633" s="1759"/>
      <c r="S633" s="1759"/>
      <c r="T633" s="1759"/>
    </row>
    <row r="634" spans="1:20" x14ac:dyDescent="0.25">
      <c r="A634" s="1307" t="s">
        <v>2952</v>
      </c>
      <c r="B634" s="1753">
        <v>0.491482165666148</v>
      </c>
      <c r="C634" s="1753">
        <v>0.46349261414882298</v>
      </c>
      <c r="D634" s="1307">
        <v>0.439754495928316</v>
      </c>
      <c r="E634" s="1307">
        <v>0.42143417353970197</v>
      </c>
      <c r="F634" s="1307">
        <v>0.40245079645492099</v>
      </c>
      <c r="G634" s="1307"/>
      <c r="H634" s="1307"/>
      <c r="N634" s="521"/>
      <c r="O634" s="521"/>
      <c r="P634" s="521"/>
      <c r="R634" s="1759"/>
      <c r="S634" s="1759"/>
      <c r="T634" s="1759"/>
    </row>
    <row r="635" spans="1:20" x14ac:dyDescent="0.25">
      <c r="A635" s="1307" t="s">
        <v>2953</v>
      </c>
      <c r="B635" s="1753">
        <v>6.7832021901144096E-2</v>
      </c>
      <c r="C635" s="1753">
        <v>6.1344380120237303E-2</v>
      </c>
      <c r="D635" s="1307">
        <v>5.43357021923523E-2</v>
      </c>
      <c r="E635" s="1307">
        <v>5.3405371513505003E-2</v>
      </c>
      <c r="F635" s="1307">
        <v>5.3090596348641099E-2</v>
      </c>
      <c r="G635" s="1307"/>
      <c r="H635" s="1307"/>
      <c r="N635" s="521"/>
      <c r="O635" s="521"/>
      <c r="P635" s="521"/>
      <c r="R635" s="1759"/>
      <c r="S635" s="1759"/>
      <c r="T635" s="1759"/>
    </row>
    <row r="636" spans="1:20" x14ac:dyDescent="0.25">
      <c r="A636" s="1307" t="s">
        <v>2954</v>
      </c>
      <c r="B636" s="1753">
        <v>0.51819003104185102</v>
      </c>
      <c r="C636" s="1753">
        <v>0.48859522671215899</v>
      </c>
      <c r="D636" s="1307">
        <v>0.46382479253331599</v>
      </c>
      <c r="E636" s="1307">
        <v>0.44445629855802599</v>
      </c>
      <c r="F636" s="1307">
        <v>0.42424836349182399</v>
      </c>
      <c r="G636" s="1307"/>
      <c r="H636" s="1307"/>
      <c r="N636" s="521"/>
      <c r="O636" s="521"/>
      <c r="P636" s="521"/>
      <c r="R636" s="1759"/>
      <c r="S636" s="1759"/>
      <c r="T636" s="1759"/>
    </row>
    <row r="637" spans="1:20" x14ac:dyDescent="0.25">
      <c r="A637" s="1307" t="s">
        <v>2955</v>
      </c>
      <c r="B637" s="1753">
        <v>0.55642724861330295</v>
      </c>
      <c r="C637" s="1753">
        <v>0.52516917265355401</v>
      </c>
      <c r="D637" s="1307">
        <v>0.498792000750378</v>
      </c>
      <c r="E637" s="1307">
        <v>0.47765373500532898</v>
      </c>
      <c r="F637" s="1307">
        <v>0.45598732093373501</v>
      </c>
      <c r="G637" s="1307"/>
      <c r="H637" s="1307"/>
      <c r="N637" s="521"/>
      <c r="O637" s="521"/>
      <c r="P637" s="521"/>
      <c r="R637" s="1759"/>
      <c r="S637" s="1759"/>
      <c r="T637" s="1759"/>
    </row>
    <row r="638" spans="1:20" x14ac:dyDescent="0.25">
      <c r="A638" s="1307" t="s">
        <v>2956</v>
      </c>
      <c r="B638" s="1753">
        <v>0.59300119455469802</v>
      </c>
      <c r="C638" s="1753">
        <v>0.56013638087061501</v>
      </c>
      <c r="D638" s="1307">
        <v>0.53198943719768099</v>
      </c>
      <c r="E638" s="1307">
        <v>0.50939269244723995</v>
      </c>
      <c r="F638" s="1307">
        <v>0.486331906435719</v>
      </c>
      <c r="G638" s="1307"/>
      <c r="H638" s="1307"/>
      <c r="N638" s="521"/>
      <c r="O638" s="521"/>
      <c r="P638" s="521"/>
      <c r="R638" s="1759"/>
      <c r="S638" s="1759"/>
      <c r="T638" s="1759"/>
    </row>
    <row r="639" spans="1:20" x14ac:dyDescent="0.25">
      <c r="A639" s="1307" t="s">
        <v>2957</v>
      </c>
      <c r="B639" s="1753">
        <v>0.62796840277176003</v>
      </c>
      <c r="C639" s="1753">
        <v>0.59333381731791901</v>
      </c>
      <c r="D639" s="1307">
        <v>0.56372839463959201</v>
      </c>
      <c r="E639" s="1307">
        <v>0.53973727794922399</v>
      </c>
      <c r="F639" s="1307">
        <v>0.51534340786320498</v>
      </c>
      <c r="G639" s="1307"/>
      <c r="H639" s="1307"/>
      <c r="N639" s="521"/>
      <c r="O639" s="521"/>
      <c r="P639" s="521"/>
      <c r="R639" s="1759"/>
      <c r="S639" s="1759"/>
      <c r="T639" s="1759"/>
    </row>
    <row r="640" spans="1:20" x14ac:dyDescent="0.25">
      <c r="A640" s="1307" t="s">
        <v>2958</v>
      </c>
      <c r="B640" s="1753">
        <v>0.66116583921906302</v>
      </c>
      <c r="C640" s="1753">
        <v>0.62507277475983003</v>
      </c>
      <c r="D640" s="1307">
        <v>0.59407298014157595</v>
      </c>
      <c r="E640" s="1307">
        <v>0.56874877937670998</v>
      </c>
      <c r="F640" s="1307">
        <v>0.543080417922294</v>
      </c>
      <c r="G640" s="1307"/>
      <c r="H640" s="1307"/>
      <c r="N640" s="521"/>
      <c r="O640" s="521"/>
      <c r="P640" s="521"/>
      <c r="R640" s="1759"/>
      <c r="S640" s="1759"/>
      <c r="T640" s="1759"/>
    </row>
    <row r="641" spans="1:20" x14ac:dyDescent="0.25">
      <c r="A641" s="1307" t="s">
        <v>2959</v>
      </c>
      <c r="B641" s="1753">
        <v>0.69290479666097404</v>
      </c>
      <c r="C641" s="1753">
        <v>0.65541736026181396</v>
      </c>
      <c r="D641" s="1307">
        <v>0.62308448156906204</v>
      </c>
      <c r="E641" s="1307">
        <v>0.596485789435798</v>
      </c>
      <c r="F641" s="1307">
        <v>0.56959895274005901</v>
      </c>
      <c r="G641" s="1307"/>
      <c r="H641" s="1307"/>
      <c r="N641" s="521"/>
      <c r="O641" s="521"/>
      <c r="P641" s="521"/>
      <c r="R641" s="1759"/>
      <c r="S641" s="1759"/>
      <c r="T641" s="1759"/>
    </row>
    <row r="642" spans="1:20" x14ac:dyDescent="0.25">
      <c r="A642" s="1307" t="s">
        <v>2960</v>
      </c>
      <c r="B642" s="1753">
        <v>0.72324938216295798</v>
      </c>
      <c r="C642" s="1753">
        <v>0.68442886168929895</v>
      </c>
      <c r="D642" s="1307">
        <v>0.65082149162815095</v>
      </c>
      <c r="E642" s="1307">
        <v>0.623004324253564</v>
      </c>
      <c r="F642" s="1307">
        <v>0.59500580138306203</v>
      </c>
      <c r="G642" s="1307"/>
      <c r="H642" s="1307"/>
      <c r="N642" s="521"/>
      <c r="O642" s="521"/>
      <c r="P642" s="521"/>
      <c r="R642" s="1759"/>
      <c r="S642" s="1759"/>
      <c r="T642" s="1759"/>
    </row>
    <row r="643" spans="1:20" x14ac:dyDescent="0.25">
      <c r="A643" s="1307" t="s">
        <v>2961</v>
      </c>
      <c r="B643" s="1753">
        <v>0.75226088359044296</v>
      </c>
      <c r="C643" s="1753">
        <v>0.71216587174838797</v>
      </c>
      <c r="D643" s="1307">
        <v>0.67734002644591695</v>
      </c>
      <c r="E643" s="1307">
        <v>0.64841117289656702</v>
      </c>
      <c r="F643" s="1307">
        <v>0.61929650456932706</v>
      </c>
      <c r="G643" s="1307"/>
      <c r="H643" s="1307"/>
      <c r="N643" s="521"/>
      <c r="O643" s="521"/>
      <c r="P643" s="521"/>
      <c r="R643" s="1759"/>
      <c r="S643" s="1759"/>
      <c r="T643" s="1759"/>
    </row>
    <row r="644" spans="1:20" x14ac:dyDescent="0.25">
      <c r="A644" s="1307" t="s">
        <v>2962</v>
      </c>
      <c r="B644" s="1753">
        <v>0.77999789364953198</v>
      </c>
      <c r="C644" s="1753">
        <v>0.73868440656615397</v>
      </c>
      <c r="D644" s="1307">
        <v>0.70274687508891898</v>
      </c>
      <c r="E644" s="1307">
        <v>0.67270187608283205</v>
      </c>
      <c r="F644" s="1307">
        <v>0.64252011922657903</v>
      </c>
      <c r="G644" s="1307"/>
      <c r="H644" s="1307"/>
      <c r="N644" s="521"/>
      <c r="O644" s="521"/>
      <c r="P644" s="521"/>
      <c r="R644" s="1759"/>
      <c r="S644" s="1759"/>
      <c r="T644" s="1759"/>
    </row>
    <row r="645" spans="1:20" x14ac:dyDescent="0.25">
      <c r="A645" s="1307" t="s">
        <v>2963</v>
      </c>
      <c r="B645" s="1753">
        <v>0.80651642846729799</v>
      </c>
      <c r="C645" s="1753">
        <v>0.76409125520915699</v>
      </c>
      <c r="D645" s="1307">
        <v>0.727037578275184</v>
      </c>
      <c r="E645" s="1307">
        <v>0.69592549074008403</v>
      </c>
      <c r="F645" s="1307">
        <v>0.66472354506637998</v>
      </c>
      <c r="G645" s="1307"/>
      <c r="H645" s="1307"/>
      <c r="N645" s="521"/>
      <c r="O645" s="521"/>
      <c r="P645" s="521"/>
      <c r="R645" s="1759"/>
      <c r="S645" s="1759"/>
      <c r="T645" s="1759"/>
    </row>
    <row r="646" spans="1:20" x14ac:dyDescent="0.25">
      <c r="A646" s="1307" t="s">
        <v>2964</v>
      </c>
      <c r="B646" s="1753">
        <v>0.129176402021381</v>
      </c>
      <c r="C646" s="1753">
        <v>0.11568008231259</v>
      </c>
      <c r="D646" s="1307">
        <v>0.107741073705857</v>
      </c>
      <c r="E646" s="1307">
        <v>0.106495967862146</v>
      </c>
      <c r="F646" s="1307">
        <v>0.10468463962173</v>
      </c>
      <c r="G646" s="1307"/>
      <c r="H646" s="1307"/>
      <c r="N646" s="521"/>
      <c r="O646" s="521"/>
      <c r="P646" s="521"/>
      <c r="R646" s="1759"/>
      <c r="S646" s="1759"/>
      <c r="T646" s="1759"/>
    </row>
    <row r="647" spans="1:20" x14ac:dyDescent="0.25">
      <c r="A647" s="1307" t="s">
        <v>2965</v>
      </c>
      <c r="B647" s="1753">
        <v>0.83192327711030001</v>
      </c>
      <c r="C647" s="1753">
        <v>0.78838195839542202</v>
      </c>
      <c r="D647" s="1307">
        <v>0.75026119293243598</v>
      </c>
      <c r="E647" s="1307">
        <v>0.71812891657988598</v>
      </c>
      <c r="F647" s="1307">
        <v>0.68595161949257599</v>
      </c>
      <c r="G647" s="1307"/>
      <c r="H647" s="1307"/>
      <c r="N647" s="521"/>
      <c r="O647" s="521"/>
      <c r="P647" s="521"/>
      <c r="R647" s="1759"/>
      <c r="S647" s="1759"/>
      <c r="T647" s="1759"/>
    </row>
    <row r="648" spans="1:20" x14ac:dyDescent="0.25">
      <c r="A648" s="1307" t="s">
        <v>2966</v>
      </c>
      <c r="B648" s="1753">
        <v>0.85621398029656604</v>
      </c>
      <c r="C648" s="1753">
        <v>0.811605573052674</v>
      </c>
      <c r="D648" s="1307">
        <v>0.77246461877223804</v>
      </c>
      <c r="E648" s="1307">
        <v>0.73935699100608099</v>
      </c>
      <c r="F648" s="1307">
        <v>0.70624720833202603</v>
      </c>
      <c r="G648" s="1307"/>
      <c r="H648" s="1307"/>
      <c r="N648" s="521"/>
      <c r="O648" s="521"/>
      <c r="P648" s="521"/>
      <c r="R648" s="1759"/>
      <c r="S648" s="1759"/>
      <c r="T648" s="1759"/>
    </row>
    <row r="649" spans="1:20" x14ac:dyDescent="0.25">
      <c r="A649" s="1307" t="s">
        <v>2967</v>
      </c>
      <c r="B649" s="1753">
        <v>0.87943759495381801</v>
      </c>
      <c r="C649" s="1753">
        <v>0.83380899889247495</v>
      </c>
      <c r="D649" s="1307">
        <v>0.79369269319843305</v>
      </c>
      <c r="E649" s="1307">
        <v>0.75965257984553103</v>
      </c>
      <c r="F649" s="1307">
        <v>0.72523989861786597</v>
      </c>
      <c r="G649" s="1307"/>
      <c r="H649" s="1307"/>
      <c r="N649" s="521"/>
      <c r="O649" s="521"/>
      <c r="P649" s="521"/>
      <c r="R649" s="1759"/>
      <c r="S649" s="1759"/>
      <c r="T649" s="1759"/>
    </row>
    <row r="650" spans="1:20" x14ac:dyDescent="0.25">
      <c r="A650" s="1307" t="s">
        <v>2968</v>
      </c>
      <c r="B650" s="1753">
        <v>0.90164102079361996</v>
      </c>
      <c r="C650" s="1753">
        <v>0.85503707331867096</v>
      </c>
      <c r="D650" s="1307">
        <v>0.81398828203788298</v>
      </c>
      <c r="E650" s="1307">
        <v>0.77864527013137097</v>
      </c>
      <c r="F650" s="1307">
        <v>0.74301333141389903</v>
      </c>
      <c r="G650" s="1307"/>
      <c r="H650" s="1307"/>
      <c r="N650" s="521"/>
      <c r="O650" s="521"/>
      <c r="P650" s="521"/>
      <c r="R650" s="1759"/>
      <c r="S650" s="1759"/>
      <c r="T650" s="1759"/>
    </row>
    <row r="651" spans="1:20" x14ac:dyDescent="0.25">
      <c r="A651" s="1307" t="s">
        <v>2969</v>
      </c>
      <c r="B651" s="1753">
        <v>0.92286909521981497</v>
      </c>
      <c r="C651" s="1753">
        <v>0.87533266215812</v>
      </c>
      <c r="D651" s="1307">
        <v>0.83298097232372403</v>
      </c>
      <c r="E651" s="1307">
        <v>0.79641870292740402</v>
      </c>
      <c r="F651" s="1307">
        <v>0.75964577835010805</v>
      </c>
      <c r="G651" s="1307"/>
      <c r="H651" s="1307"/>
      <c r="N651" s="521"/>
      <c r="O651" s="521"/>
      <c r="P651" s="521"/>
      <c r="R651" s="1759"/>
      <c r="S651" s="1759"/>
      <c r="T651" s="1759"/>
    </row>
    <row r="652" spans="1:20" x14ac:dyDescent="0.25">
      <c r="A652" s="1307" t="s">
        <v>2970</v>
      </c>
      <c r="B652" s="1753">
        <v>0.94316468405926401</v>
      </c>
      <c r="C652" s="1753">
        <v>0.89432535244396105</v>
      </c>
      <c r="D652" s="1307">
        <v>0.85075440511975697</v>
      </c>
      <c r="E652" s="1307">
        <v>0.81305114986361304</v>
      </c>
      <c r="F652" s="1307">
        <v>0.77521048631960998</v>
      </c>
      <c r="G652" s="1307"/>
      <c r="H652" s="1307"/>
      <c r="N652" s="521"/>
      <c r="O652" s="521"/>
      <c r="P652" s="521"/>
      <c r="R652" s="1759"/>
      <c r="S652" s="1759"/>
      <c r="T652" s="1759"/>
    </row>
    <row r="653" spans="1:20" x14ac:dyDescent="0.25">
      <c r="A653" s="1307" t="s">
        <v>2971</v>
      </c>
      <c r="B653" s="1753">
        <v>0.96215737434510495</v>
      </c>
      <c r="C653" s="1753">
        <v>0.91209878523999399</v>
      </c>
      <c r="D653" s="1307">
        <v>0.867386852055966</v>
      </c>
      <c r="E653" s="1307">
        <v>0.82861585783311498</v>
      </c>
      <c r="F653" s="1307">
        <v>0.78977600004738502</v>
      </c>
      <c r="G653" s="1307"/>
      <c r="H653" s="1307"/>
      <c r="N653" s="521"/>
      <c r="O653" s="521"/>
      <c r="P653" s="521"/>
      <c r="R653" s="1759"/>
      <c r="S653" s="1759"/>
      <c r="T653" s="1759"/>
    </row>
    <row r="654" spans="1:20" x14ac:dyDescent="0.25">
      <c r="A654" s="1307" t="s">
        <v>2972</v>
      </c>
      <c r="B654" s="1753">
        <v>0.97993080714113801</v>
      </c>
      <c r="C654" s="1753">
        <v>0.92873123217620301</v>
      </c>
      <c r="D654" s="1307">
        <v>0.88295156002546704</v>
      </c>
      <c r="E654" s="1307">
        <v>0.84318137156089001</v>
      </c>
      <c r="F654" s="1307">
        <v>0.80340646395134896</v>
      </c>
      <c r="G654" s="1307"/>
      <c r="H654" s="1307"/>
      <c r="N654" s="521"/>
      <c r="O654" s="521"/>
      <c r="P654" s="521"/>
      <c r="R654" s="1759"/>
      <c r="S654" s="1759"/>
      <c r="T654" s="1759"/>
    </row>
    <row r="655" spans="1:20" x14ac:dyDescent="0.25">
      <c r="A655" s="1307" t="s">
        <v>2973</v>
      </c>
      <c r="B655" s="1753">
        <v>0.99656325407734703</v>
      </c>
      <c r="C655" s="1753">
        <v>0.94429594014570395</v>
      </c>
      <c r="D655" s="1307">
        <v>0.89751707375324297</v>
      </c>
      <c r="E655" s="1307">
        <v>0.85681183546485395</v>
      </c>
      <c r="F655" s="1307">
        <v>0.81616190462509397</v>
      </c>
      <c r="G655" s="1307"/>
      <c r="H655" s="1307"/>
      <c r="N655" s="521"/>
      <c r="O655" s="521"/>
      <c r="P655" s="521"/>
      <c r="R655" s="1759"/>
      <c r="S655" s="1759"/>
      <c r="T655" s="1759"/>
    </row>
    <row r="656" spans="1:20" x14ac:dyDescent="0.25">
      <c r="A656" s="1307" t="s">
        <v>2974</v>
      </c>
      <c r="B656" s="1753">
        <v>1.01212796204685</v>
      </c>
      <c r="C656" s="1753">
        <v>0.95886145387347999</v>
      </c>
      <c r="D656" s="1307">
        <v>0.91114753765720702</v>
      </c>
      <c r="E656" s="1307">
        <v>0.86956727613859897</v>
      </c>
      <c r="F656" s="1307">
        <v>0.82809849518633805</v>
      </c>
      <c r="G656" s="1307"/>
      <c r="H656" s="1307"/>
      <c r="N656" s="521"/>
      <c r="O656" s="521"/>
      <c r="P656" s="521"/>
      <c r="R656" s="1759"/>
      <c r="S656" s="1759"/>
      <c r="T656" s="1759"/>
    </row>
    <row r="657" spans="1:20" x14ac:dyDescent="0.25">
      <c r="A657" s="1307" t="s">
        <v>2975</v>
      </c>
      <c r="B657" s="1753">
        <v>0.18351210421373401</v>
      </c>
      <c r="C657" s="1753">
        <v>0.16908545382609499</v>
      </c>
      <c r="D657" s="1307">
        <v>0.160831670054498</v>
      </c>
      <c r="E657" s="1307">
        <v>0.15809001113523499</v>
      </c>
      <c r="F657" s="1307">
        <v>0.15302566668863299</v>
      </c>
      <c r="G657" s="1307"/>
      <c r="H657" s="1307"/>
      <c r="N657" s="521"/>
      <c r="O657" s="521"/>
      <c r="P657" s="521"/>
      <c r="R657" s="1759"/>
      <c r="S657" s="1759"/>
      <c r="T657" s="1759"/>
    </row>
    <row r="658" spans="1:20" x14ac:dyDescent="0.25">
      <c r="A658" s="1307" t="s">
        <v>2976</v>
      </c>
      <c r="B658" s="1753">
        <v>1.02669347577462</v>
      </c>
      <c r="C658" s="1753">
        <v>0.97249191777744404</v>
      </c>
      <c r="D658" s="1307">
        <v>0.92390297833095103</v>
      </c>
      <c r="E658" s="1307">
        <v>0.88150386669984304</v>
      </c>
      <c r="F658" s="1307">
        <v>0.83926880265521597</v>
      </c>
      <c r="G658" s="1307"/>
      <c r="H658" s="1307"/>
      <c r="N658" s="521"/>
      <c r="O658" s="521"/>
      <c r="P658" s="521"/>
      <c r="R658" s="1759"/>
      <c r="S658" s="1759"/>
      <c r="T658" s="1759"/>
    </row>
    <row r="659" spans="1:20" x14ac:dyDescent="0.25">
      <c r="A659" s="1307" t="s">
        <v>2977</v>
      </c>
      <c r="B659" s="1753">
        <v>0.23691747572723901</v>
      </c>
      <c r="C659" s="1753">
        <v>0.22217605017473599</v>
      </c>
      <c r="D659" s="1307">
        <v>0.212425713327588</v>
      </c>
      <c r="E659" s="1307">
        <v>0.20643103820213801</v>
      </c>
      <c r="F659" s="1307">
        <v>0.198205553742164</v>
      </c>
      <c r="G659" s="1307"/>
      <c r="H659" s="1307"/>
      <c r="N659" s="521"/>
      <c r="O659" s="521"/>
      <c r="P659" s="521"/>
      <c r="R659" s="1759"/>
      <c r="S659" s="1759"/>
      <c r="T659" s="1759"/>
    </row>
    <row r="660" spans="1:20" x14ac:dyDescent="0.25">
      <c r="A660" s="1307" t="s">
        <v>2978</v>
      </c>
      <c r="B660" s="1753">
        <v>0.29000807207587997</v>
      </c>
      <c r="C660" s="1753">
        <v>0.27377009344782499</v>
      </c>
      <c r="D660" s="1307">
        <v>0.26076674039448999</v>
      </c>
      <c r="E660" s="1307">
        <v>0.25161092525566903</v>
      </c>
      <c r="F660" s="1307">
        <v>0.240739008981529</v>
      </c>
      <c r="G660" s="1307"/>
      <c r="H660" s="1307"/>
      <c r="N660" s="521"/>
      <c r="O660" s="521"/>
      <c r="P660" s="521"/>
      <c r="R660" s="1759"/>
      <c r="S660" s="1759"/>
      <c r="T660" s="1759"/>
    </row>
    <row r="661" spans="1:20" x14ac:dyDescent="0.25">
      <c r="A661" s="1307" t="s">
        <v>2979</v>
      </c>
      <c r="B661" s="1753">
        <v>0.341602115348969</v>
      </c>
      <c r="C661" s="1753">
        <v>0.32211112051472801</v>
      </c>
      <c r="D661" s="1307">
        <v>0.30594662744802198</v>
      </c>
      <c r="E661" s="1307">
        <v>0.294144380495033</v>
      </c>
      <c r="F661" s="1307">
        <v>0.28127255531461198</v>
      </c>
      <c r="G661" s="1307"/>
      <c r="H661" s="1307"/>
      <c r="N661" s="521"/>
      <c r="O661" s="521"/>
      <c r="P661" s="521"/>
      <c r="R661" s="1759"/>
      <c r="S661" s="1759"/>
      <c r="T661" s="1759"/>
    </row>
    <row r="662" spans="1:20" x14ac:dyDescent="0.25">
      <c r="A662" s="1307" t="s">
        <v>2980</v>
      </c>
      <c r="B662" s="1753">
        <v>0.38994314241587202</v>
      </c>
      <c r="C662" s="1753">
        <v>0.367291007568259</v>
      </c>
      <c r="D662" s="1307">
        <v>0.34848008268738601</v>
      </c>
      <c r="E662" s="1307">
        <v>0.33467792682811698</v>
      </c>
      <c r="F662" s="1307">
        <v>0.31950977288606403</v>
      </c>
      <c r="G662" s="1307"/>
      <c r="H662" s="1307"/>
      <c r="N662" s="521"/>
      <c r="O662" s="521"/>
      <c r="P662" s="521"/>
      <c r="R662" s="1759"/>
      <c r="S662" s="1759"/>
      <c r="T662" s="1759"/>
    </row>
    <row r="663" spans="1:20" x14ac:dyDescent="0.25">
      <c r="A663" s="1307" t="s">
        <v>2981</v>
      </c>
      <c r="B663" s="1753">
        <v>0.43512302946940301</v>
      </c>
      <c r="C663" s="1753">
        <v>0.40982446280762302</v>
      </c>
      <c r="D663" s="1307">
        <v>0.38901362902046999</v>
      </c>
      <c r="E663" s="1307">
        <v>0.37291514439956902</v>
      </c>
      <c r="F663" s="1307">
        <v>0.35608371882745898</v>
      </c>
      <c r="G663" s="1307"/>
      <c r="H663" s="1307"/>
      <c r="N663" s="521"/>
      <c r="O663" s="521"/>
      <c r="P663" s="521"/>
      <c r="R663" s="1759"/>
      <c r="S663" s="1759"/>
      <c r="T663" s="1759"/>
    </row>
    <row r="664" spans="1:20" x14ac:dyDescent="0.25">
      <c r="A664" s="1307" t="s">
        <v>2982</v>
      </c>
      <c r="B664" s="1753">
        <v>0.47765648470876698</v>
      </c>
      <c r="C664" s="1753">
        <v>0.45035800914070701</v>
      </c>
      <c r="D664" s="1307">
        <v>0.42725084659192197</v>
      </c>
      <c r="E664" s="1307">
        <v>0.40948909034096398</v>
      </c>
      <c r="F664" s="1307">
        <v>0.39105092704452099</v>
      </c>
      <c r="G664" s="1307"/>
      <c r="H664" s="1307"/>
      <c r="N664" s="521"/>
      <c r="O664" s="521"/>
      <c r="P664" s="521"/>
      <c r="R664" s="1759"/>
      <c r="S664" s="1759"/>
      <c r="T664" s="1759"/>
    </row>
    <row r="665" spans="1:20" x14ac:dyDescent="0.25">
      <c r="A665" s="1307" t="s">
        <v>2983</v>
      </c>
      <c r="B665" s="1753">
        <v>7.8889619878687978E-2</v>
      </c>
      <c r="C665" s="1753">
        <v>7.3825210442343234E-2</v>
      </c>
      <c r="D665" s="1307">
        <v>6.7140152743308201E-2</v>
      </c>
      <c r="E665" s="1307">
        <v>5.9952340779388935E-2</v>
      </c>
      <c r="F665" s="1307">
        <v>5.8717130401143049E-2</v>
      </c>
      <c r="G665" s="1307"/>
      <c r="H665" s="1307"/>
      <c r="N665" s="521"/>
      <c r="O665" s="521"/>
      <c r="P665" s="521"/>
      <c r="R665" s="1759"/>
      <c r="S665" s="1759"/>
      <c r="T665" s="1759"/>
    </row>
    <row r="666" spans="1:20" x14ac:dyDescent="0.25">
      <c r="A666" s="1307" t="s">
        <v>2984</v>
      </c>
      <c r="B666" s="1753">
        <v>0.60217804707664857</v>
      </c>
      <c r="C666" s="1753">
        <v>0.56781696017586603</v>
      </c>
      <c r="D666" s="1307">
        <v>0.53605034064178392</v>
      </c>
      <c r="E666" s="1307">
        <v>0.50913035932106232</v>
      </c>
      <c r="F666" s="1307">
        <v>0.4876246110719426</v>
      </c>
      <c r="G666" s="1307"/>
      <c r="H666" s="1307"/>
      <c r="N666" s="521"/>
      <c r="O666" s="521"/>
      <c r="P666" s="521"/>
      <c r="R666" s="1759"/>
      <c r="S666" s="1759"/>
      <c r="T666" s="1759"/>
    </row>
    <row r="667" spans="1:20" x14ac:dyDescent="0.25">
      <c r="A667" s="1307" t="s">
        <v>2985</v>
      </c>
      <c r="B667" s="1753">
        <v>0.64670658005455417</v>
      </c>
      <c r="C667" s="1753">
        <v>0.60987555108412728</v>
      </c>
      <c r="D667" s="1307">
        <v>0.57627051206437052</v>
      </c>
      <c r="E667" s="1307">
        <v>0.54757695185133148</v>
      </c>
      <c r="F667" s="1307">
        <v>0.52414639075021685</v>
      </c>
      <c r="G667" s="1307"/>
      <c r="H667" s="1307"/>
      <c r="N667" s="521"/>
      <c r="O667" s="521"/>
      <c r="P667" s="521"/>
      <c r="R667" s="1759"/>
      <c r="S667" s="1759"/>
      <c r="T667" s="1759"/>
    </row>
    <row r="668" spans="1:20" x14ac:dyDescent="0.25">
      <c r="A668" s="1307" t="s">
        <v>2986</v>
      </c>
      <c r="B668" s="1753">
        <v>0.68876517096281509</v>
      </c>
      <c r="C668" s="1753">
        <v>0.65009572250671388</v>
      </c>
      <c r="D668" s="1307">
        <v>0.6147171045946398</v>
      </c>
      <c r="E668" s="1307">
        <v>0.58409873152960601</v>
      </c>
      <c r="F668" s="1307">
        <v>0.55905758412472728</v>
      </c>
      <c r="G668" s="1307"/>
      <c r="H668" s="1307"/>
      <c r="N668" s="521"/>
      <c r="O668" s="521"/>
      <c r="P668" s="521"/>
      <c r="R668" s="1759"/>
      <c r="S668" s="1759"/>
      <c r="T668" s="1759"/>
    </row>
    <row r="669" spans="1:20" x14ac:dyDescent="0.25">
      <c r="A669" s="1307" t="s">
        <v>2987</v>
      </c>
      <c r="B669" s="1753">
        <v>0.7289853423854018</v>
      </c>
      <c r="C669" s="1753">
        <v>0.68854231503698293</v>
      </c>
      <c r="D669" s="1307">
        <v>0.6512388842729141</v>
      </c>
      <c r="E669" s="1307">
        <v>0.61900992490411622</v>
      </c>
      <c r="F669" s="1307">
        <v>0.59242925579864814</v>
      </c>
      <c r="G669" s="1307"/>
      <c r="H669" s="1307"/>
      <c r="N669" s="521"/>
      <c r="O669" s="521"/>
      <c r="P669" s="521"/>
      <c r="R669" s="1759"/>
      <c r="S669" s="1759"/>
      <c r="T669" s="1759"/>
    </row>
    <row r="670" spans="1:20" x14ac:dyDescent="0.25">
      <c r="A670" s="1307" t="s">
        <v>2988</v>
      </c>
      <c r="B670" s="1753">
        <v>0.76743193491567085</v>
      </c>
      <c r="C670" s="1753">
        <v>0.72506409471525723</v>
      </c>
      <c r="D670" s="1307">
        <v>0.68615007764742442</v>
      </c>
      <c r="E670" s="1307">
        <v>0.65238159657803707</v>
      </c>
      <c r="F670" s="1307">
        <v>0.62432933302618832</v>
      </c>
      <c r="G670" s="1307"/>
      <c r="H670" s="1307"/>
      <c r="N670" s="521"/>
      <c r="O670" s="521"/>
      <c r="P670" s="521"/>
      <c r="R670" s="1759"/>
      <c r="S670" s="1759"/>
      <c r="T670" s="1759"/>
    </row>
    <row r="671" spans="1:20" x14ac:dyDescent="0.25">
      <c r="A671" s="1307" t="s">
        <v>2989</v>
      </c>
      <c r="B671" s="1753">
        <v>0.80395371459394527</v>
      </c>
      <c r="C671" s="1753">
        <v>0.75997528808976744</v>
      </c>
      <c r="D671" s="1307">
        <v>0.71952174932134538</v>
      </c>
      <c r="E671" s="1307">
        <v>0.68428167380557747</v>
      </c>
      <c r="F671" s="1307">
        <v>0.65482274429724474</v>
      </c>
      <c r="G671" s="1307"/>
      <c r="H671" s="1307"/>
      <c r="N671" s="521"/>
      <c r="O671" s="521"/>
      <c r="P671" s="521"/>
      <c r="R671" s="1759"/>
      <c r="S671" s="1759"/>
      <c r="T671" s="1759"/>
    </row>
    <row r="672" spans="1:20" x14ac:dyDescent="0.25">
      <c r="A672" s="1307" t="s">
        <v>2990</v>
      </c>
      <c r="B672" s="1753">
        <v>0.83886490796845559</v>
      </c>
      <c r="C672" s="1753">
        <v>0.79334695976368841</v>
      </c>
      <c r="D672" s="1307">
        <v>0.75142182654888579</v>
      </c>
      <c r="E672" s="1307">
        <v>0.71477508507663379</v>
      </c>
      <c r="F672" s="1307">
        <v>0.68397155179696156</v>
      </c>
      <c r="G672" s="1307"/>
      <c r="H672" s="1307"/>
      <c r="N672" s="521"/>
      <c r="O672" s="521"/>
      <c r="P672" s="521"/>
      <c r="R672" s="1759"/>
      <c r="S672" s="1759"/>
      <c r="T672" s="1759"/>
    </row>
    <row r="673" spans="1:20" x14ac:dyDescent="0.25">
      <c r="A673" s="1307" t="s">
        <v>2991</v>
      </c>
      <c r="B673" s="1753">
        <v>0.87223657964237644</v>
      </c>
      <c r="C673" s="1753">
        <v>0.82524703699122881</v>
      </c>
      <c r="D673" s="1307">
        <v>0.78191523781994199</v>
      </c>
      <c r="E673" s="1307">
        <v>0.74392389257635072</v>
      </c>
      <c r="F673" s="1307">
        <v>0.71190973146708425</v>
      </c>
      <c r="G673" s="1307"/>
      <c r="H673" s="1307"/>
      <c r="N673" s="521"/>
      <c r="O673" s="521"/>
      <c r="P673" s="521"/>
      <c r="R673" s="1759"/>
      <c r="S673" s="1759"/>
      <c r="T673" s="1759"/>
    </row>
    <row r="674" spans="1:20" x14ac:dyDescent="0.25">
      <c r="A674" s="1307" t="s">
        <v>2992</v>
      </c>
      <c r="B674" s="1753">
        <v>0.90413665686991662</v>
      </c>
      <c r="C674" s="1753">
        <v>0.8557404482622849</v>
      </c>
      <c r="D674" s="1307">
        <v>0.8110640453196587</v>
      </c>
      <c r="E674" s="1307">
        <v>0.77186207224647307</v>
      </c>
      <c r="F674" s="1307">
        <v>0.73861593840368978</v>
      </c>
      <c r="G674" s="1307"/>
      <c r="H674" s="1307"/>
      <c r="N674" s="521"/>
      <c r="O674" s="521"/>
      <c r="P674" s="521"/>
      <c r="R674" s="1759"/>
      <c r="S674" s="1759"/>
      <c r="T674" s="1759"/>
    </row>
    <row r="675" spans="1:20" x14ac:dyDescent="0.25">
      <c r="A675" s="1307" t="s">
        <v>2993</v>
      </c>
      <c r="B675" s="1753">
        <v>0.93463006814097316</v>
      </c>
      <c r="C675" s="1753">
        <v>0.88488925576200195</v>
      </c>
      <c r="D675" s="1307">
        <v>0.83900222498978139</v>
      </c>
      <c r="E675" s="1307">
        <v>0.79856827918307882</v>
      </c>
      <c r="F675" s="1307">
        <v>0.76414452779167263</v>
      </c>
      <c r="G675" s="1307"/>
      <c r="H675" s="1307"/>
      <c r="N675" s="521"/>
      <c r="O675" s="521"/>
      <c r="P675" s="521"/>
      <c r="R675" s="1759"/>
      <c r="S675" s="1759"/>
      <c r="T675" s="1759"/>
    </row>
    <row r="676" spans="1:20" x14ac:dyDescent="0.25">
      <c r="A676" s="1307" t="s">
        <v>2994</v>
      </c>
      <c r="B676" s="1753">
        <v>0.15271483032103125</v>
      </c>
      <c r="C676" s="1753">
        <v>0.14096536318565142</v>
      </c>
      <c r="D676" s="1307">
        <v>0.12709249352269714</v>
      </c>
      <c r="E676" s="1307">
        <v>0.118669471180532</v>
      </c>
      <c r="F676" s="1307">
        <v>0.116831812087411</v>
      </c>
      <c r="G676" s="1307"/>
      <c r="H676" s="1307"/>
      <c r="N676" s="521"/>
      <c r="O676" s="521"/>
      <c r="P676" s="521"/>
      <c r="R676" s="1759"/>
      <c r="S676" s="1759"/>
      <c r="T676" s="1759"/>
    </row>
    <row r="677" spans="1:20" x14ac:dyDescent="0.25">
      <c r="A677" s="1307" t="s">
        <v>2995</v>
      </c>
      <c r="B677" s="1753">
        <v>0.96377887564068987</v>
      </c>
      <c r="C677" s="1753">
        <v>0.91282743543212441</v>
      </c>
      <c r="D677" s="1307">
        <v>0.8657084319263868</v>
      </c>
      <c r="E677" s="1307">
        <v>0.82409686857106168</v>
      </c>
      <c r="F677" s="1307">
        <v>0.78854745531637827</v>
      </c>
      <c r="G677" s="1307"/>
      <c r="H677" s="1307"/>
      <c r="N677" s="521"/>
      <c r="O677" s="521"/>
      <c r="P677" s="521"/>
      <c r="R677" s="1759"/>
      <c r="S677" s="1759"/>
      <c r="T677" s="1759"/>
    </row>
    <row r="678" spans="1:20" x14ac:dyDescent="0.25">
      <c r="A678" s="1307" t="s">
        <v>2996</v>
      </c>
      <c r="B678" s="1753">
        <v>0.99171705531081245</v>
      </c>
      <c r="C678" s="1753">
        <v>0.93953364236873005</v>
      </c>
      <c r="D678" s="1307">
        <v>0.89123702131436977</v>
      </c>
      <c r="E678" s="1307">
        <v>0.84849979609576731</v>
      </c>
      <c r="F678" s="1307">
        <v>0.8118743831482288</v>
      </c>
      <c r="G678" s="1307"/>
      <c r="H678" s="1307"/>
      <c r="N678" s="521"/>
      <c r="O678" s="521"/>
      <c r="P678" s="521"/>
      <c r="R678" s="1759"/>
      <c r="S678" s="1759"/>
      <c r="T678" s="1759"/>
    </row>
    <row r="679" spans="1:20" x14ac:dyDescent="0.25">
      <c r="A679" s="1307" t="s">
        <v>2997</v>
      </c>
      <c r="B679" s="1753">
        <v>1.0184232622474181</v>
      </c>
      <c r="C679" s="1753">
        <v>0.96506223175671302</v>
      </c>
      <c r="D679" s="1307">
        <v>0.91563994883907507</v>
      </c>
      <c r="E679" s="1307">
        <v>0.87182672392761784</v>
      </c>
      <c r="F679" s="1307">
        <v>0.83370381215052258</v>
      </c>
      <c r="G679" s="1307"/>
      <c r="H679" s="1307"/>
      <c r="N679" s="521"/>
      <c r="O679" s="521"/>
      <c r="P679" s="521"/>
      <c r="R679" s="1759"/>
      <c r="S679" s="1759"/>
      <c r="T679" s="1759"/>
    </row>
    <row r="680" spans="1:20" x14ac:dyDescent="0.25">
      <c r="A680" s="1307" t="s">
        <v>2998</v>
      </c>
      <c r="B680" s="1753">
        <v>1.0439518516354009</v>
      </c>
      <c r="C680" s="1753">
        <v>0.98946515928141843</v>
      </c>
      <c r="D680" s="1307">
        <v>0.93896687667092604</v>
      </c>
      <c r="E680" s="1307">
        <v>0.89365615292991141</v>
      </c>
      <c r="F680" s="1307">
        <v>0.85413187597449158</v>
      </c>
      <c r="G680" s="1307"/>
      <c r="H680" s="1307"/>
      <c r="N680" s="521"/>
      <c r="O680" s="521"/>
      <c r="P680" s="521"/>
      <c r="R680" s="1759"/>
      <c r="S680" s="1759"/>
      <c r="T680" s="1759"/>
    </row>
    <row r="681" spans="1:20" x14ac:dyDescent="0.25">
      <c r="A681" s="1307" t="s">
        <v>2999</v>
      </c>
      <c r="B681" s="1753">
        <v>1.0683547791601062</v>
      </c>
      <c r="C681" s="1753">
        <v>1.0127920871132692</v>
      </c>
      <c r="D681" s="1307">
        <v>0.9607963056732195</v>
      </c>
      <c r="E681" s="1307">
        <v>0.91408421675388063</v>
      </c>
      <c r="F681" s="1307">
        <v>0.87324853686160497</v>
      </c>
      <c r="G681" s="1307"/>
      <c r="H681" s="1307"/>
      <c r="N681" s="521"/>
      <c r="O681" s="521"/>
      <c r="P681" s="521"/>
      <c r="R681" s="1759"/>
      <c r="S681" s="1759"/>
      <c r="T681" s="1759"/>
    </row>
    <row r="682" spans="1:20" x14ac:dyDescent="0.25">
      <c r="A682" s="1307" t="s">
        <v>3000</v>
      </c>
      <c r="B682" s="1753">
        <v>1.0916817069919575</v>
      </c>
      <c r="C682" s="1753">
        <v>1.0346215161155627</v>
      </c>
      <c r="D682" s="1307">
        <v>0.98122436949718861</v>
      </c>
      <c r="E682" s="1307">
        <v>0.93320087764099391</v>
      </c>
      <c r="F682" s="1307">
        <v>0.89113798182427828</v>
      </c>
      <c r="G682" s="1307"/>
      <c r="H682" s="1307"/>
      <c r="N682" s="521"/>
      <c r="O682" s="521"/>
      <c r="P682" s="521"/>
      <c r="R682" s="1759"/>
      <c r="S682" s="1759"/>
      <c r="T682" s="1759"/>
    </row>
    <row r="683" spans="1:20" x14ac:dyDescent="0.25">
      <c r="A683" s="1307" t="s">
        <v>3001</v>
      </c>
      <c r="B683" s="1753">
        <v>0.2198549830643394</v>
      </c>
      <c r="C683" s="1753">
        <v>0.20091770396504038</v>
      </c>
      <c r="D683" s="1307">
        <v>0.18580962392384021</v>
      </c>
      <c r="E683" s="1307">
        <v>0.17678415286679994</v>
      </c>
      <c r="F683" s="1307">
        <v>0.17319706976126817</v>
      </c>
      <c r="G683" s="1307"/>
      <c r="H683" s="1307"/>
      <c r="N683" s="521"/>
      <c r="O683" s="521"/>
      <c r="P683" s="521"/>
      <c r="R683" s="1759"/>
      <c r="S683" s="1759"/>
      <c r="T683" s="1759"/>
    </row>
    <row r="684" spans="1:20" x14ac:dyDescent="0.25">
      <c r="A684" s="1307" t="s">
        <v>3002</v>
      </c>
      <c r="B684" s="1753">
        <v>0.27980732384372842</v>
      </c>
      <c r="C684" s="1753">
        <v>0.25963483436618345</v>
      </c>
      <c r="D684" s="1307">
        <v>0.24392430561010817</v>
      </c>
      <c r="E684" s="1307">
        <v>0.23314941054065702</v>
      </c>
      <c r="F684" s="1307">
        <v>0.2261008538814773</v>
      </c>
      <c r="G684" s="1307"/>
      <c r="H684" s="1307"/>
      <c r="N684" s="521"/>
      <c r="O684" s="521"/>
      <c r="P684" s="521"/>
      <c r="R684" s="1759"/>
      <c r="S684" s="1759"/>
      <c r="T684" s="1759"/>
    </row>
    <row r="685" spans="1:20" x14ac:dyDescent="0.25">
      <c r="A685" s="1307" t="s">
        <v>3003</v>
      </c>
      <c r="B685" s="1753">
        <v>0.33852445424487143</v>
      </c>
      <c r="C685" s="1753">
        <v>0.31774951605245139</v>
      </c>
      <c r="D685" s="1307">
        <v>0.30028956328396533</v>
      </c>
      <c r="E685" s="1307">
        <v>0.28605319466086632</v>
      </c>
      <c r="F685" s="1307">
        <v>0.27565315588051847</v>
      </c>
      <c r="G685" s="1307"/>
      <c r="H685" s="1307"/>
      <c r="N685" s="521"/>
      <c r="O685" s="521"/>
      <c r="P685" s="521"/>
      <c r="R685" s="1759"/>
      <c r="S685" s="1759"/>
      <c r="T685" s="1759"/>
    </row>
    <row r="686" spans="1:20" x14ac:dyDescent="0.25">
      <c r="A686" s="1307" t="s">
        <v>3004</v>
      </c>
      <c r="B686" s="1753">
        <v>0.39663913593113925</v>
      </c>
      <c r="C686" s="1753">
        <v>0.37411477372630852</v>
      </c>
      <c r="D686" s="1307">
        <v>0.35319334740417457</v>
      </c>
      <c r="E686" s="1307">
        <v>0.33560549665990752</v>
      </c>
      <c r="F686" s="1307">
        <v>0.32237072323292021</v>
      </c>
      <c r="G686" s="1307"/>
      <c r="H686" s="1307"/>
      <c r="N686" s="521"/>
      <c r="O686" s="521"/>
      <c r="P686" s="521"/>
      <c r="R686" s="1759"/>
      <c r="S686" s="1759"/>
      <c r="T686" s="1759"/>
    </row>
    <row r="687" spans="1:20" x14ac:dyDescent="0.25">
      <c r="A687" s="1307" t="s">
        <v>3005</v>
      </c>
      <c r="B687" s="1753">
        <v>0.4530043936049965</v>
      </c>
      <c r="C687" s="1753">
        <v>0.42701855784651777</v>
      </c>
      <c r="D687" s="1307">
        <v>0.40274564940321567</v>
      </c>
      <c r="E687" s="1307">
        <v>0.38232306401230914</v>
      </c>
      <c r="F687" s="1307">
        <v>0.36689925621082581</v>
      </c>
      <c r="G687" s="1307"/>
      <c r="H687" s="1307"/>
      <c r="N687" s="521"/>
      <c r="O687" s="521"/>
      <c r="P687" s="521"/>
      <c r="R687" s="1759"/>
      <c r="S687" s="1759"/>
      <c r="T687" s="1759"/>
    </row>
    <row r="688" spans="1:20" x14ac:dyDescent="0.25">
      <c r="A688" s="1307" t="s">
        <v>3006</v>
      </c>
      <c r="B688" s="1753">
        <v>0.50590817772520569</v>
      </c>
      <c r="C688" s="1753">
        <v>0.47657085984555891</v>
      </c>
      <c r="D688" s="1307">
        <v>0.44946321675561729</v>
      </c>
      <c r="E688" s="1307">
        <v>0.42685159699021469</v>
      </c>
      <c r="F688" s="1307">
        <v>0.40895784711908678</v>
      </c>
      <c r="G688" s="1307"/>
      <c r="H688" s="1307"/>
      <c r="N688" s="521"/>
      <c r="O688" s="521"/>
      <c r="P688" s="521"/>
      <c r="R688" s="1759"/>
      <c r="S688" s="1759"/>
      <c r="T688" s="1759"/>
    </row>
    <row r="689" spans="1:20" x14ac:dyDescent="0.25">
      <c r="A689" s="1307" t="s">
        <v>3007</v>
      </c>
      <c r="B689" s="1753">
        <v>0.55546047972424695</v>
      </c>
      <c r="C689" s="1753">
        <v>0.52328842719796054</v>
      </c>
      <c r="D689" s="1307">
        <v>0.49399174973352289</v>
      </c>
      <c r="E689" s="1307">
        <v>0.46891018789847583</v>
      </c>
      <c r="F689" s="1307">
        <v>0.44917801854167339</v>
      </c>
      <c r="G689" s="1307"/>
      <c r="H689" s="1307"/>
      <c r="N689" s="521"/>
      <c r="O689" s="521"/>
      <c r="P689" s="521"/>
      <c r="R689" s="1759"/>
      <c r="S689" s="1759"/>
      <c r="T689" s="1759"/>
    </row>
    <row r="690" spans="1:20" x14ac:dyDescent="0.25">
      <c r="A690" s="1307" t="s">
        <v>3008</v>
      </c>
      <c r="B690" s="1753">
        <v>6.9716271613440697E-2</v>
      </c>
      <c r="C690" s="1753">
        <v>6.3109478788013804E-2</v>
      </c>
      <c r="D690" s="1307">
        <v>5.59776275933562E-2</v>
      </c>
      <c r="E690" s="1307">
        <v>5.4985269379490498E-2</v>
      </c>
      <c r="F690" s="1307">
        <v>5.4619524087442903E-2</v>
      </c>
      <c r="G690" s="1307"/>
      <c r="H690" s="1307"/>
      <c r="N690" s="521"/>
      <c r="O690" s="521"/>
      <c r="P690" s="521"/>
      <c r="R690" s="1759"/>
      <c r="S690" s="1759"/>
      <c r="T690" s="1759"/>
    </row>
    <row r="691" spans="1:20" x14ac:dyDescent="0.25">
      <c r="A691" s="1307" t="s">
        <v>3009</v>
      </c>
      <c r="B691" s="1753">
        <v>0.533208885762264</v>
      </c>
      <c r="C691" s="1753">
        <v>0.50286397471632904</v>
      </c>
      <c r="D691" s="1307">
        <v>0.47741180113305798</v>
      </c>
      <c r="E691" s="1307">
        <v>0.45743606583441199</v>
      </c>
      <c r="F691" s="1307">
        <v>0.436633971133562</v>
      </c>
      <c r="G691" s="1307"/>
      <c r="H691" s="1307"/>
      <c r="N691" s="521"/>
      <c r="O691" s="521"/>
      <c r="P691" s="521"/>
      <c r="R691" s="1759"/>
      <c r="S691" s="1759"/>
      <c r="T691" s="1759"/>
    </row>
    <row r="692" spans="1:20" x14ac:dyDescent="0.25">
      <c r="A692" s="1307" t="s">
        <v>3010</v>
      </c>
      <c r="B692" s="1753">
        <v>0.57258024632977</v>
      </c>
      <c r="C692" s="1753">
        <v>0.54052127992107202</v>
      </c>
      <c r="D692" s="1307">
        <v>0.51341369342776799</v>
      </c>
      <c r="E692" s="1307">
        <v>0.491619240513052</v>
      </c>
      <c r="F692" s="1307">
        <v>0.46931437560960099</v>
      </c>
      <c r="G692" s="1307"/>
      <c r="H692" s="1307"/>
      <c r="N692" s="521"/>
      <c r="O692" s="521"/>
      <c r="P692" s="521"/>
      <c r="R692" s="1759"/>
      <c r="S692" s="1759"/>
      <c r="T692" s="1759"/>
    </row>
    <row r="693" spans="1:20" x14ac:dyDescent="0.25">
      <c r="A693" s="1307" t="s">
        <v>3011</v>
      </c>
      <c r="B693" s="1753">
        <v>0.61023755153451198</v>
      </c>
      <c r="C693" s="1753">
        <v>0.57652317221578198</v>
      </c>
      <c r="D693" s="1307">
        <v>0.54759686810640795</v>
      </c>
      <c r="E693" s="1307">
        <v>0.52429964498909098</v>
      </c>
      <c r="F693" s="1307">
        <v>0.50055810790656297</v>
      </c>
      <c r="G693" s="1307"/>
      <c r="H693" s="1307"/>
      <c r="N693" s="521"/>
      <c r="O693" s="521"/>
      <c r="P693" s="521"/>
      <c r="R693" s="1759"/>
      <c r="S693" s="1759"/>
      <c r="T693" s="1759"/>
    </row>
    <row r="694" spans="1:20" x14ac:dyDescent="0.25">
      <c r="A694" s="1307" t="s">
        <v>3012</v>
      </c>
      <c r="B694" s="1753">
        <v>0.64623944382922305</v>
      </c>
      <c r="C694" s="1753">
        <v>0.61070634689442205</v>
      </c>
      <c r="D694" s="1307">
        <v>0.58027727258244699</v>
      </c>
      <c r="E694" s="1307">
        <v>0.55554337728605296</v>
      </c>
      <c r="F694" s="1307">
        <v>0.53042835731331395</v>
      </c>
      <c r="G694" s="1307"/>
      <c r="H694" s="1307"/>
      <c r="N694" s="521"/>
      <c r="O694" s="521"/>
      <c r="P694" s="521"/>
      <c r="R694" s="1759"/>
      <c r="S694" s="1759"/>
      <c r="T694" s="1759"/>
    </row>
    <row r="695" spans="1:20" x14ac:dyDescent="0.25">
      <c r="A695" s="1307" t="s">
        <v>3013</v>
      </c>
      <c r="B695" s="1753">
        <v>0.68042261850786301</v>
      </c>
      <c r="C695" s="1753">
        <v>0.64338675137046097</v>
      </c>
      <c r="D695" s="1307">
        <v>0.61152100487940897</v>
      </c>
      <c r="E695" s="1307">
        <v>0.58541362669280395</v>
      </c>
      <c r="F695" s="1307">
        <v>0.55898553245286198</v>
      </c>
      <c r="G695" s="1307"/>
      <c r="H695" s="1307"/>
      <c r="N695" s="521"/>
      <c r="O695" s="521"/>
      <c r="P695" s="521"/>
      <c r="R695" s="1759"/>
      <c r="S695" s="1759"/>
      <c r="T695" s="1759"/>
    </row>
    <row r="696" spans="1:20" x14ac:dyDescent="0.25">
      <c r="A696" s="1307" t="s">
        <v>3014</v>
      </c>
      <c r="B696" s="1753">
        <v>0.71310302298390205</v>
      </c>
      <c r="C696" s="1753">
        <v>0.67463048366742295</v>
      </c>
      <c r="D696" s="1307">
        <v>0.64139125428615995</v>
      </c>
      <c r="E696" s="1307">
        <v>0.61397080183235198</v>
      </c>
      <c r="F696" s="1307">
        <v>0.58628738370945699</v>
      </c>
      <c r="G696" s="1307"/>
      <c r="H696" s="1307"/>
      <c r="N696" s="521"/>
      <c r="O696" s="521"/>
      <c r="P696" s="521"/>
      <c r="R696" s="1759"/>
      <c r="S696" s="1759"/>
      <c r="T696" s="1759"/>
    </row>
    <row r="697" spans="1:20" x14ac:dyDescent="0.25">
      <c r="A697" s="1307" t="s">
        <v>3015</v>
      </c>
      <c r="B697" s="1753">
        <v>0.74434675528086403</v>
      </c>
      <c r="C697" s="1753">
        <v>0.70450073307417405</v>
      </c>
      <c r="D697" s="1307">
        <v>0.66994842942570798</v>
      </c>
      <c r="E697" s="1307">
        <v>0.64127265308894699</v>
      </c>
      <c r="F697" s="1307">
        <v>0.61244655111442303</v>
      </c>
      <c r="G697" s="1307"/>
      <c r="H697" s="1307"/>
      <c r="N697" s="521"/>
      <c r="O697" s="521"/>
      <c r="P697" s="521"/>
      <c r="R697" s="1759"/>
      <c r="S697" s="1759"/>
      <c r="T697" s="1759"/>
    </row>
    <row r="698" spans="1:20" x14ac:dyDescent="0.25">
      <c r="A698" s="1307" t="s">
        <v>3016</v>
      </c>
      <c r="B698" s="1753">
        <v>0.77421700468761501</v>
      </c>
      <c r="C698" s="1753">
        <v>0.73305790821372196</v>
      </c>
      <c r="D698" s="1307">
        <v>0.69725028068230299</v>
      </c>
      <c r="E698" s="1307">
        <v>0.66743182049391403</v>
      </c>
      <c r="F698" s="1307">
        <v>0.637455771710566</v>
      </c>
      <c r="G698" s="1307"/>
      <c r="H698" s="1307"/>
      <c r="N698" s="521"/>
      <c r="O698" s="521"/>
      <c r="P698" s="521"/>
      <c r="R698" s="1759"/>
      <c r="S698" s="1759"/>
      <c r="T698" s="1759"/>
    </row>
    <row r="699" spans="1:20" x14ac:dyDescent="0.25">
      <c r="A699" s="1307" t="s">
        <v>3017</v>
      </c>
      <c r="B699" s="1753">
        <v>0.80277417982716304</v>
      </c>
      <c r="C699" s="1753">
        <v>0.76035975947031798</v>
      </c>
      <c r="D699" s="1307">
        <v>0.72340944808727004</v>
      </c>
      <c r="E699" s="1307">
        <v>0.692441041090057</v>
      </c>
      <c r="F699" s="1307">
        <v>0.66136562176815406</v>
      </c>
      <c r="G699" s="1307"/>
      <c r="H699" s="1307"/>
      <c r="N699" s="521"/>
      <c r="O699" s="521"/>
      <c r="P699" s="521"/>
      <c r="R699" s="1759"/>
      <c r="S699" s="1759"/>
      <c r="T699" s="1759"/>
    </row>
    <row r="700" spans="1:20" x14ac:dyDescent="0.25">
      <c r="A700" s="1307" t="s">
        <v>3018</v>
      </c>
      <c r="B700" s="1753">
        <v>0.83007603108375805</v>
      </c>
      <c r="C700" s="1753">
        <v>0.78651892687528402</v>
      </c>
      <c r="D700" s="1307">
        <v>0.748418668683413</v>
      </c>
      <c r="E700" s="1307">
        <v>0.71635089114764505</v>
      </c>
      <c r="F700" s="1307">
        <v>0.68422445201905602</v>
      </c>
      <c r="G700" s="1307"/>
      <c r="H700" s="1307"/>
      <c r="N700" s="521"/>
      <c r="O700" s="521"/>
      <c r="P700" s="521"/>
      <c r="R700" s="1759"/>
      <c r="S700" s="1759"/>
      <c r="T700" s="1759"/>
    </row>
    <row r="701" spans="1:20" x14ac:dyDescent="0.25">
      <c r="A701" s="1307" t="s">
        <v>3019</v>
      </c>
      <c r="B701" s="1753">
        <v>0.132825750401454</v>
      </c>
      <c r="C701" s="1753">
        <v>0.11908710638137</v>
      </c>
      <c r="D701" s="1307">
        <v>0.110962896972847</v>
      </c>
      <c r="E701" s="1307">
        <v>0.109604793466933</v>
      </c>
      <c r="F701" s="1307">
        <v>0.10768131933181101</v>
      </c>
      <c r="G701" s="1307"/>
      <c r="H701" s="1307"/>
      <c r="N701" s="521"/>
      <c r="O701" s="521"/>
      <c r="P701" s="521"/>
      <c r="R701" s="1759"/>
      <c r="S701" s="1759"/>
      <c r="T701" s="1759"/>
    </row>
    <row r="702" spans="1:20" x14ac:dyDescent="0.25">
      <c r="A702" s="1307" t="s">
        <v>3020</v>
      </c>
      <c r="B702" s="1753">
        <v>0.85623519848872498</v>
      </c>
      <c r="C702" s="1753">
        <v>0.81152814747142699</v>
      </c>
      <c r="D702" s="1307">
        <v>0.77232851874100095</v>
      </c>
      <c r="E702" s="1307">
        <v>0.73920972139854602</v>
      </c>
      <c r="F702" s="1307">
        <v>0.70607848563878794</v>
      </c>
      <c r="G702" s="1307"/>
      <c r="H702" s="1307"/>
      <c r="N702" s="521"/>
      <c r="O702" s="521"/>
      <c r="P702" s="521"/>
      <c r="R702" s="1759"/>
      <c r="S702" s="1759"/>
      <c r="T702" s="1759"/>
    </row>
    <row r="703" spans="1:20" x14ac:dyDescent="0.25">
      <c r="A703" s="1307" t="s">
        <v>3021</v>
      </c>
      <c r="B703" s="1753">
        <v>0.88124441908486695</v>
      </c>
      <c r="C703" s="1753">
        <v>0.83543799752901504</v>
      </c>
      <c r="D703" s="1307">
        <v>0.79518734899190302</v>
      </c>
      <c r="E703" s="1307">
        <v>0.76106375501827805</v>
      </c>
      <c r="F703" s="1307">
        <v>0.72697191191252897</v>
      </c>
      <c r="G703" s="1307"/>
      <c r="H703" s="1307"/>
      <c r="N703" s="521"/>
      <c r="O703" s="521"/>
      <c r="P703" s="521"/>
      <c r="R703" s="1759"/>
      <c r="S703" s="1759"/>
      <c r="T703" s="1759"/>
    </row>
    <row r="704" spans="1:20" x14ac:dyDescent="0.25">
      <c r="A704" s="1307" t="s">
        <v>3022</v>
      </c>
      <c r="B704" s="1753">
        <v>0.905154269142456</v>
      </c>
      <c r="C704" s="1753">
        <v>0.858296827779917</v>
      </c>
      <c r="D704" s="1307">
        <v>0.81704138261163495</v>
      </c>
      <c r="E704" s="1307">
        <v>0.78195718129201996</v>
      </c>
      <c r="F704" s="1307">
        <v>0.74652406077434996</v>
      </c>
      <c r="G704" s="1307"/>
      <c r="H704" s="1307"/>
      <c r="N704" s="521"/>
      <c r="O704" s="521"/>
      <c r="P704" s="521"/>
      <c r="R704" s="1759"/>
      <c r="S704" s="1759"/>
      <c r="T704" s="1759"/>
    </row>
    <row r="705" spans="1:20" x14ac:dyDescent="0.25">
      <c r="A705" s="1307" t="s">
        <v>3023</v>
      </c>
      <c r="B705" s="1753">
        <v>0.92801309939335697</v>
      </c>
      <c r="C705" s="1753">
        <v>0.88015086139964804</v>
      </c>
      <c r="D705" s="1307">
        <v>0.83793480888537597</v>
      </c>
      <c r="E705" s="1307">
        <v>0.80150933015383996</v>
      </c>
      <c r="F705" s="1307">
        <v>0.76482103706278404</v>
      </c>
      <c r="G705" s="1307"/>
      <c r="H705" s="1307"/>
      <c r="N705" s="521"/>
      <c r="O705" s="521"/>
      <c r="P705" s="521"/>
      <c r="R705" s="1759"/>
      <c r="S705" s="1759"/>
      <c r="T705" s="1759"/>
    </row>
    <row r="706" spans="1:20" x14ac:dyDescent="0.25">
      <c r="A706" s="1307" t="s">
        <v>3024</v>
      </c>
      <c r="B706" s="1753">
        <v>0.949867133013089</v>
      </c>
      <c r="C706" s="1753">
        <v>0.90104428767338995</v>
      </c>
      <c r="D706" s="1307">
        <v>0.85748695774719697</v>
      </c>
      <c r="E706" s="1307">
        <v>0.81980630644227404</v>
      </c>
      <c r="F706" s="1307">
        <v>0.78194341801770995</v>
      </c>
      <c r="G706" s="1307"/>
      <c r="H706" s="1307"/>
      <c r="N706" s="521"/>
      <c r="O706" s="521"/>
      <c r="P706" s="521"/>
      <c r="R706" s="1759"/>
      <c r="S706" s="1759"/>
      <c r="T706" s="1759"/>
    </row>
    <row r="707" spans="1:20" x14ac:dyDescent="0.25">
      <c r="A707" s="1307" t="s">
        <v>3025</v>
      </c>
      <c r="B707" s="1753">
        <v>0.97076055928683003</v>
      </c>
      <c r="C707" s="1753">
        <v>0.92059643653520995</v>
      </c>
      <c r="D707" s="1307">
        <v>0.87578393403563004</v>
      </c>
      <c r="E707" s="1307">
        <v>0.83692868739720006</v>
      </c>
      <c r="F707" s="1307">
        <v>0.79796660813087295</v>
      </c>
      <c r="G707" s="1307"/>
      <c r="H707" s="1307"/>
      <c r="N707" s="521"/>
      <c r="O707" s="521"/>
      <c r="P707" s="521"/>
      <c r="R707" s="1759"/>
      <c r="S707" s="1759"/>
      <c r="T707" s="1759"/>
    </row>
    <row r="708" spans="1:20" x14ac:dyDescent="0.25">
      <c r="A708" s="1307" t="s">
        <v>3026</v>
      </c>
      <c r="B708" s="1753">
        <v>0.99031270814865102</v>
      </c>
      <c r="C708" s="1753">
        <v>0.93889341282364402</v>
      </c>
      <c r="D708" s="1307">
        <v>0.89290631499055595</v>
      </c>
      <c r="E708" s="1307">
        <v>0.85295187751036305</v>
      </c>
      <c r="F708" s="1307">
        <v>0.81296117121637101</v>
      </c>
      <c r="G708" s="1307"/>
      <c r="H708" s="1307"/>
      <c r="N708" s="521"/>
      <c r="O708" s="521"/>
      <c r="P708" s="521"/>
      <c r="R708" s="1759"/>
      <c r="S708" s="1759"/>
      <c r="T708" s="1759"/>
    </row>
    <row r="709" spans="1:20" x14ac:dyDescent="0.25">
      <c r="A709" s="1307" t="s">
        <v>3027</v>
      </c>
      <c r="B709" s="1753">
        <v>1.00860968443708</v>
      </c>
      <c r="C709" s="1753">
        <v>0.95601579377857004</v>
      </c>
      <c r="D709" s="1307">
        <v>0.90892950510371995</v>
      </c>
      <c r="E709" s="1307">
        <v>0.86794644059586101</v>
      </c>
      <c r="F709" s="1307">
        <v>0.82699314116349598</v>
      </c>
      <c r="G709" s="1307"/>
      <c r="H709" s="1307"/>
      <c r="N709" s="521"/>
      <c r="O709" s="521"/>
      <c r="P709" s="521"/>
      <c r="R709" s="1759"/>
      <c r="S709" s="1759"/>
      <c r="T709" s="1759"/>
    </row>
    <row r="710" spans="1:20" x14ac:dyDescent="0.25">
      <c r="A710" s="1307" t="s">
        <v>3028</v>
      </c>
      <c r="B710" s="1753">
        <v>1.0257320653920099</v>
      </c>
      <c r="C710" s="1753">
        <v>0.97203898389173304</v>
      </c>
      <c r="D710" s="1307">
        <v>0.92392406818921702</v>
      </c>
      <c r="E710" s="1307">
        <v>0.88197841054298598</v>
      </c>
      <c r="F710" s="1307">
        <v>0.84012431274044197</v>
      </c>
      <c r="G710" s="1307"/>
      <c r="H710" s="1307"/>
      <c r="N710" s="521"/>
      <c r="O710" s="521"/>
      <c r="P710" s="521"/>
      <c r="R710" s="1759"/>
      <c r="S710" s="1759"/>
      <c r="T710" s="1759"/>
    </row>
    <row r="711" spans="1:20" x14ac:dyDescent="0.25">
      <c r="A711" s="1307" t="s">
        <v>3029</v>
      </c>
      <c r="B711" s="1753">
        <v>1.0417552555051699</v>
      </c>
      <c r="C711" s="1753">
        <v>0.987033546977231</v>
      </c>
      <c r="D711" s="1307">
        <v>0.93795603813634199</v>
      </c>
      <c r="E711" s="1307">
        <v>0.89510958211993297</v>
      </c>
      <c r="F711" s="1307">
        <v>0.85241251372953697</v>
      </c>
      <c r="G711" s="1307"/>
      <c r="H711" s="1307"/>
      <c r="N711" s="521"/>
      <c r="O711" s="521"/>
      <c r="P711" s="521"/>
      <c r="R711" s="1759"/>
      <c r="S711" s="1759"/>
      <c r="T711" s="1759"/>
    </row>
    <row r="712" spans="1:20" x14ac:dyDescent="0.25">
      <c r="A712" s="1307" t="s">
        <v>3030</v>
      </c>
      <c r="B712" s="1753">
        <v>0.18880337799481101</v>
      </c>
      <c r="C712" s="1753">
        <v>0.17407237576085999</v>
      </c>
      <c r="D712" s="1307">
        <v>0.16558242106029</v>
      </c>
      <c r="E712" s="1307">
        <v>0.16266658871130099</v>
      </c>
      <c r="F712" s="1307">
        <v>0.15741256572722701</v>
      </c>
      <c r="G712" s="1307"/>
      <c r="H712" s="1307"/>
      <c r="N712" s="521"/>
      <c r="O712" s="521"/>
      <c r="P712" s="521"/>
      <c r="R712" s="1759"/>
      <c r="S712" s="1759"/>
      <c r="T712" s="1759"/>
    </row>
    <row r="713" spans="1:20" x14ac:dyDescent="0.25">
      <c r="A713" s="1307" t="s">
        <v>3031</v>
      </c>
      <c r="B713" s="1753">
        <v>1.0567498185906701</v>
      </c>
      <c r="C713" s="1753">
        <v>1.0010655169243601</v>
      </c>
      <c r="D713" s="1307">
        <v>0.95108720971328897</v>
      </c>
      <c r="E713" s="1307">
        <v>0.90739778310902697</v>
      </c>
      <c r="F713" s="1307">
        <v>0.86391185959243699</v>
      </c>
      <c r="G713" s="1307"/>
      <c r="H713" s="1307"/>
      <c r="N713" s="521"/>
      <c r="O713" s="521"/>
      <c r="P713" s="521"/>
      <c r="R713" s="1759"/>
      <c r="S713" s="1759"/>
      <c r="T713" s="1759"/>
    </row>
    <row r="714" spans="1:20" x14ac:dyDescent="0.25">
      <c r="A714" s="1307" t="s">
        <v>3032</v>
      </c>
      <c r="B714" s="1753">
        <v>0.243788647374301</v>
      </c>
      <c r="C714" s="1753">
        <v>0.22869189984830299</v>
      </c>
      <c r="D714" s="1307">
        <v>0.218644216304657</v>
      </c>
      <c r="E714" s="1307">
        <v>0.212397835106718</v>
      </c>
      <c r="F714" s="1307">
        <v>0.20390931618864</v>
      </c>
      <c r="G714" s="1307"/>
      <c r="H714" s="1307"/>
      <c r="N714" s="521"/>
      <c r="O714" s="521"/>
      <c r="P714" s="521"/>
      <c r="R714" s="1759"/>
      <c r="S714" s="1759"/>
      <c r="T714" s="1759"/>
    </row>
    <row r="715" spans="1:20" x14ac:dyDescent="0.25">
      <c r="A715" s="1307" t="s">
        <v>3033</v>
      </c>
      <c r="B715" s="1753">
        <v>0.29840817146174398</v>
      </c>
      <c r="C715" s="1753">
        <v>0.28175369509267101</v>
      </c>
      <c r="D715" s="1307">
        <v>0.26837546270007401</v>
      </c>
      <c r="E715" s="1307">
        <v>0.258894585568131</v>
      </c>
      <c r="F715" s="1307">
        <v>0.24769351829184699</v>
      </c>
      <c r="G715" s="1307"/>
      <c r="H715" s="1307"/>
      <c r="N715" s="521"/>
      <c r="O715" s="521"/>
      <c r="P715" s="521"/>
      <c r="R715" s="1759"/>
      <c r="S715" s="1759"/>
      <c r="T715" s="1759"/>
    </row>
    <row r="716" spans="1:20" x14ac:dyDescent="0.25">
      <c r="A716" s="1307" t="s">
        <v>3034</v>
      </c>
      <c r="B716" s="1753">
        <v>0.35146996670611202</v>
      </c>
      <c r="C716" s="1753">
        <v>0.33148494148808799</v>
      </c>
      <c r="D716" s="1307">
        <v>0.314872213161487</v>
      </c>
      <c r="E716" s="1307">
        <v>0.30267878767133699</v>
      </c>
      <c r="F716" s="1307">
        <v>0.28942023838796199</v>
      </c>
      <c r="G716" s="1307"/>
      <c r="H716" s="1307"/>
      <c r="N716" s="521"/>
      <c r="O716" s="521"/>
      <c r="P716" s="521"/>
      <c r="R716" s="1759"/>
      <c r="S716" s="1759"/>
      <c r="T716" s="1759"/>
    </row>
    <row r="717" spans="1:20" x14ac:dyDescent="0.25">
      <c r="A717" s="1307" t="s">
        <v>3035</v>
      </c>
      <c r="B717" s="1753">
        <v>0.40120121310152801</v>
      </c>
      <c r="C717" s="1753">
        <v>0.37798169194950099</v>
      </c>
      <c r="D717" s="1307">
        <v>0.358656415264693</v>
      </c>
      <c r="E717" s="1307">
        <v>0.34440550776745299</v>
      </c>
      <c r="F717" s="1307">
        <v>0.328791598955469</v>
      </c>
      <c r="G717" s="1307"/>
      <c r="H717" s="1307"/>
      <c r="N717" s="521"/>
      <c r="O717" s="521"/>
      <c r="P717" s="521"/>
      <c r="R717" s="1759"/>
      <c r="S717" s="1759"/>
      <c r="T717" s="1759"/>
    </row>
    <row r="718" spans="1:20" x14ac:dyDescent="0.25">
      <c r="A718" s="1307" t="s">
        <v>3036</v>
      </c>
      <c r="B718" s="1753">
        <v>0.447697963562941</v>
      </c>
      <c r="C718" s="1753">
        <v>0.42176589405270698</v>
      </c>
      <c r="D718" s="1307">
        <v>0.40038313536080899</v>
      </c>
      <c r="E718" s="1307">
        <v>0.383776868334959</v>
      </c>
      <c r="F718" s="1307">
        <v>0.36644890416021098</v>
      </c>
      <c r="G718" s="1307"/>
      <c r="H718" s="1307"/>
      <c r="N718" s="521"/>
      <c r="O718" s="521"/>
      <c r="P718" s="521"/>
      <c r="R718" s="1759"/>
      <c r="S718" s="1759"/>
      <c r="T718" s="1759"/>
    </row>
    <row r="719" spans="1:20" x14ac:dyDescent="0.25">
      <c r="A719" s="1307" t="s">
        <v>3037</v>
      </c>
      <c r="B719" s="1753">
        <v>0.491482165666148</v>
      </c>
      <c r="C719" s="1753">
        <v>0.46349261414882298</v>
      </c>
      <c r="D719" s="1307">
        <v>0.439754495928316</v>
      </c>
      <c r="E719" s="1307">
        <v>0.42143417353970197</v>
      </c>
      <c r="F719" s="1307">
        <v>0.40245079645492099</v>
      </c>
      <c r="G719" s="1307"/>
      <c r="H719" s="1307"/>
      <c r="N719" s="521"/>
      <c r="O719" s="521"/>
      <c r="P719" s="521"/>
      <c r="R719" s="1759"/>
      <c r="S719" s="1759"/>
      <c r="T719" s="1759"/>
    </row>
    <row r="720" spans="1:20" x14ac:dyDescent="0.25">
      <c r="A720" s="1307" t="s">
        <v>3038</v>
      </c>
      <c r="B720" s="1753">
        <v>6.9239766266191605E-2</v>
      </c>
      <c r="C720" s="1753">
        <v>6.2670217057251107E-2</v>
      </c>
      <c r="D720" s="1307">
        <v>5.5577843832342502E-2</v>
      </c>
      <c r="E720" s="1307">
        <v>5.4596957506189703E-2</v>
      </c>
      <c r="F720" s="1307">
        <v>5.42391841863425E-2</v>
      </c>
      <c r="G720" s="1307"/>
      <c r="H720" s="1307"/>
      <c r="N720" s="521"/>
      <c r="O720" s="521"/>
      <c r="P720" s="521"/>
      <c r="R720" s="1759"/>
      <c r="S720" s="1759"/>
      <c r="T720" s="1759"/>
    </row>
    <row r="721" spans="1:20" x14ac:dyDescent="0.25">
      <c r="A721" s="1307" t="s">
        <v>3039</v>
      </c>
      <c r="B721" s="1753">
        <v>0.52948351702172602</v>
      </c>
      <c r="C721" s="1753">
        <v>0.499336682786162</v>
      </c>
      <c r="D721" s="1307">
        <v>0.47405765149927798</v>
      </c>
      <c r="E721" s="1307">
        <v>0.45422741907537401</v>
      </c>
      <c r="F721" s="1307">
        <v>0.43357175827079297</v>
      </c>
      <c r="G721" s="1307"/>
      <c r="H721" s="1307"/>
      <c r="N721" s="521"/>
      <c r="O721" s="521"/>
      <c r="P721" s="521"/>
      <c r="R721" s="1759"/>
      <c r="S721" s="1759"/>
      <c r="T721" s="1759"/>
    </row>
    <row r="722" spans="1:20" x14ac:dyDescent="0.25">
      <c r="A722" s="1307" t="s">
        <v>3040</v>
      </c>
      <c r="B722" s="1753">
        <v>0.56857644905235405</v>
      </c>
      <c r="C722" s="1753">
        <v>0.53672786855652899</v>
      </c>
      <c r="D722" s="1307">
        <v>0.50980526290771699</v>
      </c>
      <c r="E722" s="1307">
        <v>0.48816871577698301</v>
      </c>
      <c r="F722" s="1307">
        <v>0.46602104559330598</v>
      </c>
      <c r="G722" s="1307"/>
      <c r="H722" s="1307"/>
      <c r="N722" s="521"/>
      <c r="O722" s="521"/>
      <c r="P722" s="521"/>
      <c r="R722" s="1759"/>
      <c r="S722" s="1759"/>
      <c r="T722" s="1759"/>
    </row>
    <row r="723" spans="1:20" x14ac:dyDescent="0.25">
      <c r="A723" s="1307" t="s">
        <v>3041</v>
      </c>
      <c r="B723" s="1753">
        <v>0.60596763482272098</v>
      </c>
      <c r="C723" s="1753">
        <v>0.57247547996496795</v>
      </c>
      <c r="D723" s="1307">
        <v>0.54374655960932605</v>
      </c>
      <c r="E723" s="1307">
        <v>0.52061800309949502</v>
      </c>
      <c r="F723" s="1307">
        <v>0.497043942547852</v>
      </c>
      <c r="G723" s="1307"/>
      <c r="H723" s="1307"/>
      <c r="N723" s="521"/>
      <c r="O723" s="521"/>
      <c r="P723" s="521"/>
      <c r="R723" s="1759"/>
      <c r="S723" s="1759"/>
      <c r="T723" s="1759"/>
    </row>
    <row r="724" spans="1:20" x14ac:dyDescent="0.25">
      <c r="A724" s="1307" t="s">
        <v>3042</v>
      </c>
      <c r="B724" s="1753">
        <v>0.64171524623115905</v>
      </c>
      <c r="C724" s="1753">
        <v>0.60641677666657701</v>
      </c>
      <c r="D724" s="1307">
        <v>0.57619584693183801</v>
      </c>
      <c r="E724" s="1307">
        <v>0.55164090005404098</v>
      </c>
      <c r="F724" s="1307">
        <v>0.52670318074620104</v>
      </c>
      <c r="G724" s="1307"/>
      <c r="H724" s="1307"/>
      <c r="N724" s="521"/>
      <c r="O724" s="521"/>
      <c r="P724" s="521"/>
      <c r="R724" s="1759"/>
      <c r="S724" s="1759"/>
      <c r="T724" s="1759"/>
    </row>
    <row r="725" spans="1:20" x14ac:dyDescent="0.25">
      <c r="A725" s="1307" t="s">
        <v>3043</v>
      </c>
      <c r="B725" s="1753">
        <v>0.675656542932768</v>
      </c>
      <c r="C725" s="1753">
        <v>0.63886606398908896</v>
      </c>
      <c r="D725" s="1307">
        <v>0.60721874388638397</v>
      </c>
      <c r="E725" s="1307">
        <v>0.58130013825239002</v>
      </c>
      <c r="F725" s="1307">
        <v>0.55505873151873597</v>
      </c>
      <c r="G725" s="1307"/>
      <c r="H725" s="1307"/>
      <c r="N725" s="521"/>
      <c r="O725" s="521"/>
      <c r="P725" s="521"/>
      <c r="R725" s="1759"/>
      <c r="S725" s="1759"/>
      <c r="T725" s="1759"/>
    </row>
    <row r="726" spans="1:20" x14ac:dyDescent="0.25">
      <c r="A726" s="1307" t="s">
        <v>3044</v>
      </c>
      <c r="B726" s="1753">
        <v>0.70810583025528095</v>
      </c>
      <c r="C726" s="1753">
        <v>0.66988896094363504</v>
      </c>
      <c r="D726" s="1307">
        <v>0.63687798208473301</v>
      </c>
      <c r="E726" s="1307">
        <v>0.60965568902492495</v>
      </c>
      <c r="F726" s="1307">
        <v>0.58216792743313095</v>
      </c>
      <c r="G726" s="1307"/>
      <c r="H726" s="1307"/>
      <c r="N726" s="521"/>
      <c r="O726" s="521"/>
      <c r="P726" s="521"/>
      <c r="R726" s="1759"/>
      <c r="S726" s="1759"/>
      <c r="T726" s="1759"/>
    </row>
    <row r="727" spans="1:20" x14ac:dyDescent="0.25">
      <c r="A727" s="1307" t="s">
        <v>3045</v>
      </c>
      <c r="B727" s="1753">
        <v>0.73912872720982703</v>
      </c>
      <c r="C727" s="1753">
        <v>0.69954819914198396</v>
      </c>
      <c r="D727" s="1307">
        <v>0.66523353285726805</v>
      </c>
      <c r="E727" s="1307">
        <v>0.63676488493932004</v>
      </c>
      <c r="F727" s="1307">
        <v>0.60814226482253197</v>
      </c>
      <c r="G727" s="1307"/>
      <c r="H727" s="1307"/>
      <c r="N727" s="521"/>
      <c r="O727" s="521"/>
      <c r="P727" s="521"/>
      <c r="R727" s="1759"/>
      <c r="S727" s="1759"/>
      <c r="T727" s="1759"/>
    </row>
    <row r="728" spans="1:20" x14ac:dyDescent="0.25">
      <c r="A728" s="1307" t="s">
        <v>3046</v>
      </c>
      <c r="B728" s="1753">
        <v>0.76878796540817496</v>
      </c>
      <c r="C728" s="1753">
        <v>0.727903749914519</v>
      </c>
      <c r="D728" s="1307">
        <v>0.69234272877166303</v>
      </c>
      <c r="E728" s="1307">
        <v>0.66273922232872196</v>
      </c>
      <c r="F728" s="1307">
        <v>0.63297487764938598</v>
      </c>
      <c r="G728" s="1307"/>
      <c r="H728" s="1307"/>
      <c r="N728" s="521"/>
      <c r="O728" s="521"/>
      <c r="P728" s="521"/>
      <c r="R728" s="1759"/>
      <c r="S728" s="1759"/>
      <c r="T728" s="1759"/>
    </row>
    <row r="729" spans="1:20" x14ac:dyDescent="0.25">
      <c r="A729" s="1307" t="s">
        <v>3047</v>
      </c>
      <c r="B729" s="1753">
        <v>0.79714351618071</v>
      </c>
      <c r="C729" s="1753">
        <v>0.75501294582891398</v>
      </c>
      <c r="D729" s="1307">
        <v>0.71831706616106406</v>
      </c>
      <c r="E729" s="1307">
        <v>0.68757183515557496</v>
      </c>
      <c r="F729" s="1307">
        <v>0.65671597620116096</v>
      </c>
      <c r="G729" s="1307"/>
      <c r="H729" s="1307"/>
      <c r="N729" s="521"/>
      <c r="O729" s="521"/>
      <c r="P729" s="521"/>
      <c r="R729" s="1759"/>
      <c r="S729" s="1759"/>
      <c r="T729" s="1759"/>
    </row>
    <row r="730" spans="1:20" x14ac:dyDescent="0.25">
      <c r="A730" s="1307" t="s">
        <v>3048</v>
      </c>
      <c r="B730" s="1753">
        <v>0.82425271209510598</v>
      </c>
      <c r="C730" s="1753">
        <v>0.78098728321831601</v>
      </c>
      <c r="D730" s="1307">
        <v>0.74314967898791795</v>
      </c>
      <c r="E730" s="1307">
        <v>0.71131293370735105</v>
      </c>
      <c r="F730" s="1307">
        <v>0.67941356152670795</v>
      </c>
      <c r="G730" s="1307"/>
      <c r="H730" s="1307"/>
      <c r="N730" s="521"/>
      <c r="O730" s="521"/>
      <c r="P730" s="521"/>
      <c r="R730" s="1759"/>
      <c r="S730" s="1759"/>
      <c r="T730" s="1759"/>
    </row>
    <row r="731" spans="1:20" x14ac:dyDescent="0.25">
      <c r="A731" s="1307" t="s">
        <v>3049</v>
      </c>
      <c r="B731" s="1753">
        <v>0.131909983323443</v>
      </c>
      <c r="C731" s="1753">
        <v>0.118248060889594</v>
      </c>
      <c r="D731" s="1307">
        <v>0.110174801338532</v>
      </c>
      <c r="E731" s="1307">
        <v>0.108836141692532</v>
      </c>
      <c r="F731" s="1307">
        <v>0.106933827016557</v>
      </c>
      <c r="G731" s="1307"/>
      <c r="H731" s="1307"/>
      <c r="N731" s="521"/>
      <c r="O731" s="521"/>
      <c r="P731" s="521"/>
      <c r="R731" s="1759"/>
      <c r="S731" s="1759"/>
      <c r="T731" s="1759"/>
    </row>
    <row r="732" spans="1:20" x14ac:dyDescent="0.25">
      <c r="A732" s="1307" t="s">
        <v>3050</v>
      </c>
      <c r="B732" s="1753">
        <v>0.850227049484507</v>
      </c>
      <c r="C732" s="1753">
        <v>0.80581989604516902</v>
      </c>
      <c r="D732" s="1307">
        <v>0.76689077753969304</v>
      </c>
      <c r="E732" s="1307">
        <v>0.73401051903289805</v>
      </c>
      <c r="F732" s="1307">
        <v>0.70111352269194305</v>
      </c>
      <c r="G732" s="1307"/>
      <c r="H732" s="1307"/>
      <c r="N732" s="521"/>
      <c r="O732" s="521"/>
      <c r="P732" s="521"/>
      <c r="R732" s="1759"/>
      <c r="S732" s="1759"/>
      <c r="T732" s="1759"/>
    </row>
    <row r="733" spans="1:20" x14ac:dyDescent="0.25">
      <c r="A733" s="1307" t="s">
        <v>3051</v>
      </c>
      <c r="B733" s="1753">
        <v>0.87505966231136101</v>
      </c>
      <c r="C733" s="1753">
        <v>0.82956099459694399</v>
      </c>
      <c r="D733" s="1307">
        <v>0.78958836286524003</v>
      </c>
      <c r="E733" s="1307">
        <v>0.75571048019813303</v>
      </c>
      <c r="F733" s="1307">
        <v>0.72185972975189205</v>
      </c>
      <c r="G733" s="1307"/>
      <c r="H733" s="1307"/>
      <c r="N733" s="521"/>
      <c r="O733" s="521"/>
      <c r="P733" s="521"/>
      <c r="R733" s="1759"/>
      <c r="S733" s="1759"/>
      <c r="T733" s="1759"/>
    </row>
    <row r="734" spans="1:20" x14ac:dyDescent="0.25">
      <c r="A734" s="1307" t="s">
        <v>3052</v>
      </c>
      <c r="B734" s="1753">
        <v>0.89880076086313598</v>
      </c>
      <c r="C734" s="1753">
        <v>0.85225857992249199</v>
      </c>
      <c r="D734" s="1307">
        <v>0.81128832403047502</v>
      </c>
      <c r="E734" s="1307">
        <v>0.77645668725808104</v>
      </c>
      <c r="F734" s="1307">
        <v>0.74127411030584001</v>
      </c>
      <c r="G734" s="1307"/>
      <c r="H734" s="1307"/>
      <c r="N734" s="521"/>
      <c r="O734" s="521"/>
      <c r="P734" s="521"/>
      <c r="R734" s="1759"/>
      <c r="S734" s="1759"/>
      <c r="T734" s="1759"/>
    </row>
    <row r="735" spans="1:20" x14ac:dyDescent="0.25">
      <c r="A735" s="1307" t="s">
        <v>3053</v>
      </c>
      <c r="B735" s="1753">
        <v>0.92149834618868298</v>
      </c>
      <c r="C735" s="1753">
        <v>0.87395854108772597</v>
      </c>
      <c r="D735" s="1307">
        <v>0.83203453109042402</v>
      </c>
      <c r="E735" s="1307">
        <v>0.79587106781202999</v>
      </c>
      <c r="F735" s="1307">
        <v>0.75944216248060004</v>
      </c>
      <c r="G735" s="1307"/>
      <c r="H735" s="1307"/>
      <c r="N735" s="521"/>
      <c r="O735" s="521"/>
      <c r="P735" s="521"/>
      <c r="R735" s="1759"/>
      <c r="S735" s="1759"/>
      <c r="T735" s="1759"/>
    </row>
    <row r="736" spans="1:20" x14ac:dyDescent="0.25">
      <c r="A736" s="1307" t="s">
        <v>3054</v>
      </c>
      <c r="B736" s="1753">
        <v>0.94319830735391796</v>
      </c>
      <c r="C736" s="1753">
        <v>0.89470474814767498</v>
      </c>
      <c r="D736" s="1307">
        <v>0.85144891164437198</v>
      </c>
      <c r="E736" s="1307">
        <v>0.81403911998678902</v>
      </c>
      <c r="F736" s="1307">
        <v>0.77644389575287998</v>
      </c>
      <c r="G736" s="1307"/>
      <c r="H736" s="1307"/>
      <c r="N736" s="521"/>
      <c r="O736" s="521"/>
      <c r="P736" s="521"/>
      <c r="R736" s="1759"/>
      <c r="S736" s="1759"/>
      <c r="T736" s="1759"/>
    </row>
    <row r="737" spans="1:20" x14ac:dyDescent="0.25">
      <c r="A737" s="1307" t="s">
        <v>3055</v>
      </c>
      <c r="B737" s="1753">
        <v>0.96394451441386697</v>
      </c>
      <c r="C737" s="1753">
        <v>0.91411912870162304</v>
      </c>
      <c r="D737" s="1307">
        <v>0.86961696381913201</v>
      </c>
      <c r="E737" s="1307">
        <v>0.83104085325906996</v>
      </c>
      <c r="F737" s="1307">
        <v>0.79235418329946605</v>
      </c>
      <c r="G737" s="1307"/>
      <c r="H737" s="1307"/>
      <c r="N737" s="521"/>
      <c r="O737" s="521"/>
      <c r="P737" s="521"/>
      <c r="R737" s="1759"/>
      <c r="S737" s="1759"/>
      <c r="T737" s="1759"/>
    </row>
    <row r="738" spans="1:20" x14ac:dyDescent="0.25">
      <c r="A738" s="1307" t="s">
        <v>3056</v>
      </c>
      <c r="B738" s="1753">
        <v>0.98335889496781503</v>
      </c>
      <c r="C738" s="1753">
        <v>0.93228718087638296</v>
      </c>
      <c r="D738" s="1307">
        <v>0.88661869709141305</v>
      </c>
      <c r="E738" s="1307">
        <v>0.84695114080565503</v>
      </c>
      <c r="F738" s="1307">
        <v>0.80724309172786302</v>
      </c>
      <c r="G738" s="1307"/>
      <c r="H738" s="1307"/>
      <c r="N738" s="521"/>
      <c r="O738" s="521"/>
      <c r="P738" s="521"/>
      <c r="R738" s="1759"/>
      <c r="S738" s="1759"/>
      <c r="T738" s="1759"/>
    </row>
    <row r="739" spans="1:20" x14ac:dyDescent="0.25">
      <c r="A739" s="1307" t="s">
        <v>3057</v>
      </c>
      <c r="B739" s="1753">
        <v>1.0015269471425701</v>
      </c>
      <c r="C739" s="1753">
        <v>0.94928891414866401</v>
      </c>
      <c r="D739" s="1307">
        <v>0.90252898463799802</v>
      </c>
      <c r="E739" s="1307">
        <v>0.861840049234053</v>
      </c>
      <c r="F739" s="1307">
        <v>0.82117618963952099</v>
      </c>
      <c r="G739" s="1307"/>
      <c r="H739" s="1307"/>
      <c r="N739" s="521"/>
      <c r="O739" s="521"/>
      <c r="P739" s="521"/>
      <c r="R739" s="1759"/>
      <c r="S739" s="1759"/>
      <c r="T739" s="1759"/>
    </row>
    <row r="740" spans="1:20" x14ac:dyDescent="0.25">
      <c r="A740" s="1307" t="s">
        <v>3058</v>
      </c>
      <c r="B740" s="1753">
        <v>1.0185286804148601</v>
      </c>
      <c r="C740" s="1753">
        <v>0.96519920169524898</v>
      </c>
      <c r="D740" s="1307">
        <v>0.91741789306639498</v>
      </c>
      <c r="E740" s="1307">
        <v>0.87577314714570997</v>
      </c>
      <c r="F740" s="1307">
        <v>0.83421483638447402</v>
      </c>
      <c r="G740" s="1307"/>
      <c r="H740" s="1307"/>
      <c r="N740" s="521"/>
      <c r="O740" s="521"/>
      <c r="P740" s="521"/>
      <c r="R740" s="1759"/>
      <c r="S740" s="1759"/>
      <c r="T740" s="1759"/>
    </row>
    <row r="741" spans="1:20" x14ac:dyDescent="0.25">
      <c r="A741" s="1307" t="s">
        <v>3059</v>
      </c>
      <c r="B741" s="1753">
        <v>1.0344389679614401</v>
      </c>
      <c r="C741" s="1753">
        <v>0.98008811012364705</v>
      </c>
      <c r="D741" s="1307">
        <v>0.93135099097805296</v>
      </c>
      <c r="E741" s="1307">
        <v>0.888811793890664</v>
      </c>
      <c r="F741" s="1307">
        <v>0.84641645227906004</v>
      </c>
      <c r="G741" s="1307"/>
      <c r="H741" s="1307"/>
      <c r="N741" s="521"/>
      <c r="O741" s="521"/>
      <c r="P741" s="521"/>
      <c r="R741" s="1759"/>
      <c r="S741" s="1759"/>
      <c r="T741" s="1759"/>
    </row>
    <row r="742" spans="1:20" x14ac:dyDescent="0.25">
      <c r="A742" s="1307" t="s">
        <v>3060</v>
      </c>
      <c r="B742" s="1753">
        <v>0.18748782715578499</v>
      </c>
      <c r="C742" s="1753">
        <v>0.17284501839578301</v>
      </c>
      <c r="D742" s="1307">
        <v>0.16441398552487499</v>
      </c>
      <c r="E742" s="1307">
        <v>0.161530784522747</v>
      </c>
      <c r="F742" s="1307">
        <v>0.15631902236641201</v>
      </c>
      <c r="G742" s="1307"/>
      <c r="H742" s="1307"/>
      <c r="N742" s="521"/>
      <c r="O742" s="521"/>
      <c r="P742" s="521"/>
      <c r="R742" s="1759"/>
      <c r="S742" s="1759"/>
      <c r="T742" s="1759"/>
    </row>
    <row r="743" spans="1:20" x14ac:dyDescent="0.25">
      <c r="A743" s="1307" t="s">
        <v>3061</v>
      </c>
      <c r="B743" s="1753">
        <v>1.0493278763898399</v>
      </c>
      <c r="C743" s="1753">
        <v>0.99402120803530403</v>
      </c>
      <c r="D743" s="1307">
        <v>0.94438963772300699</v>
      </c>
      <c r="E743" s="1307">
        <v>0.90101340978524902</v>
      </c>
      <c r="F743" s="1307">
        <v>0.85783477147668796</v>
      </c>
      <c r="G743" s="1307"/>
      <c r="H743" s="1307"/>
      <c r="N743" s="521"/>
      <c r="O743" s="521"/>
      <c r="P743" s="521"/>
      <c r="R743" s="1759"/>
      <c r="S743" s="1759"/>
      <c r="T743" s="1759"/>
    </row>
    <row r="744" spans="1:20" x14ac:dyDescent="0.25">
      <c r="A744" s="1307" t="s">
        <v>3062</v>
      </c>
      <c r="B744" s="1753">
        <v>0.242084784661975</v>
      </c>
      <c r="C744" s="1753">
        <v>0.227084202582126</v>
      </c>
      <c r="D744" s="1307">
        <v>0.21710862835508901</v>
      </c>
      <c r="E744" s="1307">
        <v>0.21091597987260199</v>
      </c>
      <c r="F744" s="1307">
        <v>0.20248995610742501</v>
      </c>
      <c r="G744" s="1307"/>
      <c r="H744" s="1307"/>
      <c r="N744" s="521"/>
      <c r="O744" s="521"/>
      <c r="P744" s="521"/>
      <c r="R744" s="1759"/>
      <c r="S744" s="1759"/>
      <c r="T744" s="1759"/>
    </row>
    <row r="745" spans="1:20" x14ac:dyDescent="0.25">
      <c r="A745" s="1307" t="s">
        <v>3063</v>
      </c>
      <c r="B745" s="1753">
        <v>0.29632396884831702</v>
      </c>
      <c r="C745" s="1753">
        <v>0.27977884541234099</v>
      </c>
      <c r="D745" s="1307">
        <v>0.26649382370494501</v>
      </c>
      <c r="E745" s="1307">
        <v>0.25708691361361502</v>
      </c>
      <c r="F745" s="1307">
        <v>0.245965923031395</v>
      </c>
      <c r="G745" s="1307"/>
      <c r="H745" s="1307"/>
      <c r="N745" s="521"/>
      <c r="O745" s="521"/>
      <c r="P745" s="521"/>
      <c r="R745" s="1759"/>
      <c r="S745" s="1759"/>
      <c r="T745" s="1759"/>
    </row>
    <row r="746" spans="1:20" x14ac:dyDescent="0.25">
      <c r="A746" s="1307" t="s">
        <v>3064</v>
      </c>
      <c r="B746" s="1753">
        <v>0.34901861167853199</v>
      </c>
      <c r="C746" s="1753">
        <v>0.32916404076219602</v>
      </c>
      <c r="D746" s="1307">
        <v>0.31266475744595701</v>
      </c>
      <c r="E746" s="1307">
        <v>0.30056288053758501</v>
      </c>
      <c r="F746" s="1307">
        <v>0.287398732359751</v>
      </c>
      <c r="G746" s="1307"/>
      <c r="H746" s="1307"/>
      <c r="N746" s="521"/>
      <c r="O746" s="521"/>
      <c r="P746" s="521"/>
      <c r="R746" s="1759"/>
      <c r="S746" s="1759"/>
      <c r="T746" s="1759"/>
    </row>
    <row r="747" spans="1:20" x14ac:dyDescent="0.25">
      <c r="A747" s="1307" t="s">
        <v>3065</v>
      </c>
      <c r="B747" s="1753">
        <v>0.39840380702838701</v>
      </c>
      <c r="C747" s="1753">
        <v>0.37533497450320802</v>
      </c>
      <c r="D747" s="1307">
        <v>0.356140724369927</v>
      </c>
      <c r="E747" s="1307">
        <v>0.34199568986594098</v>
      </c>
      <c r="F747" s="1307">
        <v>0.32649166439037902</v>
      </c>
      <c r="G747" s="1307"/>
      <c r="H747" s="1307"/>
      <c r="N747" s="521"/>
      <c r="O747" s="521"/>
      <c r="P747" s="521"/>
      <c r="R747" s="1759"/>
      <c r="S747" s="1759"/>
      <c r="T747" s="1759"/>
    </row>
    <row r="748" spans="1:20" x14ac:dyDescent="0.25">
      <c r="A748" s="1307" t="s">
        <v>3066</v>
      </c>
      <c r="B748" s="1753">
        <v>0.44457474076940001</v>
      </c>
      <c r="C748" s="1753">
        <v>0.41881094142717801</v>
      </c>
      <c r="D748" s="1307">
        <v>0.39757353369828302</v>
      </c>
      <c r="E748" s="1307">
        <v>0.381088621896568</v>
      </c>
      <c r="F748" s="1307">
        <v>0.36388285016074601</v>
      </c>
      <c r="G748" s="1307"/>
      <c r="H748" s="1307"/>
      <c r="N748" s="521"/>
      <c r="O748" s="521"/>
      <c r="P748" s="521"/>
      <c r="R748" s="1759"/>
      <c r="S748" s="1759"/>
      <c r="T748" s="1759"/>
    </row>
    <row r="749" spans="1:20" x14ac:dyDescent="0.25">
      <c r="A749" s="1307" t="s">
        <v>3067</v>
      </c>
      <c r="B749" s="1753">
        <v>0.48805070769337</v>
      </c>
      <c r="C749" s="1753">
        <v>0.46024375075553398</v>
      </c>
      <c r="D749" s="1307">
        <v>0.43666646572891099</v>
      </c>
      <c r="E749" s="1307">
        <v>0.41847980766693499</v>
      </c>
      <c r="F749" s="1307">
        <v>0.39963046156918403</v>
      </c>
      <c r="G749" s="1307"/>
      <c r="H749" s="1307"/>
      <c r="N749" s="521"/>
      <c r="O749" s="521"/>
      <c r="P749" s="521"/>
      <c r="R749" s="1759"/>
      <c r="S749" s="1759"/>
      <c r="T749" s="1759"/>
    </row>
    <row r="750" spans="1:20" x14ac:dyDescent="0.25">
      <c r="A750" s="1307" t="s">
        <v>3068</v>
      </c>
      <c r="B750" s="1753">
        <v>6.6631665194838832E-2</v>
      </c>
      <c r="C750" s="1753">
        <v>6.2354169188507225E-2</v>
      </c>
      <c r="D750" s="1307">
        <v>5.634557542581746E-2</v>
      </c>
      <c r="E750" s="1307">
        <v>4.9850342965795096E-2</v>
      </c>
      <c r="F750" s="1307">
        <v>4.9021730244855399E-2</v>
      </c>
      <c r="G750" s="1307"/>
      <c r="H750" s="1307"/>
      <c r="N750" s="521"/>
      <c r="O750" s="521"/>
      <c r="P750" s="521"/>
      <c r="R750" s="1759"/>
      <c r="S750" s="1759"/>
      <c r="T750" s="1759"/>
    </row>
    <row r="751" spans="1:20" x14ac:dyDescent="0.25">
      <c r="A751" s="1307" t="s">
        <v>3069</v>
      </c>
      <c r="B751" s="1753">
        <v>0.5053049878580318</v>
      </c>
      <c r="C751" s="1753">
        <v>0.47588413924283096</v>
      </c>
      <c r="D751" s="1307">
        <v>0.44862640511018198</v>
      </c>
      <c r="E751" s="1307">
        <v>0.4258516786424098</v>
      </c>
      <c r="F751" s="1307">
        <v>0.4080981715647094</v>
      </c>
      <c r="G751" s="1307"/>
      <c r="H751" s="1307"/>
      <c r="N751" s="521"/>
      <c r="O751" s="521"/>
      <c r="P751" s="521"/>
      <c r="R751" s="1759"/>
      <c r="S751" s="1759"/>
      <c r="T751" s="1759"/>
    </row>
    <row r="752" spans="1:20" x14ac:dyDescent="0.25">
      <c r="A752" s="1307" t="s">
        <v>3070</v>
      </c>
      <c r="B752" s="1753">
        <v>0.54251580443766967</v>
      </c>
      <c r="C752" s="1753">
        <v>0.51098057429868926</v>
      </c>
      <c r="D752" s="1307">
        <v>0.48219725406822711</v>
      </c>
      <c r="E752" s="1307">
        <v>0.45794851453050434</v>
      </c>
      <c r="F752" s="1307">
        <v>0.43856799751864295</v>
      </c>
      <c r="G752" s="1307"/>
      <c r="H752" s="1307"/>
      <c r="N752" s="521"/>
      <c r="O752" s="521"/>
      <c r="P752" s="521"/>
      <c r="R752" s="1759"/>
      <c r="S752" s="1759"/>
      <c r="T752" s="1759"/>
    </row>
    <row r="753" spans="1:20" x14ac:dyDescent="0.25">
      <c r="A753" s="1307" t="s">
        <v>3071</v>
      </c>
      <c r="B753" s="1753">
        <v>0.57761223949352802</v>
      </c>
      <c r="C753" s="1753">
        <v>0.54455142325673433</v>
      </c>
      <c r="D753" s="1307">
        <v>0.51429408995632198</v>
      </c>
      <c r="E753" s="1307">
        <v>0.488418340484438</v>
      </c>
      <c r="F753" s="1307">
        <v>0.46769990113556725</v>
      </c>
      <c r="G753" s="1307"/>
      <c r="H753" s="1307"/>
      <c r="N753" s="521"/>
      <c r="O753" s="521"/>
      <c r="P753" s="521"/>
      <c r="R753" s="1759"/>
      <c r="S753" s="1759"/>
      <c r="T753" s="1759"/>
    </row>
    <row r="754" spans="1:20" x14ac:dyDescent="0.25">
      <c r="A754" s="1307" t="s">
        <v>3072</v>
      </c>
      <c r="B754" s="1753">
        <v>0.61118308845157332</v>
      </c>
      <c r="C754" s="1753">
        <v>0.57664825914482909</v>
      </c>
      <c r="D754" s="1307">
        <v>0.5447639159102553</v>
      </c>
      <c r="E754" s="1307">
        <v>0.51755024410136241</v>
      </c>
      <c r="F754" s="1307">
        <v>0.49555265800305293</v>
      </c>
      <c r="G754" s="1307"/>
      <c r="H754" s="1307"/>
      <c r="N754" s="521"/>
      <c r="O754" s="521"/>
      <c r="P754" s="521"/>
      <c r="R754" s="1759"/>
      <c r="S754" s="1759"/>
      <c r="T754" s="1759"/>
    </row>
    <row r="755" spans="1:20" x14ac:dyDescent="0.25">
      <c r="A755" s="1307" t="s">
        <v>3073</v>
      </c>
      <c r="B755" s="1753">
        <v>0.64327992433966796</v>
      </c>
      <c r="C755" s="1753">
        <v>0.60711808509876264</v>
      </c>
      <c r="D755" s="1307">
        <v>0.57389581952717994</v>
      </c>
      <c r="E755" s="1307">
        <v>0.54540300096884797</v>
      </c>
      <c r="F755" s="1307">
        <v>0.52218246042244287</v>
      </c>
      <c r="G755" s="1307"/>
      <c r="H755" s="1307"/>
      <c r="N755" s="521"/>
      <c r="O755" s="521"/>
      <c r="P755" s="521"/>
      <c r="R755" s="1759"/>
      <c r="S755" s="1759"/>
      <c r="T755" s="1759"/>
    </row>
    <row r="756" spans="1:20" x14ac:dyDescent="0.25">
      <c r="A756" s="1307" t="s">
        <v>3074</v>
      </c>
      <c r="B756" s="1753">
        <v>0.67374975029360162</v>
      </c>
      <c r="C756" s="1753">
        <v>0.63624998871568716</v>
      </c>
      <c r="D756" s="1307">
        <v>0.6017485763946655</v>
      </c>
      <c r="E756" s="1307">
        <v>0.57203280338823781</v>
      </c>
      <c r="F756" s="1307">
        <v>0.54764303100452016</v>
      </c>
      <c r="G756" s="1307"/>
      <c r="H756" s="1307"/>
      <c r="N756" s="521"/>
      <c r="O756" s="521"/>
      <c r="P756" s="521"/>
      <c r="R756" s="1759"/>
      <c r="S756" s="1759"/>
      <c r="T756" s="1759"/>
    </row>
    <row r="757" spans="1:20" x14ac:dyDescent="0.25">
      <c r="A757" s="1307" t="s">
        <v>3075</v>
      </c>
      <c r="B757" s="1753">
        <v>0.70288165391052593</v>
      </c>
      <c r="C757" s="1753">
        <v>0.66410274558317273</v>
      </c>
      <c r="D757" s="1307">
        <v>0.62837837881405534</v>
      </c>
      <c r="E757" s="1307">
        <v>0.59749337397031532</v>
      </c>
      <c r="F757" s="1307">
        <v>0.57198573126749186</v>
      </c>
      <c r="G757" s="1307"/>
      <c r="H757" s="1307"/>
      <c r="N757" s="521"/>
      <c r="O757" s="521"/>
      <c r="P757" s="521"/>
      <c r="R757" s="1759"/>
      <c r="S757" s="1759"/>
      <c r="T757" s="1759"/>
    </row>
    <row r="758" spans="1:20" x14ac:dyDescent="0.25">
      <c r="A758" s="1307" t="s">
        <v>3076</v>
      </c>
      <c r="B758" s="1753">
        <v>0.7307344107780116</v>
      </c>
      <c r="C758" s="1753">
        <v>0.69073254800256256</v>
      </c>
      <c r="D758" s="1307">
        <v>0.65383894939613263</v>
      </c>
      <c r="E758" s="1307">
        <v>0.62183607423328691</v>
      </c>
      <c r="F758" s="1307">
        <v>0.59530660686530512</v>
      </c>
      <c r="G758" s="1307"/>
      <c r="H758" s="1307"/>
      <c r="N758" s="521"/>
      <c r="O758" s="521"/>
      <c r="P758" s="521"/>
      <c r="R758" s="1759"/>
      <c r="S758" s="1759"/>
      <c r="T758" s="1759"/>
    </row>
    <row r="759" spans="1:20" x14ac:dyDescent="0.25">
      <c r="A759" s="1307" t="s">
        <v>3077</v>
      </c>
      <c r="B759" s="1753">
        <v>0.75736421319740144</v>
      </c>
      <c r="C759" s="1753">
        <v>0.71619311858463985</v>
      </c>
      <c r="D759" s="1307">
        <v>0.67818164965910432</v>
      </c>
      <c r="E759" s="1307">
        <v>0.64515694983110039</v>
      </c>
      <c r="F759" s="1307">
        <v>0.61760352771804705</v>
      </c>
      <c r="G759" s="1307"/>
      <c r="H759" s="1307"/>
      <c r="N759" s="521"/>
      <c r="O759" s="521"/>
      <c r="P759" s="521"/>
      <c r="R759" s="1759"/>
      <c r="S759" s="1759"/>
      <c r="T759" s="1759"/>
    </row>
    <row r="760" spans="1:20" x14ac:dyDescent="0.25">
      <c r="A760" s="1307" t="s">
        <v>3078</v>
      </c>
      <c r="B760" s="1753">
        <v>0.78282478377947917</v>
      </c>
      <c r="C760" s="1753">
        <v>0.74053581884761155</v>
      </c>
      <c r="D760" s="1307">
        <v>0.70150252525691748</v>
      </c>
      <c r="E760" s="1307">
        <v>0.66745387068384188</v>
      </c>
      <c r="F760" s="1307">
        <v>0.63892147401468535</v>
      </c>
      <c r="G760" s="1307"/>
      <c r="H760" s="1307"/>
      <c r="N760" s="521"/>
      <c r="O760" s="521"/>
      <c r="P760" s="521"/>
      <c r="R760" s="1759"/>
      <c r="S760" s="1759"/>
      <c r="T760" s="1759"/>
    </row>
    <row r="761" spans="1:20" x14ac:dyDescent="0.25">
      <c r="A761" s="1307" t="s">
        <v>3079</v>
      </c>
      <c r="B761" s="1753">
        <v>0.12898583438334604</v>
      </c>
      <c r="C761" s="1753">
        <v>0.1186997446143247</v>
      </c>
      <c r="D761" s="1307">
        <v>0.10619591839161256</v>
      </c>
      <c r="E761" s="1307">
        <v>9.8872073210650474E-2</v>
      </c>
      <c r="F761" s="1307">
        <v>9.7785132685545825E-2</v>
      </c>
      <c r="G761" s="1307"/>
      <c r="H761" s="1307"/>
      <c r="N761" s="521"/>
      <c r="O761" s="521"/>
      <c r="P761" s="521"/>
      <c r="R761" s="1759"/>
      <c r="S761" s="1759"/>
      <c r="T761" s="1759"/>
    </row>
    <row r="762" spans="1:20" x14ac:dyDescent="0.25">
      <c r="A762" s="1307" t="s">
        <v>3080</v>
      </c>
      <c r="B762" s="1753">
        <v>0.80716748404245053</v>
      </c>
      <c r="C762" s="1753">
        <v>0.76385669444542492</v>
      </c>
      <c r="D762" s="1307">
        <v>0.72379944610965941</v>
      </c>
      <c r="E762" s="1307">
        <v>0.68877181698048062</v>
      </c>
      <c r="F762" s="1307">
        <v>0.65930344910776795</v>
      </c>
      <c r="G762" s="1307"/>
      <c r="H762" s="1307"/>
      <c r="N762" s="521"/>
      <c r="O762" s="521"/>
      <c r="P762" s="521"/>
      <c r="R762" s="1759"/>
      <c r="S762" s="1759"/>
      <c r="T762" s="1759"/>
    </row>
    <row r="763" spans="1:20" x14ac:dyDescent="0.25">
      <c r="A763" s="1307" t="s">
        <v>3081</v>
      </c>
      <c r="B763" s="1753">
        <v>0.8304883596402638</v>
      </c>
      <c r="C763" s="1753">
        <v>0.78615361529816652</v>
      </c>
      <c r="D763" s="1307">
        <v>0.74511739240629793</v>
      </c>
      <c r="E763" s="1307">
        <v>0.70915379207356299</v>
      </c>
      <c r="F763" s="1307">
        <v>0.67879056643615177</v>
      </c>
      <c r="G763" s="1307"/>
      <c r="H763" s="1307"/>
      <c r="N763" s="521"/>
      <c r="O763" s="521"/>
      <c r="P763" s="521"/>
      <c r="R763" s="1759"/>
      <c r="S763" s="1759"/>
      <c r="T763" s="1759"/>
    </row>
    <row r="764" spans="1:20" x14ac:dyDescent="0.25">
      <c r="A764" s="1307" t="s">
        <v>3082</v>
      </c>
      <c r="B764" s="1753">
        <v>0.85278528049300562</v>
      </c>
      <c r="C764" s="1753">
        <v>0.80747156159480504</v>
      </c>
      <c r="D764" s="1307">
        <v>0.76549936749938041</v>
      </c>
      <c r="E764" s="1307">
        <v>0.72864090940194681</v>
      </c>
      <c r="F764" s="1307">
        <v>0.69702668596486594</v>
      </c>
      <c r="G764" s="1307"/>
      <c r="H764" s="1307"/>
      <c r="N764" s="521"/>
      <c r="O764" s="521"/>
      <c r="P764" s="521"/>
      <c r="R764" s="1759"/>
      <c r="S764" s="1759"/>
      <c r="T764" s="1759"/>
    </row>
    <row r="765" spans="1:20" x14ac:dyDescent="0.25">
      <c r="A765" s="1307" t="s">
        <v>3083</v>
      </c>
      <c r="B765" s="1753">
        <v>0.87410322678964425</v>
      </c>
      <c r="C765" s="1753">
        <v>0.82785353668788775</v>
      </c>
      <c r="D765" s="1307">
        <v>0.78498648482776412</v>
      </c>
      <c r="E765" s="1307">
        <v>0.7468770289306611</v>
      </c>
      <c r="F765" s="1307">
        <v>0.71409211692941232</v>
      </c>
      <c r="G765" s="1307"/>
      <c r="H765" s="1307"/>
      <c r="N765" s="521"/>
      <c r="O765" s="521"/>
      <c r="P765" s="521"/>
      <c r="R765" s="1759"/>
      <c r="S765" s="1759"/>
      <c r="T765" s="1759"/>
    </row>
    <row r="766" spans="1:20" x14ac:dyDescent="0.25">
      <c r="A766" s="1307" t="s">
        <v>3084</v>
      </c>
      <c r="B766" s="1753">
        <v>0.89448520188272651</v>
      </c>
      <c r="C766" s="1753">
        <v>0.84734065401627157</v>
      </c>
      <c r="D766" s="1307">
        <v>0.80322260435647841</v>
      </c>
      <c r="E766" s="1307">
        <v>0.76394245989520726</v>
      </c>
      <c r="F766" s="1307">
        <v>0.73006201302200657</v>
      </c>
      <c r="G766" s="1307"/>
      <c r="H766" s="1307"/>
      <c r="N766" s="521"/>
      <c r="O766" s="521"/>
      <c r="P766" s="521"/>
      <c r="R766" s="1759"/>
      <c r="S766" s="1759"/>
      <c r="T766" s="1759"/>
    </row>
    <row r="767" spans="1:20" x14ac:dyDescent="0.25">
      <c r="A767" s="1307" t="s">
        <v>3085</v>
      </c>
      <c r="B767" s="1753">
        <v>0.91397231921111055</v>
      </c>
      <c r="C767" s="1753">
        <v>0.86557677354498552</v>
      </c>
      <c r="D767" s="1307">
        <v>0.82028803532102479</v>
      </c>
      <c r="E767" s="1307">
        <v>0.77991235598780162</v>
      </c>
      <c r="F767" s="1307">
        <v>0.74500670335758057</v>
      </c>
      <c r="G767" s="1307"/>
      <c r="H767" s="1307"/>
      <c r="N767" s="521"/>
      <c r="O767" s="521"/>
      <c r="P767" s="521"/>
      <c r="R767" s="1759"/>
      <c r="S767" s="1759"/>
      <c r="T767" s="1759"/>
    </row>
    <row r="768" spans="1:20" x14ac:dyDescent="0.25">
      <c r="A768" s="1307" t="s">
        <v>3086</v>
      </c>
      <c r="B768" s="1753">
        <v>0.18533140980916346</v>
      </c>
      <c r="C768" s="1753">
        <v>0.16855008758011975</v>
      </c>
      <c r="D768" s="1307">
        <v>0.15521764863646798</v>
      </c>
      <c r="E768" s="1307">
        <v>0.14763547565134091</v>
      </c>
      <c r="F768" s="1307">
        <v>0.14518724287810439</v>
      </c>
      <c r="G768" s="1307"/>
      <c r="H768" s="1307"/>
      <c r="N768" s="521"/>
      <c r="O768" s="521"/>
      <c r="P768" s="521"/>
      <c r="R768" s="1759"/>
      <c r="S768" s="1759"/>
      <c r="T768" s="1759"/>
    </row>
    <row r="769" spans="1:20" x14ac:dyDescent="0.25">
      <c r="A769" s="1307" t="s">
        <v>3087</v>
      </c>
      <c r="B769" s="1753">
        <v>0.23518175277495865</v>
      </c>
      <c r="C769" s="1753">
        <v>0.21757181782497517</v>
      </c>
      <c r="D769" s="1307">
        <v>0.20398105107715847</v>
      </c>
      <c r="E769" s="1307">
        <v>0.19503758584389952</v>
      </c>
      <c r="F769" s="1307">
        <v>0.1895896104385546</v>
      </c>
      <c r="G769" s="1307"/>
      <c r="H769" s="1307"/>
      <c r="N769" s="521"/>
      <c r="O769" s="521"/>
      <c r="P769" s="521"/>
      <c r="R769" s="1759"/>
      <c r="S769" s="1759"/>
      <c r="T769" s="1759"/>
    </row>
    <row r="770" spans="1:20" x14ac:dyDescent="0.25">
      <c r="A770" s="1307" t="s">
        <v>3088</v>
      </c>
      <c r="B770" s="1753">
        <v>0.28420348301981402</v>
      </c>
      <c r="C770" s="1753">
        <v>0.26633522026566564</v>
      </c>
      <c r="D770" s="1307">
        <v>0.25138316126971699</v>
      </c>
      <c r="E770" s="1307">
        <v>0.23943995340434968</v>
      </c>
      <c r="F770" s="1307">
        <v>0.23107549827875368</v>
      </c>
      <c r="G770" s="1307"/>
      <c r="H770" s="1307"/>
      <c r="N770" s="521"/>
      <c r="O770" s="521"/>
      <c r="P770" s="521"/>
      <c r="R770" s="1759"/>
      <c r="S770" s="1759"/>
      <c r="T770" s="1759"/>
    </row>
    <row r="771" spans="1:20" x14ac:dyDescent="0.25">
      <c r="A771" s="1307" t="s">
        <v>3089</v>
      </c>
      <c r="B771" s="1753">
        <v>0.3329668854605044</v>
      </c>
      <c r="C771" s="1753">
        <v>0.31373733045822422</v>
      </c>
      <c r="D771" s="1307">
        <v>0.29578552883016718</v>
      </c>
      <c r="E771" s="1307">
        <v>0.28092584124454878</v>
      </c>
      <c r="F771" s="1307">
        <v>0.27012323508307312</v>
      </c>
      <c r="G771" s="1307"/>
      <c r="H771" s="1307"/>
      <c r="N771" s="521"/>
      <c r="O771" s="521"/>
      <c r="P771" s="521"/>
      <c r="R771" s="1759"/>
      <c r="S771" s="1759"/>
      <c r="T771" s="1759"/>
    </row>
    <row r="772" spans="1:20" x14ac:dyDescent="0.25">
      <c r="A772" s="1307" t="s">
        <v>3090</v>
      </c>
      <c r="B772" s="1753">
        <v>0.3329668854605044</v>
      </c>
      <c r="C772" s="1753">
        <v>0.31373733045822422</v>
      </c>
      <c r="D772" s="1307">
        <v>0.29578552883016718</v>
      </c>
      <c r="E772" s="1307">
        <v>0.28092584124454878</v>
      </c>
      <c r="F772" s="1307">
        <v>0.27012323508307312</v>
      </c>
      <c r="G772" s="1307"/>
      <c r="H772" s="1307"/>
      <c r="N772" s="521"/>
      <c r="O772" s="521"/>
      <c r="P772" s="521"/>
      <c r="R772" s="1759"/>
      <c r="S772" s="1759"/>
      <c r="T772" s="1759"/>
    </row>
    <row r="773" spans="1:20" x14ac:dyDescent="0.25">
      <c r="A773" s="1307" t="s">
        <v>3091</v>
      </c>
      <c r="B773" s="1753">
        <v>0.38036899565306298</v>
      </c>
      <c r="C773" s="1753">
        <v>0.35813969801867451</v>
      </c>
      <c r="D773" s="1307">
        <v>0.33727141667036625</v>
      </c>
      <c r="E773" s="1307">
        <v>0.31997357804886822</v>
      </c>
      <c r="F773" s="1307">
        <v>0.30733405166271116</v>
      </c>
      <c r="G773" s="1307"/>
      <c r="H773" s="1307"/>
      <c r="N773" s="521"/>
      <c r="O773" s="521"/>
      <c r="P773" s="521"/>
      <c r="R773" s="1759"/>
      <c r="S773" s="1759"/>
      <c r="T773" s="1759"/>
    </row>
    <row r="774" spans="1:20" x14ac:dyDescent="0.25">
      <c r="A774" s="1307" t="s">
        <v>3092</v>
      </c>
      <c r="B774" s="1753">
        <v>0.42477136321351316</v>
      </c>
      <c r="C774" s="1753">
        <v>0.39962558585887342</v>
      </c>
      <c r="D774" s="1307">
        <v>0.37631915347468559</v>
      </c>
      <c r="E774" s="1307">
        <v>0.35718439462850626</v>
      </c>
      <c r="F774" s="1307">
        <v>0.34243048671856946</v>
      </c>
      <c r="G774" s="1307"/>
      <c r="H774" s="1307"/>
      <c r="N774" s="521"/>
      <c r="O774" s="521"/>
      <c r="P774" s="521"/>
      <c r="R774" s="1759"/>
      <c r="S774" s="1759"/>
      <c r="T774" s="1759"/>
    </row>
    <row r="775" spans="1:20" x14ac:dyDescent="0.25">
      <c r="A775" s="1307" t="s">
        <v>3093</v>
      </c>
      <c r="B775" s="1753">
        <v>0.46625725105371235</v>
      </c>
      <c r="C775" s="1753">
        <v>0.43867332266319281</v>
      </c>
      <c r="D775" s="1307">
        <v>0.41352997005432374</v>
      </c>
      <c r="E775" s="1307">
        <v>0.39228082968436473</v>
      </c>
      <c r="F775" s="1307">
        <v>0.37600133567661465</v>
      </c>
      <c r="G775" s="1307"/>
      <c r="H775" s="1307"/>
      <c r="N775" s="521"/>
      <c r="O775" s="521"/>
      <c r="P775" s="521"/>
      <c r="R775" s="1759"/>
      <c r="S775" s="1759"/>
      <c r="T775" s="1759"/>
    </row>
    <row r="776" spans="1:20" x14ac:dyDescent="0.25">
      <c r="A776" s="1307" t="s">
        <v>3094</v>
      </c>
      <c r="B776" s="1753">
        <v>0.39776752531750725</v>
      </c>
      <c r="C776" s="1753">
        <v>0.37699521754433846</v>
      </c>
      <c r="D776" s="1307">
        <v>0.35805342056596556</v>
      </c>
      <c r="E776" s="1307">
        <v>0.34091023298873813</v>
      </c>
      <c r="F776" s="1307">
        <v>0.325183371782232</v>
      </c>
      <c r="G776" s="1307"/>
      <c r="H776" s="1307"/>
      <c r="I776" s="50" t="s">
        <v>2618</v>
      </c>
      <c r="N776" s="521"/>
      <c r="O776" s="521"/>
      <c r="P776" s="521"/>
      <c r="R776" s="1759"/>
      <c r="S776" s="1759"/>
      <c r="T776" s="1759"/>
    </row>
    <row r="777" spans="1:20" x14ac:dyDescent="0.25">
      <c r="A777" s="1307" t="s">
        <v>3095</v>
      </c>
      <c r="B777" s="1753">
        <v>6.6686149604661099E-2</v>
      </c>
      <c r="C777" s="1753">
        <v>6.0279168813870299E-2</v>
      </c>
      <c r="D777" s="1307">
        <v>5.33550016135836E-2</v>
      </c>
      <c r="E777" s="1307">
        <v>5.2457531916686902E-2</v>
      </c>
      <c r="F777" s="1307">
        <v>5.2168081927895599E-2</v>
      </c>
      <c r="G777" s="1307"/>
      <c r="H777" s="1307"/>
      <c r="N777" s="521"/>
      <c r="O777" s="521"/>
      <c r="P777" s="521"/>
      <c r="R777" s="1759"/>
      <c r="S777" s="1759"/>
      <c r="T777" s="1759"/>
    </row>
    <row r="778" spans="1:20" x14ac:dyDescent="0.25">
      <c r="A778" s="1307" t="s">
        <v>3096</v>
      </c>
      <c r="B778" s="1753">
        <v>0.509140460660639</v>
      </c>
      <c r="C778" s="1753">
        <v>0.48001148811157002</v>
      </c>
      <c r="D778" s="1307">
        <v>0.455656492646768</v>
      </c>
      <c r="E778" s="1307">
        <v>0.436647984583865</v>
      </c>
      <c r="F778" s="1307">
        <v>0.416796968877994</v>
      </c>
      <c r="G778" s="1307"/>
      <c r="H778" s="1307"/>
      <c r="N778" s="521"/>
      <c r="O778" s="521"/>
      <c r="P778" s="521"/>
      <c r="R778" s="1759"/>
      <c r="S778" s="1759"/>
      <c r="T778" s="1759"/>
    </row>
    <row r="779" spans="1:20" x14ac:dyDescent="0.25">
      <c r="A779" s="1307" t="s">
        <v>3097</v>
      </c>
      <c r="B779" s="1753">
        <v>0.54669763771623103</v>
      </c>
      <c r="C779" s="1753">
        <v>0.51593566146063796</v>
      </c>
      <c r="D779" s="1307">
        <v>0.49000298619744898</v>
      </c>
      <c r="E779" s="1307">
        <v>0.46925450079468101</v>
      </c>
      <c r="F779" s="1307">
        <v>0.44797143364313102</v>
      </c>
      <c r="G779" s="1307"/>
      <c r="H779" s="1307"/>
      <c r="N779" s="521"/>
      <c r="O779" s="521"/>
      <c r="P779" s="521"/>
      <c r="R779" s="1759"/>
      <c r="S779" s="1759"/>
      <c r="T779" s="1759"/>
    </row>
    <row r="780" spans="1:20" x14ac:dyDescent="0.25">
      <c r="A780" s="1307" t="s">
        <v>3098</v>
      </c>
      <c r="B780" s="1753">
        <v>0.58262181106529898</v>
      </c>
      <c r="C780" s="1753">
        <v>0.55028215501131905</v>
      </c>
      <c r="D780" s="1307">
        <v>0.52260950240826398</v>
      </c>
      <c r="E780" s="1307">
        <v>0.50042896555981797</v>
      </c>
      <c r="F780" s="1307">
        <v>0.47777677149227799</v>
      </c>
      <c r="G780" s="1307"/>
      <c r="H780" s="1307"/>
      <c r="N780" s="521"/>
      <c r="O780" s="521"/>
      <c r="P780" s="521"/>
      <c r="R780" s="1759"/>
      <c r="S780" s="1759"/>
      <c r="T780" s="1759"/>
    </row>
    <row r="781" spans="1:20" x14ac:dyDescent="0.25">
      <c r="A781" s="1307" t="s">
        <v>3099</v>
      </c>
      <c r="B781" s="1753">
        <v>0.61696830461597996</v>
      </c>
      <c r="C781" s="1753">
        <v>0.58288867122213395</v>
      </c>
      <c r="D781" s="1307">
        <v>0.55378396717340195</v>
      </c>
      <c r="E781" s="1307">
        <v>0.53023430340896505</v>
      </c>
      <c r="F781" s="1307">
        <v>0.50627314069666995</v>
      </c>
      <c r="G781" s="1307"/>
      <c r="H781" s="1307"/>
      <c r="N781" s="521"/>
      <c r="O781" s="521"/>
      <c r="P781" s="521"/>
      <c r="R781" s="1759"/>
      <c r="S781" s="1759"/>
      <c r="T781" s="1759"/>
    </row>
    <row r="782" spans="1:20" x14ac:dyDescent="0.25">
      <c r="A782" s="1307" t="s">
        <v>3100</v>
      </c>
      <c r="B782" s="1753">
        <v>0.64957482082679596</v>
      </c>
      <c r="C782" s="1753">
        <v>0.61406313598727202</v>
      </c>
      <c r="D782" s="1307">
        <v>0.58358930502254902</v>
      </c>
      <c r="E782" s="1307">
        <v>0.55873067261335696</v>
      </c>
      <c r="F782" s="1307">
        <v>0.53351805493841697</v>
      </c>
      <c r="G782" s="1307"/>
      <c r="H782" s="1307"/>
      <c r="N782" s="521"/>
      <c r="O782" s="521"/>
      <c r="P782" s="521"/>
      <c r="R782" s="1759"/>
      <c r="S782" s="1759"/>
      <c r="T782" s="1759"/>
    </row>
    <row r="783" spans="1:20" x14ac:dyDescent="0.25">
      <c r="A783" s="1307" t="s">
        <v>3101</v>
      </c>
      <c r="B783" s="1753">
        <v>0.68074928559193304</v>
      </c>
      <c r="C783" s="1753">
        <v>0.64386847383641899</v>
      </c>
      <c r="D783" s="1307">
        <v>0.61208567422694105</v>
      </c>
      <c r="E783" s="1307">
        <v>0.58597558685510398</v>
      </c>
      <c r="F783" s="1307">
        <v>0.55956649962569904</v>
      </c>
      <c r="G783" s="1307"/>
      <c r="H783" s="1307"/>
      <c r="N783" s="521"/>
      <c r="O783" s="521"/>
      <c r="P783" s="521"/>
      <c r="R783" s="1759"/>
      <c r="S783" s="1759"/>
      <c r="T783" s="1759"/>
    </row>
    <row r="784" spans="1:20" x14ac:dyDescent="0.25">
      <c r="A784" s="1307" t="s">
        <v>3102</v>
      </c>
      <c r="B784" s="1753">
        <v>0.71055462344108</v>
      </c>
      <c r="C784" s="1753">
        <v>0.67236484304081101</v>
      </c>
      <c r="D784" s="1307">
        <v>0.63933058846868795</v>
      </c>
      <c r="E784" s="1307">
        <v>0.61202403154238605</v>
      </c>
      <c r="F784" s="1307">
        <v>0.58452209309043701</v>
      </c>
      <c r="G784" s="1307"/>
      <c r="H784" s="1307"/>
      <c r="N784" s="521"/>
      <c r="O784" s="521"/>
      <c r="P784" s="521"/>
      <c r="R784" s="1759"/>
      <c r="S784" s="1759"/>
      <c r="T784" s="1759"/>
    </row>
    <row r="785" spans="1:20" x14ac:dyDescent="0.25">
      <c r="A785" s="1307" t="s">
        <v>3103</v>
      </c>
      <c r="B785" s="1753">
        <v>0.73905099264547203</v>
      </c>
      <c r="C785" s="1753">
        <v>0.69960975728255803</v>
      </c>
      <c r="D785" s="1307">
        <v>0.66537903315596902</v>
      </c>
      <c r="E785" s="1307">
        <v>0.63697962500712402</v>
      </c>
      <c r="F785" s="1307">
        <v>0.608381721131935</v>
      </c>
      <c r="G785" s="1307"/>
      <c r="H785" s="1307"/>
      <c r="N785" s="521"/>
      <c r="O785" s="521"/>
      <c r="P785" s="521"/>
      <c r="R785" s="1759"/>
      <c r="S785" s="1759"/>
      <c r="T785" s="1759"/>
    </row>
    <row r="786" spans="1:20" x14ac:dyDescent="0.25">
      <c r="A786" s="1307" t="s">
        <v>3104</v>
      </c>
      <c r="B786" s="1753">
        <v>0.76629590688721905</v>
      </c>
      <c r="C786" s="1753">
        <v>0.72565820196983899</v>
      </c>
      <c r="D786" s="1307">
        <v>0.69033462662070699</v>
      </c>
      <c r="E786" s="1307">
        <v>0.66083925304862201</v>
      </c>
      <c r="F786" s="1307">
        <v>0.63119353775427001</v>
      </c>
      <c r="G786" s="1307"/>
      <c r="H786" s="1307"/>
      <c r="N786" s="521"/>
      <c r="O786" s="521"/>
      <c r="P786" s="521"/>
      <c r="R786" s="1759"/>
      <c r="S786" s="1759"/>
      <c r="T786" s="1759"/>
    </row>
    <row r="787" spans="1:20" x14ac:dyDescent="0.25">
      <c r="A787" s="1307" t="s">
        <v>3105</v>
      </c>
      <c r="B787" s="1753">
        <v>0.792344351574501</v>
      </c>
      <c r="C787" s="1753">
        <v>0.75061379543457696</v>
      </c>
      <c r="D787" s="1307">
        <v>0.71419425466220599</v>
      </c>
      <c r="E787" s="1307">
        <v>0.68365106967095701</v>
      </c>
      <c r="F787" s="1307">
        <v>0.65300358016626403</v>
      </c>
      <c r="G787" s="1307"/>
      <c r="H787" s="1307"/>
      <c r="N787" s="521"/>
      <c r="O787" s="521"/>
      <c r="P787" s="521"/>
      <c r="R787" s="1759"/>
      <c r="S787" s="1759"/>
      <c r="T787" s="1759"/>
    </row>
    <row r="788" spans="1:20" x14ac:dyDescent="0.25">
      <c r="A788" s="1307" t="s">
        <v>3106</v>
      </c>
      <c r="B788" s="1753">
        <v>0.12696531841853101</v>
      </c>
      <c r="C788" s="1753">
        <v>0.113634170427454</v>
      </c>
      <c r="D788" s="1307">
        <v>0.10581253353026999</v>
      </c>
      <c r="E788" s="1307">
        <v>0.10462561384458199</v>
      </c>
      <c r="F788" s="1307">
        <v>0.10287418067792101</v>
      </c>
      <c r="G788" s="1307"/>
      <c r="H788" s="1307"/>
      <c r="N788" s="521"/>
      <c r="O788" s="521"/>
      <c r="P788" s="521"/>
      <c r="R788" s="1759"/>
      <c r="S788" s="1759"/>
      <c r="T788" s="1759"/>
    </row>
    <row r="789" spans="1:20" x14ac:dyDescent="0.25">
      <c r="A789" s="1307" t="s">
        <v>3107</v>
      </c>
      <c r="B789" s="1753">
        <v>0.81729994503923797</v>
      </c>
      <c r="C789" s="1753">
        <v>0.77447342347607595</v>
      </c>
      <c r="D789" s="1307">
        <v>0.73700607128453999</v>
      </c>
      <c r="E789" s="1307">
        <v>0.70546111208295104</v>
      </c>
      <c r="F789" s="1307">
        <v>0.67385586187948998</v>
      </c>
      <c r="G789" s="1307"/>
      <c r="H789" s="1307"/>
      <c r="N789" s="521"/>
      <c r="O789" s="521"/>
      <c r="P789" s="521"/>
      <c r="R789" s="1759"/>
      <c r="S789" s="1759"/>
      <c r="T789" s="1759"/>
    </row>
    <row r="790" spans="1:20" x14ac:dyDescent="0.25">
      <c r="A790" s="1307" t="s">
        <v>3108</v>
      </c>
      <c r="B790" s="1753">
        <v>0.84115957308073697</v>
      </c>
      <c r="C790" s="1753">
        <v>0.79728524009841095</v>
      </c>
      <c r="D790" s="1307">
        <v>0.75881611369653401</v>
      </c>
      <c r="E790" s="1307">
        <v>0.72631339379617699</v>
      </c>
      <c r="F790" s="1307">
        <v>0.69379246170969999</v>
      </c>
      <c r="G790" s="1307"/>
      <c r="H790" s="1307"/>
      <c r="N790" s="521"/>
      <c r="O790" s="521"/>
      <c r="P790" s="521"/>
      <c r="R790" s="1759"/>
      <c r="S790" s="1759"/>
      <c r="T790" s="1759"/>
    </row>
    <row r="791" spans="1:20" x14ac:dyDescent="0.25">
      <c r="A791" s="1307" t="s">
        <v>3109</v>
      </c>
      <c r="B791" s="1753">
        <v>0.86397138970307097</v>
      </c>
      <c r="C791" s="1753">
        <v>0.81909528251040498</v>
      </c>
      <c r="D791" s="1307">
        <v>0.77966839540975996</v>
      </c>
      <c r="E791" s="1307">
        <v>0.746249993626387</v>
      </c>
      <c r="F791" s="1307">
        <v>0.71244920869660799</v>
      </c>
      <c r="G791" s="1307"/>
      <c r="H791" s="1307"/>
      <c r="N791" s="521"/>
      <c r="O791" s="521"/>
      <c r="P791" s="521"/>
      <c r="R791" s="1759"/>
      <c r="S791" s="1759"/>
      <c r="T791" s="1759"/>
    </row>
    <row r="792" spans="1:20" x14ac:dyDescent="0.25">
      <c r="A792" s="1307" t="s">
        <v>3110</v>
      </c>
      <c r="B792" s="1753">
        <v>0.88578143211506599</v>
      </c>
      <c r="C792" s="1753">
        <v>0.83994756422363104</v>
      </c>
      <c r="D792" s="1307">
        <v>0.79960499523996997</v>
      </c>
      <c r="E792" s="1307">
        <v>0.764906740613295</v>
      </c>
      <c r="F792" s="1307">
        <v>0.72990826445826595</v>
      </c>
      <c r="G792" s="1307"/>
      <c r="H792" s="1307"/>
      <c r="N792" s="521"/>
      <c r="O792" s="521"/>
      <c r="P792" s="521"/>
      <c r="R792" s="1759"/>
      <c r="S792" s="1759"/>
      <c r="T792" s="1759"/>
    </row>
    <row r="793" spans="1:20" x14ac:dyDescent="0.25">
      <c r="A793" s="1307" t="s">
        <v>3111</v>
      </c>
      <c r="B793" s="1753">
        <v>0.90663371382829205</v>
      </c>
      <c r="C793" s="1753">
        <v>0.85988416405384005</v>
      </c>
      <c r="D793" s="1307">
        <v>0.81826174222687797</v>
      </c>
      <c r="E793" s="1307">
        <v>0.78236579637495296</v>
      </c>
      <c r="F793" s="1307">
        <v>0.74624651615362203</v>
      </c>
      <c r="G793" s="1307"/>
      <c r="H793" s="1307"/>
      <c r="N793" s="521"/>
      <c r="O793" s="521"/>
      <c r="P793" s="521"/>
      <c r="R793" s="1759"/>
      <c r="S793" s="1759"/>
      <c r="T793" s="1759"/>
    </row>
    <row r="794" spans="1:20" x14ac:dyDescent="0.25">
      <c r="A794" s="1307" t="s">
        <v>3112</v>
      </c>
      <c r="B794" s="1753">
        <v>0.92657031365850195</v>
      </c>
      <c r="C794" s="1753">
        <v>0.87854091104074805</v>
      </c>
      <c r="D794" s="1307">
        <v>0.83572079798853605</v>
      </c>
      <c r="E794" s="1307">
        <v>0.79870404807030904</v>
      </c>
      <c r="F794" s="1307">
        <v>0.76153591508246099</v>
      </c>
      <c r="G794" s="1307"/>
      <c r="H794" s="1307"/>
      <c r="N794" s="521"/>
      <c r="O794" s="521"/>
      <c r="P794" s="521"/>
      <c r="R794" s="1759"/>
      <c r="S794" s="1759"/>
      <c r="T794" s="1759"/>
    </row>
    <row r="795" spans="1:20" x14ac:dyDescent="0.25">
      <c r="A795" s="1307" t="s">
        <v>3113</v>
      </c>
      <c r="B795" s="1753">
        <v>0.94522706064540896</v>
      </c>
      <c r="C795" s="1753">
        <v>0.89599996680240601</v>
      </c>
      <c r="D795" s="1307">
        <v>0.85205904968389301</v>
      </c>
      <c r="E795" s="1307">
        <v>0.813993446999148</v>
      </c>
      <c r="F795" s="1307">
        <v>0.77584379354852695</v>
      </c>
      <c r="G795" s="1307"/>
      <c r="H795" s="1307"/>
      <c r="N795" s="521"/>
      <c r="O795" s="521"/>
      <c r="P795" s="521"/>
      <c r="R795" s="1759"/>
      <c r="S795" s="1759"/>
      <c r="T795" s="1759"/>
    </row>
    <row r="796" spans="1:20" x14ac:dyDescent="0.25">
      <c r="A796" s="1307" t="s">
        <v>3114</v>
      </c>
      <c r="B796" s="1753">
        <v>0.96268611640706703</v>
      </c>
      <c r="C796" s="1753">
        <v>0.91233821849776298</v>
      </c>
      <c r="D796" s="1307">
        <v>0.86734844861273097</v>
      </c>
      <c r="E796" s="1307">
        <v>0.82830132546521396</v>
      </c>
      <c r="F796" s="1307">
        <v>0.78923316138126698</v>
      </c>
      <c r="G796" s="1307"/>
      <c r="H796" s="1307"/>
      <c r="N796" s="521"/>
      <c r="O796" s="521"/>
      <c r="P796" s="521"/>
      <c r="R796" s="1759"/>
      <c r="S796" s="1759"/>
      <c r="T796" s="1759"/>
    </row>
    <row r="797" spans="1:20" x14ac:dyDescent="0.25">
      <c r="A797" s="1307" t="s">
        <v>3115</v>
      </c>
      <c r="B797" s="1753">
        <v>0.97902436810242399</v>
      </c>
      <c r="C797" s="1753">
        <v>0.92762761742660105</v>
      </c>
      <c r="D797" s="1307">
        <v>0.88165632707879704</v>
      </c>
      <c r="E797" s="1307">
        <v>0.84169069329795398</v>
      </c>
      <c r="F797" s="1307">
        <v>0.80176298342201202</v>
      </c>
      <c r="G797" s="1307"/>
      <c r="H797" s="1307"/>
      <c r="N797" s="521"/>
      <c r="O797" s="521"/>
      <c r="P797" s="521"/>
      <c r="R797" s="1759"/>
      <c r="S797" s="1759"/>
      <c r="T797" s="1759"/>
    </row>
    <row r="798" spans="1:20" x14ac:dyDescent="0.25">
      <c r="A798" s="1307" t="s">
        <v>3116</v>
      </c>
      <c r="B798" s="1753">
        <v>0.99431376703126195</v>
      </c>
      <c r="C798" s="1753">
        <v>0.94193549589266801</v>
      </c>
      <c r="D798" s="1307">
        <v>0.89504569491153696</v>
      </c>
      <c r="E798" s="1307">
        <v>0.85422051533869903</v>
      </c>
      <c r="F798" s="1307">
        <v>0.81348843919661895</v>
      </c>
      <c r="G798" s="1307"/>
      <c r="H798" s="1307"/>
      <c r="N798" s="521"/>
      <c r="O798" s="521"/>
      <c r="P798" s="521"/>
      <c r="R798" s="1759"/>
      <c r="S798" s="1759"/>
      <c r="T798" s="1759"/>
    </row>
    <row r="799" spans="1:20" x14ac:dyDescent="0.25">
      <c r="A799" s="1307" t="s">
        <v>3117</v>
      </c>
      <c r="B799" s="1753">
        <v>0.18032032003211501</v>
      </c>
      <c r="C799" s="1753">
        <v>0.166091702344141</v>
      </c>
      <c r="D799" s="1307">
        <v>0.157980615458166</v>
      </c>
      <c r="E799" s="1307">
        <v>0.15533171259460801</v>
      </c>
      <c r="F799" s="1307">
        <v>0.15037613651026299</v>
      </c>
      <c r="G799" s="1307"/>
      <c r="H799" s="1307"/>
      <c r="N799" s="521"/>
      <c r="O799" s="521"/>
      <c r="P799" s="521"/>
      <c r="R799" s="1759"/>
      <c r="S799" s="1759"/>
      <c r="T799" s="1759"/>
    </row>
    <row r="800" spans="1:20" x14ac:dyDescent="0.25">
      <c r="A800" s="1307" t="s">
        <v>3118</v>
      </c>
      <c r="B800" s="1753">
        <v>1.00862164549733</v>
      </c>
      <c r="C800" s="1753">
        <v>0.95532486372540804</v>
      </c>
      <c r="D800" s="1307">
        <v>0.907575516952283</v>
      </c>
      <c r="E800" s="1307">
        <v>0.86594597111330596</v>
      </c>
      <c r="F800" s="1307">
        <v>0.82446116591813101</v>
      </c>
      <c r="G800" s="1307"/>
      <c r="H800" s="1307"/>
      <c r="N800" s="521"/>
      <c r="O800" s="521"/>
      <c r="P800" s="521"/>
      <c r="R800" s="1759"/>
      <c r="S800" s="1759"/>
      <c r="T800" s="1759"/>
    </row>
    <row r="801" spans="1:20" x14ac:dyDescent="0.25">
      <c r="A801" s="1307" t="s">
        <v>3119</v>
      </c>
      <c r="B801" s="1753">
        <v>0.23277785194880199</v>
      </c>
      <c r="C801" s="1753">
        <v>0.21825978427203599</v>
      </c>
      <c r="D801" s="1307">
        <v>0.20868671420819099</v>
      </c>
      <c r="E801" s="1307">
        <v>0.20283366842695</v>
      </c>
      <c r="F801" s="1307">
        <v>0.194763503814849</v>
      </c>
      <c r="G801" s="1307"/>
      <c r="H801" s="1307"/>
      <c r="N801" s="521"/>
      <c r="O801" s="521"/>
      <c r="P801" s="521"/>
      <c r="R801" s="1759"/>
      <c r="S801" s="1759"/>
      <c r="T801" s="1759"/>
    </row>
    <row r="802" spans="1:20" x14ac:dyDescent="0.25">
      <c r="A802" s="1307" t="s">
        <v>3120</v>
      </c>
      <c r="B802" s="1753">
        <v>0.28494593387669698</v>
      </c>
      <c r="C802" s="1753">
        <v>0.26896588302206198</v>
      </c>
      <c r="D802" s="1307">
        <v>0.25618867004053397</v>
      </c>
      <c r="E802" s="1307">
        <v>0.247221035731536</v>
      </c>
      <c r="F802" s="1307">
        <v>0.236545640302187</v>
      </c>
      <c r="G802" s="1307"/>
      <c r="H802" s="1307"/>
      <c r="N802" s="521"/>
      <c r="O802" s="521"/>
      <c r="P802" s="521"/>
      <c r="R802" s="1759"/>
      <c r="S802" s="1759"/>
      <c r="T802" s="1759"/>
    </row>
    <row r="803" spans="1:20" x14ac:dyDescent="0.25">
      <c r="A803" s="1307" t="s">
        <v>3121</v>
      </c>
      <c r="B803" s="1753">
        <v>0.335652032626723</v>
      </c>
      <c r="C803" s="1753">
        <v>0.31646783885440399</v>
      </c>
      <c r="D803" s="1307">
        <v>0.30057603734512001</v>
      </c>
      <c r="E803" s="1307">
        <v>0.289003172218874</v>
      </c>
      <c r="F803" s="1307">
        <v>0.27636260871183699</v>
      </c>
      <c r="G803" s="1307"/>
      <c r="H803" s="1307"/>
      <c r="N803" s="521"/>
      <c r="O803" s="521"/>
      <c r="P803" s="521"/>
      <c r="R803" s="1759"/>
      <c r="S803" s="1759"/>
      <c r="T803" s="1759"/>
    </row>
    <row r="804" spans="1:20" x14ac:dyDescent="0.25">
      <c r="A804" s="1307" t="s">
        <v>3122</v>
      </c>
      <c r="B804" s="1753">
        <v>0.38315398845906501</v>
      </c>
      <c r="C804" s="1753">
        <v>0.36085520615899003</v>
      </c>
      <c r="D804" s="1307">
        <v>0.34235817383245798</v>
      </c>
      <c r="E804" s="1307">
        <v>0.32882014062852399</v>
      </c>
      <c r="F804" s="1307">
        <v>0.31391978576742902</v>
      </c>
      <c r="G804" s="1307"/>
      <c r="H804" s="1307"/>
      <c r="N804" s="521"/>
      <c r="O804" s="521"/>
      <c r="P804" s="521"/>
      <c r="R804" s="1759"/>
      <c r="S804" s="1759"/>
      <c r="T804" s="1759"/>
    </row>
    <row r="805" spans="1:20" x14ac:dyDescent="0.25">
      <c r="A805" s="1307" t="s">
        <v>3123</v>
      </c>
      <c r="B805" s="1753">
        <v>0.42754135576365099</v>
      </c>
      <c r="C805" s="1753">
        <v>0.402637342646328</v>
      </c>
      <c r="D805" s="1307">
        <v>0.38217514224210702</v>
      </c>
      <c r="E805" s="1307">
        <v>0.36637731768411602</v>
      </c>
      <c r="F805" s="1307">
        <v>0.34984395911649702</v>
      </c>
      <c r="G805" s="1307"/>
      <c r="H805" s="1307"/>
      <c r="N805" s="521"/>
      <c r="O805" s="521"/>
      <c r="P805" s="521"/>
      <c r="R805" s="1759"/>
      <c r="S805" s="1759"/>
      <c r="T805" s="1759"/>
    </row>
    <row r="806" spans="1:20" x14ac:dyDescent="0.25">
      <c r="A806" s="1307" t="s">
        <v>3124</v>
      </c>
      <c r="B806" s="1753">
        <v>0.46932349225098902</v>
      </c>
      <c r="C806" s="1753">
        <v>0.44245431105597799</v>
      </c>
      <c r="D806" s="1307">
        <v>0.4197323192977</v>
      </c>
      <c r="E806" s="1307">
        <v>0.40230149103318402</v>
      </c>
      <c r="F806" s="1307">
        <v>0.384190452667178</v>
      </c>
      <c r="G806" s="1307"/>
      <c r="H806" s="1307"/>
      <c r="N806" s="521"/>
      <c r="O806" s="521"/>
      <c r="P806" s="521"/>
      <c r="R806" s="1759"/>
      <c r="S806" s="1759"/>
      <c r="T806" s="1759"/>
    </row>
    <row r="807" spans="1:20" x14ac:dyDescent="0.25">
      <c r="A807" s="1307" t="s">
        <v>3125</v>
      </c>
      <c r="B807" s="1753">
        <v>8.1110673742368702E-2</v>
      </c>
      <c r="C807" s="1753">
        <v>7.3762287376644406E-2</v>
      </c>
      <c r="D807" s="1307">
        <v>6.5860914134802606E-2</v>
      </c>
      <c r="E807" s="1307">
        <v>6.45059468458513E-2</v>
      </c>
      <c r="F807" s="1307">
        <v>6.3846542837451406E-2</v>
      </c>
      <c r="G807" s="1307"/>
      <c r="H807" s="1307"/>
      <c r="N807" s="521"/>
      <c r="O807" s="521"/>
      <c r="P807" s="521"/>
      <c r="R807" s="1759"/>
      <c r="S807" s="1759"/>
      <c r="T807" s="1759"/>
    </row>
    <row r="808" spans="1:20" x14ac:dyDescent="0.25">
      <c r="A808" s="1307" t="s">
        <v>3126</v>
      </c>
      <c r="B808" s="1753">
        <v>0.62381521323199896</v>
      </c>
      <c r="C808" s="1753">
        <v>0.58890943765994297</v>
      </c>
      <c r="D808" s="1307">
        <v>0.55933247493871896</v>
      </c>
      <c r="E808" s="1307">
        <v>0.53570851952236198</v>
      </c>
      <c r="F808" s="1307">
        <v>0.51132475507514796</v>
      </c>
      <c r="G808" s="1307"/>
      <c r="H808" s="1307"/>
      <c r="N808" s="521"/>
      <c r="O808" s="521"/>
      <c r="P808" s="521"/>
      <c r="R808" s="1759"/>
      <c r="S808" s="1759"/>
      <c r="T808" s="1759"/>
    </row>
    <row r="809" spans="1:20" x14ac:dyDescent="0.25">
      <c r="A809" s="1307" t="s">
        <v>3127</v>
      </c>
      <c r="B809" s="1753">
        <v>0.67002011140231199</v>
      </c>
      <c r="C809" s="1753">
        <v>0.63309476231536399</v>
      </c>
      <c r="D809" s="1307">
        <v>0.60156943365716398</v>
      </c>
      <c r="E809" s="1307">
        <v>0.57583070192099906</v>
      </c>
      <c r="F809" s="1307">
        <v>0.549677633387197</v>
      </c>
      <c r="G809" s="1307"/>
      <c r="H809" s="1307"/>
      <c r="N809" s="521"/>
      <c r="O809" s="521"/>
      <c r="P809" s="521"/>
      <c r="R809" s="1759"/>
      <c r="S809" s="1759"/>
      <c r="T809" s="1759"/>
    </row>
    <row r="810" spans="1:20" x14ac:dyDescent="0.25">
      <c r="A810" s="1307" t="s">
        <v>3128</v>
      </c>
      <c r="B810" s="1753">
        <v>0.71420543605773201</v>
      </c>
      <c r="C810" s="1753">
        <v>0.67533172103380801</v>
      </c>
      <c r="D810" s="1307">
        <v>0.64169161605580205</v>
      </c>
      <c r="E810" s="1307">
        <v>0.61418358023304798</v>
      </c>
      <c r="F810" s="1307">
        <v>0.58633927281627496</v>
      </c>
      <c r="G810" s="1307"/>
      <c r="H810" s="1307"/>
      <c r="N810" s="521"/>
      <c r="O810" s="521"/>
      <c r="P810" s="521"/>
      <c r="R810" s="1759"/>
      <c r="S810" s="1759"/>
      <c r="T810" s="1759"/>
    </row>
    <row r="811" spans="1:20" x14ac:dyDescent="0.25">
      <c r="A811" s="1307" t="s">
        <v>3129</v>
      </c>
      <c r="B811" s="1753">
        <v>0.75644239477617703</v>
      </c>
      <c r="C811" s="1753">
        <v>0.71545390343244597</v>
      </c>
      <c r="D811" s="1307">
        <v>0.68004449436785097</v>
      </c>
      <c r="E811" s="1307">
        <v>0.65084521966212605</v>
      </c>
      <c r="F811" s="1307">
        <v>0.62138429227056502</v>
      </c>
      <c r="G811" s="1307"/>
      <c r="H811" s="1307"/>
      <c r="N811" s="521"/>
      <c r="O811" s="521"/>
      <c r="P811" s="521"/>
      <c r="R811" s="1759"/>
      <c r="S811" s="1759"/>
      <c r="T811" s="1759"/>
    </row>
    <row r="812" spans="1:20" x14ac:dyDescent="0.25">
      <c r="A812" s="1307" t="s">
        <v>3130</v>
      </c>
      <c r="B812" s="1753">
        <v>0.79656457717481499</v>
      </c>
      <c r="C812" s="1753">
        <v>0.753806781744495</v>
      </c>
      <c r="D812" s="1307">
        <v>0.71670613379692805</v>
      </c>
      <c r="E812" s="1307">
        <v>0.685890239116417</v>
      </c>
      <c r="F812" s="1307">
        <v>0.65488401658929096</v>
      </c>
      <c r="G812" s="1307"/>
      <c r="H812" s="1307"/>
      <c r="N812" s="521"/>
      <c r="O812" s="521"/>
      <c r="P812" s="521"/>
      <c r="R812" s="1759"/>
      <c r="S812" s="1759"/>
      <c r="T812" s="1759"/>
    </row>
    <row r="813" spans="1:20" x14ac:dyDescent="0.25">
      <c r="A813" s="1307" t="s">
        <v>3131</v>
      </c>
      <c r="B813" s="1753">
        <v>0.83491745548686402</v>
      </c>
      <c r="C813" s="1753">
        <v>0.79046842117357297</v>
      </c>
      <c r="D813" s="1307">
        <v>0.75175115325121999</v>
      </c>
      <c r="E813" s="1307">
        <v>0.71938996343514205</v>
      </c>
      <c r="F813" s="1307">
        <v>0.68690662204138198</v>
      </c>
      <c r="G813" s="1307"/>
      <c r="H813" s="1307"/>
      <c r="N813" s="521"/>
      <c r="O813" s="521"/>
      <c r="P813" s="521"/>
      <c r="R813" s="1759"/>
      <c r="S813" s="1759"/>
      <c r="T813" s="1759"/>
    </row>
    <row r="814" spans="1:20" x14ac:dyDescent="0.25">
      <c r="A814" s="1307" t="s">
        <v>3132</v>
      </c>
      <c r="B814" s="1753">
        <v>0.87157909491594099</v>
      </c>
      <c r="C814" s="1753">
        <v>0.82551344062786403</v>
      </c>
      <c r="D814" s="1307">
        <v>0.78525087756994505</v>
      </c>
      <c r="E814" s="1307">
        <v>0.75141256888723396</v>
      </c>
      <c r="F814" s="1307">
        <v>0.71759913541305298</v>
      </c>
      <c r="G814" s="1307"/>
      <c r="H814" s="1307"/>
      <c r="N814" s="521"/>
      <c r="O814" s="521"/>
      <c r="P814" s="521"/>
      <c r="R814" s="1759"/>
      <c r="S814" s="1759"/>
      <c r="T814" s="1759"/>
    </row>
    <row r="815" spans="1:20" x14ac:dyDescent="0.25">
      <c r="A815" s="1307" t="s">
        <v>3133</v>
      </c>
      <c r="B815" s="1753">
        <v>0.90662411437023205</v>
      </c>
      <c r="C815" s="1753">
        <v>0.85901316494658997</v>
      </c>
      <c r="D815" s="1307">
        <v>0.81727348302203595</v>
      </c>
      <c r="E815" s="1307">
        <v>0.78210508225890496</v>
      </c>
      <c r="F815" s="1307">
        <v>0.74693826387349704</v>
      </c>
      <c r="G815" s="1307"/>
      <c r="H815" s="1307"/>
      <c r="N815" s="521"/>
      <c r="O815" s="521"/>
      <c r="P815" s="521"/>
      <c r="R815" s="1759"/>
      <c r="S815" s="1759"/>
      <c r="T815" s="1759"/>
    </row>
    <row r="816" spans="1:20" x14ac:dyDescent="0.25">
      <c r="A816" s="1307" t="s">
        <v>3134</v>
      </c>
      <c r="B816" s="1753">
        <v>0.94012383868895799</v>
      </c>
      <c r="C816" s="1753">
        <v>0.89103577039868098</v>
      </c>
      <c r="D816" s="1307">
        <v>0.84796599639370696</v>
      </c>
      <c r="E816" s="1307">
        <v>0.81144421071934802</v>
      </c>
      <c r="F816" s="1307">
        <v>0.77498371740134797</v>
      </c>
      <c r="G816" s="1307"/>
      <c r="H816" s="1307"/>
      <c r="N816" s="521"/>
      <c r="O816" s="521"/>
      <c r="P816" s="521"/>
      <c r="R816" s="1759"/>
      <c r="S816" s="1759"/>
      <c r="T816" s="1759"/>
    </row>
    <row r="817" spans="1:20" x14ac:dyDescent="0.25">
      <c r="A817" s="1307" t="s">
        <v>3135</v>
      </c>
      <c r="B817" s="1753">
        <v>0.972146444141049</v>
      </c>
      <c r="C817" s="1753">
        <v>0.92172828377035199</v>
      </c>
      <c r="D817" s="1307">
        <v>0.87730512485415102</v>
      </c>
      <c r="E817" s="1307">
        <v>0.83948966424719995</v>
      </c>
      <c r="F817" s="1307">
        <v>0.80179257017710903</v>
      </c>
      <c r="G817" s="1307"/>
      <c r="H817" s="1307"/>
      <c r="N817" s="521"/>
      <c r="O817" s="521"/>
      <c r="P817" s="521"/>
      <c r="R817" s="1759"/>
      <c r="S817" s="1759"/>
      <c r="T817" s="1759"/>
    </row>
    <row r="818" spans="1:20" x14ac:dyDescent="0.25">
      <c r="A818" s="1307" t="s">
        <v>3136</v>
      </c>
      <c r="B818" s="1753">
        <v>0.154872961119013</v>
      </c>
      <c r="C818" s="1753">
        <v>0.139623201511447</v>
      </c>
      <c r="D818" s="1307">
        <v>0.130366860980654</v>
      </c>
      <c r="E818" s="1307">
        <v>0.12835248968330301</v>
      </c>
      <c r="F818" s="1307">
        <v>0.12577217874872901</v>
      </c>
      <c r="G818" s="1307"/>
      <c r="H818" s="1307"/>
      <c r="N818" s="521"/>
      <c r="O818" s="521"/>
      <c r="P818" s="521"/>
      <c r="R818" s="1759"/>
      <c r="S818" s="1759"/>
      <c r="T818" s="1759"/>
    </row>
    <row r="819" spans="1:20" x14ac:dyDescent="0.25">
      <c r="A819" s="1307" t="s">
        <v>3137</v>
      </c>
      <c r="B819" s="1753">
        <v>1.0028389575127199</v>
      </c>
      <c r="C819" s="1753">
        <v>0.95106741223079505</v>
      </c>
      <c r="D819" s="1307">
        <v>0.90535057838200195</v>
      </c>
      <c r="E819" s="1307">
        <v>0.86629851702296001</v>
      </c>
      <c r="F819" s="1307">
        <v>0.82741937700103596</v>
      </c>
      <c r="G819" s="1307"/>
      <c r="H819" s="1307"/>
      <c r="N819" s="521"/>
      <c r="O819" s="521"/>
      <c r="P819" s="521"/>
      <c r="R819" s="1759"/>
      <c r="S819" s="1759"/>
      <c r="T819" s="1759"/>
    </row>
    <row r="820" spans="1:20" x14ac:dyDescent="0.25">
      <c r="A820" s="1307" t="s">
        <v>3138</v>
      </c>
      <c r="B820" s="1753">
        <v>1.03217808597316</v>
      </c>
      <c r="C820" s="1753">
        <v>0.97911286575864598</v>
      </c>
      <c r="D820" s="1307">
        <v>0.93215943115776301</v>
      </c>
      <c r="E820" s="1307">
        <v>0.89192532384688705</v>
      </c>
      <c r="F820" s="1307">
        <v>0.85191628456619095</v>
      </c>
      <c r="G820" s="1307"/>
      <c r="H820" s="1307"/>
      <c r="N820" s="521"/>
      <c r="O820" s="521"/>
      <c r="P820" s="521"/>
      <c r="R820" s="1759"/>
      <c r="S820" s="1759"/>
      <c r="T820" s="1759"/>
    </row>
    <row r="821" spans="1:20" x14ac:dyDescent="0.25">
      <c r="A821" s="1307" t="s">
        <v>3139</v>
      </c>
      <c r="B821" s="1753">
        <v>1.06022353950102</v>
      </c>
      <c r="C821" s="1753">
        <v>1.00592171853441</v>
      </c>
      <c r="D821" s="1307">
        <v>0.95778623798168905</v>
      </c>
      <c r="E821" s="1307">
        <v>0.91642223141204204</v>
      </c>
      <c r="F821" s="1307">
        <v>0.87484058511378104</v>
      </c>
      <c r="G821" s="1307"/>
      <c r="H821" s="1307"/>
      <c r="N821" s="521"/>
      <c r="O821" s="521"/>
      <c r="P821" s="521"/>
      <c r="R821" s="1759"/>
      <c r="S821" s="1759"/>
      <c r="T821" s="1759"/>
    </row>
    <row r="822" spans="1:20" x14ac:dyDescent="0.25">
      <c r="A822" s="1307" t="s">
        <v>3140</v>
      </c>
      <c r="B822" s="1753">
        <v>1.0870323922767799</v>
      </c>
      <c r="C822" s="1753">
        <v>1.0315485253583301</v>
      </c>
      <c r="D822" s="1307">
        <v>0.98228314554684504</v>
      </c>
      <c r="E822" s="1307">
        <v>0.93934653195963302</v>
      </c>
      <c r="F822" s="1307">
        <v>0.89629323395113003</v>
      </c>
      <c r="G822" s="1307"/>
      <c r="H822" s="1307"/>
      <c r="N822" s="521"/>
      <c r="O822" s="521"/>
      <c r="P822" s="521"/>
      <c r="R822" s="1759"/>
      <c r="S822" s="1759"/>
      <c r="T822" s="1759"/>
    </row>
    <row r="823" spans="1:20" x14ac:dyDescent="0.25">
      <c r="A823" s="1307" t="s">
        <v>3141</v>
      </c>
      <c r="B823" s="1753">
        <v>1.1126591991007</v>
      </c>
      <c r="C823" s="1753">
        <v>1.0560454329234901</v>
      </c>
      <c r="D823" s="1307">
        <v>1.00520744609444</v>
      </c>
      <c r="E823" s="1307">
        <v>0.96079918079698101</v>
      </c>
      <c r="F823" s="1307">
        <v>0.91636870544406401</v>
      </c>
      <c r="G823" s="1307"/>
      <c r="H823" s="1307"/>
      <c r="N823" s="521"/>
      <c r="O823" s="521"/>
      <c r="P823" s="521"/>
      <c r="R823" s="1759"/>
      <c r="S823" s="1759"/>
      <c r="T823" s="1759"/>
    </row>
    <row r="824" spans="1:20" x14ac:dyDescent="0.25">
      <c r="A824" s="1307" t="s">
        <v>3142</v>
      </c>
      <c r="B824" s="1753">
        <v>1.13715610666586</v>
      </c>
      <c r="C824" s="1753">
        <v>1.0789697334710799</v>
      </c>
      <c r="D824" s="1307">
        <v>1.0266600949317799</v>
      </c>
      <c r="E824" s="1307">
        <v>0.98087465228991499</v>
      </c>
      <c r="F824" s="1307">
        <v>0.93515540906836903</v>
      </c>
      <c r="G824" s="1307"/>
      <c r="H824" s="1307"/>
      <c r="N824" s="521"/>
      <c r="O824" s="521"/>
      <c r="P824" s="521"/>
      <c r="R824" s="1759"/>
      <c r="S824" s="1759"/>
      <c r="T824" s="1759"/>
    </row>
    <row r="825" spans="1:20" x14ac:dyDescent="0.25">
      <c r="A825" s="1307" t="s">
        <v>3143</v>
      </c>
      <c r="B825" s="1753">
        <v>1.1600804072134501</v>
      </c>
      <c r="C825" s="1753">
        <v>1.10042238230843</v>
      </c>
      <c r="D825" s="1307">
        <v>1.04673556642472</v>
      </c>
      <c r="E825" s="1307">
        <v>0.99966135591422001</v>
      </c>
      <c r="F825" s="1307">
        <v>0.952736078752354</v>
      </c>
      <c r="G825" s="1307"/>
      <c r="H825" s="1307"/>
      <c r="N825" s="521"/>
      <c r="O825" s="521"/>
      <c r="P825" s="521"/>
      <c r="R825" s="1759"/>
      <c r="S825" s="1759"/>
      <c r="T825" s="1759"/>
    </row>
    <row r="826" spans="1:20" x14ac:dyDescent="0.25">
      <c r="A826" s="1307" t="s">
        <v>3144</v>
      </c>
      <c r="B826" s="1753">
        <v>1.1815330560507999</v>
      </c>
      <c r="C826" s="1753">
        <v>1.1204978538013599</v>
      </c>
      <c r="D826" s="1307">
        <v>1.0655222700490199</v>
      </c>
      <c r="E826" s="1307">
        <v>1.01724202559821</v>
      </c>
      <c r="F826" s="1307">
        <v>0.96918813722510699</v>
      </c>
      <c r="G826" s="1307"/>
      <c r="H826" s="1307"/>
      <c r="N826" s="521"/>
      <c r="O826" s="521"/>
      <c r="P826" s="521"/>
      <c r="R826" s="1759"/>
      <c r="S826" s="1759"/>
      <c r="T826" s="1759"/>
    </row>
    <row r="827" spans="1:20" x14ac:dyDescent="0.25">
      <c r="A827" s="1307" t="s">
        <v>3145</v>
      </c>
      <c r="B827" s="1753">
        <v>1.20160852754373</v>
      </c>
      <c r="C827" s="1753">
        <v>1.13928455742567</v>
      </c>
      <c r="D827" s="1307">
        <v>1.0831029397330101</v>
      </c>
      <c r="E827" s="1307">
        <v>1.0336940840709601</v>
      </c>
      <c r="F827" s="1307">
        <v>0.98458403697501695</v>
      </c>
      <c r="G827" s="1307"/>
      <c r="H827" s="1307"/>
      <c r="N827" s="521"/>
      <c r="O827" s="521"/>
      <c r="P827" s="521"/>
      <c r="R827" s="1759"/>
      <c r="S827" s="1759"/>
      <c r="T827" s="1759"/>
    </row>
    <row r="828" spans="1:20" x14ac:dyDescent="0.25">
      <c r="A828" s="1307" t="s">
        <v>3146</v>
      </c>
      <c r="B828" s="1753">
        <v>1.2203952311680399</v>
      </c>
      <c r="C828" s="1753">
        <v>1.15686522710965</v>
      </c>
      <c r="D828" s="1307">
        <v>1.09955499820576</v>
      </c>
      <c r="E828" s="1307">
        <v>1.04908998382087</v>
      </c>
      <c r="F828" s="1307">
        <v>0.998991579320057</v>
      </c>
      <c r="G828" s="1307"/>
      <c r="H828" s="1307"/>
      <c r="N828" s="521"/>
      <c r="O828" s="521"/>
      <c r="P828" s="521"/>
      <c r="R828" s="1759"/>
      <c r="S828" s="1759"/>
      <c r="T828" s="1759"/>
    </row>
    <row r="829" spans="1:20" x14ac:dyDescent="0.25">
      <c r="A829" s="1307" t="s">
        <v>3147</v>
      </c>
      <c r="B829" s="1753">
        <v>0.22073387525381599</v>
      </c>
      <c r="C829" s="1753">
        <v>0.20412914835729801</v>
      </c>
      <c r="D829" s="1307">
        <v>0.19421340381810501</v>
      </c>
      <c r="E829" s="1307">
        <v>0.19027812559457999</v>
      </c>
      <c r="F829" s="1307">
        <v>0.183893985674387</v>
      </c>
      <c r="G829" s="1307"/>
      <c r="H829" s="1307"/>
      <c r="N829" s="521"/>
      <c r="O829" s="521"/>
      <c r="P829" s="521"/>
      <c r="R829" s="1759"/>
      <c r="S829" s="1759"/>
      <c r="T829" s="1759"/>
    </row>
    <row r="830" spans="1:20" x14ac:dyDescent="0.25">
      <c r="A830" s="1307" t="s">
        <v>3148</v>
      </c>
      <c r="B830" s="1753">
        <v>1.2379759008520199</v>
      </c>
      <c r="C830" s="1753">
        <v>1.1733172855824101</v>
      </c>
      <c r="D830" s="1307">
        <v>1.1149508979556699</v>
      </c>
      <c r="E830" s="1307">
        <v>1.0634975261659101</v>
      </c>
      <c r="F830" s="1307">
        <v>1.012474212995</v>
      </c>
      <c r="G830" s="1307"/>
      <c r="H830" s="1307"/>
      <c r="N830" s="521"/>
      <c r="O830" s="521"/>
      <c r="P830" s="521"/>
      <c r="R830" s="1759"/>
      <c r="S830" s="1759"/>
      <c r="T830" s="1759"/>
    </row>
    <row r="831" spans="1:20" x14ac:dyDescent="0.25">
      <c r="A831" s="1307" t="s">
        <v>3149</v>
      </c>
      <c r="B831" s="1753">
        <v>0.28523982209966697</v>
      </c>
      <c r="C831" s="1753">
        <v>0.26797569119475001</v>
      </c>
      <c r="D831" s="1307">
        <v>0.25613903972938301</v>
      </c>
      <c r="E831" s="1307">
        <v>0.24839993252023901</v>
      </c>
      <c r="F831" s="1307">
        <v>0.23833271349699001</v>
      </c>
      <c r="G831" s="1307"/>
      <c r="H831" s="1307"/>
      <c r="N831" s="521"/>
      <c r="O831" s="521"/>
      <c r="P831" s="521"/>
      <c r="R831" s="1759"/>
      <c r="S831" s="1759"/>
      <c r="T831" s="1759"/>
    </row>
    <row r="832" spans="1:20" x14ac:dyDescent="0.25">
      <c r="A832" s="1307" t="s">
        <v>3150</v>
      </c>
      <c r="B832" s="1753">
        <v>0.34908636493711798</v>
      </c>
      <c r="C832" s="1753">
        <v>0.32990132710602699</v>
      </c>
      <c r="D832" s="1307">
        <v>0.314260846655041</v>
      </c>
      <c r="E832" s="1307">
        <v>0.30283866034284102</v>
      </c>
      <c r="F832" s="1307">
        <v>0.28965652254583502</v>
      </c>
      <c r="G832" s="1307"/>
      <c r="H832" s="1307"/>
      <c r="N832" s="521"/>
      <c r="O832" s="521"/>
      <c r="P832" s="521"/>
      <c r="R832" s="1759"/>
      <c r="S832" s="1759"/>
      <c r="T832" s="1759"/>
    </row>
    <row r="833" spans="1:20" x14ac:dyDescent="0.25">
      <c r="A833" s="1307" t="s">
        <v>3151</v>
      </c>
      <c r="B833" s="1753">
        <v>0.41101200084839601</v>
      </c>
      <c r="C833" s="1753">
        <v>0.38802313403168598</v>
      </c>
      <c r="D833" s="1307">
        <v>0.36869957447764401</v>
      </c>
      <c r="E833" s="1307">
        <v>0.354162469391686</v>
      </c>
      <c r="F833" s="1307">
        <v>0.33857539113233198</v>
      </c>
      <c r="G833" s="1307"/>
      <c r="H833" s="1307"/>
      <c r="N833" s="521"/>
      <c r="O833" s="521"/>
      <c r="P833" s="521"/>
      <c r="R833" s="1759"/>
      <c r="S833" s="1759"/>
      <c r="T833" s="1759"/>
    </row>
    <row r="834" spans="1:20" x14ac:dyDescent="0.25">
      <c r="A834" s="1307" t="s">
        <v>3152</v>
      </c>
      <c r="B834" s="1753">
        <v>0.469133807774054</v>
      </c>
      <c r="C834" s="1753">
        <v>0.44246186185428799</v>
      </c>
      <c r="D834" s="1307">
        <v>0.42002338352648899</v>
      </c>
      <c r="E834" s="1307">
        <v>0.40308133797818302</v>
      </c>
      <c r="F834" s="1307">
        <v>0.38478028930264502</v>
      </c>
      <c r="G834" s="1307"/>
      <c r="H834" s="1307"/>
      <c r="N834" s="521"/>
      <c r="O834" s="521"/>
      <c r="P834" s="521"/>
      <c r="R834" s="1759"/>
      <c r="S834" s="1759"/>
      <c r="T834" s="1759"/>
    </row>
    <row r="835" spans="1:20" x14ac:dyDescent="0.25">
      <c r="A835" s="1307" t="s">
        <v>3153</v>
      </c>
      <c r="B835" s="1753">
        <v>0.52357253559665695</v>
      </c>
      <c r="C835" s="1753">
        <v>0.49378567090313302</v>
      </c>
      <c r="D835" s="1307">
        <v>0.46894225211298601</v>
      </c>
      <c r="E835" s="1307">
        <v>0.449286236148496</v>
      </c>
      <c r="F835" s="1307">
        <v>0.42896561395806498</v>
      </c>
      <c r="G835" s="1307"/>
      <c r="H835" s="1307"/>
      <c r="N835" s="521"/>
      <c r="O835" s="521"/>
      <c r="P835" s="521"/>
      <c r="R835" s="1759"/>
      <c r="S835" s="1759"/>
      <c r="T835" s="1759"/>
    </row>
    <row r="836" spans="1:20" x14ac:dyDescent="0.25">
      <c r="A836" s="1307" t="s">
        <v>3154</v>
      </c>
      <c r="B836" s="1753">
        <v>0.57489634464550199</v>
      </c>
      <c r="C836" s="1753">
        <v>0.54270453948963004</v>
      </c>
      <c r="D836" s="1307">
        <v>0.51514715028329905</v>
      </c>
      <c r="E836" s="1307">
        <v>0.49347156080391702</v>
      </c>
      <c r="F836" s="1307">
        <v>0.47120257267651</v>
      </c>
      <c r="G836" s="1307"/>
      <c r="H836" s="1307"/>
      <c r="N836" s="521"/>
      <c r="O836" s="521"/>
      <c r="P836" s="521"/>
      <c r="R836" s="1759"/>
      <c r="S836" s="1759"/>
      <c r="T836" s="1759"/>
    </row>
    <row r="837" spans="1:20" x14ac:dyDescent="0.25">
      <c r="A837" s="1307" t="s">
        <v>3155</v>
      </c>
      <c r="B837" s="1753">
        <v>6.4962245082860637E-2</v>
      </c>
      <c r="C837" s="1753">
        <v>6.0791919411248951E-2</v>
      </c>
      <c r="D837" s="1307">
        <v>5.4785939919542198E-2</v>
      </c>
      <c r="E837" s="1307">
        <v>4.8280196016662391E-2</v>
      </c>
      <c r="F837" s="1307">
        <v>4.7560001474548363E-2</v>
      </c>
      <c r="G837" s="1307"/>
      <c r="H837" s="1307"/>
      <c r="N837" s="521"/>
      <c r="O837" s="521"/>
      <c r="P837" s="521"/>
      <c r="R837" s="1759"/>
      <c r="S837" s="1759"/>
      <c r="T837" s="1759"/>
    </row>
    <row r="838" spans="1:20" x14ac:dyDescent="0.25">
      <c r="A838" s="1307" t="s">
        <v>3156</v>
      </c>
      <c r="B838" s="1753">
        <v>0.49129488714507408</v>
      </c>
      <c r="C838" s="1753">
        <v>0.46244830644501866</v>
      </c>
      <c r="D838" s="1307">
        <v>0.43569912055367643</v>
      </c>
      <c r="E838" s="1307">
        <v>0.41347964851567742</v>
      </c>
      <c r="F838" s="1307">
        <v>0.39633863198940866</v>
      </c>
      <c r="G838" s="1307"/>
      <c r="H838" s="1307"/>
      <c r="N838" s="521"/>
      <c r="O838" s="521"/>
      <c r="P838" s="521"/>
      <c r="R838" s="1759"/>
      <c r="S838" s="1759"/>
      <c r="T838" s="1759"/>
    </row>
    <row r="839" spans="1:20" x14ac:dyDescent="0.25">
      <c r="A839" s="1307" t="s">
        <v>3157</v>
      </c>
      <c r="B839" s="1753">
        <v>0.5274105515278793</v>
      </c>
      <c r="C839" s="1753">
        <v>0.4964910399649255</v>
      </c>
      <c r="D839" s="1307">
        <v>0.46826558843521987</v>
      </c>
      <c r="E839" s="1307">
        <v>0.44461882800607094</v>
      </c>
      <c r="F839" s="1307">
        <v>0.42589104411324991</v>
      </c>
      <c r="G839" s="1307"/>
      <c r="H839" s="1307"/>
      <c r="N839" s="521"/>
      <c r="O839" s="521"/>
      <c r="P839" s="521"/>
      <c r="R839" s="1759"/>
      <c r="S839" s="1759"/>
      <c r="T839" s="1759"/>
    </row>
    <row r="840" spans="1:20" x14ac:dyDescent="0.25">
      <c r="A840" s="1307" t="s">
        <v>3158</v>
      </c>
      <c r="B840" s="1753">
        <v>0.56145328504778591</v>
      </c>
      <c r="C840" s="1753">
        <v>0.52905750784646866</v>
      </c>
      <c r="D840" s="1307">
        <v>0.49940476792561339</v>
      </c>
      <c r="E840" s="1307">
        <v>0.47417124012991219</v>
      </c>
      <c r="F840" s="1307">
        <v>0.45414820540298412</v>
      </c>
      <c r="G840" s="1307"/>
      <c r="H840" s="1307"/>
      <c r="N840" s="521"/>
      <c r="O840" s="521"/>
      <c r="P840" s="521"/>
      <c r="R840" s="1759"/>
      <c r="S840" s="1759"/>
      <c r="T840" s="1759"/>
    </row>
    <row r="841" spans="1:20" x14ac:dyDescent="0.25">
      <c r="A841" s="1307" t="s">
        <v>3159</v>
      </c>
      <c r="B841" s="1753">
        <v>0.59401975292932918</v>
      </c>
      <c r="C841" s="1753">
        <v>0.56019668733686212</v>
      </c>
      <c r="D841" s="1307">
        <v>0.52895718004945458</v>
      </c>
      <c r="E841" s="1307">
        <v>0.5024284014196464</v>
      </c>
      <c r="F841" s="1307">
        <v>0.48116690969025266</v>
      </c>
      <c r="G841" s="1307"/>
      <c r="H841" s="1307"/>
      <c r="N841" s="521"/>
      <c r="O841" s="521"/>
      <c r="P841" s="521"/>
      <c r="R841" s="1759"/>
      <c r="S841" s="1759"/>
      <c r="T841" s="1759"/>
    </row>
    <row r="842" spans="1:20" x14ac:dyDescent="0.25">
      <c r="A842" s="1307" t="s">
        <v>3160</v>
      </c>
      <c r="B842" s="1753">
        <v>0.62515893241972287</v>
      </c>
      <c r="C842" s="1753">
        <v>0.58974909946070342</v>
      </c>
      <c r="D842" s="1307">
        <v>0.55721434133918868</v>
      </c>
      <c r="E842" s="1307">
        <v>0.52944710570691511</v>
      </c>
      <c r="F842" s="1307">
        <v>0.50700145942967911</v>
      </c>
      <c r="G842" s="1307"/>
      <c r="H842" s="1307"/>
      <c r="N842" s="521"/>
      <c r="O842" s="521"/>
      <c r="P842" s="521"/>
      <c r="R842" s="1759"/>
      <c r="S842" s="1759"/>
      <c r="T842" s="1759"/>
    </row>
    <row r="843" spans="1:20" x14ac:dyDescent="0.25">
      <c r="A843" s="1307" t="s">
        <v>3161</v>
      </c>
      <c r="B843" s="1753">
        <v>0.65471134454356417</v>
      </c>
      <c r="C843" s="1753">
        <v>0.61800626075043752</v>
      </c>
      <c r="D843" s="1307">
        <v>0.58423304562645739</v>
      </c>
      <c r="E843" s="1307">
        <v>0.55528165544634167</v>
      </c>
      <c r="F843" s="1307">
        <v>0.53170377503742439</v>
      </c>
      <c r="G843" s="1307"/>
      <c r="H843" s="1307"/>
      <c r="N843" s="521"/>
      <c r="O843" s="521"/>
      <c r="P843" s="521"/>
      <c r="R843" s="1759"/>
      <c r="S843" s="1759"/>
      <c r="T843" s="1759"/>
    </row>
    <row r="844" spans="1:20" x14ac:dyDescent="0.25">
      <c r="A844" s="1307" t="s">
        <v>3162</v>
      </c>
      <c r="B844" s="1753">
        <v>0.68296850583329827</v>
      </c>
      <c r="C844" s="1753">
        <v>0.64502496503770634</v>
      </c>
      <c r="D844" s="1307">
        <v>0.61006759536588395</v>
      </c>
      <c r="E844" s="1307">
        <v>0.57998397105408694</v>
      </c>
      <c r="F844" s="1307">
        <v>0.55532349942900971</v>
      </c>
      <c r="G844" s="1307"/>
      <c r="H844" s="1307"/>
      <c r="N844" s="521"/>
      <c r="O844" s="521"/>
      <c r="P844" s="521"/>
      <c r="R844" s="1759"/>
      <c r="S844" s="1759"/>
      <c r="T844" s="1759"/>
    </row>
    <row r="845" spans="1:20" x14ac:dyDescent="0.25">
      <c r="A845" s="1307" t="s">
        <v>3163</v>
      </c>
      <c r="B845" s="1753">
        <v>0.70998721012056676</v>
      </c>
      <c r="C845" s="1753">
        <v>0.67085951477713268</v>
      </c>
      <c r="D845" s="1307">
        <v>0.63476991097362911</v>
      </c>
      <c r="E845" s="1307">
        <v>0.60360369544567205</v>
      </c>
      <c r="F845" s="1307">
        <v>0.57794728400719919</v>
      </c>
      <c r="G845" s="1307"/>
      <c r="H845" s="1307"/>
      <c r="N845" s="521"/>
      <c r="O845" s="521"/>
      <c r="P845" s="521"/>
      <c r="R845" s="1759"/>
      <c r="S845" s="1759"/>
      <c r="T845" s="1759"/>
    </row>
    <row r="846" spans="1:20" x14ac:dyDescent="0.25">
      <c r="A846" s="1307" t="s">
        <v>3164</v>
      </c>
      <c r="B846" s="1753">
        <v>0.73582175985999332</v>
      </c>
      <c r="C846" s="1753">
        <v>0.69556183038487795</v>
      </c>
      <c r="D846" s="1307">
        <v>0.65838963536521411</v>
      </c>
      <c r="E846" s="1307">
        <v>0.62622748002386164</v>
      </c>
      <c r="F846" s="1307">
        <v>0.59957954391830837</v>
      </c>
      <c r="G846" s="1307"/>
      <c r="H846" s="1307"/>
      <c r="N846" s="521"/>
      <c r="O846" s="521"/>
      <c r="P846" s="521"/>
      <c r="R846" s="1759"/>
      <c r="S846" s="1759"/>
      <c r="T846" s="1759"/>
    </row>
    <row r="847" spans="1:20" x14ac:dyDescent="0.25">
      <c r="A847" s="1307" t="s">
        <v>3165</v>
      </c>
      <c r="B847" s="1753">
        <v>0.7605240754677387</v>
      </c>
      <c r="C847" s="1753">
        <v>0.71918155477646328</v>
      </c>
      <c r="D847" s="1307">
        <v>0.68101341994340381</v>
      </c>
      <c r="E847" s="1307">
        <v>0.64785973993497081</v>
      </c>
      <c r="F847" s="1307">
        <v>0.62026375295749547</v>
      </c>
      <c r="G847" s="1307"/>
      <c r="H847" s="1307"/>
      <c r="N847" s="521"/>
      <c r="O847" s="521"/>
      <c r="P847" s="521"/>
      <c r="R847" s="1759"/>
      <c r="S847" s="1759"/>
      <c r="T847" s="1759"/>
    </row>
    <row r="848" spans="1:20" x14ac:dyDescent="0.25">
      <c r="A848" s="1307" t="s">
        <v>3166</v>
      </c>
      <c r="B848" s="1753">
        <v>0.12575416449410959</v>
      </c>
      <c r="C848" s="1753">
        <v>0.11557785933079115</v>
      </c>
      <c r="D848" s="1307">
        <v>0.1030661359362046</v>
      </c>
      <c r="E848" s="1307">
        <v>9.5840197491210768E-2</v>
      </c>
      <c r="F848" s="1307">
        <v>9.4970440994153471E-2</v>
      </c>
      <c r="G848" s="1307"/>
      <c r="H848" s="1307"/>
      <c r="N848" s="521"/>
      <c r="O848" s="521"/>
      <c r="P848" s="521"/>
      <c r="R848" s="1759"/>
      <c r="S848" s="1759"/>
      <c r="T848" s="1759"/>
    </row>
    <row r="849" spans="1:20" x14ac:dyDescent="0.25">
      <c r="A849" s="1307" t="s">
        <v>3167</v>
      </c>
      <c r="B849" s="1753">
        <v>0.78414379985932381</v>
      </c>
      <c r="C849" s="1753">
        <v>0.74180533935465287</v>
      </c>
      <c r="D849" s="1307">
        <v>0.70264567985451287</v>
      </c>
      <c r="E849" s="1307">
        <v>0.66854394897415803</v>
      </c>
      <c r="F849" s="1307">
        <v>0.64004147795804633</v>
      </c>
      <c r="G849" s="1307"/>
      <c r="H849" s="1307"/>
      <c r="N849" s="521"/>
      <c r="O849" s="521"/>
      <c r="P849" s="521"/>
      <c r="R849" s="1759"/>
      <c r="S849" s="1759"/>
      <c r="T849" s="1759"/>
    </row>
    <row r="850" spans="1:20" x14ac:dyDescent="0.25">
      <c r="A850" s="1307" t="s">
        <v>3168</v>
      </c>
      <c r="B850" s="1753">
        <v>0.80676758443751329</v>
      </c>
      <c r="C850" s="1753">
        <v>0.76343759926576193</v>
      </c>
      <c r="D850" s="1307">
        <v>0.72332988889370009</v>
      </c>
      <c r="E850" s="1307">
        <v>0.68832167397470878</v>
      </c>
      <c r="F850" s="1307">
        <v>0.6589524624771198</v>
      </c>
      <c r="G850" s="1307"/>
      <c r="H850" s="1307"/>
      <c r="N850" s="521"/>
      <c r="O850" s="521"/>
      <c r="P850" s="521"/>
      <c r="R850" s="1759"/>
      <c r="S850" s="1759"/>
      <c r="T850" s="1759"/>
    </row>
    <row r="851" spans="1:20" x14ac:dyDescent="0.25">
      <c r="A851" s="1307" t="s">
        <v>3169</v>
      </c>
      <c r="B851" s="1753">
        <v>0.82839984434862246</v>
      </c>
      <c r="C851" s="1753">
        <v>0.78412180830494926</v>
      </c>
      <c r="D851" s="1307">
        <v>0.74310761389425095</v>
      </c>
      <c r="E851" s="1307">
        <v>0.70723265849378214</v>
      </c>
      <c r="F851" s="1307">
        <v>0.676649434701594</v>
      </c>
      <c r="G851" s="1307"/>
      <c r="H851" s="1307"/>
      <c r="N851" s="521"/>
      <c r="O851" s="521"/>
      <c r="P851" s="521"/>
      <c r="R851" s="1759"/>
      <c r="S851" s="1759"/>
      <c r="T851" s="1759"/>
    </row>
    <row r="852" spans="1:20" x14ac:dyDescent="0.25">
      <c r="A852" s="1307" t="s">
        <v>3170</v>
      </c>
      <c r="B852" s="1753">
        <v>0.84908405338780979</v>
      </c>
      <c r="C852" s="1753">
        <v>0.80389953330550001</v>
      </c>
      <c r="D852" s="1307">
        <v>0.76201859841332442</v>
      </c>
      <c r="E852" s="1307">
        <v>0.72492963071825667</v>
      </c>
      <c r="F852" s="1307">
        <v>0.69321032954014394</v>
      </c>
      <c r="G852" s="1307"/>
      <c r="H852" s="1307"/>
      <c r="N852" s="521"/>
      <c r="O852" s="521"/>
      <c r="P852" s="521"/>
      <c r="R852" s="1759"/>
      <c r="S852" s="1759"/>
      <c r="T852" s="1759"/>
    </row>
    <row r="853" spans="1:20" x14ac:dyDescent="0.25">
      <c r="A853" s="1307" t="s">
        <v>3171</v>
      </c>
      <c r="B853" s="1753">
        <v>0.86886177838836065</v>
      </c>
      <c r="C853" s="1753">
        <v>0.82281051782457326</v>
      </c>
      <c r="D853" s="1307">
        <v>0.77971557063779884</v>
      </c>
      <c r="E853" s="1307">
        <v>0.7414905255568065</v>
      </c>
      <c r="F853" s="1307">
        <v>0.7087080787807859</v>
      </c>
      <c r="G853" s="1307"/>
      <c r="H853" s="1307"/>
      <c r="N853" s="521"/>
      <c r="O853" s="521"/>
      <c r="P853" s="521"/>
      <c r="R853" s="1759"/>
      <c r="S853" s="1759"/>
      <c r="T853" s="1759"/>
    </row>
    <row r="854" spans="1:20" x14ac:dyDescent="0.25">
      <c r="A854" s="1307" t="s">
        <v>3172</v>
      </c>
      <c r="B854" s="1753">
        <v>0.88777276290743379</v>
      </c>
      <c r="C854" s="1753">
        <v>0.84050749004904779</v>
      </c>
      <c r="D854" s="1307">
        <v>0.79627646547634867</v>
      </c>
      <c r="E854" s="1307">
        <v>0.75698827479744812</v>
      </c>
      <c r="F854" s="1307">
        <v>0.72321093227193478</v>
      </c>
      <c r="G854" s="1307"/>
      <c r="H854" s="1307"/>
      <c r="N854" s="521"/>
      <c r="O854" s="521"/>
      <c r="P854" s="521"/>
      <c r="R854" s="1759"/>
      <c r="S854" s="1759"/>
      <c r="T854" s="1759"/>
    </row>
    <row r="855" spans="1:20" x14ac:dyDescent="0.25">
      <c r="A855" s="1307" t="s">
        <v>3173</v>
      </c>
      <c r="B855" s="1753">
        <v>0.18054010441365184</v>
      </c>
      <c r="C855" s="1753">
        <v>0.16385805534745354</v>
      </c>
      <c r="D855" s="1307">
        <v>0.15062613741075301</v>
      </c>
      <c r="E855" s="1307">
        <v>0.14325063701081589</v>
      </c>
      <c r="F855" s="1307">
        <v>0.14110118624419701</v>
      </c>
      <c r="G855" s="1307"/>
      <c r="H855" s="1307"/>
      <c r="N855" s="521"/>
      <c r="O855" s="521"/>
      <c r="P855" s="521"/>
      <c r="R855" s="1759"/>
      <c r="S855" s="1759"/>
      <c r="T855" s="1759"/>
    </row>
    <row r="856" spans="1:20" x14ac:dyDescent="0.25">
      <c r="A856" s="1307" t="s">
        <v>3174</v>
      </c>
      <c r="B856" s="1753">
        <v>0.22882030043031415</v>
      </c>
      <c r="C856" s="1753">
        <v>0.2114180568220019</v>
      </c>
      <c r="D856" s="1307">
        <v>0.19803657693035803</v>
      </c>
      <c r="E856" s="1307">
        <v>0.18938138226085943</v>
      </c>
      <c r="F856" s="1307">
        <v>0.1842762644509808</v>
      </c>
      <c r="G856" s="1307"/>
      <c r="H856" s="1307"/>
      <c r="N856" s="521"/>
      <c r="O856" s="521"/>
      <c r="P856" s="521"/>
      <c r="R856" s="1759"/>
      <c r="S856" s="1759"/>
      <c r="T856" s="1759"/>
    </row>
    <row r="857" spans="1:20" x14ac:dyDescent="0.25">
      <c r="A857" s="1307" t="s">
        <v>3175</v>
      </c>
      <c r="B857" s="1753">
        <v>0.27638030190486257</v>
      </c>
      <c r="C857" s="1753">
        <v>0.25882849634160704</v>
      </c>
      <c r="D857" s="1307">
        <v>0.2441673221804016</v>
      </c>
      <c r="E857" s="1307">
        <v>0.23255646046764319</v>
      </c>
      <c r="F857" s="1307">
        <v>0.22457291688111039</v>
      </c>
      <c r="G857" s="1307"/>
      <c r="H857" s="1307"/>
      <c r="N857" s="521"/>
      <c r="O857" s="521"/>
      <c r="P857" s="521"/>
      <c r="R857" s="1759"/>
      <c r="S857" s="1759"/>
      <c r="T857" s="1759"/>
    </row>
    <row r="858" spans="1:20" x14ac:dyDescent="0.25">
      <c r="A858" s="1307" t="s">
        <v>3176</v>
      </c>
      <c r="B858" s="1753">
        <v>0.32379074142446768</v>
      </c>
      <c r="C858" s="1753">
        <v>0.30495924159165061</v>
      </c>
      <c r="D858" s="1307">
        <v>0.28734240038718545</v>
      </c>
      <c r="E858" s="1307">
        <v>0.27285311289777281</v>
      </c>
      <c r="F858" s="1307">
        <v>0.26247458671475993</v>
      </c>
      <c r="G858" s="1307"/>
      <c r="H858" s="1307"/>
      <c r="N858" s="521"/>
      <c r="O858" s="521"/>
      <c r="P858" s="521"/>
      <c r="R858" s="1759"/>
      <c r="S858" s="1759"/>
      <c r="T858" s="1759"/>
    </row>
    <row r="859" spans="1:20" x14ac:dyDescent="0.25">
      <c r="A859" s="1307" t="s">
        <v>3177</v>
      </c>
      <c r="B859" s="1753">
        <v>0.36992148667451119</v>
      </c>
      <c r="C859" s="1753">
        <v>0.34813431979843429</v>
      </c>
      <c r="D859" s="1307">
        <v>0.32763905281731504</v>
      </c>
      <c r="E859" s="1307">
        <v>0.31075478273142243</v>
      </c>
      <c r="F859" s="1307">
        <v>0.29859025109756515</v>
      </c>
      <c r="G859" s="1307"/>
      <c r="H859" s="1307"/>
      <c r="N859" s="521"/>
      <c r="O859" s="521"/>
      <c r="P859" s="521"/>
      <c r="R859" s="1759"/>
      <c r="S859" s="1759"/>
      <c r="T859" s="1759"/>
    </row>
    <row r="860" spans="1:20" x14ac:dyDescent="0.25">
      <c r="A860" s="1307" t="s">
        <v>3178</v>
      </c>
      <c r="B860" s="1753">
        <v>0.41309656488129504</v>
      </c>
      <c r="C860" s="1753">
        <v>0.38843097222856393</v>
      </c>
      <c r="D860" s="1307">
        <v>0.36554072265096449</v>
      </c>
      <c r="E860" s="1307">
        <v>0.3468704471142276</v>
      </c>
      <c r="F860" s="1307">
        <v>0.33263298461747182</v>
      </c>
      <c r="G860" s="1307"/>
      <c r="H860" s="1307"/>
      <c r="N860" s="521"/>
      <c r="O860" s="521"/>
      <c r="P860" s="521"/>
      <c r="R860" s="1759"/>
      <c r="S860" s="1759"/>
      <c r="T860" s="1759"/>
    </row>
    <row r="861" spans="1:20" x14ac:dyDescent="0.25">
      <c r="A861" s="1307" t="s">
        <v>3179</v>
      </c>
      <c r="B861" s="1753">
        <v>0.45339321731142468</v>
      </c>
      <c r="C861" s="1753">
        <v>0.4263326420622135</v>
      </c>
      <c r="D861" s="1307">
        <v>0.40165638703376982</v>
      </c>
      <c r="E861" s="1307">
        <v>0.38091318063413426</v>
      </c>
      <c r="F861" s="1307">
        <v>0.36519945249901514</v>
      </c>
      <c r="G861" s="1307"/>
      <c r="H861" s="1307"/>
      <c r="N861" s="521"/>
      <c r="O861" s="521"/>
      <c r="P861" s="521"/>
      <c r="R861" s="1759"/>
      <c r="S861" s="1759"/>
      <c r="T861" s="1759"/>
    </row>
    <row r="862" spans="1:20" x14ac:dyDescent="0.25">
      <c r="A862" s="1307" t="s">
        <v>3180</v>
      </c>
      <c r="B862" s="1753">
        <v>1.8785250490000001</v>
      </c>
      <c r="C862" s="1753">
        <v>1.781236</v>
      </c>
      <c r="D862" s="1307">
        <v>1.6901919999999999</v>
      </c>
      <c r="E862" s="1307">
        <v>1.606428</v>
      </c>
      <c r="F862" s="1307">
        <v>1.5305500000000001</v>
      </c>
      <c r="G862" s="1307"/>
      <c r="H862" s="1307"/>
      <c r="J862" s="50" t="s">
        <v>3181</v>
      </c>
      <c r="N862" s="521"/>
      <c r="O862" s="521"/>
      <c r="P862" s="521"/>
      <c r="R862" s="1759"/>
      <c r="S862" s="1759"/>
      <c r="T862" s="1759"/>
    </row>
    <row r="863" spans="1:20" x14ac:dyDescent="0.25">
      <c r="A863" s="1307" t="s">
        <v>3182</v>
      </c>
      <c r="B863" s="1753">
        <v>0.28420348301981402</v>
      </c>
      <c r="C863" s="1753">
        <v>0.26633522026566564</v>
      </c>
      <c r="D863" s="1307">
        <v>0.25138316126971699</v>
      </c>
      <c r="E863" s="1307">
        <v>0.23943995340434968</v>
      </c>
      <c r="F863" s="1307">
        <v>0.23107549827875368</v>
      </c>
      <c r="G863" s="1307"/>
      <c r="H863" s="1307"/>
      <c r="J863" s="50" t="s">
        <v>3183</v>
      </c>
      <c r="N863" s="521"/>
      <c r="O863" s="521"/>
      <c r="P863" s="521"/>
      <c r="R863" s="1759"/>
      <c r="S863" s="1759"/>
      <c r="T863" s="1759"/>
    </row>
    <row r="864" spans="1:20" x14ac:dyDescent="0.25">
      <c r="A864" s="1307" t="s">
        <v>3184</v>
      </c>
      <c r="B864" s="1753">
        <v>0.36991476845002147</v>
      </c>
      <c r="C864" s="1753">
        <v>0.35036541512494856</v>
      </c>
      <c r="D864" s="1307">
        <v>0.33259284998388822</v>
      </c>
      <c r="E864" s="1307">
        <v>0.31656753272576654</v>
      </c>
      <c r="F864" s="1307">
        <v>0.30186249618441874</v>
      </c>
      <c r="G864" s="1307"/>
      <c r="H864" s="1307"/>
      <c r="J864" s="50" t="s">
        <v>3183</v>
      </c>
      <c r="N864" s="521"/>
      <c r="O864" s="521"/>
      <c r="P864" s="521"/>
      <c r="R864" s="1759"/>
      <c r="S864" s="1759"/>
      <c r="T864" s="1759"/>
    </row>
    <row r="865" spans="1:20" x14ac:dyDescent="0.25">
      <c r="A865" s="1307" t="s">
        <v>3185</v>
      </c>
      <c r="B865" s="1753">
        <v>1.1826869552215735</v>
      </c>
      <c r="C865" s="1753">
        <v>1.1262784315524945</v>
      </c>
      <c r="D865" s="1307">
        <v>1.071534634245277</v>
      </c>
      <c r="E865" s="1307">
        <v>1.0205005802138556</v>
      </c>
      <c r="F865" s="1307">
        <v>0.97296287285182959</v>
      </c>
      <c r="G865" s="1307"/>
      <c r="H865" s="1307"/>
      <c r="J865" s="50" t="s">
        <v>3183</v>
      </c>
      <c r="N865" s="521"/>
      <c r="O865" s="521"/>
      <c r="P865" s="521"/>
      <c r="R865" s="1759"/>
      <c r="S865" s="1759"/>
      <c r="T865" s="1759"/>
    </row>
    <row r="866" spans="1:20" x14ac:dyDescent="0.25">
      <c r="A866" s="1307" t="s">
        <v>3186</v>
      </c>
      <c r="B866" s="1753">
        <v>0.31094162001450337</v>
      </c>
      <c r="C866" s="1753">
        <v>0.29476254628274834</v>
      </c>
      <c r="D866" s="1307">
        <v>0.2784235253284395</v>
      </c>
      <c r="E866" s="1307">
        <v>0.26377120123957465</v>
      </c>
      <c r="F866" s="1307">
        <v>0.25080170640977967</v>
      </c>
      <c r="G866" s="1307"/>
      <c r="H866" s="1307"/>
      <c r="J866" s="50" t="s">
        <v>3183</v>
      </c>
      <c r="N866" s="521"/>
      <c r="O866" s="521"/>
      <c r="P866" s="521"/>
      <c r="R866" s="1759"/>
      <c r="S866" s="1759"/>
      <c r="T866" s="1759"/>
    </row>
  </sheetData>
  <autoFilter ref="A3:G865" xr:uid="{00000000-0009-0000-0000-00000D000000}"/>
  <conditionalFormatting sqref="A2:A863">
    <cfRule type="containsText" dxfId="1" priority="3" operator="containsText" text="ER2">
      <formula>NOT(ISERROR(SEARCH("ER2",A2)))</formula>
    </cfRule>
  </conditionalFormatting>
  <conditionalFormatting sqref="N301:P301">
    <cfRule type="colorScale" priority="4">
      <colorScale>
        <cfvo type="min"/>
        <cfvo type="percentile" val="50"/>
        <cfvo type="max"/>
        <color rgb="FF63BE7B"/>
        <color rgb="FFFCFCFF"/>
        <color rgb="FFF8696B"/>
      </colorScale>
    </cfRule>
  </conditionalFormatting>
  <conditionalFormatting sqref="N302:P438 N4:P300 N440:P866">
    <cfRule type="colorScale" priority="8">
      <colorScale>
        <cfvo type="min"/>
        <cfvo type="percentile" val="50"/>
        <cfvo type="max"/>
        <color rgb="FF63BE7B"/>
        <color rgb="FFFCFCFF"/>
        <color rgb="FFF8696B"/>
      </colorScale>
    </cfRule>
  </conditionalFormatting>
  <conditionalFormatting sqref="N439:P439">
    <cfRule type="colorScale" priority="1">
      <colorScale>
        <cfvo type="min"/>
        <cfvo type="percentile" val="50"/>
        <cfvo type="max"/>
        <color rgb="FF63BE7B"/>
        <color rgb="FFFCFCFF"/>
        <color rgb="FFF8696B"/>
      </colorScale>
    </cfRule>
  </conditionalFormatting>
  <conditionalFormatting sqref="R2:T300 R302:T438 R440:T866">
    <cfRule type="colorScale" priority="9">
      <colorScale>
        <cfvo type="min"/>
        <cfvo type="max"/>
        <color rgb="FFFCFCFF"/>
        <color rgb="FFF8696B"/>
      </colorScale>
    </cfRule>
  </conditionalFormatting>
  <conditionalFormatting sqref="R301:T301">
    <cfRule type="colorScale" priority="5">
      <colorScale>
        <cfvo type="min"/>
        <cfvo type="max"/>
        <color rgb="FFFCFCFF"/>
        <color rgb="FFF8696B"/>
      </colorScale>
    </cfRule>
  </conditionalFormatting>
  <conditionalFormatting sqref="R439:T439">
    <cfRule type="colorScale" priority="2">
      <colorScale>
        <cfvo type="min"/>
        <cfvo type="max"/>
        <color rgb="FFFCFCFF"/>
        <color rgb="FFF8696B"/>
      </colorScale>
    </cfRule>
  </conditionalFormatting>
  <pageMargins left="0.7" right="0.7" top="0.75" bottom="0.75" header="0.3" footer="0.3"/>
  <pageSetup scale="27" fitToHeight="0"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tabColor theme="1"/>
    <pageSetUpPr fitToPage="1"/>
  </sheetPr>
  <dimension ref="A1:AF38"/>
  <sheetViews>
    <sheetView zoomScale="70" zoomScaleNormal="70" workbookViewId="0">
      <selection sqref="A1:H1"/>
    </sheetView>
  </sheetViews>
  <sheetFormatPr defaultRowHeight="15" x14ac:dyDescent="0.25"/>
  <cols>
    <col min="1" max="1" width="20.28515625" bestFit="1" customWidth="1"/>
    <col min="2" max="2" width="27.28515625" style="441" customWidth="1"/>
    <col min="7" max="7" width="15.42578125" customWidth="1"/>
    <col min="8" max="8" width="15" bestFit="1" customWidth="1"/>
    <col min="9" max="9" width="21" customWidth="1"/>
    <col min="15" max="15" width="15.28515625" bestFit="1" customWidth="1"/>
  </cols>
  <sheetData>
    <row r="1" spans="1:32" x14ac:dyDescent="0.25">
      <c r="A1" s="2053"/>
      <c r="B1" s="2053"/>
      <c r="C1" s="2053"/>
      <c r="D1" s="2053"/>
      <c r="E1" s="2053"/>
      <c r="F1" s="2053"/>
      <c r="G1" s="2053"/>
      <c r="H1" s="2053"/>
      <c r="J1" s="41"/>
      <c r="AF1" s="436"/>
    </row>
    <row r="2" spans="1:32" x14ac:dyDescent="0.25">
      <c r="A2" s="437" t="s">
        <v>3187</v>
      </c>
      <c r="B2" s="438"/>
    </row>
    <row r="3" spans="1:32" x14ac:dyDescent="0.25">
      <c r="A3" s="439" t="s">
        <v>3188</v>
      </c>
      <c r="B3" s="1180">
        <v>1.148238E-4</v>
      </c>
    </row>
    <row r="4" spans="1:32" x14ac:dyDescent="0.25">
      <c r="A4" s="439" t="s">
        <v>1480</v>
      </c>
      <c r="B4" s="1180">
        <v>4.6608050000000002E-4</v>
      </c>
    </row>
    <row r="5" spans="1:32" x14ac:dyDescent="0.25">
      <c r="A5" s="439" t="s">
        <v>3189</v>
      </c>
      <c r="B5" s="1180">
        <v>1.3539039999999999E-4</v>
      </c>
    </row>
    <row r="6" spans="1:32" x14ac:dyDescent="0.25">
      <c r="A6" s="439" t="s">
        <v>3190</v>
      </c>
      <c r="B6" s="1180">
        <v>1.1954749999999999E-4</v>
      </c>
    </row>
    <row r="7" spans="1:32" x14ac:dyDescent="0.25">
      <c r="A7" s="439" t="s">
        <v>3191</v>
      </c>
      <c r="B7" s="1180">
        <v>1.4008870000000001E-4</v>
      </c>
    </row>
    <row r="8" spans="1:32" x14ac:dyDescent="0.25">
      <c r="A8" s="439" t="s">
        <v>3192</v>
      </c>
      <c r="B8" s="1180">
        <v>2.053256E-4</v>
      </c>
    </row>
    <row r="9" spans="1:32" x14ac:dyDescent="0.25">
      <c r="A9" s="439" t="s">
        <v>688</v>
      </c>
      <c r="B9" s="1180">
        <v>9.4741810000000004E-4</v>
      </c>
    </row>
    <row r="10" spans="1:32" x14ac:dyDescent="0.25">
      <c r="A10" s="439" t="s">
        <v>961</v>
      </c>
      <c r="B10" s="1180">
        <v>9.4741810000000004E-4</v>
      </c>
    </row>
    <row r="11" spans="1:32" x14ac:dyDescent="0.25">
      <c r="A11" s="439" t="s">
        <v>3193</v>
      </c>
      <c r="B11" s="1180">
        <v>8.4921199999999996E-5</v>
      </c>
    </row>
    <row r="12" spans="1:32" x14ac:dyDescent="0.25">
      <c r="A12" s="439" t="s">
        <v>3194</v>
      </c>
      <c r="B12" s="1180">
        <v>1.6857220000000001E-4</v>
      </c>
    </row>
    <row r="13" spans="1:32" x14ac:dyDescent="0.25">
      <c r="A13" s="439" t="s">
        <v>3195</v>
      </c>
      <c r="B13" s="1180">
        <v>1.6857220000000001E-4</v>
      </c>
    </row>
    <row r="14" spans="1:32" x14ac:dyDescent="0.25">
      <c r="A14" s="439" t="s">
        <v>689</v>
      </c>
      <c r="B14" s="1180">
        <v>0</v>
      </c>
    </row>
    <row r="15" spans="1:32" x14ac:dyDescent="0.25">
      <c r="A15" s="439" t="s">
        <v>1052</v>
      </c>
      <c r="B15" s="1180">
        <v>0</v>
      </c>
    </row>
    <row r="16" spans="1:32" x14ac:dyDescent="0.25">
      <c r="A16" s="439" t="s">
        <v>802</v>
      </c>
      <c r="B16" s="1180">
        <v>4.6608050000000002E-4</v>
      </c>
    </row>
    <row r="17" spans="1:2" x14ac:dyDescent="0.25">
      <c r="A17" s="439" t="s">
        <v>3196</v>
      </c>
      <c r="B17" s="1180">
        <v>4.6608050000000002E-4</v>
      </c>
    </row>
    <row r="18" spans="1:2" x14ac:dyDescent="0.25">
      <c r="A18" s="439" t="s">
        <v>766</v>
      </c>
      <c r="B18" s="1216">
        <v>1.4925290000000001E-4</v>
      </c>
    </row>
    <row r="19" spans="1:2" x14ac:dyDescent="0.25">
      <c r="A19" s="439" t="s">
        <v>895</v>
      </c>
      <c r="B19" s="1216">
        <v>1.148238E-4</v>
      </c>
    </row>
    <row r="20" spans="1:2" x14ac:dyDescent="0.25">
      <c r="A20" s="439" t="s">
        <v>3197</v>
      </c>
      <c r="B20" s="1216">
        <v>2.3544589999999999E-4</v>
      </c>
    </row>
    <row r="21" spans="1:2" x14ac:dyDescent="0.25">
      <c r="A21" s="439" t="s">
        <v>2073</v>
      </c>
      <c r="B21" s="1216">
        <f>'End-Use Shapes Factors  2025+'!K21</f>
        <v>1.2852529999999999E-4</v>
      </c>
    </row>
    <row r="22" spans="1:2" x14ac:dyDescent="0.25">
      <c r="A22" s="439" t="s">
        <v>2075</v>
      </c>
      <c r="B22" s="1216">
        <v>1.2852529999999999E-4</v>
      </c>
    </row>
    <row r="23" spans="1:2" x14ac:dyDescent="0.25">
      <c r="A23" s="439" t="s">
        <v>602</v>
      </c>
      <c r="B23" s="1216">
        <v>8.8731800000000003E-5</v>
      </c>
    </row>
    <row r="24" spans="1:2" x14ac:dyDescent="0.25">
      <c r="B24" s="1181"/>
    </row>
    <row r="25" spans="1:2" x14ac:dyDescent="0.25">
      <c r="A25" s="440" t="s">
        <v>3198</v>
      </c>
      <c r="B25" s="1182"/>
    </row>
    <row r="26" spans="1:2" x14ac:dyDescent="0.25">
      <c r="A26" s="68" t="s">
        <v>478</v>
      </c>
      <c r="B26" s="1183">
        <v>1.379439E-4</v>
      </c>
    </row>
    <row r="27" spans="1:2" x14ac:dyDescent="0.25">
      <c r="A27" s="68" t="s">
        <v>3199</v>
      </c>
      <c r="B27" s="1183">
        <v>4.4398300000000001E-4</v>
      </c>
    </row>
    <row r="28" spans="1:2" x14ac:dyDescent="0.25">
      <c r="A28" s="68" t="s">
        <v>279</v>
      </c>
      <c r="B28" s="1183">
        <v>1.998949E-4</v>
      </c>
    </row>
    <row r="29" spans="1:2" x14ac:dyDescent="0.25">
      <c r="A29" s="68" t="s">
        <v>331</v>
      </c>
      <c r="B29" s="1183">
        <v>9.1068400000000004E-4</v>
      </c>
    </row>
    <row r="30" spans="1:2" x14ac:dyDescent="0.25">
      <c r="A30" s="68" t="s">
        <v>3200</v>
      </c>
      <c r="B30" s="1183">
        <v>5.6160000000000001E-6</v>
      </c>
    </row>
    <row r="31" spans="1:2" x14ac:dyDescent="0.25">
      <c r="A31" s="68" t="s">
        <v>332</v>
      </c>
      <c r="B31" s="1183">
        <v>0</v>
      </c>
    </row>
    <row r="32" spans="1:2" x14ac:dyDescent="0.25">
      <c r="A32" s="68" t="s">
        <v>360</v>
      </c>
      <c r="B32" s="1183">
        <v>4.4398300000000001E-4</v>
      </c>
    </row>
    <row r="33" spans="1:2" x14ac:dyDescent="0.25">
      <c r="A33" s="68" t="s">
        <v>61</v>
      </c>
      <c r="B33" s="1183">
        <v>1.899635E-4</v>
      </c>
    </row>
    <row r="34" spans="1:2" x14ac:dyDescent="0.25">
      <c r="A34" s="68" t="s">
        <v>3201</v>
      </c>
      <c r="B34" s="1183">
        <v>1.379439E-4</v>
      </c>
    </row>
    <row r="35" spans="1:2" x14ac:dyDescent="0.25">
      <c r="A35" s="68" t="s">
        <v>263</v>
      </c>
      <c r="B35" s="1183">
        <v>1.379439E-4</v>
      </c>
    </row>
    <row r="36" spans="1:2" x14ac:dyDescent="0.25">
      <c r="A36" s="68" t="s">
        <v>3202</v>
      </c>
      <c r="B36" s="1183">
        <v>1.379439E-4</v>
      </c>
    </row>
    <row r="37" spans="1:2" x14ac:dyDescent="0.25">
      <c r="A37" s="68" t="s">
        <v>148</v>
      </c>
      <c r="B37" s="1183">
        <v>1.3573829999999999E-4</v>
      </c>
    </row>
    <row r="38" spans="1:2" x14ac:dyDescent="0.25">
      <c r="A38" s="68" t="s">
        <v>223</v>
      </c>
      <c r="B38" s="1183">
        <v>1.811545E-4</v>
      </c>
    </row>
  </sheetData>
  <autoFilter ref="A1:A38" xr:uid="{00000000-0001-0000-0E00-000000000000}"/>
  <mergeCells count="1">
    <mergeCell ref="A1:H1"/>
  </mergeCells>
  <pageMargins left="0.7" right="0.7" top="0.75" bottom="0.75" header="0.3" footer="0.3"/>
  <pageSetup scale="79" fitToHeight="0"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9A099-CCDA-4074-BCA0-4A3F37E65AB5}">
  <sheetPr codeName="Sheet2">
    <tabColor theme="1"/>
  </sheetPr>
  <dimension ref="A1:AT22"/>
  <sheetViews>
    <sheetView zoomScale="70" zoomScaleNormal="70" workbookViewId="0">
      <selection activeCell="E28" sqref="E28"/>
    </sheetView>
  </sheetViews>
  <sheetFormatPr defaultColWidth="0" defaultRowHeight="15" customHeight="1" zeroHeight="1" x14ac:dyDescent="0.25"/>
  <cols>
    <col min="1" max="1" width="3.7109375" customWidth="1"/>
    <col min="2" max="2" width="10.7109375" bestFit="1" customWidth="1"/>
    <col min="3" max="7" width="12.7109375" style="1173" customWidth="1"/>
    <col min="8" max="8" width="12.7109375" style="1174" customWidth="1"/>
    <col min="9" max="9" width="13.7109375" style="1174" customWidth="1"/>
    <col min="10" max="12" width="12.7109375" style="1174" customWidth="1"/>
    <col min="13" max="14" width="3.7109375" style="1174" customWidth="1"/>
    <col min="15" max="23" width="12.7109375" style="1174" customWidth="1"/>
    <col min="24" max="24" width="14" style="1174" customWidth="1"/>
    <col min="25" max="28" width="12.7109375" style="1174" customWidth="1"/>
    <col min="29" max="29" width="3.7109375" customWidth="1"/>
    <col min="30" max="46" width="0" hidden="1" customWidth="1"/>
    <col min="47" max="16384" width="9.28515625" hidden="1"/>
  </cols>
  <sheetData>
    <row r="1" spans="1:29" x14ac:dyDescent="0.25">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row>
    <row r="2" spans="1:29" x14ac:dyDescent="0.25">
      <c r="A2" s="13"/>
      <c r="B2" s="1138" t="s">
        <v>3203</v>
      </c>
      <c r="C2" s="1138"/>
      <c r="D2" s="1138"/>
      <c r="E2" s="1138"/>
      <c r="F2" s="1138"/>
      <c r="G2" s="1138"/>
      <c r="H2" s="1138"/>
      <c r="I2" s="1138"/>
      <c r="J2" s="1138"/>
      <c r="K2" s="1138"/>
      <c r="L2" s="1138"/>
      <c r="M2" s="13"/>
      <c r="N2" s="13"/>
      <c r="O2" s="1138" t="s">
        <v>3203</v>
      </c>
      <c r="P2" s="1138"/>
      <c r="Q2" s="1138"/>
      <c r="R2" s="1138"/>
      <c r="S2" s="1138"/>
      <c r="T2" s="1138"/>
      <c r="U2" s="1138"/>
      <c r="V2" s="1138"/>
      <c r="W2" s="1138"/>
      <c r="X2" s="1138"/>
      <c r="Y2" s="1138"/>
      <c r="Z2" s="1138"/>
      <c r="AA2" s="1138"/>
      <c r="AB2" s="1138"/>
      <c r="AC2" s="13"/>
    </row>
    <row r="3" spans="1:29" ht="15.75" thickBot="1" x14ac:dyDescent="0.3">
      <c r="A3" s="13"/>
      <c r="B3" s="123"/>
      <c r="C3" s="1139" t="s">
        <v>3204</v>
      </c>
      <c r="D3" s="1139"/>
      <c r="E3" s="1139"/>
      <c r="F3" s="1139"/>
      <c r="G3" s="1139"/>
      <c r="H3" s="1139"/>
      <c r="I3" s="1139"/>
      <c r="J3" s="1139"/>
      <c r="K3" s="1139"/>
      <c r="L3" s="1140"/>
      <c r="M3" s="13"/>
      <c r="N3" s="13"/>
      <c r="O3" s="123"/>
      <c r="P3" s="123"/>
      <c r="Q3" s="1139" t="s">
        <v>3204</v>
      </c>
      <c r="R3" s="1139"/>
      <c r="S3" s="1139"/>
      <c r="T3" s="1139"/>
      <c r="U3" s="1139"/>
      <c r="V3" s="1139"/>
      <c r="W3" s="1139"/>
      <c r="X3" s="1139"/>
      <c r="Y3" s="1139"/>
      <c r="Z3" s="1139"/>
      <c r="AA3" s="1139"/>
      <c r="AB3" s="1139"/>
      <c r="AC3" s="13"/>
    </row>
    <row r="4" spans="1:29" ht="15.75" thickTop="1" x14ac:dyDescent="0.25">
      <c r="A4" s="13"/>
      <c r="B4" s="1141">
        <f>F4</f>
        <v>0</v>
      </c>
      <c r="C4" s="2451" t="s">
        <v>3205</v>
      </c>
      <c r="D4" s="2452"/>
      <c r="E4" s="2452"/>
      <c r="F4" s="2452"/>
      <c r="G4" s="2452"/>
      <c r="H4" s="2452"/>
      <c r="I4" s="2452"/>
      <c r="J4" s="2452"/>
      <c r="K4" s="2452"/>
      <c r="L4" s="2453"/>
      <c r="M4" s="13"/>
      <c r="N4" s="13"/>
      <c r="O4" s="1141"/>
      <c r="P4" s="2454" t="s">
        <v>3206</v>
      </c>
      <c r="Q4" s="2454"/>
      <c r="R4" s="2454"/>
      <c r="S4" s="2454"/>
      <c r="T4" s="2454"/>
      <c r="U4" s="2454"/>
      <c r="V4" s="2454"/>
      <c r="W4" s="2454"/>
      <c r="X4" s="2454"/>
      <c r="Y4" s="2454"/>
      <c r="Z4" s="2454"/>
      <c r="AA4" s="2454"/>
      <c r="AB4" s="2455"/>
      <c r="AC4" s="13"/>
    </row>
    <row r="5" spans="1:29" ht="38.25" customHeight="1" thickBot="1" x14ac:dyDescent="0.3">
      <c r="A5" s="13"/>
      <c r="B5" s="1142" t="s">
        <v>3207</v>
      </c>
      <c r="C5" s="1143" t="s">
        <v>1480</v>
      </c>
      <c r="D5" s="1143" t="s">
        <v>688</v>
      </c>
      <c r="E5" s="1143" t="s">
        <v>3194</v>
      </c>
      <c r="F5" s="1143" t="s">
        <v>689</v>
      </c>
      <c r="G5" s="1143" t="s">
        <v>802</v>
      </c>
      <c r="H5" s="1143" t="s">
        <v>766</v>
      </c>
      <c r="I5" s="1143" t="s">
        <v>895</v>
      </c>
      <c r="J5" s="1143" t="s">
        <v>3197</v>
      </c>
      <c r="K5" s="1143" t="s">
        <v>2073</v>
      </c>
      <c r="L5" s="1144" t="s">
        <v>602</v>
      </c>
      <c r="M5" s="13"/>
      <c r="N5" s="13"/>
      <c r="O5" s="1142" t="s">
        <v>3207</v>
      </c>
      <c r="P5" s="1145" t="s">
        <v>478</v>
      </c>
      <c r="Q5" s="1145" t="s">
        <v>3199</v>
      </c>
      <c r="R5" s="1145" t="s">
        <v>279</v>
      </c>
      <c r="S5" s="1145" t="s">
        <v>331</v>
      </c>
      <c r="T5" s="1145" t="s">
        <v>3200</v>
      </c>
      <c r="U5" s="1145" t="s">
        <v>332</v>
      </c>
      <c r="V5" s="1145" t="s">
        <v>360</v>
      </c>
      <c r="W5" s="1145" t="s">
        <v>61</v>
      </c>
      <c r="X5" s="1145" t="s">
        <v>3201</v>
      </c>
      <c r="Y5" s="1145" t="s">
        <v>263</v>
      </c>
      <c r="Z5" s="1145" t="s">
        <v>3202</v>
      </c>
      <c r="AA5" s="1145" t="s">
        <v>148</v>
      </c>
      <c r="AB5" s="1146" t="s">
        <v>223</v>
      </c>
      <c r="AC5" s="13"/>
    </row>
    <row r="6" spans="1:29" x14ac:dyDescent="0.25">
      <c r="A6" s="13"/>
      <c r="B6" s="1147" t="s">
        <v>3208</v>
      </c>
      <c r="C6" s="1148">
        <v>0.11129699999999999</v>
      </c>
      <c r="D6" s="1148">
        <v>1.1999999999999999E-3</v>
      </c>
      <c r="E6" s="1148">
        <v>7.9578999999999997E-2</v>
      </c>
      <c r="F6" s="1148">
        <v>0.21790499999999999</v>
      </c>
      <c r="G6" s="1148">
        <v>0.11129699999999999</v>
      </c>
      <c r="H6" s="1148">
        <v>0.10118199999999999</v>
      </c>
      <c r="I6" s="1148">
        <v>8.4892999999999996E-2</v>
      </c>
      <c r="J6" s="1148">
        <v>8.6451E-2</v>
      </c>
      <c r="K6" s="1148">
        <v>7.7052999999999996E-2</v>
      </c>
      <c r="L6" s="1149">
        <v>0.10352699999999999</v>
      </c>
      <c r="M6" s="13"/>
      <c r="N6" s="13"/>
      <c r="O6" s="1150" t="s">
        <v>3208</v>
      </c>
      <c r="P6" s="1151">
        <v>8.5109000000000004E-2</v>
      </c>
      <c r="Q6" s="1151">
        <v>0.107824</v>
      </c>
      <c r="R6" s="1151">
        <v>8.6096000000000006E-2</v>
      </c>
      <c r="S6" s="1151">
        <v>6.0000000000000002E-6</v>
      </c>
      <c r="T6" s="1151">
        <v>0.106265</v>
      </c>
      <c r="U6" s="1151">
        <v>0.210397</v>
      </c>
      <c r="V6" s="1151">
        <v>0.107824</v>
      </c>
      <c r="W6" s="1151">
        <v>9.3563999999999994E-2</v>
      </c>
      <c r="X6" s="1151">
        <v>8.5109000000000004E-2</v>
      </c>
      <c r="Y6" s="1151">
        <v>8.5109000000000004E-2</v>
      </c>
      <c r="Z6" s="1151">
        <v>8.5109000000000004E-2</v>
      </c>
      <c r="AA6" s="1151">
        <v>8.3486000000000005E-2</v>
      </c>
      <c r="AB6" s="1152">
        <v>0.108255</v>
      </c>
      <c r="AC6" s="13"/>
    </row>
    <row r="7" spans="1:29" x14ac:dyDescent="0.25">
      <c r="A7" s="13"/>
      <c r="B7" s="1153" t="s">
        <v>3209</v>
      </c>
      <c r="C7" s="1154">
        <v>9.3076999999999993E-2</v>
      </c>
      <c r="D7" s="1154">
        <v>1.1000000000000001E-3</v>
      </c>
      <c r="E7" s="1154">
        <v>7.2517999999999999E-2</v>
      </c>
      <c r="F7" s="1154">
        <v>0.18213499999999999</v>
      </c>
      <c r="G7" s="1154">
        <v>9.3076999999999993E-2</v>
      </c>
      <c r="H7" s="1154">
        <v>8.8441000000000006E-2</v>
      </c>
      <c r="I7" s="1154">
        <v>7.7366000000000004E-2</v>
      </c>
      <c r="J7" s="1154">
        <v>7.1145E-2</v>
      </c>
      <c r="K7" s="1154">
        <v>7.2168999999999997E-2</v>
      </c>
      <c r="L7" s="1155">
        <v>9.0719999999999995E-2</v>
      </c>
      <c r="M7" s="13"/>
      <c r="N7" s="13"/>
      <c r="O7" s="1156" t="s">
        <v>3209</v>
      </c>
      <c r="P7" s="1157">
        <v>7.7715000000000006E-2</v>
      </c>
      <c r="Q7" s="1157">
        <v>9.1051999999999994E-2</v>
      </c>
      <c r="R7" s="1157">
        <v>7.8608999999999998E-2</v>
      </c>
      <c r="S7" s="1157">
        <v>2.4699999999999999E-4</v>
      </c>
      <c r="T7" s="1157">
        <v>8.2161999999999999E-2</v>
      </c>
      <c r="U7" s="1157">
        <v>0.17743600000000001</v>
      </c>
      <c r="V7" s="1157">
        <v>9.1051999999999994E-2</v>
      </c>
      <c r="W7" s="1157">
        <v>7.2162000000000004E-2</v>
      </c>
      <c r="X7" s="1157">
        <v>7.7715000000000006E-2</v>
      </c>
      <c r="Y7" s="1157">
        <v>7.7715000000000006E-2</v>
      </c>
      <c r="Z7" s="1157">
        <v>7.7715000000000006E-2</v>
      </c>
      <c r="AA7" s="1157">
        <v>7.6158000000000003E-2</v>
      </c>
      <c r="AB7" s="1158">
        <v>9.1078000000000006E-2</v>
      </c>
      <c r="AC7" s="13"/>
    </row>
    <row r="8" spans="1:29" x14ac:dyDescent="0.25">
      <c r="A8" s="13"/>
      <c r="B8" s="1153" t="s">
        <v>3210</v>
      </c>
      <c r="C8" s="1154">
        <v>7.0041999999999993E-2</v>
      </c>
      <c r="D8" s="1154">
        <v>3.13E-3</v>
      </c>
      <c r="E8" s="1154">
        <v>8.1079999999999999E-2</v>
      </c>
      <c r="F8" s="1154">
        <v>0.13483300000000001</v>
      </c>
      <c r="G8" s="1154">
        <v>7.0041999999999993E-2</v>
      </c>
      <c r="H8" s="1154">
        <v>9.2879000000000003E-2</v>
      </c>
      <c r="I8" s="1154">
        <v>8.4862999999999994E-2</v>
      </c>
      <c r="J8" s="1154">
        <v>8.6052000000000003E-2</v>
      </c>
      <c r="K8" s="1154">
        <v>8.0271999999999996E-2</v>
      </c>
      <c r="L8" s="1155">
        <v>9.5543000000000003E-2</v>
      </c>
      <c r="M8" s="13"/>
      <c r="N8" s="13"/>
      <c r="O8" s="1156" t="s">
        <v>3210</v>
      </c>
      <c r="P8" s="1157">
        <v>8.6136000000000004E-2</v>
      </c>
      <c r="Q8" s="1157">
        <v>7.1135000000000004E-2</v>
      </c>
      <c r="R8" s="1157">
        <v>8.1547999999999995E-2</v>
      </c>
      <c r="S8" s="1157">
        <v>7.2360000000000002E-3</v>
      </c>
      <c r="T8" s="1157">
        <v>7.0887000000000006E-2</v>
      </c>
      <c r="U8" s="1157">
        <v>0.13192400000000001</v>
      </c>
      <c r="V8" s="1157">
        <v>7.1135000000000004E-2</v>
      </c>
      <c r="W8" s="1157">
        <v>7.8372999999999998E-2</v>
      </c>
      <c r="X8" s="1157">
        <v>8.6136000000000004E-2</v>
      </c>
      <c r="Y8" s="1157">
        <v>8.6136000000000004E-2</v>
      </c>
      <c r="Z8" s="1157">
        <v>8.6136000000000004E-2</v>
      </c>
      <c r="AA8" s="1157">
        <v>8.3346000000000003E-2</v>
      </c>
      <c r="AB8" s="1158">
        <v>8.5239999999999996E-2</v>
      </c>
      <c r="AC8" s="13"/>
    </row>
    <row r="9" spans="1:29" x14ac:dyDescent="0.25">
      <c r="A9" s="13"/>
      <c r="B9" s="1153" t="s">
        <v>3211</v>
      </c>
      <c r="C9" s="1154">
        <v>3.7116000000000003E-2</v>
      </c>
      <c r="D9" s="1154">
        <v>1.5047E-2</v>
      </c>
      <c r="E9" s="1154">
        <v>7.9918000000000003E-2</v>
      </c>
      <c r="F9" s="1154">
        <v>5.8486000000000003E-2</v>
      </c>
      <c r="G9" s="1154">
        <v>3.7116000000000003E-2</v>
      </c>
      <c r="H9" s="1154">
        <v>8.4644999999999998E-2</v>
      </c>
      <c r="I9" s="1154">
        <v>8.2143999999999995E-2</v>
      </c>
      <c r="J9" s="1154">
        <v>8.0701999999999996E-2</v>
      </c>
      <c r="K9" s="1154">
        <v>7.8752000000000003E-2</v>
      </c>
      <c r="L9" s="1155">
        <v>8.4798999999999999E-2</v>
      </c>
      <c r="M9" s="13"/>
      <c r="N9" s="13"/>
      <c r="O9" s="1156" t="s">
        <v>3211</v>
      </c>
      <c r="P9" s="1157">
        <v>7.9796000000000006E-2</v>
      </c>
      <c r="Q9" s="1157">
        <v>4.1179E-2</v>
      </c>
      <c r="R9" s="1157">
        <v>7.2947999999999999E-2</v>
      </c>
      <c r="S9" s="1157">
        <v>2.1690999999999998E-2</v>
      </c>
      <c r="T9" s="1157">
        <v>6.8145999999999998E-2</v>
      </c>
      <c r="U9" s="1157">
        <v>5.9718E-2</v>
      </c>
      <c r="V9" s="1157">
        <v>4.1179E-2</v>
      </c>
      <c r="W9" s="1157">
        <v>7.6534000000000005E-2</v>
      </c>
      <c r="X9" s="1157">
        <v>7.9796000000000006E-2</v>
      </c>
      <c r="Y9" s="1157">
        <v>7.9796000000000006E-2</v>
      </c>
      <c r="Z9" s="1157">
        <v>7.9796000000000006E-2</v>
      </c>
      <c r="AA9" s="1157">
        <v>8.0782999999999994E-2</v>
      </c>
      <c r="AB9" s="1158">
        <v>7.2980000000000003E-2</v>
      </c>
      <c r="AC9" s="13"/>
    </row>
    <row r="10" spans="1:29" x14ac:dyDescent="0.25">
      <c r="A10" s="13"/>
      <c r="B10" s="1153" t="s">
        <v>3212</v>
      </c>
      <c r="C10" s="1154">
        <v>4.0888000000000001E-2</v>
      </c>
      <c r="D10" s="1154">
        <v>6.5409999999999996E-2</v>
      </c>
      <c r="E10" s="1154">
        <v>8.4083000000000005E-2</v>
      </c>
      <c r="F10" s="1154">
        <v>1.7144E-2</v>
      </c>
      <c r="G10" s="1154">
        <v>4.0888000000000001E-2</v>
      </c>
      <c r="H10" s="1154">
        <v>7.9393000000000005E-2</v>
      </c>
      <c r="I10" s="1154">
        <v>8.4847000000000006E-2</v>
      </c>
      <c r="J10" s="1154">
        <v>8.6052000000000003E-2</v>
      </c>
      <c r="K10" s="1154">
        <v>8.5646E-2</v>
      </c>
      <c r="L10" s="1155">
        <v>8.3599999999999994E-2</v>
      </c>
      <c r="M10" s="13"/>
      <c r="N10" s="13"/>
      <c r="O10" s="1156" t="s">
        <v>3212</v>
      </c>
      <c r="P10" s="1157">
        <v>8.5334999999999994E-2</v>
      </c>
      <c r="Q10" s="1157">
        <v>4.4423999999999998E-2</v>
      </c>
      <c r="R10" s="1157">
        <v>8.6277000000000006E-2</v>
      </c>
      <c r="S10" s="1157">
        <v>6.2979999999999994E-2</v>
      </c>
      <c r="T10" s="1157">
        <v>8.1852999999999995E-2</v>
      </c>
      <c r="U10" s="1157">
        <v>2.6769000000000001E-2</v>
      </c>
      <c r="V10" s="1157">
        <v>4.4423999999999998E-2</v>
      </c>
      <c r="W10" s="1157">
        <v>9.4246999999999997E-2</v>
      </c>
      <c r="X10" s="1157">
        <v>8.5334999999999994E-2</v>
      </c>
      <c r="Y10" s="1157">
        <v>8.5334999999999994E-2</v>
      </c>
      <c r="Z10" s="1157">
        <v>8.5334999999999994E-2</v>
      </c>
      <c r="AA10" s="1157">
        <v>8.5133E-2</v>
      </c>
      <c r="AB10" s="1158">
        <v>7.9849000000000003E-2</v>
      </c>
      <c r="AC10" s="13"/>
    </row>
    <row r="11" spans="1:29" x14ac:dyDescent="0.25">
      <c r="A11" s="13"/>
      <c r="B11" s="1153" t="s">
        <v>3213</v>
      </c>
      <c r="C11" s="1154">
        <v>0.103973</v>
      </c>
      <c r="D11" s="1154">
        <v>0.21082300000000001</v>
      </c>
      <c r="E11" s="1154">
        <v>8.5730000000000001E-2</v>
      </c>
      <c r="F11" s="1154">
        <v>5.1000000000000004E-4</v>
      </c>
      <c r="G11" s="1154">
        <v>0.103973</v>
      </c>
      <c r="H11" s="1154">
        <v>6.8507999999999999E-2</v>
      </c>
      <c r="I11" s="1154">
        <v>8.2122000000000001E-2</v>
      </c>
      <c r="J11" s="1154">
        <v>8.0701999999999996E-2</v>
      </c>
      <c r="K11" s="1154">
        <v>8.9111999999999997E-2</v>
      </c>
      <c r="L11" s="1155">
        <v>7.7064999999999995E-2</v>
      </c>
      <c r="M11" s="13"/>
      <c r="N11" s="13"/>
      <c r="O11" s="1156" t="s">
        <v>3213</v>
      </c>
      <c r="P11" s="1157">
        <v>8.1994999999999998E-2</v>
      </c>
      <c r="Q11" s="1157">
        <v>0.106128</v>
      </c>
      <c r="R11" s="1157">
        <v>8.3294000000000007E-2</v>
      </c>
      <c r="S11" s="1157">
        <v>0.21317</v>
      </c>
      <c r="T11" s="1157">
        <v>6.7163E-2</v>
      </c>
      <c r="U11" s="1157">
        <v>4.2950000000000002E-3</v>
      </c>
      <c r="V11" s="1157">
        <v>0.106128</v>
      </c>
      <c r="W11" s="1157">
        <v>7.5599E-2</v>
      </c>
      <c r="X11" s="1157">
        <v>8.1994999999999998E-2</v>
      </c>
      <c r="Y11" s="1157">
        <v>8.1994999999999998E-2</v>
      </c>
      <c r="Z11" s="1157">
        <v>8.1994999999999998E-2</v>
      </c>
      <c r="AA11" s="1157">
        <v>8.4294999999999995E-2</v>
      </c>
      <c r="AB11" s="1158">
        <v>7.2720999999999994E-2</v>
      </c>
      <c r="AC11" s="13"/>
    </row>
    <row r="12" spans="1:29" x14ac:dyDescent="0.25">
      <c r="A12" s="13"/>
      <c r="B12" s="1153" t="s">
        <v>3214</v>
      </c>
      <c r="C12" s="1154">
        <v>0.1401</v>
      </c>
      <c r="D12" s="1154">
        <v>0.28477999999999998</v>
      </c>
      <c r="E12" s="1154">
        <v>9.6095E-2</v>
      </c>
      <c r="F12" s="1154">
        <v>6.0000000000000002E-6</v>
      </c>
      <c r="G12" s="1154">
        <v>0.1401</v>
      </c>
      <c r="H12" s="1154">
        <v>6.7863999999999994E-2</v>
      </c>
      <c r="I12" s="1154">
        <v>8.4883E-2</v>
      </c>
      <c r="J12" s="1154">
        <v>8.6451E-2</v>
      </c>
      <c r="K12" s="1154">
        <v>9.4239000000000003E-2</v>
      </c>
      <c r="L12" s="1155">
        <v>6.7711999999999994E-2</v>
      </c>
      <c r="M12" s="13"/>
      <c r="N12" s="13"/>
      <c r="O12" s="1156" t="s">
        <v>3214</v>
      </c>
      <c r="P12" s="1157">
        <v>8.4098999999999993E-2</v>
      </c>
      <c r="Q12" s="1157">
        <v>0.14288100000000001</v>
      </c>
      <c r="R12" s="1157">
        <v>8.5859000000000005E-2</v>
      </c>
      <c r="S12" s="1157">
        <v>0.29002899999999998</v>
      </c>
      <c r="T12" s="1157">
        <v>8.6751999999999996E-2</v>
      </c>
      <c r="U12" s="1157">
        <v>2.895E-3</v>
      </c>
      <c r="V12" s="1157">
        <v>0.14288100000000001</v>
      </c>
      <c r="W12" s="1157">
        <v>9.6199999999999994E-2</v>
      </c>
      <c r="X12" s="1157">
        <v>8.4098999999999993E-2</v>
      </c>
      <c r="Y12" s="1157">
        <v>8.4098999999999993E-2</v>
      </c>
      <c r="Z12" s="1157">
        <v>8.4098999999999993E-2</v>
      </c>
      <c r="AA12" s="1157">
        <v>8.7456999999999993E-2</v>
      </c>
      <c r="AB12" s="1158">
        <v>7.4929999999999997E-2</v>
      </c>
      <c r="AC12" s="13"/>
    </row>
    <row r="13" spans="1:29" x14ac:dyDescent="0.25">
      <c r="A13" s="13"/>
      <c r="B13" s="1153" t="s">
        <v>3215</v>
      </c>
      <c r="C13" s="1154">
        <v>0.13320699999999999</v>
      </c>
      <c r="D13" s="1154">
        <v>0.27076600000000001</v>
      </c>
      <c r="E13" s="1154">
        <v>9.6095E-2</v>
      </c>
      <c r="F13" s="1154">
        <v>9.0000000000000002E-6</v>
      </c>
      <c r="G13" s="1154">
        <v>0.13320699999999999</v>
      </c>
      <c r="H13" s="1154">
        <v>7.0565000000000003E-2</v>
      </c>
      <c r="I13" s="1154">
        <v>8.4839999999999999E-2</v>
      </c>
      <c r="J13" s="1154">
        <v>8.5653000000000007E-2</v>
      </c>
      <c r="K13" s="1154">
        <v>9.4212000000000004E-2</v>
      </c>
      <c r="L13" s="1155">
        <v>6.3687999999999995E-2</v>
      </c>
      <c r="M13" s="13"/>
      <c r="N13" s="13"/>
      <c r="O13" s="1156" t="s">
        <v>3215</v>
      </c>
      <c r="P13" s="1157">
        <v>8.4198999999999996E-2</v>
      </c>
      <c r="Q13" s="1157">
        <v>0.133494</v>
      </c>
      <c r="R13" s="1157">
        <v>8.5885000000000003E-2</v>
      </c>
      <c r="S13" s="1157">
        <v>0.270206</v>
      </c>
      <c r="T13" s="1157">
        <v>6.9401000000000004E-2</v>
      </c>
      <c r="U13" s="1157">
        <v>3.4320000000000002E-3</v>
      </c>
      <c r="V13" s="1157">
        <v>0.133494</v>
      </c>
      <c r="W13" s="1157">
        <v>7.7077999999999994E-2</v>
      </c>
      <c r="X13" s="1157">
        <v>8.4198999999999996E-2</v>
      </c>
      <c r="Y13" s="1157">
        <v>8.4198999999999996E-2</v>
      </c>
      <c r="Z13" s="1157">
        <v>8.4198999999999996E-2</v>
      </c>
      <c r="AA13" s="1157">
        <v>8.7230000000000002E-2</v>
      </c>
      <c r="AB13" s="1158">
        <v>7.5861999999999999E-2</v>
      </c>
      <c r="AC13" s="13"/>
    </row>
    <row r="14" spans="1:29" x14ac:dyDescent="0.25">
      <c r="A14" s="13"/>
      <c r="B14" s="1153" t="s">
        <v>3216</v>
      </c>
      <c r="C14" s="1154">
        <v>6.6758999999999999E-2</v>
      </c>
      <c r="D14" s="1154">
        <v>0.126605</v>
      </c>
      <c r="E14" s="1154">
        <v>8.4277000000000005E-2</v>
      </c>
      <c r="F14" s="1154">
        <v>8.8090000000000009E-3</v>
      </c>
      <c r="G14" s="1154">
        <v>6.6758999999999999E-2</v>
      </c>
      <c r="H14" s="1154">
        <v>7.3791999999999996E-2</v>
      </c>
      <c r="I14" s="1154">
        <v>8.2136000000000001E-2</v>
      </c>
      <c r="J14" s="1154">
        <v>8.3031999999999995E-2</v>
      </c>
      <c r="K14" s="1154">
        <v>8.4971000000000005E-2</v>
      </c>
      <c r="L14" s="1155">
        <v>6.9373000000000004E-2</v>
      </c>
      <c r="M14" s="13"/>
      <c r="N14" s="13"/>
      <c r="O14" s="1156" t="s">
        <v>3216</v>
      </c>
      <c r="P14" s="1157">
        <v>8.2512000000000002E-2</v>
      </c>
      <c r="Q14" s="1157">
        <v>5.781E-2</v>
      </c>
      <c r="R14" s="1157">
        <v>8.3474999999999994E-2</v>
      </c>
      <c r="S14" s="1157">
        <v>0.108695</v>
      </c>
      <c r="T14" s="1157">
        <v>8.2907999999999996E-2</v>
      </c>
      <c r="U14" s="1157">
        <v>9.4020000000000006E-3</v>
      </c>
      <c r="V14" s="1157">
        <v>5.781E-2</v>
      </c>
      <c r="W14" s="1157">
        <v>8.1374000000000002E-2</v>
      </c>
      <c r="X14" s="1157">
        <v>8.2512000000000002E-2</v>
      </c>
      <c r="Y14" s="1157">
        <v>8.2512000000000002E-2</v>
      </c>
      <c r="Z14" s="1157">
        <v>8.2512000000000002E-2</v>
      </c>
      <c r="AA14" s="1157">
        <v>8.3319000000000004E-2</v>
      </c>
      <c r="AB14" s="1158">
        <v>7.5733999999999996E-2</v>
      </c>
      <c r="AC14" s="13"/>
    </row>
    <row r="15" spans="1:29" x14ac:dyDescent="0.25">
      <c r="A15" s="13"/>
      <c r="B15" s="1153" t="s">
        <v>3217</v>
      </c>
      <c r="C15" s="1154">
        <v>3.7011000000000002E-2</v>
      </c>
      <c r="D15" s="1154">
        <v>1.8471999999999999E-2</v>
      </c>
      <c r="E15" s="1154">
        <v>8.2582000000000003E-2</v>
      </c>
      <c r="F15" s="1154">
        <v>5.4961999999999997E-2</v>
      </c>
      <c r="G15" s="1154">
        <v>3.7011000000000002E-2</v>
      </c>
      <c r="H15" s="1154">
        <v>8.4539000000000003E-2</v>
      </c>
      <c r="I15" s="1154">
        <v>8.4869E-2</v>
      </c>
      <c r="J15" s="1154">
        <v>8.6052000000000003E-2</v>
      </c>
      <c r="K15" s="1154">
        <v>8.5653000000000007E-2</v>
      </c>
      <c r="L15" s="1155">
        <v>7.9644000000000006E-2</v>
      </c>
      <c r="M15" s="13"/>
      <c r="N15" s="13"/>
      <c r="O15" s="1156" t="s">
        <v>3217</v>
      </c>
      <c r="P15" s="1157">
        <v>8.5277000000000006E-2</v>
      </c>
      <c r="Q15" s="1157">
        <v>3.8018000000000003E-2</v>
      </c>
      <c r="R15" s="1157">
        <v>8.6262000000000005E-2</v>
      </c>
      <c r="S15" s="1157">
        <v>1.9643000000000001E-2</v>
      </c>
      <c r="T15" s="1157">
        <v>0.100507</v>
      </c>
      <c r="U15" s="1157">
        <v>5.5496999999999998E-2</v>
      </c>
      <c r="V15" s="1157">
        <v>3.8018000000000003E-2</v>
      </c>
      <c r="W15" s="1157">
        <v>9.4072000000000003E-2</v>
      </c>
      <c r="X15" s="1157">
        <v>8.5277000000000006E-2</v>
      </c>
      <c r="Y15" s="1157">
        <v>8.5277000000000006E-2</v>
      </c>
      <c r="Z15" s="1157">
        <v>8.5277000000000006E-2</v>
      </c>
      <c r="AA15" s="1157">
        <v>8.4562999999999999E-2</v>
      </c>
      <c r="AB15" s="1158">
        <v>8.2808000000000007E-2</v>
      </c>
      <c r="AC15" s="13"/>
    </row>
    <row r="16" spans="1:29" x14ac:dyDescent="0.25">
      <c r="A16" s="13"/>
      <c r="B16" s="1153" t="s">
        <v>3218</v>
      </c>
      <c r="C16" s="1154">
        <v>5.9593E-2</v>
      </c>
      <c r="D16" s="1154">
        <v>1.444E-3</v>
      </c>
      <c r="E16" s="1154">
        <v>7.8464999999999993E-2</v>
      </c>
      <c r="F16" s="1154">
        <v>0.115899</v>
      </c>
      <c r="G16" s="1154">
        <v>5.9593E-2</v>
      </c>
      <c r="H16" s="1154">
        <v>8.9880000000000002E-2</v>
      </c>
      <c r="I16" s="1154">
        <v>8.2122000000000001E-2</v>
      </c>
      <c r="J16" s="1154">
        <v>8.1087999999999993E-2</v>
      </c>
      <c r="K16" s="1154">
        <v>7.8716999999999995E-2</v>
      </c>
      <c r="L16" s="1155">
        <v>8.4751999999999994E-2</v>
      </c>
      <c r="M16" s="13"/>
      <c r="N16" s="13"/>
      <c r="O16" s="1156" t="s">
        <v>3218</v>
      </c>
      <c r="P16" s="1157">
        <v>8.2588999999999996E-2</v>
      </c>
      <c r="Q16" s="1157">
        <v>6.2103999999999999E-2</v>
      </c>
      <c r="R16" s="1157">
        <v>8.3496000000000001E-2</v>
      </c>
      <c r="S16" s="1157">
        <v>6.0299999999999998E-3</v>
      </c>
      <c r="T16" s="1157">
        <v>8.7251999999999996E-2</v>
      </c>
      <c r="U16" s="1157">
        <v>0.115452</v>
      </c>
      <c r="V16" s="1157">
        <v>6.2103999999999999E-2</v>
      </c>
      <c r="W16" s="1157">
        <v>7.6706999999999997E-2</v>
      </c>
      <c r="X16" s="1157">
        <v>8.2588999999999996E-2</v>
      </c>
      <c r="Y16" s="1157">
        <v>8.2588999999999996E-2</v>
      </c>
      <c r="Z16" s="1157">
        <v>8.2588999999999996E-2</v>
      </c>
      <c r="AA16" s="1157">
        <v>8.1112000000000004E-2</v>
      </c>
      <c r="AB16" s="1158">
        <v>8.6345000000000005E-2</v>
      </c>
      <c r="AC16" s="13"/>
    </row>
    <row r="17" spans="1:29" ht="15.75" thickBot="1" x14ac:dyDescent="0.3">
      <c r="A17" s="13"/>
      <c r="B17" s="1159" t="s">
        <v>3219</v>
      </c>
      <c r="C17" s="1160">
        <v>0.106937</v>
      </c>
      <c r="D17" s="1160">
        <v>1.2229999999999999E-3</v>
      </c>
      <c r="E17" s="1160">
        <v>7.9577999999999996E-2</v>
      </c>
      <c r="F17" s="1160">
        <v>0.2093020000000001</v>
      </c>
      <c r="G17" s="1160">
        <v>0.106937</v>
      </c>
      <c r="H17" s="1160">
        <v>9.8311999999999997E-2</v>
      </c>
      <c r="I17" s="1160">
        <v>8.4915000000000004E-2</v>
      </c>
      <c r="J17" s="1160">
        <v>8.6620000000000003E-2</v>
      </c>
      <c r="K17" s="1160">
        <v>7.9203999999999997E-2</v>
      </c>
      <c r="L17" s="1161">
        <v>9.9576999999999999E-2</v>
      </c>
      <c r="M17" s="13"/>
      <c r="N17" s="13"/>
      <c r="O17" s="1162" t="s">
        <v>3219</v>
      </c>
      <c r="P17" s="1163">
        <v>8.5237999999999994E-2</v>
      </c>
      <c r="Q17" s="1163">
        <v>0.103951</v>
      </c>
      <c r="R17" s="1163">
        <v>8.6250999999999994E-2</v>
      </c>
      <c r="S17" s="1163">
        <v>6.7000000000000002E-5</v>
      </c>
      <c r="T17" s="1163">
        <v>9.6703999999999998E-2</v>
      </c>
      <c r="U17" s="1163">
        <v>0.20278299999999999</v>
      </c>
      <c r="V17" s="1163">
        <v>0.103951</v>
      </c>
      <c r="W17" s="1163">
        <v>8.4089999999999998E-2</v>
      </c>
      <c r="X17" s="1163">
        <v>8.5237999999999994E-2</v>
      </c>
      <c r="Y17" s="1163">
        <v>8.5237999999999994E-2</v>
      </c>
      <c r="Z17" s="1163">
        <v>8.5237999999999994E-2</v>
      </c>
      <c r="AA17" s="1163">
        <v>8.3117999999999997E-2</v>
      </c>
      <c r="AB17" s="1164">
        <v>9.4198000000000004E-2</v>
      </c>
      <c r="AC17" s="13"/>
    </row>
    <row r="18" spans="1:29" ht="15.75" thickTop="1" x14ac:dyDescent="0.25">
      <c r="A18" s="13"/>
      <c r="B18" s="13"/>
      <c r="C18" s="765"/>
      <c r="D18" s="765"/>
      <c r="E18" s="765"/>
      <c r="F18" s="765"/>
      <c r="G18" s="765"/>
      <c r="H18" s="765"/>
      <c r="I18" s="765"/>
      <c r="J18" s="765"/>
      <c r="K18" s="765"/>
      <c r="L18" s="765"/>
      <c r="M18" s="13"/>
      <c r="N18" s="13"/>
      <c r="O18" s="13"/>
      <c r="P18" s="765"/>
      <c r="Q18" s="765"/>
      <c r="R18" s="765"/>
      <c r="S18" s="765"/>
      <c r="T18" s="765"/>
      <c r="U18" s="765"/>
      <c r="V18" s="765"/>
      <c r="W18" s="765"/>
      <c r="X18" s="765"/>
      <c r="Y18" s="765"/>
      <c r="Z18" s="765"/>
      <c r="AA18" s="765"/>
      <c r="AB18" s="765"/>
      <c r="AC18" s="13"/>
    </row>
    <row r="19" spans="1:29" ht="15.75" thickBot="1" x14ac:dyDescent="0.3">
      <c r="A19" s="13"/>
      <c r="B19" s="1165" t="s">
        <v>3220</v>
      </c>
      <c r="C19" s="1166"/>
      <c r="D19" s="1166"/>
      <c r="E19" s="1166"/>
      <c r="F19" s="1166"/>
      <c r="G19" s="1166"/>
      <c r="H19" s="1166"/>
      <c r="I19" s="1166"/>
      <c r="J19" s="1166"/>
      <c r="K19" s="1166"/>
      <c r="L19" s="1166"/>
      <c r="M19" s="13"/>
      <c r="N19" s="13"/>
      <c r="O19" s="1165" t="s">
        <v>3220</v>
      </c>
      <c r="P19" s="1166"/>
      <c r="Q19" s="1166"/>
      <c r="R19" s="1166"/>
      <c r="S19" s="1166"/>
      <c r="T19" s="1166"/>
      <c r="U19" s="1166"/>
      <c r="V19" s="1166"/>
      <c r="W19" s="1166"/>
      <c r="X19" s="1166"/>
      <c r="Y19" s="1166"/>
      <c r="Z19" s="1166"/>
      <c r="AA19" s="1166"/>
      <c r="AB19" s="1166"/>
      <c r="AC19" s="13"/>
    </row>
    <row r="20" spans="1:29" ht="38.25" customHeight="1" thickTop="1" thickBot="1" x14ac:dyDescent="0.3">
      <c r="A20" s="13"/>
      <c r="B20" s="1167"/>
      <c r="C20" s="1168" t="s">
        <v>1480</v>
      </c>
      <c r="D20" s="1168" t="s">
        <v>688</v>
      </c>
      <c r="E20" s="1168" t="s">
        <v>3194</v>
      </c>
      <c r="F20" s="1168" t="s">
        <v>689</v>
      </c>
      <c r="G20" s="1168" t="s">
        <v>802</v>
      </c>
      <c r="H20" s="1168" t="s">
        <v>766</v>
      </c>
      <c r="I20" s="1168" t="s">
        <v>895</v>
      </c>
      <c r="J20" s="1168" t="s">
        <v>3197</v>
      </c>
      <c r="K20" s="1168" t="s">
        <v>2073</v>
      </c>
      <c r="L20" s="1169" t="s">
        <v>602</v>
      </c>
      <c r="M20" s="13"/>
      <c r="N20" s="13"/>
      <c r="O20" s="1167"/>
      <c r="P20" s="1168" t="s">
        <v>478</v>
      </c>
      <c r="Q20" s="1168" t="s">
        <v>3199</v>
      </c>
      <c r="R20" s="1168" t="s">
        <v>279</v>
      </c>
      <c r="S20" s="1168" t="s">
        <v>331</v>
      </c>
      <c r="T20" s="1168" t="s">
        <v>3200</v>
      </c>
      <c r="U20" s="1168" t="s">
        <v>332</v>
      </c>
      <c r="V20" s="1168" t="s">
        <v>360</v>
      </c>
      <c r="W20" s="1168" t="s">
        <v>61</v>
      </c>
      <c r="X20" s="1168" t="s">
        <v>3201</v>
      </c>
      <c r="Y20" s="1168" t="s">
        <v>263</v>
      </c>
      <c r="Z20" s="1168" t="s">
        <v>3202</v>
      </c>
      <c r="AA20" s="1168" t="s">
        <v>148</v>
      </c>
      <c r="AB20" s="1169" t="s">
        <v>223</v>
      </c>
      <c r="AC20" s="13"/>
    </row>
    <row r="21" spans="1:29" ht="15.75" thickBot="1" x14ac:dyDescent="0.3">
      <c r="A21" s="13"/>
      <c r="B21" s="1170"/>
      <c r="C21" s="1171">
        <v>4.6608050000000002E-4</v>
      </c>
      <c r="D21" s="1171">
        <v>9.4741810000000004E-4</v>
      </c>
      <c r="E21" s="1171">
        <v>1.6857220000000001E-4</v>
      </c>
      <c r="F21" s="1171">
        <v>0</v>
      </c>
      <c r="G21" s="1171">
        <v>4.6608050000000002E-4</v>
      </c>
      <c r="H21" s="1171">
        <v>1.4925290000000001E-4</v>
      </c>
      <c r="I21" s="1171">
        <v>1.148238E-4</v>
      </c>
      <c r="J21" s="1171">
        <v>2.3544589999999999E-4</v>
      </c>
      <c r="K21" s="1171">
        <v>1.2852529999999999E-4</v>
      </c>
      <c r="L21" s="1171">
        <v>8.8731800000000003E-5</v>
      </c>
      <c r="M21" s="13"/>
      <c r="N21" s="13"/>
      <c r="O21" s="1170"/>
      <c r="P21" s="1171">
        <v>1.379439E-4</v>
      </c>
      <c r="Q21" s="1171">
        <v>4.4398300000000001E-4</v>
      </c>
      <c r="R21" s="1171">
        <v>1.998949E-4</v>
      </c>
      <c r="S21" s="1171">
        <v>9.1068400000000004E-4</v>
      </c>
      <c r="T21" s="1171">
        <v>5.6160000000000001E-6</v>
      </c>
      <c r="U21" s="1171">
        <v>0</v>
      </c>
      <c r="V21" s="1171">
        <v>4.4398300000000001E-4</v>
      </c>
      <c r="W21" s="1171">
        <v>1.899635E-4</v>
      </c>
      <c r="X21" s="1171">
        <v>1.379439E-4</v>
      </c>
      <c r="Y21" s="1171">
        <v>1.379439E-4</v>
      </c>
      <c r="Z21" s="1171">
        <v>1.379439E-4</v>
      </c>
      <c r="AA21" s="1171">
        <v>1.3573829999999999E-4</v>
      </c>
      <c r="AB21" s="1171">
        <v>1.811545E-4</v>
      </c>
      <c r="AC21" s="13"/>
    </row>
    <row r="22" spans="1:29" ht="15.75" thickTop="1" x14ac:dyDescent="0.25">
      <c r="A22" s="13"/>
      <c r="B22" s="13"/>
      <c r="C22" s="1172">
        <f>SUM(C6:C17)</f>
        <v>1</v>
      </c>
      <c r="D22" s="1172">
        <f t="shared" ref="D22:AB22" si="0">SUM(D6:D17)</f>
        <v>1.0000000000000002</v>
      </c>
      <c r="E22" s="1172">
        <f t="shared" si="0"/>
        <v>1.0000000000000002</v>
      </c>
      <c r="F22" s="1172">
        <f t="shared" si="0"/>
        <v>1</v>
      </c>
      <c r="G22" s="1172">
        <f t="shared" si="0"/>
        <v>1</v>
      </c>
      <c r="H22" s="1172">
        <f t="shared" si="0"/>
        <v>0.99999999999999989</v>
      </c>
      <c r="I22" s="1172">
        <f t="shared" si="0"/>
        <v>1</v>
      </c>
      <c r="J22" s="1172">
        <f t="shared" si="0"/>
        <v>1</v>
      </c>
      <c r="K22" s="1172">
        <f t="shared" si="0"/>
        <v>1</v>
      </c>
      <c r="L22" s="1172">
        <f t="shared" si="0"/>
        <v>1</v>
      </c>
      <c r="M22" s="1172"/>
      <c r="N22" s="1172"/>
      <c r="O22" s="1172"/>
      <c r="P22" s="1172">
        <f t="shared" si="0"/>
        <v>1.0000000000000002</v>
      </c>
      <c r="Q22" s="1172">
        <f t="shared" si="0"/>
        <v>1</v>
      </c>
      <c r="R22" s="1172">
        <f t="shared" si="0"/>
        <v>0.99999999999999989</v>
      </c>
      <c r="S22" s="1172">
        <f t="shared" si="0"/>
        <v>0.99999999999999989</v>
      </c>
      <c r="T22" s="1172">
        <f t="shared" si="0"/>
        <v>1</v>
      </c>
      <c r="U22" s="1172">
        <f t="shared" si="0"/>
        <v>1.0000000000000002</v>
      </c>
      <c r="V22" s="1172">
        <f t="shared" si="0"/>
        <v>1</v>
      </c>
      <c r="W22" s="1172">
        <f t="shared" si="0"/>
        <v>1</v>
      </c>
      <c r="X22" s="1172">
        <f t="shared" si="0"/>
        <v>1.0000000000000002</v>
      </c>
      <c r="Y22" s="1172">
        <f t="shared" si="0"/>
        <v>1.0000000000000002</v>
      </c>
      <c r="Z22" s="1172">
        <f t="shared" si="0"/>
        <v>1.0000000000000002</v>
      </c>
      <c r="AA22" s="1172">
        <f t="shared" si="0"/>
        <v>1</v>
      </c>
      <c r="AB22" s="1172">
        <f t="shared" si="0"/>
        <v>1</v>
      </c>
      <c r="AC22" s="13"/>
    </row>
  </sheetData>
  <mergeCells count="2">
    <mergeCell ref="C4:L4"/>
    <mergeCell ref="P4:AB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theme="1"/>
    <pageSetUpPr fitToPage="1"/>
  </sheetPr>
  <dimension ref="B1:N38"/>
  <sheetViews>
    <sheetView zoomScale="70" zoomScaleNormal="70" workbookViewId="0"/>
  </sheetViews>
  <sheetFormatPr defaultRowHeight="15" x14ac:dyDescent="0.25"/>
  <cols>
    <col min="1" max="1" width="3.42578125" customWidth="1"/>
    <col min="2" max="2" width="20.7109375" style="50" customWidth="1"/>
    <col min="3" max="3" width="14.28515625" style="50" customWidth="1"/>
    <col min="4" max="6" width="20.7109375" style="50" customWidth="1"/>
    <col min="7" max="7" width="96.7109375" style="50" customWidth="1"/>
    <col min="8" max="8" width="3" customWidth="1"/>
  </cols>
  <sheetData>
    <row r="1" spans="2:14" x14ac:dyDescent="0.25">
      <c r="E1" s="2053"/>
      <c r="F1" s="2053"/>
      <c r="G1" s="2054"/>
      <c r="H1" s="2054"/>
    </row>
    <row r="3" spans="2:14" ht="46.5" x14ac:dyDescent="0.7">
      <c r="B3" s="2055" t="s">
        <v>17</v>
      </c>
      <c r="C3" s="2055"/>
      <c r="D3" s="2055"/>
      <c r="E3" s="2055"/>
      <c r="F3" s="2055"/>
      <c r="G3" s="2055"/>
      <c r="H3" s="1"/>
      <c r="I3" s="1"/>
      <c r="J3" s="1"/>
      <c r="K3" s="1"/>
      <c r="L3" s="1"/>
      <c r="M3" s="1"/>
      <c r="N3" s="1"/>
    </row>
    <row r="4" spans="2:14" ht="18.75" customHeight="1" x14ac:dyDescent="0.55000000000000004">
      <c r="B4" s="1385"/>
      <c r="E4" s="1933"/>
      <c r="F4" s="1933"/>
      <c r="G4" s="1934"/>
      <c r="H4" s="1934"/>
    </row>
    <row r="5" spans="2:14" ht="18.75" x14ac:dyDescent="0.25">
      <c r="B5" s="2056" t="s">
        <v>18</v>
      </c>
      <c r="C5" s="2056" t="s">
        <v>19</v>
      </c>
      <c r="D5" s="2060" t="s">
        <v>20</v>
      </c>
      <c r="E5" s="2061"/>
      <c r="F5" s="2062"/>
      <c r="G5" s="2056" t="s">
        <v>21</v>
      </c>
    </row>
    <row r="6" spans="2:14" ht="77.25" customHeight="1" x14ac:dyDescent="0.25">
      <c r="B6" s="2057"/>
      <c r="C6" s="2058"/>
      <c r="D6" s="1184" t="s">
        <v>22</v>
      </c>
      <c r="E6" s="1185" t="s">
        <v>23</v>
      </c>
      <c r="F6" s="1186" t="s">
        <v>24</v>
      </c>
      <c r="G6" s="2058"/>
    </row>
    <row r="7" spans="2:14" x14ac:dyDescent="0.25">
      <c r="B7" s="1187" t="s">
        <v>25</v>
      </c>
      <c r="C7" s="2059"/>
      <c r="D7" s="1188" t="s">
        <v>25</v>
      </c>
      <c r="E7" s="1189" t="s">
        <v>25</v>
      </c>
      <c r="F7" s="1190" t="s">
        <v>25</v>
      </c>
      <c r="G7" s="2059"/>
    </row>
    <row r="8" spans="2:14" ht="35.1" customHeight="1" x14ac:dyDescent="0.25">
      <c r="B8" s="1191">
        <v>1</v>
      </c>
      <c r="C8" s="1192">
        <v>43250</v>
      </c>
      <c r="D8" s="1193">
        <v>1</v>
      </c>
      <c r="E8" s="1193">
        <v>1</v>
      </c>
      <c r="F8" s="1193">
        <v>1</v>
      </c>
      <c r="G8" s="1194" t="s">
        <v>26</v>
      </c>
    </row>
    <row r="9" spans="2:14" ht="47.25" customHeight="1" x14ac:dyDescent="0.25">
      <c r="B9" s="780">
        <v>2</v>
      </c>
      <c r="C9" s="784">
        <v>43465</v>
      </c>
      <c r="D9" s="781">
        <v>1</v>
      </c>
      <c r="E9" s="781">
        <v>1</v>
      </c>
      <c r="F9" s="781">
        <v>2</v>
      </c>
      <c r="G9" s="782" t="s">
        <v>27</v>
      </c>
    </row>
    <row r="10" spans="2:14" ht="41.25" customHeight="1" x14ac:dyDescent="0.25">
      <c r="B10" s="780">
        <v>3</v>
      </c>
      <c r="C10" s="784">
        <v>43831</v>
      </c>
      <c r="D10" s="781">
        <v>1</v>
      </c>
      <c r="E10" s="781">
        <v>1</v>
      </c>
      <c r="F10" s="781">
        <v>3</v>
      </c>
      <c r="G10" s="782" t="s">
        <v>28</v>
      </c>
    </row>
    <row r="11" spans="2:14" ht="35.1" customHeight="1" x14ac:dyDescent="0.25">
      <c r="B11" s="780">
        <v>3.1</v>
      </c>
      <c r="C11" s="784">
        <v>43867</v>
      </c>
      <c r="D11" s="781">
        <v>1</v>
      </c>
      <c r="E11" s="781">
        <v>1</v>
      </c>
      <c r="F11" s="781">
        <v>3</v>
      </c>
      <c r="G11" s="782" t="s">
        <v>29</v>
      </c>
    </row>
    <row r="12" spans="2:14" ht="35.1" customHeight="1" x14ac:dyDescent="0.25">
      <c r="B12" s="780">
        <v>3.2</v>
      </c>
      <c r="C12" s="784">
        <v>44000</v>
      </c>
      <c r="D12" s="781">
        <v>1</v>
      </c>
      <c r="E12" s="781">
        <v>1.1000000000000001</v>
      </c>
      <c r="F12" s="781">
        <v>3</v>
      </c>
      <c r="G12" s="782" t="s">
        <v>30</v>
      </c>
    </row>
    <row r="13" spans="2:14" ht="40.5" customHeight="1" x14ac:dyDescent="0.25">
      <c r="B13" s="780">
        <v>4</v>
      </c>
      <c r="C13" s="784">
        <v>44197</v>
      </c>
      <c r="D13" s="781">
        <v>1</v>
      </c>
      <c r="E13" s="781">
        <v>2</v>
      </c>
      <c r="F13" s="781">
        <v>4</v>
      </c>
      <c r="G13" s="782" t="s">
        <v>31</v>
      </c>
    </row>
    <row r="14" spans="2:14" ht="44.25" customHeight="1" x14ac:dyDescent="0.25">
      <c r="B14" s="780">
        <v>5</v>
      </c>
      <c r="C14" s="784">
        <v>44454</v>
      </c>
      <c r="D14" s="781">
        <v>2</v>
      </c>
      <c r="E14" s="781">
        <v>3</v>
      </c>
      <c r="F14" s="781">
        <v>5</v>
      </c>
      <c r="G14" s="782" t="s">
        <v>32</v>
      </c>
    </row>
    <row r="15" spans="2:14" ht="63" customHeight="1" x14ac:dyDescent="0.25">
      <c r="B15" s="780">
        <v>6</v>
      </c>
      <c r="C15" s="784">
        <v>44830</v>
      </c>
      <c r="D15" s="781">
        <v>2</v>
      </c>
      <c r="E15" s="781">
        <v>4</v>
      </c>
      <c r="F15" s="781">
        <v>6</v>
      </c>
      <c r="G15" s="782" t="s">
        <v>33</v>
      </c>
    </row>
    <row r="16" spans="2:14" ht="78" customHeight="1" x14ac:dyDescent="0.25">
      <c r="B16" s="780">
        <v>7</v>
      </c>
      <c r="C16" s="784">
        <v>45204</v>
      </c>
      <c r="D16" s="781">
        <v>3</v>
      </c>
      <c r="E16" s="781">
        <v>5</v>
      </c>
      <c r="F16" s="781">
        <v>7</v>
      </c>
      <c r="G16" s="782" t="s">
        <v>34</v>
      </c>
    </row>
    <row r="17" spans="2:7" ht="71.25" customHeight="1" x14ac:dyDescent="0.25">
      <c r="B17" s="780">
        <v>8</v>
      </c>
      <c r="C17" s="784">
        <v>45672</v>
      </c>
      <c r="D17" s="781">
        <v>4</v>
      </c>
      <c r="E17" s="781">
        <v>6</v>
      </c>
      <c r="F17" s="781">
        <v>8</v>
      </c>
      <c r="G17" s="1861" t="s">
        <v>35</v>
      </c>
    </row>
    <row r="18" spans="2:7" ht="35.1" customHeight="1" x14ac:dyDescent="0.25">
      <c r="B18" s="780"/>
      <c r="C18" s="1195"/>
      <c r="D18" s="781"/>
      <c r="E18" s="781"/>
      <c r="F18" s="781"/>
      <c r="G18" s="782"/>
    </row>
    <row r="19" spans="2:7" ht="35.1" customHeight="1" x14ac:dyDescent="0.25">
      <c r="B19" s="780"/>
      <c r="C19" s="1195"/>
      <c r="D19" s="781"/>
      <c r="E19" s="781"/>
      <c r="F19" s="781"/>
      <c r="G19" s="782"/>
    </row>
    <row r="20" spans="2:7" ht="35.1" customHeight="1" x14ac:dyDescent="0.25">
      <c r="B20" s="780"/>
      <c r="C20" s="1195"/>
      <c r="D20" s="781"/>
      <c r="E20" s="781"/>
      <c r="F20" s="781"/>
      <c r="G20" s="782"/>
    </row>
    <row r="21" spans="2:7" ht="35.1" customHeight="1" x14ac:dyDescent="0.25">
      <c r="B21" s="780"/>
      <c r="C21" s="1195"/>
      <c r="D21" s="781"/>
      <c r="E21" s="781"/>
      <c r="F21" s="781"/>
      <c r="G21" s="782"/>
    </row>
    <row r="22" spans="2:7" ht="35.1" customHeight="1" x14ac:dyDescent="0.25">
      <c r="B22" s="780"/>
      <c r="C22" s="1195"/>
      <c r="D22" s="781"/>
      <c r="E22" s="781"/>
      <c r="F22" s="781"/>
      <c r="G22" s="782"/>
    </row>
    <row r="23" spans="2:7" ht="35.1" customHeight="1" x14ac:dyDescent="0.25">
      <c r="B23" s="780"/>
      <c r="C23" s="1195"/>
      <c r="D23" s="781"/>
      <c r="E23" s="781"/>
      <c r="F23" s="781"/>
      <c r="G23" s="782"/>
    </row>
    <row r="24" spans="2:7" ht="35.1" customHeight="1" x14ac:dyDescent="0.25">
      <c r="B24" s="780"/>
      <c r="C24" s="1195"/>
      <c r="D24" s="781"/>
      <c r="E24" s="781"/>
      <c r="F24" s="781"/>
      <c r="G24" s="782"/>
    </row>
    <row r="25" spans="2:7" ht="35.1" customHeight="1" x14ac:dyDescent="0.25">
      <c r="B25" s="780"/>
      <c r="C25" s="1195"/>
      <c r="D25" s="781"/>
      <c r="E25" s="781"/>
      <c r="F25" s="781"/>
      <c r="G25" s="782"/>
    </row>
    <row r="26" spans="2:7" ht="35.1" customHeight="1" x14ac:dyDescent="0.25">
      <c r="B26" s="780"/>
      <c r="C26" s="1195"/>
      <c r="D26" s="781"/>
      <c r="E26" s="781"/>
      <c r="F26" s="781"/>
      <c r="G26" s="782"/>
    </row>
    <row r="27" spans="2:7" ht="35.1" customHeight="1" x14ac:dyDescent="0.25">
      <c r="B27" s="780"/>
      <c r="C27" s="1195"/>
      <c r="D27" s="781"/>
      <c r="E27" s="781"/>
      <c r="F27" s="781"/>
      <c r="G27" s="782"/>
    </row>
    <row r="28" spans="2:7" ht="35.1" customHeight="1" x14ac:dyDescent="0.25">
      <c r="B28" s="780"/>
      <c r="C28" s="1195"/>
      <c r="D28" s="781"/>
      <c r="E28" s="781"/>
      <c r="F28" s="781"/>
      <c r="G28" s="782"/>
    </row>
    <row r="29" spans="2:7" ht="35.1" customHeight="1" x14ac:dyDescent="0.25">
      <c r="B29" s="780"/>
      <c r="C29" s="1195"/>
      <c r="D29" s="781"/>
      <c r="E29" s="781"/>
      <c r="F29" s="781"/>
      <c r="G29" s="782"/>
    </row>
    <row r="30" spans="2:7" ht="35.1" customHeight="1" x14ac:dyDescent="0.25">
      <c r="B30" s="780"/>
      <c r="C30" s="1195"/>
      <c r="D30" s="781"/>
      <c r="E30" s="781"/>
      <c r="F30" s="781"/>
      <c r="G30" s="782"/>
    </row>
    <row r="31" spans="2:7" ht="35.1" customHeight="1" x14ac:dyDescent="0.25">
      <c r="B31" s="780"/>
      <c r="C31" s="1195"/>
      <c r="D31" s="781"/>
      <c r="E31" s="781"/>
      <c r="F31" s="781"/>
      <c r="G31" s="782"/>
    </row>
    <row r="32" spans="2:7" ht="35.1" customHeight="1" x14ac:dyDescent="0.25">
      <c r="B32" s="780"/>
      <c r="C32" s="1195"/>
      <c r="D32" s="781"/>
      <c r="E32" s="781"/>
      <c r="F32" s="781"/>
      <c r="G32" s="782"/>
    </row>
    <row r="33" spans="2:7" ht="35.1" customHeight="1" x14ac:dyDescent="0.25">
      <c r="B33" s="780"/>
      <c r="C33" s="1195"/>
      <c r="D33" s="781"/>
      <c r="E33" s="781"/>
      <c r="F33" s="781"/>
      <c r="G33" s="782"/>
    </row>
    <row r="34" spans="2:7" ht="35.1" customHeight="1" x14ac:dyDescent="0.25">
      <c r="B34" s="780"/>
      <c r="C34" s="1195"/>
      <c r="D34" s="781"/>
      <c r="E34" s="781"/>
      <c r="F34" s="781"/>
      <c r="G34" s="782"/>
    </row>
    <row r="35" spans="2:7" ht="35.1" customHeight="1" x14ac:dyDescent="0.25">
      <c r="B35" s="780"/>
      <c r="C35" s="1195"/>
      <c r="D35" s="781"/>
      <c r="E35" s="781"/>
      <c r="F35" s="781"/>
      <c r="G35" s="782"/>
    </row>
    <row r="36" spans="2:7" ht="35.1" customHeight="1" x14ac:dyDescent="0.25">
      <c r="B36" s="780"/>
      <c r="C36" s="1195"/>
      <c r="D36" s="781"/>
      <c r="E36" s="781"/>
      <c r="F36" s="781"/>
      <c r="G36" s="782"/>
    </row>
    <row r="37" spans="2:7" ht="35.1" customHeight="1" x14ac:dyDescent="0.25">
      <c r="B37" s="780"/>
      <c r="C37" s="1195"/>
      <c r="D37" s="781"/>
      <c r="E37" s="781"/>
      <c r="F37" s="781"/>
      <c r="G37" s="782"/>
    </row>
    <row r="38" spans="2:7" ht="35.1" customHeight="1" thickBot="1" x14ac:dyDescent="0.3">
      <c r="B38" s="1196"/>
      <c r="C38" s="1197"/>
      <c r="D38" s="1198"/>
      <c r="E38" s="1198"/>
      <c r="F38" s="1198"/>
      <c r="G38" s="1199"/>
    </row>
  </sheetData>
  <mergeCells count="6">
    <mergeCell ref="E1:H1"/>
    <mergeCell ref="B3:G3"/>
    <mergeCell ref="B5:B6"/>
    <mergeCell ref="C5:C7"/>
    <mergeCell ref="D5:F5"/>
    <mergeCell ref="G5:G7"/>
  </mergeCells>
  <printOptions horizontalCentered="1"/>
  <pageMargins left="0.7" right="0.7" top="0.75" bottom="0.75" header="0.3" footer="0.3"/>
  <pageSetup scale="62" fitToHeight="0"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rgb="FF99FFCC"/>
  </sheetPr>
  <dimension ref="A1:DN520"/>
  <sheetViews>
    <sheetView zoomScale="70" zoomScaleNormal="70" workbookViewId="0">
      <selection sqref="A1:Q1"/>
    </sheetView>
  </sheetViews>
  <sheetFormatPr defaultColWidth="9.28515625" defaultRowHeight="15" outlineLevelRow="1" x14ac:dyDescent="0.25"/>
  <cols>
    <col min="1" max="1" width="4.5703125" style="252" customWidth="1"/>
    <col min="2" max="2" width="10.5703125" style="252" customWidth="1"/>
    <col min="3" max="3" width="20.5703125" style="7" customWidth="1"/>
    <col min="4" max="4" width="24.5703125" style="7" customWidth="1"/>
    <col min="5" max="5" width="104.7109375" style="252" customWidth="1"/>
    <col min="6" max="6" width="25.5703125" style="252" customWidth="1"/>
    <col min="7" max="7" width="20.5703125" style="478" customWidth="1"/>
    <col min="8" max="8" width="21.28515625" style="485" customWidth="1"/>
    <col min="9" max="9" width="18.42578125" style="252" customWidth="1"/>
    <col min="10" max="10" width="15.5703125" style="252" customWidth="1"/>
    <col min="11" max="11" width="27.7109375" style="252" customWidth="1"/>
    <col min="12" max="12" width="17.42578125" style="252" customWidth="1"/>
    <col min="13" max="13" width="16.5703125" style="252" customWidth="1"/>
    <col min="14" max="14" width="18.42578125" style="252" customWidth="1"/>
    <col min="15" max="15" width="17.5703125" style="252" customWidth="1"/>
    <col min="16" max="16" width="13.42578125" style="252" customWidth="1"/>
    <col min="17" max="17" width="29.7109375" style="252" customWidth="1"/>
    <col min="18" max="18" width="14.28515625" style="252" customWidth="1"/>
    <col min="19" max="19" width="16.42578125" style="252" customWidth="1"/>
    <col min="20" max="20" width="14.28515625" style="252" customWidth="1"/>
    <col min="21" max="21" width="17.28515625" style="252" customWidth="1"/>
    <col min="22" max="22" width="63.7109375" style="2" customWidth="1"/>
    <col min="23" max="23" width="13.7109375" style="2" customWidth="1"/>
    <col min="24" max="24" width="18.28515625" style="2" customWidth="1"/>
    <col min="25" max="25" width="17.28515625" style="2" customWidth="1"/>
    <col min="26" max="26" width="15.7109375" style="2" customWidth="1"/>
    <col min="27" max="27" width="13.7109375" style="2" customWidth="1"/>
    <col min="28" max="28" width="17.42578125" style="2" customWidth="1"/>
    <col min="29" max="29" width="17.28515625" style="2" customWidth="1"/>
    <col min="30" max="30" width="13.7109375" style="2" customWidth="1"/>
    <col min="31" max="31" width="17.28515625" style="2" customWidth="1"/>
    <col min="32" max="32" width="18.7109375" style="2" customWidth="1"/>
    <col min="33" max="33" width="13.7109375" style="2" customWidth="1"/>
    <col min="34" max="34" width="9.28515625" style="2" customWidth="1"/>
    <col min="35" max="35" width="41.42578125" style="2" customWidth="1"/>
    <col min="36" max="42" width="18.28515625" style="2" customWidth="1"/>
    <col min="43" max="44" width="13.7109375" style="2" customWidth="1"/>
    <col min="45" max="45" width="18.5703125" style="2" customWidth="1"/>
    <col min="46" max="46" width="9.28515625" style="2" customWidth="1"/>
    <col min="47" max="47" width="38.5703125" style="2" customWidth="1"/>
    <col min="48" max="48" width="17.28515625" style="2" customWidth="1"/>
    <col min="49" max="50" width="16.5703125" style="2" customWidth="1"/>
    <col min="51" max="51" width="15.7109375" style="2" customWidth="1"/>
    <col min="52" max="53" width="17.42578125" style="2" customWidth="1"/>
    <col min="54" max="54" width="17.28515625" style="2" customWidth="1"/>
    <col min="55" max="56" width="13.7109375" style="2" customWidth="1"/>
    <col min="57" max="57" width="17.7109375" style="2" customWidth="1"/>
    <col min="58" max="58" width="14.28515625" style="2" customWidth="1"/>
    <col min="59" max="59" width="29.42578125" style="2" customWidth="1"/>
    <col min="60" max="60" width="17.28515625" style="2" customWidth="1"/>
    <col min="61" max="61" width="18" style="2" customWidth="1"/>
    <col min="62" max="62" width="17.28515625" style="2" customWidth="1"/>
    <col min="63" max="63" width="16.28515625" style="2" customWidth="1"/>
    <col min="64" max="65" width="17.42578125" style="2" customWidth="1"/>
    <col min="66" max="66" width="17.28515625" style="2" customWidth="1"/>
    <col min="67" max="69" width="13.7109375" style="2" customWidth="1"/>
    <col min="70" max="70" width="9.28515625" style="2" customWidth="1"/>
    <col min="71" max="71" width="20.28515625" style="2" customWidth="1"/>
    <col min="72" max="73" width="20" style="2" customWidth="1"/>
    <col min="74" max="74" width="18.28515625" style="2" customWidth="1"/>
    <col min="75" max="75" width="17.28515625" style="2" customWidth="1"/>
    <col min="76" max="76" width="15.7109375" style="2" customWidth="1"/>
    <col min="77" max="78" width="17.42578125" style="2" customWidth="1"/>
    <col min="79" max="79" width="17.28515625" style="2" customWidth="1"/>
    <col min="80" max="80" width="15.28515625" style="2" customWidth="1"/>
    <col min="81" max="81" width="13.7109375" style="2" customWidth="1"/>
    <col min="82" max="82" width="13.5703125" style="2" customWidth="1"/>
    <col min="83" max="83" width="9.28515625" style="2" customWidth="1"/>
    <col min="84" max="84" width="21.28515625" style="2" customWidth="1"/>
    <col min="85" max="85" width="11" customWidth="1"/>
    <col min="86" max="87" width="17.28515625" customWidth="1"/>
    <col min="88" max="88" width="16.28515625" customWidth="1"/>
    <col min="89" max="89" width="10.7109375" style="2" customWidth="1"/>
    <col min="90" max="91" width="17.42578125" style="2" customWidth="1"/>
    <col min="92" max="92" width="17.28515625" style="2" customWidth="1"/>
    <col min="93" max="93" width="16.5703125" style="2" customWidth="1"/>
    <col min="94" max="94" width="13.7109375" style="2" customWidth="1"/>
    <col min="95" max="95" width="9.28515625" style="2" customWidth="1"/>
    <col min="96" max="96" width="23.42578125" style="2" customWidth="1"/>
    <col min="97" max="97" width="16.42578125" style="2" customWidth="1"/>
    <col min="98" max="98" width="10.7109375" style="2" customWidth="1"/>
    <col min="99" max="100" width="16.7109375" style="2" customWidth="1"/>
    <col min="101" max="101" width="15.42578125" customWidth="1"/>
    <col min="102" max="102" width="10" customWidth="1"/>
    <col min="103" max="104" width="16.7109375" customWidth="1"/>
    <col min="105" max="105" width="13.42578125" style="2" customWidth="1"/>
    <col min="106" max="106" width="13.7109375" style="2" customWidth="1"/>
    <col min="107" max="107" width="9.28515625" style="2" customWidth="1"/>
    <col min="108" max="108" width="22.28515625" style="2" customWidth="1"/>
    <col min="109" max="110" width="9.28515625" style="2" customWidth="1"/>
    <col min="111" max="111" width="13.42578125" style="774" bestFit="1" customWidth="1"/>
    <col min="112" max="112" width="32.5703125" style="252" bestFit="1" customWidth="1"/>
    <col min="113" max="113" width="21.28515625" style="252" customWidth="1"/>
    <col min="114" max="114" width="25.28515625" style="1116" bestFit="1" customWidth="1"/>
    <col min="115" max="115" width="18.7109375" style="2" customWidth="1"/>
    <col min="116" max="116" width="15.7109375" style="2" bestFit="1" customWidth="1"/>
    <col min="117" max="117" width="9.28515625" style="2"/>
    <col min="118" max="118" width="16.28515625" style="2" customWidth="1"/>
    <col min="119" max="16384" width="9.28515625" style="2"/>
  </cols>
  <sheetData>
    <row r="1" spans="1:114" ht="15.75" x14ac:dyDescent="0.25">
      <c r="A1" s="2084" t="s">
        <v>36</v>
      </c>
      <c r="B1" s="2084"/>
      <c r="C1" s="2084"/>
      <c r="D1" s="2084"/>
      <c r="E1" s="2084"/>
      <c r="F1" s="2084"/>
      <c r="G1" s="2084"/>
      <c r="H1" s="2084"/>
      <c r="I1" s="2084"/>
      <c r="J1" s="2084"/>
      <c r="K1" s="2084"/>
      <c r="L1" s="2084"/>
      <c r="M1" s="2084"/>
      <c r="N1" s="2084"/>
      <c r="O1" s="2084"/>
      <c r="P1" s="2084"/>
      <c r="Q1" s="2084"/>
      <c r="V1" s="252"/>
      <c r="W1" s="252"/>
      <c r="X1" s="252"/>
      <c r="Y1" s="252"/>
      <c r="Z1" s="252"/>
      <c r="AA1" s="252"/>
      <c r="AB1" s="252"/>
      <c r="AC1" s="252"/>
      <c r="AD1" s="252"/>
      <c r="AE1" s="252"/>
      <c r="AF1" s="252"/>
      <c r="AG1" s="252"/>
      <c r="AH1" s="252"/>
      <c r="DG1" s="2"/>
      <c r="DH1" s="2"/>
      <c r="DI1" s="2"/>
      <c r="DJ1" s="2"/>
    </row>
    <row r="2" spans="1:114" ht="8.25" customHeight="1" x14ac:dyDescent="0.25">
      <c r="A2" s="487"/>
      <c r="C2" s="59"/>
      <c r="D2" s="59"/>
      <c r="E2" s="59"/>
      <c r="F2" s="50"/>
      <c r="G2" s="50"/>
      <c r="H2" s="50"/>
      <c r="I2" s="50"/>
      <c r="J2" s="50"/>
      <c r="K2" s="50"/>
      <c r="L2" s="50"/>
      <c r="M2" s="50"/>
      <c r="N2" s="50"/>
      <c r="O2" s="50"/>
      <c r="P2" s="50"/>
      <c r="Q2" s="50"/>
      <c r="V2" s="252"/>
      <c r="W2" s="252"/>
      <c r="X2" s="252"/>
      <c r="Y2" s="252"/>
      <c r="Z2" s="252"/>
      <c r="AA2" s="252"/>
      <c r="AB2" s="252"/>
      <c r="AC2" s="252"/>
      <c r="AD2" s="252"/>
      <c r="AE2" s="252"/>
      <c r="AF2" s="252"/>
      <c r="AG2" s="252"/>
      <c r="AH2" s="252"/>
      <c r="CG2" s="2"/>
      <c r="CH2" s="2"/>
      <c r="CI2" s="2"/>
      <c r="CJ2" s="2"/>
      <c r="CW2" s="2"/>
      <c r="CX2" s="2"/>
      <c r="CY2" s="2"/>
      <c r="CZ2" s="2"/>
      <c r="DG2" s="2"/>
      <c r="DH2" s="2"/>
      <c r="DI2" s="2"/>
      <c r="DJ2" s="2"/>
    </row>
    <row r="3" spans="1:114" ht="75" customHeight="1" x14ac:dyDescent="0.35">
      <c r="B3" s="446"/>
      <c r="C3" s="461"/>
      <c r="E3" s="2076" t="s">
        <v>37</v>
      </c>
      <c r="F3" s="2077"/>
      <c r="G3" s="2077"/>
      <c r="H3" s="2078" t="s">
        <v>38</v>
      </c>
      <c r="I3" s="2078"/>
      <c r="J3" s="2078"/>
      <c r="K3" s="251"/>
      <c r="L3" s="251"/>
      <c r="V3" s="252"/>
      <c r="W3" s="252"/>
      <c r="X3" s="252"/>
      <c r="Y3" s="252"/>
      <c r="Z3" s="252"/>
      <c r="AA3" s="252"/>
      <c r="AB3" s="252"/>
      <c r="AC3" s="252"/>
      <c r="AD3" s="252"/>
      <c r="AE3" s="252"/>
      <c r="AF3" s="252"/>
      <c r="AG3" s="252"/>
      <c r="AH3" s="252"/>
      <c r="DG3" s="2"/>
      <c r="DH3" s="2"/>
      <c r="DI3" s="2"/>
      <c r="DJ3" s="2"/>
    </row>
    <row r="4" spans="1:114" ht="21" hidden="1" outlineLevel="1" x14ac:dyDescent="0.35">
      <c r="B4" s="446"/>
      <c r="C4" s="757"/>
      <c r="D4" s="2079" t="s">
        <v>39</v>
      </c>
      <c r="E4" s="2079"/>
      <c r="F4" s="2079"/>
      <c r="G4" s="2079"/>
      <c r="H4" s="2079"/>
      <c r="I4" s="2079"/>
      <c r="J4" s="2079"/>
      <c r="K4" s="251"/>
      <c r="L4" s="251"/>
      <c r="V4" s="252"/>
      <c r="W4" s="252"/>
      <c r="X4" s="252"/>
      <c r="Y4" s="252"/>
      <c r="Z4" s="252"/>
      <c r="AA4" s="252"/>
      <c r="AB4" s="252"/>
      <c r="AC4" s="252"/>
      <c r="AD4" s="252"/>
      <c r="AE4" s="252"/>
      <c r="AF4" s="252"/>
      <c r="AG4" s="252"/>
      <c r="AH4" s="252"/>
      <c r="DG4" s="2"/>
      <c r="DH4" s="2"/>
      <c r="DI4" s="2"/>
      <c r="DJ4" s="2"/>
    </row>
    <row r="5" spans="1:114" s="6" customFormat="1" ht="23.25" customHeight="1" collapsed="1" x14ac:dyDescent="0.35">
      <c r="A5" s="64"/>
      <c r="B5" s="446" t="s">
        <v>40</v>
      </c>
      <c r="C5" s="461"/>
      <c r="D5" s="447"/>
      <c r="E5" s="448"/>
      <c r="F5" s="448"/>
      <c r="G5" s="448"/>
      <c r="H5" s="449"/>
      <c r="I5" s="107"/>
      <c r="J5" s="107"/>
      <c r="K5" s="107"/>
      <c r="L5" s="64"/>
      <c r="M5" s="64"/>
      <c r="N5" s="64"/>
      <c r="O5" s="64"/>
      <c r="P5" s="64"/>
      <c r="Q5" s="64"/>
      <c r="R5" s="64"/>
      <c r="S5" s="64"/>
      <c r="T5" s="64"/>
      <c r="U5" s="64"/>
      <c r="V5" s="2"/>
      <c r="W5" s="2"/>
      <c r="X5" s="2"/>
      <c r="Y5" s="2"/>
      <c r="Z5" s="2"/>
      <c r="AA5" s="2"/>
      <c r="AB5" s="2"/>
      <c r="AC5" s="2"/>
      <c r="AD5" s="2"/>
      <c r="AE5" s="2"/>
      <c r="AF5" s="2"/>
      <c r="AG5" s="2"/>
      <c r="AH5" s="2"/>
      <c r="AI5" s="2"/>
      <c r="AJ5" s="2"/>
      <c r="AK5" s="2"/>
      <c r="AL5" s="2"/>
      <c r="AM5" s="2"/>
      <c r="AN5" s="2"/>
      <c r="AO5" s="2"/>
      <c r="AP5" s="2"/>
      <c r="AQ5" s="2"/>
      <c r="AR5" s="2"/>
      <c r="AS5" s="2"/>
      <c r="AT5" s="2"/>
      <c r="AU5" s="2"/>
      <c r="DE5" s="2"/>
      <c r="DF5" s="2"/>
      <c r="DG5" s="2"/>
      <c r="DH5" s="2"/>
      <c r="DI5" s="2"/>
      <c r="DJ5" s="2"/>
    </row>
    <row r="6" spans="1:114" s="7" customFormat="1" x14ac:dyDescent="0.25">
      <c r="B6" s="2066" t="s">
        <v>41</v>
      </c>
      <c r="C6" s="2080"/>
      <c r="D6" s="2080"/>
      <c r="E6" s="2080"/>
      <c r="F6" s="2080"/>
      <c r="G6" s="2080"/>
      <c r="H6" s="2080"/>
      <c r="I6" s="2081"/>
      <c r="J6" s="2081"/>
      <c r="K6" s="2081"/>
      <c r="L6" s="2081"/>
      <c r="M6" s="2082"/>
      <c r="N6" s="2082"/>
      <c r="O6" s="2083"/>
      <c r="V6" s="1292" t="str">
        <f>B6</f>
        <v>Lighting</v>
      </c>
      <c r="W6" s="1293"/>
      <c r="X6" s="1293"/>
      <c r="Y6" s="1293"/>
      <c r="Z6" s="1293"/>
      <c r="AA6" s="1293"/>
      <c r="AB6" s="1293"/>
      <c r="AC6" s="1293"/>
      <c r="AD6" s="1293"/>
      <c r="AE6" s="1293"/>
      <c r="AF6" s="1293"/>
      <c r="AG6" s="1293"/>
      <c r="AH6" s="1293"/>
      <c r="AI6" s="1327"/>
      <c r="AJ6" s="2"/>
      <c r="AK6" s="2"/>
      <c r="AL6" s="2"/>
      <c r="AM6" s="2"/>
      <c r="AN6" s="2"/>
      <c r="AO6" s="2"/>
      <c r="AP6" s="2"/>
      <c r="AQ6" s="2"/>
      <c r="AR6" s="2"/>
      <c r="AS6" s="2"/>
      <c r="AT6" s="2"/>
      <c r="AU6" s="2"/>
      <c r="CK6" s="6"/>
      <c r="DE6" s="2"/>
      <c r="DF6" s="2"/>
      <c r="DG6" s="2"/>
      <c r="DH6" s="2"/>
      <c r="DI6" s="2"/>
      <c r="DJ6" s="2"/>
    </row>
    <row r="7" spans="1:114" x14ac:dyDescent="0.25">
      <c r="D7" s="450"/>
      <c r="E7" s="7"/>
      <c r="F7" s="7"/>
      <c r="G7" s="7"/>
      <c r="H7" s="451"/>
      <c r="I7" s="7"/>
      <c r="J7" s="7"/>
      <c r="K7" s="7"/>
      <c r="L7" s="7"/>
      <c r="P7" s="7"/>
      <c r="Q7" s="7"/>
      <c r="R7" s="7"/>
      <c r="S7" s="7"/>
      <c r="T7" s="7"/>
      <c r="U7" s="7"/>
      <c r="V7"/>
      <c r="W7"/>
      <c r="X7"/>
      <c r="Y7"/>
      <c r="Z7"/>
      <c r="AA7"/>
      <c r="AB7"/>
      <c r="AC7"/>
      <c r="AD7"/>
      <c r="AE7"/>
      <c r="AF7"/>
      <c r="AG7"/>
      <c r="AH7"/>
      <c r="AI7"/>
      <c r="AJ7" s="6"/>
      <c r="AK7" s="6"/>
      <c r="AL7" s="6"/>
      <c r="AM7" s="6"/>
      <c r="AN7" s="6"/>
      <c r="AO7" s="6"/>
      <c r="AP7" s="6"/>
      <c r="AQ7" s="6"/>
      <c r="AR7" s="6"/>
      <c r="AS7" s="6"/>
      <c r="AT7" s="6"/>
      <c r="AU7" s="6"/>
      <c r="CA7" s="7"/>
      <c r="CG7" s="2"/>
      <c r="CH7" s="2"/>
      <c r="CI7" s="2"/>
      <c r="CJ7" s="2"/>
      <c r="CW7" s="2"/>
      <c r="CX7" s="2"/>
      <c r="CY7" s="2"/>
      <c r="CZ7" s="2"/>
      <c r="DG7" s="1017"/>
      <c r="DH7" s="64"/>
      <c r="DI7" s="64"/>
      <c r="DJ7" s="1059"/>
    </row>
    <row r="8" spans="1:114" s="8" customFormat="1" ht="30" x14ac:dyDescent="0.25">
      <c r="A8" s="116"/>
      <c r="B8" s="64"/>
      <c r="C8" s="9" t="s">
        <v>42</v>
      </c>
      <c r="D8" s="1361" t="s">
        <v>43</v>
      </c>
      <c r="E8" s="1361" t="s">
        <v>44</v>
      </c>
      <c r="F8" s="1361" t="s">
        <v>45</v>
      </c>
      <c r="G8" s="1361" t="s">
        <v>46</v>
      </c>
      <c r="H8" s="10" t="s">
        <v>47</v>
      </c>
      <c r="I8" s="1361" t="s">
        <v>48</v>
      </c>
      <c r="J8" s="682" t="s">
        <v>49</v>
      </c>
      <c r="K8" s="11" t="s">
        <v>50</v>
      </c>
      <c r="L8" s="9" t="s">
        <v>51</v>
      </c>
      <c r="M8" s="252"/>
      <c r="N8" s="252"/>
      <c r="O8" s="252"/>
      <c r="P8" s="116"/>
      <c r="Q8" s="116"/>
      <c r="R8" s="116"/>
      <c r="S8" s="116"/>
      <c r="T8" s="116"/>
      <c r="U8" s="116"/>
      <c r="V8" s="648" t="s">
        <v>52</v>
      </c>
      <c r="W8" s="649">
        <v>43252</v>
      </c>
      <c r="X8" s="649">
        <v>43465</v>
      </c>
      <c r="Y8" s="649">
        <v>43800</v>
      </c>
      <c r="Z8" s="649">
        <v>43862</v>
      </c>
      <c r="AA8" s="649">
        <v>44013</v>
      </c>
      <c r="AB8" s="649">
        <v>44166</v>
      </c>
      <c r="AC8" s="649">
        <v>44531</v>
      </c>
      <c r="AD8" s="649">
        <v>44774</v>
      </c>
      <c r="AE8" s="649">
        <v>45142</v>
      </c>
      <c r="AF8" s="649">
        <f>'Deemed Savings Tbl Revision Log'!C17</f>
        <v>45672</v>
      </c>
      <c r="AG8" s="649" t="s">
        <v>53</v>
      </c>
      <c r="AH8"/>
      <c r="AI8" s="648" t="s">
        <v>52</v>
      </c>
      <c r="AJ8" s="649">
        <f>W8</f>
        <v>43252</v>
      </c>
      <c r="AK8" s="649">
        <f t="shared" ref="AK8:AS8" si="0">X8</f>
        <v>43465</v>
      </c>
      <c r="AL8" s="649">
        <f t="shared" si="0"/>
        <v>43800</v>
      </c>
      <c r="AM8" s="649">
        <f t="shared" si="0"/>
        <v>43862</v>
      </c>
      <c r="AN8" s="649">
        <f t="shared" si="0"/>
        <v>44013</v>
      </c>
      <c r="AO8" s="649">
        <f t="shared" si="0"/>
        <v>44166</v>
      </c>
      <c r="AP8" s="649">
        <f t="shared" si="0"/>
        <v>44531</v>
      </c>
      <c r="AQ8" s="649">
        <f t="shared" si="0"/>
        <v>44774</v>
      </c>
      <c r="AR8" s="649">
        <f t="shared" si="0"/>
        <v>45142</v>
      </c>
      <c r="AS8" s="649">
        <f t="shared" si="0"/>
        <v>45672</v>
      </c>
      <c r="AT8" s="2"/>
      <c r="AU8" s="648" t="s">
        <v>52</v>
      </c>
      <c r="AV8" s="649">
        <f>W8</f>
        <v>43252</v>
      </c>
      <c r="AW8" s="649">
        <f t="shared" ref="AW8:BE8" si="1">X8</f>
        <v>43465</v>
      </c>
      <c r="AX8" s="649">
        <f t="shared" si="1"/>
        <v>43800</v>
      </c>
      <c r="AY8" s="649">
        <f t="shared" si="1"/>
        <v>43862</v>
      </c>
      <c r="AZ8" s="649">
        <f t="shared" si="1"/>
        <v>44013</v>
      </c>
      <c r="BA8" s="649">
        <f t="shared" si="1"/>
        <v>44166</v>
      </c>
      <c r="BB8" s="649">
        <f t="shared" si="1"/>
        <v>44531</v>
      </c>
      <c r="BC8" s="649">
        <f t="shared" si="1"/>
        <v>44774</v>
      </c>
      <c r="BD8" s="649">
        <f t="shared" si="1"/>
        <v>45142</v>
      </c>
      <c r="BE8" s="649">
        <f t="shared" si="1"/>
        <v>45672</v>
      </c>
      <c r="BG8" s="2"/>
      <c r="BH8" s="2"/>
      <c r="BI8" s="2"/>
      <c r="BJ8" s="2"/>
      <c r="BK8" s="2"/>
      <c r="BL8" s="2"/>
      <c r="BM8" s="2"/>
      <c r="BN8" s="2"/>
      <c r="BO8" s="2"/>
      <c r="BP8" s="2"/>
      <c r="BQ8" s="2"/>
      <c r="BR8" s="2"/>
      <c r="BS8" s="2"/>
      <c r="BT8" s="2"/>
      <c r="BU8" s="2"/>
      <c r="BV8" s="2"/>
      <c r="BW8" s="2"/>
      <c r="BX8" s="2"/>
      <c r="BY8" s="2"/>
      <c r="BZ8" s="2"/>
      <c r="CA8" s="7"/>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1018" t="s">
        <v>54</v>
      </c>
      <c r="DH8" s="12" t="s">
        <v>55</v>
      </c>
      <c r="DI8" s="1019" t="s">
        <v>56</v>
      </c>
      <c r="DJ8" s="1060" t="s">
        <v>57</v>
      </c>
    </row>
    <row r="9" spans="1:114" x14ac:dyDescent="0.25">
      <c r="B9" s="252">
        <f>VALUE(LEFT(C9,6))</f>
        <v>800050</v>
      </c>
      <c r="C9" s="668" t="s">
        <v>58</v>
      </c>
      <c r="D9" s="1862" t="s">
        <v>59</v>
      </c>
      <c r="E9" s="1852" t="s">
        <v>60</v>
      </c>
      <c r="F9" s="55">
        <f>ROUND((F39-G39)/1000*H39*I39*K39*M39,2)</f>
        <v>20.75</v>
      </c>
      <c r="G9" s="452" t="s">
        <v>61</v>
      </c>
      <c r="H9" s="453">
        <f>VLOOKUP(G9,'CP FACTORS'!$A$26:$B$38,2,FALSE)</f>
        <v>1.899635E-4</v>
      </c>
      <c r="I9" s="497">
        <f t="shared" ref="I9:I19" si="2">ROUND(H9*F9*J39,6)</f>
        <v>4.0679999999999996E-3</v>
      </c>
      <c r="J9" s="19">
        <f t="shared" ref="J9:J16" si="3">L39</f>
        <v>10</v>
      </c>
      <c r="K9" s="680">
        <v>3.26</v>
      </c>
      <c r="L9" s="681" t="s">
        <v>62</v>
      </c>
      <c r="M9" s="455"/>
      <c r="P9" s="456"/>
      <c r="Q9" s="457"/>
      <c r="R9" s="458"/>
      <c r="S9" s="458"/>
      <c r="T9" s="459"/>
      <c r="V9" s="1375" t="s">
        <v>45</v>
      </c>
      <c r="W9" s="52">
        <v>87.483200000000011</v>
      </c>
      <c r="X9" s="650">
        <v>88.562211839999989</v>
      </c>
      <c r="Y9" s="52">
        <v>88.56</v>
      </c>
      <c r="Z9" s="53">
        <v>88.56</v>
      </c>
      <c r="AA9" s="53">
        <v>88.56</v>
      </c>
      <c r="AB9" s="52">
        <v>173.16</v>
      </c>
      <c r="AC9" s="791">
        <v>127.59</v>
      </c>
      <c r="AD9" s="964">
        <v>81.459999999999994</v>
      </c>
      <c r="AE9" s="56">
        <v>21.94</v>
      </c>
      <c r="AF9" s="258">
        <f t="shared" ref="AF9:AF24" si="4">IF(F9&lt;&gt;"",F9,"")</f>
        <v>20.75</v>
      </c>
      <c r="AG9" s="68"/>
      <c r="AH9"/>
      <c r="AI9" s="1375" t="s">
        <v>49</v>
      </c>
      <c r="AJ9" s="19">
        <v>21</v>
      </c>
      <c r="AK9" s="19">
        <v>21</v>
      </c>
      <c r="AL9" s="19">
        <v>21</v>
      </c>
      <c r="AM9" s="19">
        <v>21</v>
      </c>
      <c r="AN9" s="19">
        <v>21</v>
      </c>
      <c r="AO9" s="684">
        <v>17</v>
      </c>
      <c r="AP9" s="234">
        <v>10</v>
      </c>
      <c r="AQ9" s="700">
        <v>10</v>
      </c>
      <c r="AR9" s="19">
        <v>10</v>
      </c>
      <c r="AS9" s="19">
        <v>10</v>
      </c>
      <c r="AU9" s="1375" t="s">
        <v>50</v>
      </c>
      <c r="AV9" s="685">
        <v>15.64</v>
      </c>
      <c r="AW9" s="685">
        <v>15.64</v>
      </c>
      <c r="AX9" s="685">
        <v>15.64</v>
      </c>
      <c r="AY9" s="685">
        <v>15.64</v>
      </c>
      <c r="AZ9" s="685">
        <v>15.64</v>
      </c>
      <c r="BA9" s="669">
        <v>15.64</v>
      </c>
      <c r="BB9" s="669">
        <v>15.64</v>
      </c>
      <c r="BC9" s="557">
        <v>15.64</v>
      </c>
      <c r="BD9" s="680">
        <v>15.64</v>
      </c>
      <c r="BE9" s="680">
        <v>15.64</v>
      </c>
      <c r="CG9" s="2"/>
      <c r="CH9" s="2"/>
      <c r="CI9" s="2"/>
      <c r="CJ9" s="2"/>
      <c r="CW9" s="2"/>
      <c r="CX9" s="2"/>
      <c r="CY9" s="2"/>
      <c r="CZ9" s="2"/>
      <c r="DG9" s="1020">
        <f>(DI9)/(DJ9)</f>
        <v>3.6574447966762897</v>
      </c>
      <c r="DH9" s="1330" t="str">
        <f t="shared" ref="DH9:DH24" si="5">CONCATENATE(G9," ",J9," Year EUL")</f>
        <v>Lighting BUS 10 Year EUL</v>
      </c>
      <c r="DI9" s="954">
        <f>(INDEX('Avoided Cost Benefits'!$B$4:$B$865,MATCH(DH9,'Avoided Cost Benefits'!$A$4:$A$865,0)))*F9</f>
        <v>11.923270037164704</v>
      </c>
      <c r="DJ9" s="1935">
        <f t="shared" ref="DJ9:DJ23" si="6">IFERROR(K9/((1+DiscountRate)^(CurrentYear-DiscountYear)),0)</f>
        <v>3.26</v>
      </c>
    </row>
    <row r="10" spans="1:114" x14ac:dyDescent="0.25">
      <c r="B10" s="252">
        <f t="shared" ref="B10:B24" si="7">VALUE(LEFT(C10,6))</f>
        <v>800100</v>
      </c>
      <c r="C10" s="668" t="s">
        <v>63</v>
      </c>
      <c r="D10" s="1862" t="str">
        <f>D9</f>
        <v>BSS/MFIE</v>
      </c>
      <c r="E10" s="1852" t="s">
        <v>64</v>
      </c>
      <c r="F10" s="55">
        <f>ROUND((F40-G40)/1000*H40*I40*K40*M40,2)</f>
        <v>77.77</v>
      </c>
      <c r="G10" s="452" t="s">
        <v>61</v>
      </c>
      <c r="H10" s="453">
        <f>VLOOKUP(G10,'CP FACTORS'!$A$26:$B$38,2,FALSE)</f>
        <v>1.899635E-4</v>
      </c>
      <c r="I10" s="497">
        <f t="shared" si="2"/>
        <v>1.5245999999999999E-2</v>
      </c>
      <c r="J10" s="19">
        <f t="shared" si="3"/>
        <v>10</v>
      </c>
      <c r="K10" s="680">
        <v>3.26</v>
      </c>
      <c r="L10" s="681" t="s">
        <v>62</v>
      </c>
      <c r="M10" s="455"/>
      <c r="P10" s="456"/>
      <c r="Q10" s="457"/>
      <c r="R10" s="458"/>
      <c r="S10" s="458"/>
      <c r="T10" s="459"/>
      <c r="V10" s="1375" t="s">
        <v>45</v>
      </c>
      <c r="W10" s="52">
        <v>153.09560000000002</v>
      </c>
      <c r="X10" s="53">
        <v>153.09560000000002</v>
      </c>
      <c r="Y10" s="52">
        <v>153.09560000000002</v>
      </c>
      <c r="Z10" s="53">
        <v>153.09560000000002</v>
      </c>
      <c r="AA10" s="53">
        <v>153.09560000000002</v>
      </c>
      <c r="AB10" s="52">
        <v>132.04</v>
      </c>
      <c r="AC10" s="965">
        <v>122.43</v>
      </c>
      <c r="AD10" s="964">
        <v>131.63</v>
      </c>
      <c r="AE10" s="56">
        <v>63.06</v>
      </c>
      <c r="AF10" s="258">
        <f t="shared" si="4"/>
        <v>77.77</v>
      </c>
      <c r="AG10" s="68"/>
      <c r="AH10"/>
      <c r="AI10" s="1375" t="s">
        <v>49</v>
      </c>
      <c r="AJ10" s="19">
        <v>17</v>
      </c>
      <c r="AK10" s="19">
        <v>17</v>
      </c>
      <c r="AL10" s="19">
        <v>17</v>
      </c>
      <c r="AM10" s="19">
        <v>17</v>
      </c>
      <c r="AN10" s="19">
        <v>17</v>
      </c>
      <c r="AO10" s="684">
        <v>17</v>
      </c>
      <c r="AP10" s="234">
        <v>10</v>
      </c>
      <c r="AQ10" s="700">
        <v>10</v>
      </c>
      <c r="AR10" s="19">
        <v>10</v>
      </c>
      <c r="AS10" s="19">
        <v>10</v>
      </c>
      <c r="AU10" s="1375" t="s">
        <v>50</v>
      </c>
      <c r="AV10" s="685">
        <v>19.64</v>
      </c>
      <c r="AW10" s="685">
        <v>19.64</v>
      </c>
      <c r="AX10" s="685">
        <v>19.64</v>
      </c>
      <c r="AY10" s="685">
        <v>19.64</v>
      </c>
      <c r="AZ10" s="685">
        <v>19.64</v>
      </c>
      <c r="BA10" s="669">
        <v>19.64</v>
      </c>
      <c r="BB10" s="669">
        <v>19.64</v>
      </c>
      <c r="BC10" s="557">
        <v>19.64</v>
      </c>
      <c r="BD10" s="680">
        <v>19.64</v>
      </c>
      <c r="BE10" s="680">
        <v>19.64</v>
      </c>
      <c r="DG10" s="1021">
        <f t="shared" ref="DG10:DG24" si="8">(DI10)/(DJ10)</f>
        <v>13.707926835542892</v>
      </c>
      <c r="DH10" s="653" t="str">
        <f t="shared" si="5"/>
        <v>Lighting BUS 10 Year EUL</v>
      </c>
      <c r="DI10" s="779">
        <f>(INDEX('Avoided Cost Benefits'!$B$4:$B$865,MATCH(DH10,'Avoided Cost Benefits'!$A$4:$A$865,0)))*F10</f>
        <v>44.687841483869825</v>
      </c>
      <c r="DJ10" s="1936">
        <f t="shared" si="6"/>
        <v>3.26</v>
      </c>
    </row>
    <row r="11" spans="1:114" ht="15.75" customHeight="1" x14ac:dyDescent="0.25">
      <c r="B11" s="252">
        <f t="shared" si="7"/>
        <v>800150</v>
      </c>
      <c r="C11" s="668" t="s">
        <v>65</v>
      </c>
      <c r="D11" s="1862" t="str">
        <f t="shared" ref="D11:D23" si="9">D10</f>
        <v>BSS/MFIE</v>
      </c>
      <c r="E11" s="1852" t="s">
        <v>66</v>
      </c>
      <c r="F11" s="55">
        <f>ROUND((F41-G41)/1000*H41*I41*K41*M41,2)</f>
        <v>27.67</v>
      </c>
      <c r="G11" s="452" t="s">
        <v>61</v>
      </c>
      <c r="H11" s="453">
        <f>VLOOKUP(G11,'CP FACTORS'!$A$26:$B$38,2,FALSE)</f>
        <v>1.899635E-4</v>
      </c>
      <c r="I11" s="497">
        <f t="shared" si="2"/>
        <v>5.424E-3</v>
      </c>
      <c r="J11" s="19">
        <f t="shared" si="3"/>
        <v>10</v>
      </c>
      <c r="K11" s="680">
        <v>3.26</v>
      </c>
      <c r="L11" s="681" t="s">
        <v>62</v>
      </c>
      <c r="M11" s="455"/>
      <c r="P11" s="456"/>
      <c r="Q11" s="457"/>
      <c r="R11" s="458"/>
      <c r="S11" s="458"/>
      <c r="T11" s="459"/>
      <c r="V11" s="1375" t="s">
        <v>45</v>
      </c>
      <c r="W11" s="52">
        <v>201.52379999999999</v>
      </c>
      <c r="X11" s="650">
        <v>203.76008631000005</v>
      </c>
      <c r="Y11" s="52">
        <v>203.76008631000005</v>
      </c>
      <c r="Z11" s="53">
        <v>203.76008631000005</v>
      </c>
      <c r="AA11" s="53">
        <v>203.76008631000005</v>
      </c>
      <c r="AB11" s="52">
        <v>161.96</v>
      </c>
      <c r="AC11" s="965">
        <v>149.49</v>
      </c>
      <c r="AD11" s="964">
        <v>232.49</v>
      </c>
      <c r="AE11" s="56">
        <v>28.31</v>
      </c>
      <c r="AF11" s="258">
        <f t="shared" si="4"/>
        <v>27.67</v>
      </c>
      <c r="AG11" s="68"/>
      <c r="AH11"/>
      <c r="AI11" s="1375" t="s">
        <v>49</v>
      </c>
      <c r="AJ11" s="19">
        <v>14</v>
      </c>
      <c r="AK11" s="19">
        <v>14</v>
      </c>
      <c r="AL11" s="19">
        <v>14</v>
      </c>
      <c r="AM11" s="19">
        <v>14</v>
      </c>
      <c r="AN11" s="19">
        <v>14</v>
      </c>
      <c r="AO11" s="684">
        <v>11</v>
      </c>
      <c r="AP11" s="234">
        <v>10</v>
      </c>
      <c r="AQ11" s="700">
        <v>10</v>
      </c>
      <c r="AR11" s="19">
        <v>10</v>
      </c>
      <c r="AS11" s="19">
        <v>10</v>
      </c>
      <c r="AU11" s="1375" t="s">
        <v>50</v>
      </c>
      <c r="AV11" s="685">
        <v>48.27</v>
      </c>
      <c r="AW11" s="685">
        <v>48.27</v>
      </c>
      <c r="AX11" s="685">
        <v>48.27</v>
      </c>
      <c r="AY11" s="685">
        <v>48.27</v>
      </c>
      <c r="AZ11" s="685">
        <v>48.27</v>
      </c>
      <c r="BA11" s="669">
        <v>48.27</v>
      </c>
      <c r="BB11" s="669">
        <v>48.27</v>
      </c>
      <c r="BC11" s="557">
        <v>48.27</v>
      </c>
      <c r="BD11" s="680">
        <v>48.27</v>
      </c>
      <c r="BE11" s="680">
        <v>48.27</v>
      </c>
      <c r="DG11" s="1021">
        <f t="shared" si="8"/>
        <v>4.8771806035678527</v>
      </c>
      <c r="DH11" s="653" t="str">
        <f t="shared" si="5"/>
        <v>Lighting BUS 10 Year EUL</v>
      </c>
      <c r="DI11" s="779">
        <f>(INDEX('Avoided Cost Benefits'!$B$4:$B$865,MATCH(DH11,'Avoided Cost Benefits'!$A$4:$A$865,0)))*F11</f>
        <v>15.899608767631198</v>
      </c>
      <c r="DJ11" s="1936">
        <f t="shared" si="6"/>
        <v>3.26</v>
      </c>
    </row>
    <row r="12" spans="1:114" x14ac:dyDescent="0.25">
      <c r="B12" s="252">
        <f t="shared" si="7"/>
        <v>800200</v>
      </c>
      <c r="C12" s="668" t="s">
        <v>67</v>
      </c>
      <c r="D12" s="1862" t="str">
        <f t="shared" si="9"/>
        <v>BSS/MFIE</v>
      </c>
      <c r="E12" s="1852" t="s">
        <v>68</v>
      </c>
      <c r="F12" s="55">
        <f>ROUND((F42-G42)/1000*H42*I42*K42*M42,2)</f>
        <v>175.07</v>
      </c>
      <c r="G12" s="452" t="s">
        <v>61</v>
      </c>
      <c r="H12" s="453">
        <f>VLOOKUP(G12,'CP FACTORS'!$A$26:$B$38,2,FALSE)</f>
        <v>1.899635E-4</v>
      </c>
      <c r="I12" s="497">
        <f t="shared" si="2"/>
        <v>3.4320999999999997E-2</v>
      </c>
      <c r="J12" s="19">
        <f t="shared" si="3"/>
        <v>10</v>
      </c>
      <c r="K12" s="680">
        <v>3.26</v>
      </c>
      <c r="L12" s="681" t="s">
        <v>62</v>
      </c>
      <c r="M12" s="455"/>
      <c r="P12" s="456"/>
      <c r="Q12" s="457"/>
      <c r="R12" s="458"/>
      <c r="S12" s="458"/>
      <c r="T12" s="459"/>
      <c r="V12" s="1375" t="s">
        <v>45</v>
      </c>
      <c r="W12" s="52">
        <v>178.0908</v>
      </c>
      <c r="X12" s="650">
        <v>164.59091000000001</v>
      </c>
      <c r="Y12" s="52">
        <v>164.59091000000001</v>
      </c>
      <c r="Z12" s="53">
        <v>164.59091000000001</v>
      </c>
      <c r="AA12" s="53">
        <v>164.59091000000001</v>
      </c>
      <c r="AB12" s="52">
        <v>154.05000000000001</v>
      </c>
      <c r="AC12" s="965">
        <v>102.31</v>
      </c>
      <c r="AD12" s="964">
        <v>79.69</v>
      </c>
      <c r="AE12" s="56">
        <v>120.73</v>
      </c>
      <c r="AF12" s="258">
        <f t="shared" si="4"/>
        <v>175.07</v>
      </c>
      <c r="AG12" s="68"/>
      <c r="AH12"/>
      <c r="AI12" s="1375" t="s">
        <v>49</v>
      </c>
      <c r="AJ12" s="19">
        <v>12</v>
      </c>
      <c r="AK12" s="19">
        <v>12</v>
      </c>
      <c r="AL12" s="19">
        <v>12</v>
      </c>
      <c r="AM12" s="19">
        <v>12</v>
      </c>
      <c r="AN12" s="19">
        <v>12</v>
      </c>
      <c r="AO12" s="684">
        <v>11</v>
      </c>
      <c r="AP12" s="234">
        <v>10</v>
      </c>
      <c r="AQ12" s="700">
        <v>10</v>
      </c>
      <c r="AR12" s="19">
        <v>10</v>
      </c>
      <c r="AS12" s="19">
        <v>10</v>
      </c>
      <c r="AU12" s="1375" t="s">
        <v>50</v>
      </c>
      <c r="AV12" s="685">
        <v>36.64</v>
      </c>
      <c r="AW12" s="685">
        <v>36.64</v>
      </c>
      <c r="AX12" s="685">
        <v>36.64</v>
      </c>
      <c r="AY12" s="685">
        <v>36.64</v>
      </c>
      <c r="AZ12" s="685">
        <v>36.64</v>
      </c>
      <c r="BA12" s="669">
        <v>36.64</v>
      </c>
      <c r="BB12" s="669">
        <v>36.64</v>
      </c>
      <c r="BC12" s="557">
        <v>36.64</v>
      </c>
      <c r="BD12" s="680">
        <v>36.64</v>
      </c>
      <c r="BE12" s="680">
        <v>36.64</v>
      </c>
      <c r="DG12" s="1021">
        <f t="shared" si="8"/>
        <v>30.858258339957494</v>
      </c>
      <c r="DH12" s="653" t="str">
        <f t="shared" si="5"/>
        <v>Lighting BUS 10 Year EUL</v>
      </c>
      <c r="DI12" s="779">
        <f>(INDEX('Avoided Cost Benefits'!$B$4:$B$865,MATCH(DH12,'Avoided Cost Benefits'!$A$4:$A$865,0)))*F12</f>
        <v>100.59792218826142</v>
      </c>
      <c r="DJ12" s="1936">
        <f t="shared" si="6"/>
        <v>3.26</v>
      </c>
    </row>
    <row r="13" spans="1:114" x14ac:dyDescent="0.25">
      <c r="B13" s="252">
        <f t="shared" si="7"/>
        <v>800250</v>
      </c>
      <c r="C13" s="668" t="s">
        <v>69</v>
      </c>
      <c r="D13" s="1862" t="str">
        <f t="shared" si="9"/>
        <v>BSS/MFIE</v>
      </c>
      <c r="E13" s="1852" t="s">
        <v>70</v>
      </c>
      <c r="F13" s="55">
        <f>ROUND((F43-G43)/1000*H43*I43*K43*M43,2)</f>
        <v>40.340000000000003</v>
      </c>
      <c r="G13" s="452" t="s">
        <v>61</v>
      </c>
      <c r="H13" s="453">
        <f>VLOOKUP(G13,'CP FACTORS'!$A$26:$B$38,2,FALSE)</f>
        <v>1.899635E-4</v>
      </c>
      <c r="I13" s="497">
        <f t="shared" si="2"/>
        <v>7.9080000000000001E-3</v>
      </c>
      <c r="J13" s="19">
        <f t="shared" si="3"/>
        <v>10</v>
      </c>
      <c r="K13" s="680">
        <v>3.26</v>
      </c>
      <c r="L13" s="681" t="s">
        <v>62</v>
      </c>
      <c r="M13" s="455"/>
      <c r="P13" s="456"/>
      <c r="Q13" s="457"/>
      <c r="R13" s="458"/>
      <c r="S13" s="458"/>
      <c r="T13" s="459"/>
      <c r="V13" s="1375" t="s">
        <v>45</v>
      </c>
      <c r="W13" s="52">
        <v>257.76300000000003</v>
      </c>
      <c r="X13" s="650">
        <v>255.72252816000005</v>
      </c>
      <c r="Y13" s="52">
        <v>255.72252816000005</v>
      </c>
      <c r="Z13" s="53">
        <v>255.72252816000005</v>
      </c>
      <c r="AA13" s="53">
        <v>255.72252816000005</v>
      </c>
      <c r="AB13" s="52">
        <v>227.11</v>
      </c>
      <c r="AC13" s="966">
        <v>194.18</v>
      </c>
      <c r="AD13" s="964">
        <v>187.8</v>
      </c>
      <c r="AE13" s="56">
        <v>40.6</v>
      </c>
      <c r="AF13" s="258">
        <f t="shared" si="4"/>
        <v>40.340000000000003</v>
      </c>
      <c r="AG13" s="52"/>
      <c r="AH13"/>
      <c r="AI13" s="1375" t="s">
        <v>49</v>
      </c>
      <c r="AJ13" s="19">
        <v>12</v>
      </c>
      <c r="AK13" s="19">
        <v>12</v>
      </c>
      <c r="AL13" s="19">
        <v>12</v>
      </c>
      <c r="AM13" s="19">
        <v>12</v>
      </c>
      <c r="AN13" s="19">
        <v>12</v>
      </c>
      <c r="AO13" s="684">
        <v>11</v>
      </c>
      <c r="AP13" s="234">
        <v>10</v>
      </c>
      <c r="AQ13" s="700">
        <v>10</v>
      </c>
      <c r="AR13" s="19">
        <v>10</v>
      </c>
      <c r="AS13" s="19">
        <v>10</v>
      </c>
      <c r="AU13" s="1375" t="s">
        <v>50</v>
      </c>
      <c r="AV13" s="685">
        <v>74.64</v>
      </c>
      <c r="AW13" s="685">
        <v>74.64</v>
      </c>
      <c r="AX13" s="685">
        <v>74.64</v>
      </c>
      <c r="AY13" s="685">
        <v>74.64</v>
      </c>
      <c r="AZ13" s="685">
        <v>74.64</v>
      </c>
      <c r="BA13" s="669">
        <v>74.64</v>
      </c>
      <c r="BB13" s="669">
        <v>74.64</v>
      </c>
      <c r="BC13" s="557">
        <v>74.64</v>
      </c>
      <c r="BD13" s="680">
        <v>74.64</v>
      </c>
      <c r="BE13" s="680">
        <v>74.64</v>
      </c>
      <c r="DG13" s="1021">
        <f t="shared" si="8"/>
        <v>7.1104252095383877</v>
      </c>
      <c r="DH13" s="653" t="str">
        <f t="shared" si="5"/>
        <v>Lighting BUS 10 Year EUL</v>
      </c>
      <c r="DI13" s="779">
        <f>(INDEX('Avoided Cost Benefits'!$B$4:$B$865,MATCH(DH13,'Avoided Cost Benefits'!$A$4:$A$865,0)))*F13</f>
        <v>23.179986183095142</v>
      </c>
      <c r="DJ13" s="1936">
        <f t="shared" si="6"/>
        <v>3.26</v>
      </c>
    </row>
    <row r="14" spans="1:114" x14ac:dyDescent="0.25">
      <c r="B14" s="252">
        <f t="shared" si="7"/>
        <v>800300</v>
      </c>
      <c r="C14" s="668" t="s">
        <v>71</v>
      </c>
      <c r="D14" s="1862" t="str">
        <f t="shared" si="9"/>
        <v>BSS/MFIE</v>
      </c>
      <c r="E14" s="1852" t="s">
        <v>72</v>
      </c>
      <c r="F14" s="55">
        <f t="shared" ref="F14:F16" si="10">ROUND((F44-G44)/1000*H44*I44*K44*M44,2)</f>
        <v>716.61</v>
      </c>
      <c r="G14" s="452" t="s">
        <v>61</v>
      </c>
      <c r="H14" s="453">
        <f>VLOOKUP(G14,'CP FACTORS'!$A$26:$B$38,2,FALSE)</f>
        <v>1.899635E-4</v>
      </c>
      <c r="I14" s="497">
        <f t="shared" si="2"/>
        <v>0.140486</v>
      </c>
      <c r="J14" s="19">
        <f t="shared" si="3"/>
        <v>15</v>
      </c>
      <c r="K14" s="680">
        <v>68</v>
      </c>
      <c r="L14" s="681" t="s">
        <v>62</v>
      </c>
      <c r="M14" s="455"/>
      <c r="V14" s="1375" t="s">
        <v>45</v>
      </c>
      <c r="W14" s="52">
        <v>576.45180000000005</v>
      </c>
      <c r="X14" s="650">
        <v>369.51600000000002</v>
      </c>
      <c r="Y14" s="52">
        <v>369.51600000000002</v>
      </c>
      <c r="Z14" s="53">
        <v>369.51600000000002</v>
      </c>
      <c r="AA14" s="53">
        <v>369.51600000000002</v>
      </c>
      <c r="AB14" s="52">
        <v>1198.19</v>
      </c>
      <c r="AC14" s="966">
        <v>675.33</v>
      </c>
      <c r="AD14" s="964">
        <v>1128.8699999999999</v>
      </c>
      <c r="AE14" s="404">
        <v>1129.0999999999999</v>
      </c>
      <c r="AF14" s="258">
        <f t="shared" si="4"/>
        <v>716.61</v>
      </c>
      <c r="AG14" s="52"/>
      <c r="AI14" s="1375" t="s">
        <v>49</v>
      </c>
      <c r="AJ14" s="19">
        <v>11</v>
      </c>
      <c r="AK14" s="19">
        <v>11</v>
      </c>
      <c r="AL14" s="19">
        <v>11</v>
      </c>
      <c r="AM14" s="19">
        <v>11</v>
      </c>
      <c r="AN14" s="19">
        <v>11</v>
      </c>
      <c r="AO14" s="684">
        <v>11</v>
      </c>
      <c r="AP14" s="234">
        <v>15</v>
      </c>
      <c r="AQ14" s="700">
        <v>15</v>
      </c>
      <c r="AR14" s="19">
        <v>15</v>
      </c>
      <c r="AS14" s="19">
        <v>15</v>
      </c>
      <c r="AU14" s="1375" t="s">
        <v>50</v>
      </c>
      <c r="AV14" s="685">
        <v>191.39</v>
      </c>
      <c r="AW14" s="685">
        <v>191.39</v>
      </c>
      <c r="AX14" s="685">
        <v>191.39</v>
      </c>
      <c r="AY14" s="685">
        <v>191.39</v>
      </c>
      <c r="AZ14" s="685">
        <v>191.39</v>
      </c>
      <c r="BA14" s="669">
        <v>191.39</v>
      </c>
      <c r="BB14" s="669">
        <v>191.39</v>
      </c>
      <c r="BC14" s="557">
        <v>191.39</v>
      </c>
      <c r="BD14" s="680">
        <v>191.39</v>
      </c>
      <c r="BE14" s="680">
        <v>191.39</v>
      </c>
      <c r="DG14" s="1021">
        <f t="shared" si="8"/>
        <v>8.1013171644147945</v>
      </c>
      <c r="DH14" s="653" t="str">
        <f t="shared" si="5"/>
        <v>Lighting BUS 15 Year EUL</v>
      </c>
      <c r="DI14" s="779">
        <f>(INDEX('Avoided Cost Benefits'!$B$4:$B$865,MATCH(DH14,'Avoided Cost Benefits'!$A$4:$A$865,0)))*F14</f>
        <v>550.88956718020597</v>
      </c>
      <c r="DJ14" s="1936">
        <f t="shared" si="6"/>
        <v>68</v>
      </c>
    </row>
    <row r="15" spans="1:114" x14ac:dyDescent="0.25">
      <c r="B15" s="252">
        <f t="shared" si="7"/>
        <v>800350</v>
      </c>
      <c r="C15" s="668" t="s">
        <v>73</v>
      </c>
      <c r="D15" s="1862" t="str">
        <f t="shared" si="9"/>
        <v>BSS/MFIE</v>
      </c>
      <c r="E15" s="1852" t="s">
        <v>74</v>
      </c>
      <c r="F15" s="55">
        <f t="shared" si="10"/>
        <v>798.17</v>
      </c>
      <c r="G15" s="452" t="s">
        <v>61</v>
      </c>
      <c r="H15" s="453">
        <f>VLOOKUP(G15,'CP FACTORS'!$A$26:$B$38,2,FALSE)</f>
        <v>1.899635E-4</v>
      </c>
      <c r="I15" s="497">
        <f t="shared" si="2"/>
        <v>0.156475</v>
      </c>
      <c r="J15" s="19">
        <f t="shared" si="3"/>
        <v>15</v>
      </c>
      <c r="K15" s="680">
        <v>60</v>
      </c>
      <c r="L15" s="681" t="s">
        <v>62</v>
      </c>
      <c r="M15" s="455"/>
      <c r="V15" s="1375" t="s">
        <v>45</v>
      </c>
      <c r="W15" s="52">
        <v>702.99</v>
      </c>
      <c r="X15" s="650">
        <v>884.37428794386449</v>
      </c>
      <c r="Y15" s="52">
        <v>884.37428794386449</v>
      </c>
      <c r="Z15" s="53">
        <v>884.37428794386449</v>
      </c>
      <c r="AA15" s="53">
        <v>884.37428794386449</v>
      </c>
      <c r="AB15" s="52">
        <v>902.06</v>
      </c>
      <c r="AC15" s="966">
        <v>837.22</v>
      </c>
      <c r="AD15" s="964">
        <v>843.63</v>
      </c>
      <c r="AE15" s="404">
        <v>843.88</v>
      </c>
      <c r="AF15" s="258">
        <f t="shared" si="4"/>
        <v>798.17</v>
      </c>
      <c r="AG15" s="52"/>
      <c r="AI15" s="1375" t="s">
        <v>49</v>
      </c>
      <c r="AJ15" s="19">
        <v>10</v>
      </c>
      <c r="AK15" s="19">
        <v>10</v>
      </c>
      <c r="AL15" s="19">
        <v>10</v>
      </c>
      <c r="AM15" s="19">
        <v>10</v>
      </c>
      <c r="AN15" s="19">
        <v>10</v>
      </c>
      <c r="AO15" s="684">
        <v>11</v>
      </c>
      <c r="AP15" s="234">
        <v>15</v>
      </c>
      <c r="AQ15" s="700">
        <v>15</v>
      </c>
      <c r="AR15" s="19">
        <v>15</v>
      </c>
      <c r="AS15" s="19">
        <v>15</v>
      </c>
      <c r="AU15" s="1375" t="s">
        <v>50</v>
      </c>
      <c r="AV15" s="685">
        <v>233.64</v>
      </c>
      <c r="AW15" s="685">
        <v>233.64</v>
      </c>
      <c r="AX15" s="685">
        <v>233.64</v>
      </c>
      <c r="AY15" s="685">
        <v>233.64</v>
      </c>
      <c r="AZ15" s="685">
        <v>233.64</v>
      </c>
      <c r="BA15" s="669">
        <v>233.64</v>
      </c>
      <c r="BB15" s="669">
        <v>233.64</v>
      </c>
      <c r="BC15" s="557">
        <v>233.64</v>
      </c>
      <c r="BD15" s="680">
        <v>233.64</v>
      </c>
      <c r="BE15" s="680">
        <v>233.64</v>
      </c>
      <c r="DG15" s="1021">
        <f t="shared" si="8"/>
        <v>10.226471996302614</v>
      </c>
      <c r="DH15" s="653" t="str">
        <f t="shared" si="5"/>
        <v>Lighting BUS 15 Year EUL</v>
      </c>
      <c r="DI15" s="779">
        <f>(INDEX('Avoided Cost Benefits'!$B$4:$B$865,MATCH(DH15,'Avoided Cost Benefits'!$A$4:$A$865,0)))*F15</f>
        <v>613.5883197781568</v>
      </c>
      <c r="DJ15" s="1936">
        <f t="shared" si="6"/>
        <v>60</v>
      </c>
    </row>
    <row r="16" spans="1:114" x14ac:dyDescent="0.25">
      <c r="B16" s="252">
        <f t="shared" si="7"/>
        <v>800400</v>
      </c>
      <c r="C16" s="668" t="s">
        <v>75</v>
      </c>
      <c r="D16" s="1862" t="str">
        <f t="shared" si="9"/>
        <v>BSS/MFIE</v>
      </c>
      <c r="E16" s="1852" t="s">
        <v>76</v>
      </c>
      <c r="F16" s="55">
        <f t="shared" si="10"/>
        <v>983.73</v>
      </c>
      <c r="G16" s="452" t="s">
        <v>61</v>
      </c>
      <c r="H16" s="453">
        <f>VLOOKUP(G16,'CP FACTORS'!$A$26:$B$38,2,FALSE)</f>
        <v>1.899635E-4</v>
      </c>
      <c r="I16" s="497">
        <f t="shared" si="2"/>
        <v>0.192853</v>
      </c>
      <c r="J16" s="19">
        <f t="shared" si="3"/>
        <v>15</v>
      </c>
      <c r="K16" s="680">
        <v>156</v>
      </c>
      <c r="L16" s="681" t="s">
        <v>62</v>
      </c>
      <c r="M16" s="455"/>
      <c r="V16" s="1375" t="s">
        <v>45</v>
      </c>
      <c r="W16" s="52">
        <v>1209.1428000000001</v>
      </c>
      <c r="X16" s="650">
        <v>1471.9795478952801</v>
      </c>
      <c r="Y16" s="52">
        <v>1471.9795478952801</v>
      </c>
      <c r="Z16" s="53">
        <v>1471.9795478952801</v>
      </c>
      <c r="AA16" s="53">
        <v>1471.9795478952801</v>
      </c>
      <c r="AB16" s="52">
        <v>1459.71</v>
      </c>
      <c r="AC16" s="966">
        <v>1031.8599999999999</v>
      </c>
      <c r="AD16" s="964">
        <v>1039.67</v>
      </c>
      <c r="AE16" s="404">
        <v>1040.07</v>
      </c>
      <c r="AF16" s="258">
        <f t="shared" si="4"/>
        <v>983.73</v>
      </c>
      <c r="AG16" s="52"/>
      <c r="AI16" s="1375" t="s">
        <v>49</v>
      </c>
      <c r="AJ16" s="19">
        <v>11</v>
      </c>
      <c r="AK16" s="19">
        <v>11</v>
      </c>
      <c r="AL16" s="19">
        <v>11</v>
      </c>
      <c r="AM16" s="19">
        <v>11</v>
      </c>
      <c r="AN16" s="19">
        <v>11</v>
      </c>
      <c r="AO16" s="684">
        <v>11</v>
      </c>
      <c r="AP16" s="234">
        <v>15</v>
      </c>
      <c r="AQ16" s="700">
        <v>15</v>
      </c>
      <c r="AR16" s="19">
        <v>15</v>
      </c>
      <c r="AS16" s="19">
        <v>15</v>
      </c>
      <c r="AU16" s="1375" t="s">
        <v>50</v>
      </c>
      <c r="AV16" s="685">
        <v>361.64</v>
      </c>
      <c r="AW16" s="685">
        <v>361.64</v>
      </c>
      <c r="AX16" s="685">
        <v>361.64</v>
      </c>
      <c r="AY16" s="685">
        <v>361.64</v>
      </c>
      <c r="AZ16" s="685">
        <v>361.64</v>
      </c>
      <c r="BA16" s="669">
        <v>361.64</v>
      </c>
      <c r="BB16" s="669">
        <v>361.64</v>
      </c>
      <c r="BC16" s="557">
        <v>361.64</v>
      </c>
      <c r="BD16" s="680">
        <v>361.64</v>
      </c>
      <c r="BE16" s="680">
        <v>361.64</v>
      </c>
      <c r="DG16" s="1021">
        <f t="shared" si="8"/>
        <v>4.8476694751372467</v>
      </c>
      <c r="DH16" s="653" t="str">
        <f t="shared" si="5"/>
        <v>Lighting BUS 15 Year EUL</v>
      </c>
      <c r="DI16" s="779">
        <f>(INDEX('Avoided Cost Benefits'!$B$4:$B$865,MATCH(DH16,'Avoided Cost Benefits'!$A$4:$A$865,0)))*F16</f>
        <v>756.23643812141052</v>
      </c>
      <c r="DJ16" s="1936">
        <f t="shared" si="6"/>
        <v>156</v>
      </c>
    </row>
    <row r="17" spans="1:114" x14ac:dyDescent="0.25">
      <c r="B17" s="252">
        <f t="shared" si="7"/>
        <v>800750</v>
      </c>
      <c r="C17" s="668" t="s">
        <v>77</v>
      </c>
      <c r="D17" s="1862" t="str">
        <f t="shared" si="9"/>
        <v>BSS/MFIE</v>
      </c>
      <c r="E17" s="1852" t="s">
        <v>78</v>
      </c>
      <c r="F17" s="55">
        <f>ROUND((F47-G47)/1000*H47*I47*K47*M47,2)</f>
        <v>243.01</v>
      </c>
      <c r="G17" s="452" t="s">
        <v>61</v>
      </c>
      <c r="H17" s="453">
        <f>VLOOKUP(G17,'CP FACTORS'!$A$26:$B$38,2,FALSE)</f>
        <v>1.899635E-4</v>
      </c>
      <c r="I17" s="497">
        <f t="shared" si="2"/>
        <v>4.7640000000000002E-2</v>
      </c>
      <c r="J17" s="19">
        <f>L47</f>
        <v>7</v>
      </c>
      <c r="K17" s="680">
        <v>45.25</v>
      </c>
      <c r="L17" s="681" t="s">
        <v>62</v>
      </c>
      <c r="M17" s="455"/>
      <c r="V17" s="1375" t="s">
        <v>45</v>
      </c>
      <c r="W17" s="52">
        <v>253.07640000000004</v>
      </c>
      <c r="X17" s="53">
        <v>253.07640000000004</v>
      </c>
      <c r="Y17" s="52">
        <v>253.07640000000004</v>
      </c>
      <c r="Z17" s="53">
        <v>253.07640000000004</v>
      </c>
      <c r="AA17" s="53">
        <v>253.07640000000004</v>
      </c>
      <c r="AB17" s="52">
        <v>248.43</v>
      </c>
      <c r="AC17" s="966">
        <v>231.65</v>
      </c>
      <c r="AD17" s="964">
        <v>309.14</v>
      </c>
      <c r="AE17" s="56">
        <v>261.05</v>
      </c>
      <c r="AF17" s="258">
        <f t="shared" si="4"/>
        <v>243.01</v>
      </c>
      <c r="AG17" s="52"/>
      <c r="AI17" s="1375" t="s">
        <v>49</v>
      </c>
      <c r="AJ17" s="19">
        <v>16</v>
      </c>
      <c r="AK17" s="19">
        <v>16</v>
      </c>
      <c r="AL17" s="19">
        <v>16</v>
      </c>
      <c r="AM17" s="19">
        <v>16</v>
      </c>
      <c r="AN17" s="19">
        <v>16</v>
      </c>
      <c r="AO17" s="684">
        <v>16</v>
      </c>
      <c r="AP17" s="234">
        <v>7</v>
      </c>
      <c r="AQ17" s="700">
        <v>7</v>
      </c>
      <c r="AR17" s="19">
        <v>7</v>
      </c>
      <c r="AS17" s="19">
        <v>7</v>
      </c>
      <c r="AU17" s="1375" t="s">
        <v>50</v>
      </c>
      <c r="AV17" s="685">
        <v>45.25</v>
      </c>
      <c r="AW17" s="685">
        <v>45.25</v>
      </c>
      <c r="AX17" s="685">
        <v>45.25</v>
      </c>
      <c r="AY17" s="685">
        <v>45.25</v>
      </c>
      <c r="AZ17" s="685">
        <v>45.25</v>
      </c>
      <c r="BA17" s="669">
        <v>45.25</v>
      </c>
      <c r="BB17" s="669">
        <v>45.25</v>
      </c>
      <c r="BC17" s="557">
        <v>45.25</v>
      </c>
      <c r="BD17" s="680">
        <v>45.25</v>
      </c>
      <c r="BE17" s="680">
        <v>45.25</v>
      </c>
      <c r="DG17" s="1021">
        <f t="shared" si="8"/>
        <v>2.3213842325206708</v>
      </c>
      <c r="DH17" s="653" t="str">
        <f t="shared" si="5"/>
        <v>Lighting BUS 7 Year EUL</v>
      </c>
      <c r="DI17" s="779">
        <f>(INDEX('Avoided Cost Benefits'!$B$4:$B$865,MATCH(DH17,'Avoided Cost Benefits'!$A$4:$A$865,0)))*F17</f>
        <v>105.04263652156035</v>
      </c>
      <c r="DJ17" s="1936">
        <f t="shared" si="6"/>
        <v>45.25</v>
      </c>
    </row>
    <row r="18" spans="1:114" s="252" customFormat="1" x14ac:dyDescent="0.25">
      <c r="B18" s="252">
        <f t="shared" si="7"/>
        <v>800800</v>
      </c>
      <c r="C18" s="668" t="s">
        <v>79</v>
      </c>
      <c r="D18" s="1862" t="s">
        <v>80</v>
      </c>
      <c r="E18" s="1852" t="s">
        <v>81</v>
      </c>
      <c r="F18" s="55">
        <f>ROUND((F48-G48)/1000*H48*I48*K48*M48,2)</f>
        <v>290.27999999999997</v>
      </c>
      <c r="G18" s="452" t="s">
        <v>61</v>
      </c>
      <c r="H18" s="453">
        <f>VLOOKUP(G18,'CP FACTORS'!$A$26:$B$38,2,FALSE)</f>
        <v>1.899635E-4</v>
      </c>
      <c r="I18" s="497">
        <f t="shared" si="2"/>
        <v>5.6906999999999999E-2</v>
      </c>
      <c r="J18" s="19">
        <f>L48</f>
        <v>10</v>
      </c>
      <c r="K18" s="680">
        <v>45.25</v>
      </c>
      <c r="L18" s="681" t="s">
        <v>62</v>
      </c>
      <c r="M18" s="455"/>
      <c r="V18" s="1375" t="s">
        <v>45</v>
      </c>
      <c r="W18" s="53">
        <v>222.56</v>
      </c>
      <c r="X18" s="53">
        <v>222.56</v>
      </c>
      <c r="Y18" s="53">
        <v>222.56</v>
      </c>
      <c r="Z18" s="53">
        <v>222.56</v>
      </c>
      <c r="AA18" s="53">
        <v>222.56</v>
      </c>
      <c r="AB18" s="53">
        <v>156.94</v>
      </c>
      <c r="AC18" s="2049">
        <v>350.49</v>
      </c>
      <c r="AD18" s="2050">
        <v>301.75</v>
      </c>
      <c r="AE18" s="404">
        <v>347.98</v>
      </c>
      <c r="AF18" s="558">
        <f t="shared" si="4"/>
        <v>290.27999999999997</v>
      </c>
      <c r="AG18" s="53"/>
      <c r="AI18" s="1375" t="s">
        <v>49</v>
      </c>
      <c r="AJ18" s="19">
        <v>8</v>
      </c>
      <c r="AK18" s="19">
        <v>8</v>
      </c>
      <c r="AL18" s="19">
        <v>8</v>
      </c>
      <c r="AM18" s="19">
        <v>8</v>
      </c>
      <c r="AN18" s="19">
        <v>8</v>
      </c>
      <c r="AO18" s="688">
        <v>10</v>
      </c>
      <c r="AP18" s="700">
        <v>10</v>
      </c>
      <c r="AQ18" s="700">
        <v>10</v>
      </c>
      <c r="AR18" s="19">
        <v>10</v>
      </c>
      <c r="AS18" s="19">
        <v>10</v>
      </c>
      <c r="AU18" s="1375" t="s">
        <v>50</v>
      </c>
      <c r="AV18" s="680">
        <v>29.64</v>
      </c>
      <c r="AW18" s="680">
        <v>29.64</v>
      </c>
      <c r="AX18" s="680">
        <v>29.64</v>
      </c>
      <c r="AY18" s="680">
        <v>29.64</v>
      </c>
      <c r="AZ18" s="680">
        <v>29.64</v>
      </c>
      <c r="BA18" s="557">
        <v>29.64</v>
      </c>
      <c r="BB18" s="557">
        <v>29.64</v>
      </c>
      <c r="BC18" s="557">
        <v>29.64</v>
      </c>
      <c r="BD18" s="680">
        <v>29.64</v>
      </c>
      <c r="BE18" s="680">
        <v>29.64</v>
      </c>
      <c r="CG18" s="50"/>
      <c r="CH18" s="50"/>
      <c r="CI18" s="50"/>
      <c r="CJ18" s="50"/>
      <c r="CW18" s="50"/>
      <c r="CX18" s="50"/>
      <c r="CY18" s="50"/>
      <c r="CZ18" s="50"/>
      <c r="DG18" s="1021">
        <f t="shared" si="8"/>
        <v>3.6861738149644356</v>
      </c>
      <c r="DH18" s="653" t="str">
        <f t="shared" si="5"/>
        <v>Lighting BUS 10 Year EUL</v>
      </c>
      <c r="DI18" s="779">
        <f>(INDEX('[1]Avoided Cost Benefits'!$B$4:$B$865,MATCH(DH18,'[1]Avoided Cost Benefits'!$A$4:$A$865,0)))*F18</f>
        <v>166.7993651271407</v>
      </c>
      <c r="DJ18" s="2051">
        <f t="shared" ref="DJ18" si="11">IFERROR(K18/((1+DiscountRate)^(CurrentYear-DiscountYear)),0)</f>
        <v>45.25</v>
      </c>
    </row>
    <row r="19" spans="1:114" x14ac:dyDescent="0.25">
      <c r="B19" s="252">
        <f t="shared" si="7"/>
        <v>800801</v>
      </c>
      <c r="C19" s="668" t="s">
        <v>82</v>
      </c>
      <c r="D19" s="1862" t="str">
        <f t="shared" si="9"/>
        <v>BSS</v>
      </c>
      <c r="E19" s="1852" t="s">
        <v>83</v>
      </c>
      <c r="F19" s="55">
        <f>ROUND((F49-G49)/1000*H49*I49*K49*M49,2)</f>
        <v>473.41</v>
      </c>
      <c r="G19" s="452" t="s">
        <v>61</v>
      </c>
      <c r="H19" s="453">
        <f>VLOOKUP(G19,'CP FACTORS'!$A$26:$B$38,2,FALSE)</f>
        <v>1.899635E-4</v>
      </c>
      <c r="I19" s="497">
        <f t="shared" si="2"/>
        <v>9.2808000000000002E-2</v>
      </c>
      <c r="J19" s="19">
        <f>L49</f>
        <v>15</v>
      </c>
      <c r="K19" s="680">
        <v>13</v>
      </c>
      <c r="L19" s="681" t="s">
        <v>62</v>
      </c>
      <c r="M19" s="455"/>
      <c r="V19" s="1375" t="s">
        <v>45</v>
      </c>
      <c r="W19" s="799"/>
      <c r="X19" s="800"/>
      <c r="Y19" s="799"/>
      <c r="Z19" s="800"/>
      <c r="AA19" s="800"/>
      <c r="AB19" s="52">
        <v>365.22</v>
      </c>
      <c r="AC19" s="966">
        <v>476.96</v>
      </c>
      <c r="AD19" s="964">
        <v>545.25</v>
      </c>
      <c r="AE19" s="56">
        <v>449.25</v>
      </c>
      <c r="AF19" s="258">
        <f t="shared" si="4"/>
        <v>473.41</v>
      </c>
      <c r="AG19" s="52"/>
      <c r="AI19" s="101" t="s">
        <v>49</v>
      </c>
      <c r="AJ19" s="801"/>
      <c r="AK19" s="801"/>
      <c r="AL19" s="801"/>
      <c r="AM19" s="801"/>
      <c r="AN19" s="801"/>
      <c r="AO19" s="684">
        <v>15</v>
      </c>
      <c r="AP19" s="234">
        <v>15</v>
      </c>
      <c r="AQ19" s="700">
        <v>15</v>
      </c>
      <c r="AR19" s="19">
        <v>15</v>
      </c>
      <c r="AS19" s="19">
        <v>15</v>
      </c>
      <c r="AU19" s="101" t="s">
        <v>50</v>
      </c>
      <c r="AV19" s="802"/>
      <c r="AW19" s="802"/>
      <c r="AX19" s="802"/>
      <c r="AY19" s="802"/>
      <c r="AZ19" s="802"/>
      <c r="BA19" s="669">
        <v>29.64</v>
      </c>
      <c r="BB19" s="669">
        <v>29.64</v>
      </c>
      <c r="BC19" s="557">
        <v>29.64</v>
      </c>
      <c r="BD19" s="680">
        <v>29.64</v>
      </c>
      <c r="BE19" s="680">
        <v>29.64</v>
      </c>
      <c r="DG19" s="1021">
        <f t="shared" si="8"/>
        <v>27.994696181570848</v>
      </c>
      <c r="DH19" s="653" t="str">
        <f t="shared" si="5"/>
        <v>Lighting BUS 15 Year EUL</v>
      </c>
      <c r="DI19" s="779">
        <f>(INDEX('Avoided Cost Benefits'!$B$4:$B$865,MATCH(DH19,'Avoided Cost Benefits'!$A$4:$A$865,0)))*F19</f>
        <v>363.93105036042101</v>
      </c>
      <c r="DJ19" s="1936">
        <f t="shared" si="6"/>
        <v>13</v>
      </c>
    </row>
    <row r="20" spans="1:114" x14ac:dyDescent="0.25">
      <c r="A20" s="2"/>
      <c r="B20" s="252">
        <f t="shared" si="7"/>
        <v>800850</v>
      </c>
      <c r="C20" s="668" t="s">
        <v>84</v>
      </c>
      <c r="D20" s="1862" t="str">
        <f t="shared" si="9"/>
        <v>BSS</v>
      </c>
      <c r="E20" s="1852" t="s">
        <v>85</v>
      </c>
      <c r="F20" s="55">
        <f t="shared" ref="F20:F24" si="12">ROUND((F50-G50)/1000*H50*I50*K50*M50,2)</f>
        <v>220.32</v>
      </c>
      <c r="G20" s="452" t="s">
        <v>61</v>
      </c>
      <c r="H20" s="453">
        <f>VLOOKUP(G20,'CP FACTORS'!$A$26:$B$38,2,FALSE)</f>
        <v>1.899635E-4</v>
      </c>
      <c r="I20" s="497">
        <f t="shared" ref="I20:I24" si="13">ROUND(H20*F20*J50,6)</f>
        <v>4.3192000000000001E-2</v>
      </c>
      <c r="J20" s="19">
        <f t="shared" ref="J20:J24" si="14">L50</f>
        <v>10</v>
      </c>
      <c r="K20" s="680">
        <v>14</v>
      </c>
      <c r="L20" s="681" t="s">
        <v>62</v>
      </c>
      <c r="M20" s="455"/>
      <c r="V20" s="1375" t="s">
        <v>45</v>
      </c>
      <c r="W20" s="906">
        <v>82.39</v>
      </c>
      <c r="X20" s="650">
        <v>84.819074273197472</v>
      </c>
      <c r="Y20" s="906">
        <v>84.819074273197472</v>
      </c>
      <c r="Z20" s="53">
        <v>84.819074273197472</v>
      </c>
      <c r="AA20" s="53">
        <v>84.819074273197472</v>
      </c>
      <c r="AB20" s="906">
        <v>86.01</v>
      </c>
      <c r="AC20" s="966">
        <v>207.73</v>
      </c>
      <c r="AD20" s="964">
        <v>234.37</v>
      </c>
      <c r="AE20" s="56">
        <v>186.98</v>
      </c>
      <c r="AF20" s="258">
        <f t="shared" si="4"/>
        <v>220.32</v>
      </c>
      <c r="AG20" s="906"/>
      <c r="AI20" s="1375" t="s">
        <v>49</v>
      </c>
      <c r="AJ20" s="19">
        <v>9</v>
      </c>
      <c r="AK20" s="19">
        <v>9</v>
      </c>
      <c r="AL20" s="19">
        <v>9</v>
      </c>
      <c r="AM20" s="19">
        <v>9</v>
      </c>
      <c r="AN20" s="19">
        <v>9</v>
      </c>
      <c r="AO20" s="2047">
        <v>10</v>
      </c>
      <c r="AP20" s="234">
        <v>10</v>
      </c>
      <c r="AQ20" s="700">
        <v>10</v>
      </c>
      <c r="AR20" s="19">
        <v>10</v>
      </c>
      <c r="AS20" s="19">
        <v>10</v>
      </c>
      <c r="AU20" s="1375" t="s">
        <v>50</v>
      </c>
      <c r="AV20" s="685">
        <v>29.64</v>
      </c>
      <c r="AW20" s="685">
        <v>29.64</v>
      </c>
      <c r="AX20" s="685">
        <v>29.64</v>
      </c>
      <c r="AY20" s="685">
        <v>29.64</v>
      </c>
      <c r="AZ20" s="685">
        <v>29.64</v>
      </c>
      <c r="BA20" s="2048">
        <v>29.64</v>
      </c>
      <c r="BB20" s="2048">
        <v>29.64</v>
      </c>
      <c r="BC20" s="557">
        <v>29.64</v>
      </c>
      <c r="BD20" s="680">
        <v>29.64</v>
      </c>
      <c r="BE20" s="680">
        <v>29.64</v>
      </c>
      <c r="CG20" s="73"/>
      <c r="CH20" s="73"/>
      <c r="CI20" s="73"/>
      <c r="CJ20" s="73"/>
      <c r="CW20" s="73"/>
      <c r="CX20" s="73"/>
      <c r="CY20" s="73"/>
      <c r="CZ20" s="73"/>
      <c r="DG20" s="1021">
        <f t="shared" si="8"/>
        <v>9.0428050071880453</v>
      </c>
      <c r="DH20" s="653" t="str">
        <f t="shared" si="5"/>
        <v>Lighting BUS 10 Year EUL</v>
      </c>
      <c r="DI20" s="779">
        <f>(INDEX('[1]Avoided Cost Benefits'!$B$4:$B$865,MATCH(DH20,'[1]Avoided Cost Benefits'!$A$4:$A$865,0)))*F20</f>
        <v>126.59927010063264</v>
      </c>
      <c r="DJ20" s="1936">
        <f t="shared" ref="DJ20" si="15">IFERROR(K20/((1+DiscountRate)^(CurrentYear-DiscountYear)),0)</f>
        <v>14</v>
      </c>
    </row>
    <row r="21" spans="1:114" x14ac:dyDescent="0.25">
      <c r="B21" s="252">
        <f t="shared" si="7"/>
        <v>800851</v>
      </c>
      <c r="C21" s="668" t="s">
        <v>86</v>
      </c>
      <c r="D21" s="1862" t="s">
        <v>59</v>
      </c>
      <c r="E21" s="1852" t="s">
        <v>87</v>
      </c>
      <c r="F21" s="55">
        <f t="shared" si="12"/>
        <v>200.02</v>
      </c>
      <c r="G21" s="452" t="s">
        <v>61</v>
      </c>
      <c r="H21" s="453">
        <f>VLOOKUP(G21,'CP FACTORS'!$A$26:$B$38,2,FALSE)</f>
        <v>1.899635E-4</v>
      </c>
      <c r="I21" s="497">
        <f t="shared" si="13"/>
        <v>3.9211999999999997E-2</v>
      </c>
      <c r="J21" s="19">
        <f t="shared" si="14"/>
        <v>15</v>
      </c>
      <c r="K21" s="680">
        <v>15</v>
      </c>
      <c r="L21" s="681" t="s">
        <v>62</v>
      </c>
      <c r="M21" s="455"/>
      <c r="V21" s="1375" t="s">
        <v>45</v>
      </c>
      <c r="W21" s="799"/>
      <c r="X21" s="800"/>
      <c r="Y21" s="799"/>
      <c r="Z21" s="800"/>
      <c r="AA21" s="800"/>
      <c r="AB21" s="52">
        <v>161.24</v>
      </c>
      <c r="AC21" s="966">
        <v>212.23</v>
      </c>
      <c r="AD21" s="964">
        <v>198.78</v>
      </c>
      <c r="AE21" s="56">
        <v>192.42</v>
      </c>
      <c r="AF21" s="258">
        <f t="shared" si="4"/>
        <v>200.02</v>
      </c>
      <c r="AG21" s="52"/>
      <c r="AI21" s="101" t="s">
        <v>49</v>
      </c>
      <c r="AJ21" s="801"/>
      <c r="AK21" s="801"/>
      <c r="AL21" s="801"/>
      <c r="AM21" s="801"/>
      <c r="AN21" s="801"/>
      <c r="AO21" s="684">
        <v>15</v>
      </c>
      <c r="AP21" s="234">
        <v>15</v>
      </c>
      <c r="AQ21" s="700">
        <v>15</v>
      </c>
      <c r="AR21" s="19">
        <v>15</v>
      </c>
      <c r="AS21" s="19">
        <v>15</v>
      </c>
      <c r="AU21" s="101" t="s">
        <v>50</v>
      </c>
      <c r="AV21" s="802"/>
      <c r="AW21" s="802"/>
      <c r="AX21" s="802"/>
      <c r="AY21" s="802"/>
      <c r="AZ21" s="802"/>
      <c r="BA21" s="669">
        <v>29.64</v>
      </c>
      <c r="BB21" s="669">
        <v>29.64</v>
      </c>
      <c r="BC21" s="557">
        <v>29.64</v>
      </c>
      <c r="BD21" s="680">
        <v>29.64</v>
      </c>
      <c r="BE21" s="680">
        <v>29.64</v>
      </c>
      <c r="DG21" s="1021">
        <f t="shared" si="8"/>
        <v>10.250943677163756</v>
      </c>
      <c r="DH21" s="653" t="str">
        <f t="shared" si="5"/>
        <v>Lighting BUS 15 Year EUL</v>
      </c>
      <c r="DI21" s="779">
        <f>(INDEX('Avoided Cost Benefits'!$B$4:$B$865,MATCH(DH21,'Avoided Cost Benefits'!$A$4:$A$865,0)))*F21</f>
        <v>153.76415515745634</v>
      </c>
      <c r="DJ21" s="1936">
        <f t="shared" si="6"/>
        <v>15</v>
      </c>
    </row>
    <row r="22" spans="1:114" x14ac:dyDescent="0.25">
      <c r="A22" s="2"/>
      <c r="B22" s="252">
        <f t="shared" si="7"/>
        <v>800900</v>
      </c>
      <c r="C22" s="668" t="s">
        <v>88</v>
      </c>
      <c r="D22" s="1862" t="s">
        <v>80</v>
      </c>
      <c r="E22" s="1852" t="s">
        <v>89</v>
      </c>
      <c r="F22" s="55">
        <f t="shared" si="12"/>
        <v>186.88</v>
      </c>
      <c r="G22" s="452" t="s">
        <v>61</v>
      </c>
      <c r="H22" s="453">
        <f>VLOOKUP(G22,'CP FACTORS'!$A$26:$B$38,2,FALSE)</f>
        <v>1.899635E-4</v>
      </c>
      <c r="I22" s="497">
        <f t="shared" si="13"/>
        <v>3.6636000000000002E-2</v>
      </c>
      <c r="J22" s="19">
        <f t="shared" si="14"/>
        <v>10</v>
      </c>
      <c r="K22" s="680">
        <v>16</v>
      </c>
      <c r="L22" s="681" t="s">
        <v>62</v>
      </c>
      <c r="M22" s="455"/>
      <c r="V22" s="1375" t="s">
        <v>45</v>
      </c>
      <c r="W22" s="906">
        <v>124.6336</v>
      </c>
      <c r="X22" s="650">
        <v>92.556746382707516</v>
      </c>
      <c r="Y22" s="906">
        <v>92.556746382707516</v>
      </c>
      <c r="Z22" s="53">
        <v>92.556746382707516</v>
      </c>
      <c r="AA22" s="53">
        <v>92.556746382707516</v>
      </c>
      <c r="AB22" s="906">
        <v>150</v>
      </c>
      <c r="AC22" s="966">
        <v>224.43</v>
      </c>
      <c r="AD22" s="964">
        <v>197.52</v>
      </c>
      <c r="AE22" s="404">
        <v>197.58</v>
      </c>
      <c r="AF22" s="258">
        <f t="shared" si="4"/>
        <v>186.88</v>
      </c>
      <c r="AG22" s="906"/>
      <c r="AI22" s="1375" t="s">
        <v>49</v>
      </c>
      <c r="AJ22" s="19">
        <v>14</v>
      </c>
      <c r="AK22" s="19">
        <v>14</v>
      </c>
      <c r="AL22" s="19">
        <v>14</v>
      </c>
      <c r="AM22" s="19">
        <v>14</v>
      </c>
      <c r="AN22" s="19">
        <v>14</v>
      </c>
      <c r="AO22" s="2047">
        <v>10</v>
      </c>
      <c r="AP22" s="234">
        <v>10</v>
      </c>
      <c r="AQ22" s="700">
        <v>10</v>
      </c>
      <c r="AR22" s="19">
        <v>10</v>
      </c>
      <c r="AS22" s="19">
        <v>10</v>
      </c>
      <c r="AU22" s="1375" t="s">
        <v>50</v>
      </c>
      <c r="AV22" s="685">
        <v>29.64</v>
      </c>
      <c r="AW22" s="685">
        <v>29.64</v>
      </c>
      <c r="AX22" s="685">
        <v>29.64</v>
      </c>
      <c r="AY22" s="685">
        <v>29.64</v>
      </c>
      <c r="AZ22" s="685">
        <v>29.64</v>
      </c>
      <c r="BA22" s="2048">
        <v>29.64</v>
      </c>
      <c r="BB22" s="2048">
        <v>29.64</v>
      </c>
      <c r="BC22" s="557">
        <v>29.64</v>
      </c>
      <c r="BD22" s="680">
        <v>29.64</v>
      </c>
      <c r="BE22" s="680">
        <v>29.64</v>
      </c>
      <c r="CG22" s="73"/>
      <c r="CH22" s="73"/>
      <c r="CI22" s="73"/>
      <c r="CJ22" s="73"/>
      <c r="CW22" s="73"/>
      <c r="CX22" s="73"/>
      <c r="CY22" s="73"/>
      <c r="CZ22" s="73"/>
      <c r="DG22" s="1021">
        <f t="shared" si="8"/>
        <v>6.7115081462209023</v>
      </c>
      <c r="DH22" s="653" t="str">
        <f t="shared" si="5"/>
        <v>Lighting BUS 10 Year EUL</v>
      </c>
      <c r="DI22" s="779">
        <f>(INDEX('[1]Avoided Cost Benefits'!$B$4:$B$865,MATCH(DH22,'[1]Avoided Cost Benefits'!$A$4:$A$865,0)))*F22</f>
        <v>107.38413033953444</v>
      </c>
      <c r="DJ22" s="1936">
        <f t="shared" ref="DJ22" si="16">IFERROR(K22/((1+DiscountRate)^(CurrentYear-DiscountYear)),0)</f>
        <v>16</v>
      </c>
    </row>
    <row r="23" spans="1:114" x14ac:dyDescent="0.25">
      <c r="B23" s="252">
        <f t="shared" si="7"/>
        <v>800901</v>
      </c>
      <c r="C23" s="668" t="s">
        <v>90</v>
      </c>
      <c r="D23" s="1862" t="str">
        <f t="shared" si="9"/>
        <v>BSS</v>
      </c>
      <c r="E23" s="1852" t="s">
        <v>91</v>
      </c>
      <c r="F23" s="55">
        <f t="shared" si="12"/>
        <v>254.96</v>
      </c>
      <c r="G23" s="452" t="s">
        <v>61</v>
      </c>
      <c r="H23" s="453">
        <f>VLOOKUP(G23,'CP FACTORS'!$A$26:$B$38,2,FALSE)</f>
        <v>1.899635E-4</v>
      </c>
      <c r="I23" s="497">
        <f t="shared" si="13"/>
        <v>4.9983E-2</v>
      </c>
      <c r="J23" s="19">
        <f t="shared" si="14"/>
        <v>15</v>
      </c>
      <c r="K23" s="680">
        <v>17</v>
      </c>
      <c r="L23" s="681" t="s">
        <v>62</v>
      </c>
      <c r="M23" s="455"/>
      <c r="V23" s="1375" t="s">
        <v>45</v>
      </c>
      <c r="W23" s="799"/>
      <c r="X23" s="800"/>
      <c r="Y23" s="799"/>
      <c r="Z23" s="800"/>
      <c r="AA23" s="800"/>
      <c r="AB23" s="52">
        <v>181.13</v>
      </c>
      <c r="AC23" s="966">
        <v>273.45999999999998</v>
      </c>
      <c r="AD23" s="964">
        <v>315.35000000000002</v>
      </c>
      <c r="AE23" s="56">
        <v>319.38</v>
      </c>
      <c r="AF23" s="258">
        <f t="shared" si="4"/>
        <v>254.96</v>
      </c>
      <c r="AG23" s="52"/>
      <c r="AI23" s="101" t="s">
        <v>49</v>
      </c>
      <c r="AJ23" s="801"/>
      <c r="AK23" s="801"/>
      <c r="AL23" s="801"/>
      <c r="AM23" s="801"/>
      <c r="AN23" s="801"/>
      <c r="AO23" s="684">
        <v>15</v>
      </c>
      <c r="AP23" s="234">
        <v>15</v>
      </c>
      <c r="AQ23" s="700">
        <v>15</v>
      </c>
      <c r="AR23" s="19">
        <v>15</v>
      </c>
      <c r="AS23" s="19">
        <v>15</v>
      </c>
      <c r="AU23" s="101" t="s">
        <v>50</v>
      </c>
      <c r="AV23" s="802"/>
      <c r="AW23" s="802"/>
      <c r="AX23" s="802"/>
      <c r="AY23" s="802"/>
      <c r="AZ23" s="802"/>
      <c r="BA23" s="669">
        <v>29.64</v>
      </c>
      <c r="BB23" s="669">
        <v>29.64</v>
      </c>
      <c r="BC23" s="557">
        <v>29.64</v>
      </c>
      <c r="BD23" s="680">
        <v>29.64</v>
      </c>
      <c r="BE23" s="680">
        <v>29.64</v>
      </c>
      <c r="DG23" s="1021">
        <f t="shared" si="8"/>
        <v>11.529349711777373</v>
      </c>
      <c r="DH23" s="653" t="str">
        <f t="shared" si="5"/>
        <v>Lighting BUS 15 Year EUL</v>
      </c>
      <c r="DI23" s="779">
        <f>(INDEX('Avoided Cost Benefits'!$B$4:$B$865,MATCH(DH23,'Avoided Cost Benefits'!$A$4:$A$865,0)))*F23</f>
        <v>195.99894510021534</v>
      </c>
      <c r="DJ23" s="1936">
        <f t="shared" si="6"/>
        <v>17</v>
      </c>
    </row>
    <row r="24" spans="1:114" x14ac:dyDescent="0.25">
      <c r="A24" s="2"/>
      <c r="B24" s="252">
        <f t="shared" si="7"/>
        <v>800950</v>
      </c>
      <c r="C24" s="668" t="s">
        <v>92</v>
      </c>
      <c r="D24" s="1862" t="s">
        <v>59</v>
      </c>
      <c r="E24" s="1852" t="s">
        <v>93</v>
      </c>
      <c r="F24" s="55">
        <f t="shared" si="12"/>
        <v>94.51</v>
      </c>
      <c r="G24" s="452" t="s">
        <v>61</v>
      </c>
      <c r="H24" s="453">
        <f>VLOOKUP(G24,'CP FACTORS'!$A$26:$B$38,2,FALSE)</f>
        <v>1.899635E-4</v>
      </c>
      <c r="I24" s="497">
        <f t="shared" si="13"/>
        <v>1.8527999999999999E-2</v>
      </c>
      <c r="J24" s="19">
        <f t="shared" si="14"/>
        <v>10</v>
      </c>
      <c r="K24" s="680">
        <v>18</v>
      </c>
      <c r="L24" s="681" t="s">
        <v>62</v>
      </c>
      <c r="M24" s="455"/>
      <c r="V24" s="1375" t="s">
        <v>45</v>
      </c>
      <c r="W24" s="906">
        <v>102.16788</v>
      </c>
      <c r="X24" s="53">
        <v>102.16788</v>
      </c>
      <c r="Y24" s="906">
        <v>102.16788</v>
      </c>
      <c r="Z24" s="53">
        <v>102.16788</v>
      </c>
      <c r="AA24" s="53">
        <v>102.16788</v>
      </c>
      <c r="AB24" s="906">
        <v>102.26</v>
      </c>
      <c r="AC24" s="966">
        <v>99.13</v>
      </c>
      <c r="AD24" s="964">
        <v>99.89</v>
      </c>
      <c r="AE24" s="56">
        <v>99.92</v>
      </c>
      <c r="AF24" s="258">
        <f t="shared" si="4"/>
        <v>94.51</v>
      </c>
      <c r="AG24" s="906"/>
      <c r="AI24" s="1375" t="s">
        <v>49</v>
      </c>
      <c r="AJ24" s="19">
        <v>11</v>
      </c>
      <c r="AK24" s="19">
        <v>11</v>
      </c>
      <c r="AL24" s="19">
        <v>11</v>
      </c>
      <c r="AM24" s="19">
        <v>11</v>
      </c>
      <c r="AN24" s="19">
        <v>11</v>
      </c>
      <c r="AO24" s="2047">
        <v>11</v>
      </c>
      <c r="AP24" s="234">
        <v>10</v>
      </c>
      <c r="AQ24" s="700">
        <v>10</v>
      </c>
      <c r="AR24" s="19">
        <v>10</v>
      </c>
      <c r="AS24" s="19">
        <v>10</v>
      </c>
      <c r="AU24" s="1375" t="s">
        <v>50</v>
      </c>
      <c r="AV24" s="685">
        <v>11.94</v>
      </c>
      <c r="AW24" s="685">
        <v>11.94</v>
      </c>
      <c r="AX24" s="685">
        <v>11.94</v>
      </c>
      <c r="AY24" s="685">
        <v>11.94</v>
      </c>
      <c r="AZ24" s="685">
        <v>11.94</v>
      </c>
      <c r="BA24" s="2048">
        <v>11.94</v>
      </c>
      <c r="BB24" s="2048">
        <v>11.94</v>
      </c>
      <c r="BC24" s="557">
        <v>11.94</v>
      </c>
      <c r="BD24" s="680">
        <v>11.94</v>
      </c>
      <c r="BE24" s="680">
        <v>11.94</v>
      </c>
      <c r="CG24" s="73"/>
      <c r="CH24" s="73"/>
      <c r="CI24" s="73"/>
      <c r="CJ24" s="73"/>
      <c r="CW24" s="73"/>
      <c r="CX24" s="73"/>
      <c r="CY24" s="73"/>
      <c r="CZ24" s="73"/>
      <c r="DG24" s="1021">
        <f t="shared" si="8"/>
        <v>3.0170502040493603</v>
      </c>
      <c r="DH24" s="653" t="str">
        <f t="shared" si="5"/>
        <v>Lighting BUS 10 Year EUL</v>
      </c>
      <c r="DI24" s="779">
        <f>(INDEX('[1]Avoided Cost Benefits'!$B$4:$B$865,MATCH(DH24,'[1]Avoided Cost Benefits'!$A$4:$A$865,0)))*F24</f>
        <v>54.306903672888488</v>
      </c>
      <c r="DJ24" s="1936">
        <f t="shared" ref="DJ24" si="17">IFERROR(K24/((1+DiscountRate)^(CurrentYear-DiscountYear)),0)</f>
        <v>18</v>
      </c>
    </row>
    <row r="25" spans="1:114" hidden="1" outlineLevel="1" x14ac:dyDescent="0.25">
      <c r="D25" s="74" t="s">
        <v>94</v>
      </c>
      <c r="E25" s="108" t="s">
        <v>95</v>
      </c>
      <c r="F25" s="7"/>
      <c r="G25" s="7"/>
      <c r="H25" s="460"/>
      <c r="I25" s="7"/>
      <c r="J25" s="7"/>
      <c r="K25" s="7"/>
      <c r="L25" s="7"/>
      <c r="V25" s="252"/>
      <c r="CG25" s="2"/>
      <c r="CK25"/>
      <c r="CW25" s="2"/>
      <c r="DA25"/>
      <c r="DG25" s="252"/>
      <c r="DH25" s="774"/>
      <c r="DJ25" s="252"/>
    </row>
    <row r="26" spans="1:114" hidden="1" outlineLevel="1" x14ac:dyDescent="0.25">
      <c r="E26" s="7"/>
      <c r="F26" s="7"/>
      <c r="G26" s="7"/>
      <c r="H26" s="460"/>
      <c r="I26" s="7"/>
      <c r="J26" s="7"/>
      <c r="K26" s="7"/>
      <c r="L26" s="7"/>
      <c r="V26" s="252"/>
      <c r="CG26" s="2"/>
      <c r="CK26"/>
      <c r="CW26" s="2"/>
      <c r="DA26"/>
      <c r="DG26" s="252"/>
      <c r="DH26" s="774"/>
      <c r="DJ26" s="252"/>
    </row>
    <row r="27" spans="1:114" hidden="1" outlineLevel="1" x14ac:dyDescent="0.25">
      <c r="D27" s="7" t="s">
        <v>96</v>
      </c>
      <c r="E27" s="7"/>
      <c r="F27" s="7"/>
      <c r="G27" s="7"/>
      <c r="H27" s="460"/>
      <c r="I27" s="7"/>
      <c r="J27" s="7"/>
      <c r="K27" s="7"/>
      <c r="L27" s="7"/>
      <c r="M27" s="7"/>
      <c r="N27" s="7"/>
      <c r="O27" s="7"/>
      <c r="P27" s="7"/>
      <c r="Q27" s="7"/>
      <c r="R27" s="7"/>
      <c r="V27" s="252"/>
      <c r="CG27" s="2"/>
      <c r="CK27"/>
      <c r="CW27" s="2"/>
      <c r="DA27"/>
      <c r="DG27" s="252"/>
      <c r="DH27" s="774"/>
      <c r="DJ27" s="252"/>
    </row>
    <row r="28" spans="1:114" hidden="1" outlineLevel="1" x14ac:dyDescent="0.25">
      <c r="D28" s="461"/>
      <c r="G28" s="252"/>
      <c r="H28" s="462"/>
      <c r="V28" s="252"/>
      <c r="CG28" s="2"/>
      <c r="CK28"/>
      <c r="CW28" s="2"/>
      <c r="DA28"/>
      <c r="DG28" s="252"/>
      <c r="DH28" s="774"/>
      <c r="DJ28" s="252"/>
    </row>
    <row r="29" spans="1:114" hidden="1" outlineLevel="1" x14ac:dyDescent="0.25">
      <c r="D29" s="461"/>
      <c r="G29" s="252"/>
      <c r="H29" s="462"/>
      <c r="V29" s="252"/>
      <c r="CG29" s="2"/>
      <c r="CK29"/>
      <c r="CW29" s="2"/>
      <c r="DA29"/>
      <c r="DG29" s="252"/>
      <c r="DH29" s="774"/>
      <c r="DJ29" s="252"/>
    </row>
    <row r="30" spans="1:114" hidden="1" outlineLevel="1" x14ac:dyDescent="0.25">
      <c r="D30" s="461"/>
      <c r="G30" s="252"/>
      <c r="H30" s="462"/>
      <c r="V30" s="252"/>
      <c r="CG30" s="2"/>
      <c r="CK30"/>
      <c r="CW30" s="2"/>
      <c r="DA30"/>
      <c r="DG30" s="252"/>
      <c r="DH30" s="774"/>
      <c r="DJ30" s="252"/>
    </row>
    <row r="31" spans="1:114" hidden="1" outlineLevel="1" x14ac:dyDescent="0.25">
      <c r="D31" s="461"/>
      <c r="G31" s="252"/>
      <c r="H31" s="462"/>
      <c r="V31" s="252"/>
      <c r="CG31" s="2"/>
      <c r="CK31"/>
      <c r="CW31" s="2"/>
      <c r="DA31"/>
      <c r="DG31" s="252"/>
      <c r="DH31" s="774"/>
      <c r="DJ31" s="252"/>
    </row>
    <row r="32" spans="1:114" hidden="1" outlineLevel="1" x14ac:dyDescent="0.25">
      <c r="D32" s="461"/>
      <c r="G32" s="252"/>
      <c r="H32" s="462"/>
      <c r="V32" s="252"/>
      <c r="CG32" s="2"/>
      <c r="CK32"/>
      <c r="CW32" s="2"/>
      <c r="DA32"/>
      <c r="DG32" s="252"/>
      <c r="DH32" s="774"/>
      <c r="DJ32" s="252"/>
    </row>
    <row r="33" spans="1:114" hidden="1" outlineLevel="1" x14ac:dyDescent="0.25">
      <c r="D33" s="461"/>
      <c r="G33" s="252"/>
      <c r="H33" s="462"/>
      <c r="V33" s="252"/>
      <c r="CG33" s="2"/>
      <c r="CK33"/>
      <c r="CW33" s="2"/>
      <c r="DA33"/>
      <c r="DG33" s="252"/>
      <c r="DH33" s="774"/>
      <c r="DJ33" s="252"/>
    </row>
    <row r="34" spans="1:114" hidden="1" outlineLevel="1" x14ac:dyDescent="0.25">
      <c r="D34" s="461"/>
      <c r="G34" s="252"/>
      <c r="H34" s="462"/>
      <c r="V34" s="252"/>
      <c r="CG34" s="2"/>
      <c r="CK34"/>
      <c r="CW34" s="2"/>
      <c r="DA34"/>
      <c r="DG34" s="252"/>
      <c r="DH34" s="774"/>
      <c r="DJ34" s="252"/>
    </row>
    <row r="35" spans="1:114" hidden="1" outlineLevel="1" x14ac:dyDescent="0.25">
      <c r="D35" s="461"/>
      <c r="G35" s="252"/>
      <c r="H35" s="462"/>
      <c r="DJ35" s="252"/>
    </row>
    <row r="36" spans="1:114" hidden="1" outlineLevel="1" x14ac:dyDescent="0.25">
      <c r="D36" s="461"/>
      <c r="G36" s="252"/>
      <c r="H36" s="462"/>
      <c r="CG36" s="2"/>
      <c r="CH36" s="2"/>
      <c r="CI36" s="2"/>
      <c r="CJ36" s="2"/>
      <c r="CT36"/>
      <c r="CU36"/>
      <c r="CV36"/>
      <c r="CX36" s="2"/>
      <c r="CY36" s="2"/>
      <c r="CZ36" s="2"/>
      <c r="DJ36" s="252"/>
    </row>
    <row r="37" spans="1:114" hidden="1" outlineLevel="1" x14ac:dyDescent="0.25">
      <c r="D37" s="461"/>
      <c r="G37" s="252"/>
      <c r="H37" s="462"/>
      <c r="O37" s="252" t="s">
        <v>97</v>
      </c>
      <c r="V37" s="648" t="s">
        <v>52</v>
      </c>
      <c r="W37" s="649">
        <f>$W$8</f>
        <v>43252</v>
      </c>
      <c r="X37" s="649">
        <f>$X$8</f>
        <v>43465</v>
      </c>
      <c r="Y37" s="649">
        <f>$Y$8</f>
        <v>43800</v>
      </c>
      <c r="Z37" s="649">
        <f>$Z$8</f>
        <v>43862</v>
      </c>
      <c r="AA37" s="649">
        <f>$AA$8</f>
        <v>44013</v>
      </c>
      <c r="AB37" s="649">
        <v>44166</v>
      </c>
      <c r="AC37" s="649">
        <f>$AC$8</f>
        <v>44531</v>
      </c>
      <c r="AD37" s="649">
        <f>$AD$8</f>
        <v>44774</v>
      </c>
      <c r="AE37" s="649">
        <f>$AE$8</f>
        <v>45142</v>
      </c>
      <c r="AF37" s="649">
        <f>$AF$8</f>
        <v>45672</v>
      </c>
      <c r="AG37" s="649" t="str">
        <f>$AG$8</f>
        <v>-</v>
      </c>
      <c r="AI37" s="648" t="s">
        <v>52</v>
      </c>
      <c r="AJ37" s="649">
        <f>$W$8</f>
        <v>43252</v>
      </c>
      <c r="AK37" s="649">
        <f>$X$8</f>
        <v>43465</v>
      </c>
      <c r="AL37" s="649">
        <f>$Y$8</f>
        <v>43800</v>
      </c>
      <c r="AM37" s="649">
        <f>$Z$8</f>
        <v>43862</v>
      </c>
      <c r="AN37" s="649">
        <f>$AA$8</f>
        <v>44013</v>
      </c>
      <c r="AO37" s="649">
        <v>44166</v>
      </c>
      <c r="AP37" s="649">
        <f>$AC$8</f>
        <v>44531</v>
      </c>
      <c r="AQ37" s="649">
        <f>$AD$8</f>
        <v>44774</v>
      </c>
      <c r="AR37" s="649">
        <f>$AE$8</f>
        <v>45142</v>
      </c>
      <c r="AS37" s="649">
        <f>$AF$8</f>
        <v>45672</v>
      </c>
      <c r="AU37" s="648" t="s">
        <v>52</v>
      </c>
      <c r="AV37" s="649">
        <f>$W$8</f>
        <v>43252</v>
      </c>
      <c r="AW37" s="649">
        <f>$X$8</f>
        <v>43465</v>
      </c>
      <c r="AX37" s="649">
        <f>$Y$8</f>
        <v>43800</v>
      </c>
      <c r="AY37" s="649">
        <f>$Z$8</f>
        <v>43862</v>
      </c>
      <c r="AZ37" s="649">
        <f>$AA$8</f>
        <v>44013</v>
      </c>
      <c r="BA37" s="649">
        <v>44166</v>
      </c>
      <c r="BB37" s="649">
        <f>$AC$8</f>
        <v>44531</v>
      </c>
      <c r="BC37" s="649">
        <f>$AD$8</f>
        <v>44774</v>
      </c>
      <c r="BD37" s="649">
        <f>$AE$8</f>
        <v>45142</v>
      </c>
      <c r="BE37" s="649">
        <f>$AF$8</f>
        <v>45672</v>
      </c>
      <c r="BG37" s="648" t="s">
        <v>52</v>
      </c>
      <c r="BH37" s="649">
        <f>$W$8</f>
        <v>43252</v>
      </c>
      <c r="BI37" s="649">
        <f>$X$8</f>
        <v>43465</v>
      </c>
      <c r="BJ37" s="649">
        <f>$Y$8</f>
        <v>43800</v>
      </c>
      <c r="BK37" s="649">
        <f>$Z$8</f>
        <v>43862</v>
      </c>
      <c r="BL37" s="649">
        <f>$AA$8</f>
        <v>44013</v>
      </c>
      <c r="BM37" s="649">
        <v>44166</v>
      </c>
      <c r="BN37" s="649">
        <f>$AC$8</f>
        <v>44531</v>
      </c>
      <c r="BO37" s="649">
        <f>$AD$8</f>
        <v>44774</v>
      </c>
      <c r="BP37" s="649">
        <f>$AE$8</f>
        <v>45142</v>
      </c>
      <c r="BQ37" s="649">
        <f>$AF$8</f>
        <v>45672</v>
      </c>
      <c r="BS37" s="165" t="s">
        <v>52</v>
      </c>
      <c r="BT37" s="166">
        <f>$W$8</f>
        <v>43252</v>
      </c>
      <c r="BU37" s="166">
        <f>$X$8</f>
        <v>43465</v>
      </c>
      <c r="BV37" s="166">
        <f>$Y$8</f>
        <v>43800</v>
      </c>
      <c r="BW37" s="166">
        <f>$Z$8</f>
        <v>43862</v>
      </c>
      <c r="BX37" s="166">
        <f>$AA$8</f>
        <v>44013</v>
      </c>
      <c r="BY37" s="166">
        <v>44166</v>
      </c>
      <c r="BZ37" s="166">
        <f>$AC$8</f>
        <v>44531</v>
      </c>
      <c r="CA37" s="166">
        <f>$AD$8</f>
        <v>44774</v>
      </c>
      <c r="CB37" s="166">
        <f>$AE$8</f>
        <v>45142</v>
      </c>
      <c r="CC37" s="166">
        <f>$AF$8</f>
        <v>45672</v>
      </c>
      <c r="CD37" s="166" t="str">
        <f>$AG$8</f>
        <v>-</v>
      </c>
      <c r="CF37" s="166" t="s">
        <v>52</v>
      </c>
      <c r="CG37" s="649">
        <f>$W$8</f>
        <v>43252</v>
      </c>
      <c r="CH37" s="649">
        <f>$X$8</f>
        <v>43465</v>
      </c>
      <c r="CI37" s="649">
        <f>$Y$8</f>
        <v>43800</v>
      </c>
      <c r="CJ37" s="649">
        <f>$Z$8</f>
        <v>43862</v>
      </c>
      <c r="CK37" s="649">
        <f>$AA$8</f>
        <v>44013</v>
      </c>
      <c r="CL37" s="649">
        <v>44166</v>
      </c>
      <c r="CM37" s="649">
        <f>$AC$8</f>
        <v>44531</v>
      </c>
      <c r="CN37" s="649">
        <f>$AD$8</f>
        <v>44774</v>
      </c>
      <c r="CO37" s="649">
        <f>$AE$8</f>
        <v>45142</v>
      </c>
      <c r="CP37" s="649">
        <f>$AF$8</f>
        <v>45672</v>
      </c>
      <c r="CQ37" s="649" t="str">
        <f>$AG$8</f>
        <v>-</v>
      </c>
      <c r="CS37" s="166" t="s">
        <v>52</v>
      </c>
      <c r="CT37" s="649">
        <f>$W$8</f>
        <v>43252</v>
      </c>
      <c r="CU37" s="649">
        <f>$X$8</f>
        <v>43465</v>
      </c>
      <c r="CV37" s="649">
        <f>$Y$8</f>
        <v>43800</v>
      </c>
      <c r="CW37" s="649">
        <f>$Z$8</f>
        <v>43862</v>
      </c>
      <c r="CX37" s="649">
        <f>$AA$8</f>
        <v>44013</v>
      </c>
      <c r="CY37" s="649">
        <v>44166</v>
      </c>
      <c r="CZ37" s="649">
        <f>$AC$8</f>
        <v>44531</v>
      </c>
      <c r="DA37" s="649">
        <f>$AD$8</f>
        <v>44774</v>
      </c>
      <c r="DB37" s="649">
        <f>$AE$8</f>
        <v>45142</v>
      </c>
      <c r="DC37" s="649">
        <f>$AF$8</f>
        <v>45672</v>
      </c>
      <c r="DD37" s="649" t="str">
        <f>$AG$8</f>
        <v>-</v>
      </c>
      <c r="DJ37" s="252"/>
    </row>
    <row r="38" spans="1:114" s="8" customFormat="1" ht="30" hidden="1" outlineLevel="1" x14ac:dyDescent="0.25">
      <c r="A38" s="252"/>
      <c r="B38" s="116"/>
      <c r="C38" s="64"/>
      <c r="D38" s="9" t="s">
        <v>42</v>
      </c>
      <c r="E38" s="1361" t="s">
        <v>98</v>
      </c>
      <c r="F38" s="1361" t="s">
        <v>99</v>
      </c>
      <c r="G38" s="1361" t="s">
        <v>100</v>
      </c>
      <c r="H38" s="10" t="s">
        <v>101</v>
      </c>
      <c r="I38" s="682" t="s">
        <v>102</v>
      </c>
      <c r="J38" s="682" t="s">
        <v>103</v>
      </c>
      <c r="K38" s="1361" t="s">
        <v>104</v>
      </c>
      <c r="L38" s="1361" t="s">
        <v>49</v>
      </c>
      <c r="M38" s="1361" t="s">
        <v>105</v>
      </c>
      <c r="N38" s="116"/>
      <c r="O38" s="896" t="s">
        <v>106</v>
      </c>
      <c r="P38" s="896" t="s">
        <v>107</v>
      </c>
      <c r="Q38" s="896" t="s">
        <v>108</v>
      </c>
      <c r="R38" s="896" t="s">
        <v>109</v>
      </c>
      <c r="S38" s="896" t="s">
        <v>110</v>
      </c>
      <c r="T38" s="116"/>
      <c r="U38" s="116"/>
      <c r="V38" s="817" t="s">
        <v>42</v>
      </c>
      <c r="W38" s="14" t="str">
        <f>$F$38</f>
        <v>Watts Base</v>
      </c>
      <c r="X38" s="14" t="str">
        <f t="shared" ref="X38:AG38" si="18">$F$38</f>
        <v>Watts Base</v>
      </c>
      <c r="Y38" s="14" t="str">
        <f t="shared" si="18"/>
        <v>Watts Base</v>
      </c>
      <c r="Z38" s="14" t="str">
        <f t="shared" si="18"/>
        <v>Watts Base</v>
      </c>
      <c r="AA38" s="14" t="str">
        <f t="shared" si="18"/>
        <v>Watts Base</v>
      </c>
      <c r="AB38" s="14" t="s">
        <v>99</v>
      </c>
      <c r="AC38" s="14" t="str">
        <f t="shared" si="18"/>
        <v>Watts Base</v>
      </c>
      <c r="AD38" s="14" t="str">
        <f t="shared" si="18"/>
        <v>Watts Base</v>
      </c>
      <c r="AE38" s="14" t="str">
        <f t="shared" si="18"/>
        <v>Watts Base</v>
      </c>
      <c r="AF38" s="14" t="str">
        <f t="shared" si="18"/>
        <v>Watts Base</v>
      </c>
      <c r="AG38" s="14" t="str">
        <f t="shared" si="18"/>
        <v>Watts Base</v>
      </c>
      <c r="AI38" s="817" t="s">
        <v>42</v>
      </c>
      <c r="AJ38" s="14" t="str">
        <f>$G$38</f>
        <v>Watts EE</v>
      </c>
      <c r="AK38" s="14" t="str">
        <f t="shared" ref="AK38:AS38" si="19">$G$38</f>
        <v>Watts EE</v>
      </c>
      <c r="AL38" s="14" t="str">
        <f t="shared" si="19"/>
        <v>Watts EE</v>
      </c>
      <c r="AM38" s="14" t="str">
        <f t="shared" si="19"/>
        <v>Watts EE</v>
      </c>
      <c r="AN38" s="14" t="str">
        <f t="shared" si="19"/>
        <v>Watts EE</v>
      </c>
      <c r="AO38" s="14" t="str">
        <f t="shared" si="19"/>
        <v>Watts EE</v>
      </c>
      <c r="AP38" s="14" t="str">
        <f t="shared" si="19"/>
        <v>Watts EE</v>
      </c>
      <c r="AQ38" s="14" t="str">
        <f t="shared" si="19"/>
        <v>Watts EE</v>
      </c>
      <c r="AR38" s="14" t="str">
        <f t="shared" si="19"/>
        <v>Watts EE</v>
      </c>
      <c r="AS38" s="14" t="str">
        <f t="shared" si="19"/>
        <v>Watts EE</v>
      </c>
      <c r="AU38" s="817" t="s">
        <v>42</v>
      </c>
      <c r="AV38" s="15" t="str">
        <f>$H$38</f>
        <v>HOU</v>
      </c>
      <c r="AW38" s="15" t="str">
        <f t="shared" ref="AW38:BE38" si="20">$H$38</f>
        <v>HOU</v>
      </c>
      <c r="AX38" s="15" t="str">
        <f t="shared" si="20"/>
        <v>HOU</v>
      </c>
      <c r="AY38" s="15" t="str">
        <f t="shared" si="20"/>
        <v>HOU</v>
      </c>
      <c r="AZ38" s="15" t="str">
        <f t="shared" si="20"/>
        <v>HOU</v>
      </c>
      <c r="BA38" s="15" t="s">
        <v>101</v>
      </c>
      <c r="BB38" s="15" t="str">
        <f t="shared" si="20"/>
        <v>HOU</v>
      </c>
      <c r="BC38" s="15" t="str">
        <f t="shared" si="20"/>
        <v>HOU</v>
      </c>
      <c r="BD38" s="15" t="str">
        <f t="shared" si="20"/>
        <v>HOU</v>
      </c>
      <c r="BE38" s="15" t="str">
        <f t="shared" si="20"/>
        <v>HOU</v>
      </c>
      <c r="BG38" s="817" t="s">
        <v>42</v>
      </c>
      <c r="BH38" s="15" t="str">
        <f>$I$38</f>
        <v>WHFe + -IFkWh</v>
      </c>
      <c r="BI38" s="15" t="str">
        <f t="shared" ref="BI38:BQ38" si="21">$I$38</f>
        <v>WHFe + -IFkWh</v>
      </c>
      <c r="BJ38" s="15" t="str">
        <f t="shared" si="21"/>
        <v>WHFe + -IFkWh</v>
      </c>
      <c r="BK38" s="15" t="str">
        <f t="shared" si="21"/>
        <v>WHFe + -IFkWh</v>
      </c>
      <c r="BL38" s="15" t="str">
        <f t="shared" si="21"/>
        <v>WHFe + -IFkWh</v>
      </c>
      <c r="BM38" s="15" t="s">
        <v>102</v>
      </c>
      <c r="BN38" s="15" t="str">
        <f t="shared" si="21"/>
        <v>WHFe + -IFkWh</v>
      </c>
      <c r="BO38" s="15" t="str">
        <f t="shared" si="21"/>
        <v>WHFe + -IFkWh</v>
      </c>
      <c r="BP38" s="15" t="str">
        <f t="shared" si="21"/>
        <v>WHFe + -IFkWh</v>
      </c>
      <c r="BQ38" s="15" t="str">
        <f t="shared" si="21"/>
        <v>WHFe + -IFkWh</v>
      </c>
      <c r="BS38" s="997" t="s">
        <v>42</v>
      </c>
      <c r="BT38" s="997" t="s">
        <v>42</v>
      </c>
      <c r="BU38" s="15" t="s">
        <v>103</v>
      </c>
      <c r="BV38" s="15" t="s">
        <v>103</v>
      </c>
      <c r="BW38" s="15" t="s">
        <v>103</v>
      </c>
      <c r="BX38" s="15" t="s">
        <v>103</v>
      </c>
      <c r="BY38" s="15" t="s">
        <v>103</v>
      </c>
      <c r="BZ38" s="15" t="s">
        <v>103</v>
      </c>
      <c r="CA38" s="15" t="s">
        <v>103</v>
      </c>
      <c r="CB38" s="15" t="s">
        <v>103</v>
      </c>
      <c r="CC38" s="15" t="s">
        <v>103</v>
      </c>
      <c r="CD38" s="15" t="s">
        <v>103</v>
      </c>
      <c r="CF38" s="997" t="s">
        <v>42</v>
      </c>
      <c r="CG38" s="15" t="str">
        <f t="shared" ref="CG38:CQ38" si="22">$K$38</f>
        <v>ISR</v>
      </c>
      <c r="CH38" s="15" t="str">
        <f t="shared" si="22"/>
        <v>ISR</v>
      </c>
      <c r="CI38" s="15" t="str">
        <f t="shared" si="22"/>
        <v>ISR</v>
      </c>
      <c r="CJ38" s="15" t="str">
        <f t="shared" si="22"/>
        <v>ISR</v>
      </c>
      <c r="CK38" s="15" t="str">
        <f t="shared" si="22"/>
        <v>ISR</v>
      </c>
      <c r="CL38" s="15" t="str">
        <f t="shared" si="22"/>
        <v>ISR</v>
      </c>
      <c r="CM38" s="15" t="str">
        <f t="shared" si="22"/>
        <v>ISR</v>
      </c>
      <c r="CN38" s="15" t="str">
        <f t="shared" si="22"/>
        <v>ISR</v>
      </c>
      <c r="CO38" s="15" t="str">
        <f t="shared" si="22"/>
        <v>ISR</v>
      </c>
      <c r="CP38" s="15" t="str">
        <f t="shared" si="22"/>
        <v>ISR</v>
      </c>
      <c r="CQ38" s="15" t="str">
        <f t="shared" si="22"/>
        <v>ISR</v>
      </c>
      <c r="CS38" s="997" t="s">
        <v>42</v>
      </c>
      <c r="CT38" s="15" t="str">
        <f t="shared" ref="CT38:DD38" si="23">$L$38</f>
        <v>EUL</v>
      </c>
      <c r="CU38" s="15" t="str">
        <f t="shared" si="23"/>
        <v>EUL</v>
      </c>
      <c r="CV38" s="15" t="str">
        <f t="shared" si="23"/>
        <v>EUL</v>
      </c>
      <c r="CW38" s="15" t="str">
        <f t="shared" si="23"/>
        <v>EUL</v>
      </c>
      <c r="CX38" s="15" t="str">
        <f t="shared" si="23"/>
        <v>EUL</v>
      </c>
      <c r="CY38" s="15" t="str">
        <f t="shared" si="23"/>
        <v>EUL</v>
      </c>
      <c r="CZ38" s="15" t="str">
        <f t="shared" si="23"/>
        <v>EUL</v>
      </c>
      <c r="DA38" s="15" t="str">
        <f t="shared" si="23"/>
        <v>EUL</v>
      </c>
      <c r="DB38" s="15" t="str">
        <f t="shared" si="23"/>
        <v>EUL</v>
      </c>
      <c r="DC38" s="15" t="str">
        <f t="shared" si="23"/>
        <v>EUL</v>
      </c>
      <c r="DD38" s="15" t="str">
        <f t="shared" si="23"/>
        <v>EUL</v>
      </c>
      <c r="DE38" s="2"/>
      <c r="DF38" s="2"/>
      <c r="DG38" s="774"/>
      <c r="DH38" s="252"/>
      <c r="DI38" s="252"/>
      <c r="DJ38" s="252"/>
    </row>
    <row r="39" spans="1:114" s="8" customFormat="1" hidden="1" outlineLevel="1" x14ac:dyDescent="0.25">
      <c r="A39" s="252"/>
      <c r="B39" s="116"/>
      <c r="C39" s="64"/>
      <c r="D39" s="399" t="str">
        <f t="shared" ref="D39:D47" si="24">C9</f>
        <v>800050_2024_12_</v>
      </c>
      <c r="E39" s="399" t="str">
        <f t="shared" ref="E39:E47" si="25">E9</f>
        <v>LED &lt;=11 Watt Lamp Replacing Interior Halogen A 28-52 Watt Lamp</v>
      </c>
      <c r="F39" s="1775">
        <v>20</v>
      </c>
      <c r="G39" s="1775">
        <v>9.9700000000000006</v>
      </c>
      <c r="H39" s="1776">
        <v>2090</v>
      </c>
      <c r="I39" s="1763">
        <v>1.056</v>
      </c>
      <c r="J39" s="1763">
        <v>1.032</v>
      </c>
      <c r="K39" s="1775">
        <v>1</v>
      </c>
      <c r="L39" s="711">
        <v>10</v>
      </c>
      <c r="M39" s="1763">
        <f t="shared" ref="M39:M54" si="26">$S$42</f>
        <v>0.93732108169668527</v>
      </c>
      <c r="N39" s="116"/>
      <c r="O39" s="798" t="s">
        <v>111</v>
      </c>
      <c r="P39" s="948">
        <v>1.0029999999999999</v>
      </c>
      <c r="Q39" s="948">
        <v>0.92300000000000004</v>
      </c>
      <c r="R39" s="948">
        <f>P39*Q39</f>
        <v>0.92576899999999995</v>
      </c>
      <c r="S39" s="1863">
        <v>0.84419243153511514</v>
      </c>
      <c r="T39" s="116"/>
      <c r="U39" s="464"/>
      <c r="V39" s="670" t="s">
        <v>112</v>
      </c>
      <c r="W39" s="16">
        <v>36</v>
      </c>
      <c r="X39" s="112">
        <v>45</v>
      </c>
      <c r="Y39" s="17">
        <v>45</v>
      </c>
      <c r="Z39" s="17">
        <v>45</v>
      </c>
      <c r="AA39" s="17">
        <v>45</v>
      </c>
      <c r="AB39" s="16">
        <v>60.524073707152766</v>
      </c>
      <c r="AC39" s="705">
        <v>55.17</v>
      </c>
      <c r="AD39" s="163">
        <v>47.219512195121951</v>
      </c>
      <c r="AE39" s="112">
        <v>20</v>
      </c>
      <c r="AF39" s="17">
        <v>20</v>
      </c>
      <c r="AG39" s="164"/>
      <c r="AH39" s="683"/>
      <c r="AI39" s="744" t="s">
        <v>112</v>
      </c>
      <c r="AJ39" s="16">
        <v>8</v>
      </c>
      <c r="AK39" s="112">
        <v>9.1999999999999993</v>
      </c>
      <c r="AL39" s="17">
        <v>9.1999999999999993</v>
      </c>
      <c r="AM39" s="16">
        <v>9.1999999999999993</v>
      </c>
      <c r="AN39" s="16">
        <v>9.1999999999999993</v>
      </c>
      <c r="AO39" s="16">
        <v>9.2734297602536166</v>
      </c>
      <c r="AP39" s="705">
        <v>9.6199999999999992</v>
      </c>
      <c r="AQ39" s="163">
        <v>9.967265725288831</v>
      </c>
      <c r="AR39" s="17">
        <v>9.9700000000000006</v>
      </c>
      <c r="AS39" s="17">
        <v>9.9700000000000006</v>
      </c>
      <c r="AT39" s="683"/>
      <c r="AU39" s="744" t="s">
        <v>112</v>
      </c>
      <c r="AV39" s="818">
        <v>2920</v>
      </c>
      <c r="AW39" s="819">
        <v>2386</v>
      </c>
      <c r="AX39" s="818">
        <v>2386</v>
      </c>
      <c r="AY39" s="818">
        <v>2386</v>
      </c>
      <c r="AZ39" s="818">
        <v>2386</v>
      </c>
      <c r="BA39" s="818">
        <v>3286.2179512581733</v>
      </c>
      <c r="BB39" s="818">
        <v>2698</v>
      </c>
      <c r="BC39" s="959">
        <v>2090.2888318356868</v>
      </c>
      <c r="BD39" s="1069">
        <v>2090</v>
      </c>
      <c r="BE39" s="1069">
        <v>2090</v>
      </c>
      <c r="BF39" s="683"/>
      <c r="BG39" s="744" t="s">
        <v>112</v>
      </c>
      <c r="BH39" s="16">
        <v>1.07</v>
      </c>
      <c r="BI39" s="112">
        <v>1.08</v>
      </c>
      <c r="BJ39" s="164">
        <v>1.08</v>
      </c>
      <c r="BK39" s="18">
        <v>1.08</v>
      </c>
      <c r="BL39" s="17">
        <f>I39</f>
        <v>1.056</v>
      </c>
      <c r="BM39" s="17">
        <v>1.071</v>
      </c>
      <c r="BN39" s="705">
        <v>1.071</v>
      </c>
      <c r="BO39" s="695">
        <v>1.056</v>
      </c>
      <c r="BP39" s="1068">
        <v>1.056</v>
      </c>
      <c r="BQ39" s="1068">
        <v>1.056</v>
      </c>
      <c r="BR39" s="683"/>
      <c r="BS39" s="996" t="s">
        <v>112</v>
      </c>
      <c r="BT39" s="996"/>
      <c r="BU39" s="801"/>
      <c r="BV39" s="801"/>
      <c r="BW39" s="801"/>
      <c r="BX39" s="801"/>
      <c r="BY39" s="801"/>
      <c r="BZ39" s="801"/>
      <c r="CA39" s="695">
        <v>1.032</v>
      </c>
      <c r="CB39" s="1068">
        <v>1.032</v>
      </c>
      <c r="CC39" s="1068">
        <v>1.032</v>
      </c>
      <c r="CD39" s="656"/>
      <c r="CF39" s="996" t="s">
        <v>112</v>
      </c>
      <c r="CG39" s="16">
        <v>1</v>
      </c>
      <c r="CH39" s="112">
        <v>0.96</v>
      </c>
      <c r="CI39" s="16">
        <v>0.96</v>
      </c>
      <c r="CJ39" s="16">
        <v>0.96</v>
      </c>
      <c r="CK39" s="16">
        <v>0.96</v>
      </c>
      <c r="CL39" s="16">
        <v>0.96</v>
      </c>
      <c r="CM39" s="705">
        <v>1</v>
      </c>
      <c r="CN39" s="694">
        <v>1</v>
      </c>
      <c r="CO39" s="17">
        <v>1</v>
      </c>
      <c r="CP39" s="17">
        <v>1</v>
      </c>
      <c r="CQ39" s="164"/>
      <c r="CR39" s="683"/>
      <c r="CS39" s="996" t="s">
        <v>112</v>
      </c>
      <c r="CT39" s="19">
        <v>17</v>
      </c>
      <c r="CU39" s="654">
        <v>21</v>
      </c>
      <c r="CV39" s="630">
        <v>21</v>
      </c>
      <c r="CW39" s="630">
        <v>21</v>
      </c>
      <c r="CX39" s="630">
        <v>21</v>
      </c>
      <c r="CY39" s="630">
        <v>17</v>
      </c>
      <c r="CZ39" s="736">
        <v>10</v>
      </c>
      <c r="DA39" s="961">
        <v>10</v>
      </c>
      <c r="DB39" s="19">
        <v>10</v>
      </c>
      <c r="DC39" s="19">
        <v>10</v>
      </c>
      <c r="DD39" s="164"/>
      <c r="DE39" s="2"/>
      <c r="DF39" s="2"/>
      <c r="DG39" s="774"/>
      <c r="DH39" s="252"/>
      <c r="DI39" s="252"/>
      <c r="DJ39" s="252"/>
    </row>
    <row r="40" spans="1:114" s="8" customFormat="1" hidden="1" outlineLevel="1" x14ac:dyDescent="0.25">
      <c r="A40" s="252"/>
      <c r="B40" s="116"/>
      <c r="C40" s="64"/>
      <c r="D40" s="399" t="str">
        <f t="shared" si="24"/>
        <v>800100_2024_12_</v>
      </c>
      <c r="E40" s="399" t="str">
        <f t="shared" si="25"/>
        <v>LED 7-20 Watt Lamp Replacing Interior Halogen 53-70 Watt Lamp</v>
      </c>
      <c r="F40" s="1775">
        <v>45</v>
      </c>
      <c r="G40" s="1775">
        <v>9.2186132511556238</v>
      </c>
      <c r="H40" s="1776">
        <v>2195.9533127889058</v>
      </c>
      <c r="I40" s="1763">
        <v>1.056</v>
      </c>
      <c r="J40" s="1763">
        <v>1.032</v>
      </c>
      <c r="K40" s="1775">
        <v>1</v>
      </c>
      <c r="L40" s="711">
        <v>10</v>
      </c>
      <c r="M40" s="1763">
        <f t="shared" si="26"/>
        <v>0.93732108169668527</v>
      </c>
      <c r="N40" s="116"/>
      <c r="O40" s="798" t="s">
        <v>113</v>
      </c>
      <c r="P40" s="948">
        <v>0.99199999999999999</v>
      </c>
      <c r="Q40" s="948">
        <v>1.0069999999999999</v>
      </c>
      <c r="R40" s="948">
        <v>0.99894399999999994</v>
      </c>
      <c r="S40" s="1863">
        <v>8.2430684093554515E-2</v>
      </c>
      <c r="T40" s="116"/>
      <c r="U40" s="464"/>
      <c r="V40" s="670" t="s">
        <v>114</v>
      </c>
      <c r="W40" s="16">
        <v>63</v>
      </c>
      <c r="X40" s="20">
        <v>63</v>
      </c>
      <c r="Y40" s="20">
        <v>63</v>
      </c>
      <c r="Z40" s="17">
        <v>63</v>
      </c>
      <c r="AA40" s="17">
        <v>63</v>
      </c>
      <c r="AB40" s="16">
        <v>65.553668950451794</v>
      </c>
      <c r="AC40" s="705">
        <v>65.27</v>
      </c>
      <c r="AD40" s="163">
        <v>64.832124352331604</v>
      </c>
      <c r="AE40" s="112">
        <v>45</v>
      </c>
      <c r="AF40" s="17">
        <v>45</v>
      </c>
      <c r="AG40" s="164"/>
      <c r="AH40" s="683"/>
      <c r="AI40" s="744" t="s">
        <v>114</v>
      </c>
      <c r="AJ40" s="16">
        <v>14</v>
      </c>
      <c r="AK40" s="17">
        <v>14</v>
      </c>
      <c r="AL40" s="17">
        <v>14</v>
      </c>
      <c r="AM40" s="16">
        <v>14</v>
      </c>
      <c r="AN40" s="16">
        <v>14</v>
      </c>
      <c r="AO40" s="16">
        <v>9.6557442160659317</v>
      </c>
      <c r="AP40" s="705">
        <v>9.6999999999999993</v>
      </c>
      <c r="AQ40" s="163">
        <v>9.8848680780060487</v>
      </c>
      <c r="AR40" s="112">
        <v>9.5451461988304089</v>
      </c>
      <c r="AS40" s="112">
        <v>9.2186132511556238</v>
      </c>
      <c r="AT40" s="683"/>
      <c r="AU40" s="744" t="s">
        <v>114</v>
      </c>
      <c r="AV40" s="818">
        <v>2920</v>
      </c>
      <c r="AW40" s="820">
        <v>2920</v>
      </c>
      <c r="AX40" s="818">
        <v>2920</v>
      </c>
      <c r="AY40" s="818">
        <v>2920</v>
      </c>
      <c r="AZ40" s="818">
        <v>2920</v>
      </c>
      <c r="BA40" s="818">
        <v>2205.5545129579982</v>
      </c>
      <c r="BB40" s="818">
        <v>2122</v>
      </c>
      <c r="BC40" s="959">
        <v>2289.824590676817</v>
      </c>
      <c r="BD40" s="967">
        <v>1699.6226900584795</v>
      </c>
      <c r="BE40" s="967">
        <v>2195.9533127889058</v>
      </c>
      <c r="BF40" s="683"/>
      <c r="BG40" s="744" t="s">
        <v>114</v>
      </c>
      <c r="BH40" s="16">
        <v>1.07</v>
      </c>
      <c r="BI40" s="16">
        <v>1.07</v>
      </c>
      <c r="BJ40" s="164">
        <v>1.07</v>
      </c>
      <c r="BK40" s="18">
        <v>1.07</v>
      </c>
      <c r="BL40" s="18">
        <v>1.07</v>
      </c>
      <c r="BM40" s="17">
        <v>1.071</v>
      </c>
      <c r="BN40" s="705">
        <v>1.071</v>
      </c>
      <c r="BO40" s="695">
        <v>1.056</v>
      </c>
      <c r="BP40" s="1068">
        <v>1.056</v>
      </c>
      <c r="BQ40" s="1068">
        <v>1.056</v>
      </c>
      <c r="BR40" s="683"/>
      <c r="BS40" s="996" t="s">
        <v>114</v>
      </c>
      <c r="BT40" s="996"/>
      <c r="BU40" s="801"/>
      <c r="BV40" s="801"/>
      <c r="BW40" s="801"/>
      <c r="BX40" s="801"/>
      <c r="BY40" s="801"/>
      <c r="BZ40" s="801"/>
      <c r="CA40" s="695">
        <v>1.032</v>
      </c>
      <c r="CB40" s="1068">
        <v>1.032</v>
      </c>
      <c r="CC40" s="1068">
        <v>1.032</v>
      </c>
      <c r="CD40" s="656"/>
      <c r="CF40" s="996" t="s">
        <v>114</v>
      </c>
      <c r="CG40" s="16">
        <v>1</v>
      </c>
      <c r="CH40" s="17">
        <v>1</v>
      </c>
      <c r="CI40" s="16">
        <v>1</v>
      </c>
      <c r="CJ40" s="16">
        <v>1</v>
      </c>
      <c r="CK40" s="16">
        <v>1</v>
      </c>
      <c r="CL40" s="16">
        <v>1</v>
      </c>
      <c r="CM40" s="705">
        <v>1</v>
      </c>
      <c r="CN40" s="694">
        <v>1</v>
      </c>
      <c r="CO40" s="17">
        <v>1</v>
      </c>
      <c r="CP40" s="17">
        <v>1</v>
      </c>
      <c r="CQ40" s="164"/>
      <c r="CR40" s="683"/>
      <c r="CS40" s="996" t="s">
        <v>114</v>
      </c>
      <c r="CT40" s="19">
        <v>17</v>
      </c>
      <c r="CU40" s="22">
        <v>17</v>
      </c>
      <c r="CV40" s="630">
        <v>17</v>
      </c>
      <c r="CW40" s="630">
        <v>17</v>
      </c>
      <c r="CX40" s="630">
        <v>17</v>
      </c>
      <c r="CY40" s="630">
        <v>17</v>
      </c>
      <c r="CZ40" s="736">
        <v>10</v>
      </c>
      <c r="DA40" s="961">
        <v>10</v>
      </c>
      <c r="DB40" s="19">
        <v>10</v>
      </c>
      <c r="DC40" s="19">
        <v>10</v>
      </c>
      <c r="DD40" s="164"/>
      <c r="DE40" s="2"/>
      <c r="DF40" s="2"/>
      <c r="DG40" s="774"/>
      <c r="DH40" s="252"/>
      <c r="DI40" s="252"/>
      <c r="DJ40" s="252"/>
    </row>
    <row r="41" spans="1:114" s="8" customFormat="1" hidden="1" outlineLevel="1" x14ac:dyDescent="0.25">
      <c r="A41" s="252"/>
      <c r="B41" s="116"/>
      <c r="C41" s="64"/>
      <c r="D41" s="399" t="str">
        <f t="shared" si="24"/>
        <v>800150_2024_12_</v>
      </c>
      <c r="E41" s="399" t="str">
        <f t="shared" si="25"/>
        <v>LED &lt;=14 Watt Lamp Replacing Interior Halogen BR/R 45-65 Watt Lamp</v>
      </c>
      <c r="F41" s="1775">
        <v>20</v>
      </c>
      <c r="G41" s="1775">
        <v>9.5890410958904102</v>
      </c>
      <c r="H41" s="1776">
        <v>2685.0199252801995</v>
      </c>
      <c r="I41" s="1763">
        <v>1.056</v>
      </c>
      <c r="J41" s="1763">
        <v>1.032</v>
      </c>
      <c r="K41" s="1775">
        <v>1</v>
      </c>
      <c r="L41" s="711">
        <v>10</v>
      </c>
      <c r="M41" s="1763">
        <f t="shared" si="26"/>
        <v>0.93732108169668527</v>
      </c>
      <c r="N41" s="116"/>
      <c r="O41" s="798" t="s">
        <v>80</v>
      </c>
      <c r="P41" s="948">
        <v>1.0009999999999999</v>
      </c>
      <c r="Q41" s="948">
        <v>1</v>
      </c>
      <c r="R41" s="948">
        <v>1.0009999999999999</v>
      </c>
      <c r="S41" s="1863">
        <v>7.3376884371330345E-2</v>
      </c>
      <c r="T41" s="116"/>
      <c r="U41" s="464"/>
      <c r="V41" s="670" t="s">
        <v>115</v>
      </c>
      <c r="W41" s="16">
        <v>55</v>
      </c>
      <c r="X41" s="112">
        <v>62</v>
      </c>
      <c r="Y41" s="17">
        <v>62</v>
      </c>
      <c r="Z41" s="17">
        <v>62</v>
      </c>
      <c r="AA41" s="17">
        <v>62</v>
      </c>
      <c r="AB41" s="16">
        <v>66.525768731052409</v>
      </c>
      <c r="AC41" s="705">
        <v>66.88</v>
      </c>
      <c r="AD41" s="163">
        <v>65.846788045345235</v>
      </c>
      <c r="AE41" s="112">
        <v>20</v>
      </c>
      <c r="AF41" s="17">
        <v>20</v>
      </c>
      <c r="AG41" s="164"/>
      <c r="AH41" s="683"/>
      <c r="AI41" s="744" t="s">
        <v>115</v>
      </c>
      <c r="AJ41" s="16">
        <v>12</v>
      </c>
      <c r="AK41" s="112">
        <v>9.3000000000000007</v>
      </c>
      <c r="AL41" s="17">
        <v>9.3000000000000007</v>
      </c>
      <c r="AM41" s="16">
        <v>9.3000000000000007</v>
      </c>
      <c r="AN41" s="16">
        <v>9.3000000000000007</v>
      </c>
      <c r="AO41" s="16">
        <v>10.191857947163275</v>
      </c>
      <c r="AP41" s="705">
        <v>10.48</v>
      </c>
      <c r="AQ41" s="163">
        <v>10.311877789220734</v>
      </c>
      <c r="AR41" s="112">
        <v>9.9006479481641474</v>
      </c>
      <c r="AS41" s="112">
        <v>9.5890410958904102</v>
      </c>
      <c r="AT41" s="683"/>
      <c r="AU41" s="744" t="s">
        <v>115</v>
      </c>
      <c r="AV41" s="818">
        <v>4380</v>
      </c>
      <c r="AW41" s="821">
        <v>3583</v>
      </c>
      <c r="AX41" s="818">
        <v>3583</v>
      </c>
      <c r="AY41" s="818">
        <v>3583</v>
      </c>
      <c r="AZ41" s="818">
        <v>3583</v>
      </c>
      <c r="BA41" s="818">
        <v>2711.439800779558</v>
      </c>
      <c r="BB41" s="818">
        <v>2553</v>
      </c>
      <c r="BC41" s="959">
        <v>4001.6227257123242</v>
      </c>
      <c r="BD41" s="967">
        <v>2678.7803147176796</v>
      </c>
      <c r="BE41" s="967">
        <v>2685.0199252801995</v>
      </c>
      <c r="BF41" s="683"/>
      <c r="BG41" s="744" t="s">
        <v>115</v>
      </c>
      <c r="BH41" s="16">
        <v>1.07</v>
      </c>
      <c r="BI41" s="112">
        <v>1.0900000000000001</v>
      </c>
      <c r="BJ41" s="164">
        <v>1.0900000000000001</v>
      </c>
      <c r="BK41" s="18">
        <v>1.0900000000000001</v>
      </c>
      <c r="BL41" s="18">
        <v>1.0900000000000001</v>
      </c>
      <c r="BM41" s="17">
        <v>1.071</v>
      </c>
      <c r="BN41" s="705">
        <v>1.071</v>
      </c>
      <c r="BO41" s="695">
        <v>1.056</v>
      </c>
      <c r="BP41" s="1068">
        <v>1.056</v>
      </c>
      <c r="BQ41" s="1068">
        <v>1.056</v>
      </c>
      <c r="BR41" s="683"/>
      <c r="BS41" s="996" t="s">
        <v>115</v>
      </c>
      <c r="BT41" s="996"/>
      <c r="BU41" s="801"/>
      <c r="BV41" s="801"/>
      <c r="BW41" s="801"/>
      <c r="BX41" s="801"/>
      <c r="BY41" s="801"/>
      <c r="BZ41" s="801"/>
      <c r="CA41" s="695">
        <v>1.032</v>
      </c>
      <c r="CB41" s="1068">
        <v>1.032</v>
      </c>
      <c r="CC41" s="1068">
        <v>1.032</v>
      </c>
      <c r="CD41" s="656"/>
      <c r="CF41" s="996" t="s">
        <v>115</v>
      </c>
      <c r="CG41" s="16">
        <v>1</v>
      </c>
      <c r="CH41" s="112">
        <v>0.99</v>
      </c>
      <c r="CI41" s="16">
        <v>0.99</v>
      </c>
      <c r="CJ41" s="16">
        <v>0.99</v>
      </c>
      <c r="CK41" s="16">
        <v>0.99</v>
      </c>
      <c r="CL41" s="16">
        <v>0.99</v>
      </c>
      <c r="CM41" s="705">
        <v>1</v>
      </c>
      <c r="CN41" s="694">
        <v>1</v>
      </c>
      <c r="CO41" s="17">
        <v>1</v>
      </c>
      <c r="CP41" s="17">
        <v>1</v>
      </c>
      <c r="CQ41" s="164"/>
      <c r="CR41" s="683"/>
      <c r="CS41" s="996" t="s">
        <v>115</v>
      </c>
      <c r="CT41" s="19">
        <v>11</v>
      </c>
      <c r="CU41" s="654">
        <v>14</v>
      </c>
      <c r="CV41" s="630">
        <v>14</v>
      </c>
      <c r="CW41" s="630">
        <v>14</v>
      </c>
      <c r="CX41" s="630">
        <v>14</v>
      </c>
      <c r="CY41" s="630">
        <v>11</v>
      </c>
      <c r="CZ41" s="736">
        <v>10</v>
      </c>
      <c r="DA41" s="961">
        <v>10</v>
      </c>
      <c r="DB41" s="19">
        <v>10</v>
      </c>
      <c r="DC41" s="19">
        <v>10</v>
      </c>
      <c r="DD41" s="164"/>
      <c r="DE41" s="2"/>
      <c r="DF41" s="2"/>
      <c r="DG41" s="774"/>
      <c r="DH41" s="252"/>
      <c r="DI41" s="252"/>
      <c r="DJ41" s="252"/>
    </row>
    <row r="42" spans="1:114" s="8" customFormat="1" hidden="1" outlineLevel="1" x14ac:dyDescent="0.25">
      <c r="A42" s="252"/>
      <c r="B42" s="116"/>
      <c r="C42" s="64"/>
      <c r="D42" s="399" t="str">
        <f t="shared" si="24"/>
        <v>800200_2024_12_</v>
      </c>
      <c r="E42" s="399" t="str">
        <f t="shared" si="25"/>
        <v>LED &lt;=13 Watt Lamp Replacing Interior Halogen MR-16 35-50 Watt Lamp</v>
      </c>
      <c r="F42" s="1775">
        <v>47.521739130434781</v>
      </c>
      <c r="G42" s="1775">
        <v>7.1699029126213594</v>
      </c>
      <c r="H42" s="1776">
        <v>4383.2038834951454</v>
      </c>
      <c r="I42" s="1763">
        <v>1.056</v>
      </c>
      <c r="J42" s="1763">
        <v>1.032</v>
      </c>
      <c r="K42" s="1775">
        <v>1</v>
      </c>
      <c r="L42" s="711">
        <v>10</v>
      </c>
      <c r="M42" s="1763">
        <f t="shared" si="26"/>
        <v>0.93732108169668527</v>
      </c>
      <c r="N42" s="116"/>
      <c r="O42" s="116"/>
      <c r="P42" s="116"/>
      <c r="Q42" s="798"/>
      <c r="R42" s="897" t="s">
        <v>116</v>
      </c>
      <c r="S42" s="1864">
        <f>SUMPRODUCT(R39:R41,S39:S41)</f>
        <v>0.93732108169668527</v>
      </c>
      <c r="T42" s="116"/>
      <c r="U42" s="465"/>
      <c r="V42" s="670" t="s">
        <v>117</v>
      </c>
      <c r="W42" s="16">
        <v>50</v>
      </c>
      <c r="X42" s="112">
        <v>45</v>
      </c>
      <c r="Y42" s="17">
        <v>45</v>
      </c>
      <c r="Z42" s="17">
        <v>45</v>
      </c>
      <c r="AA42" s="17">
        <v>45</v>
      </c>
      <c r="AB42" s="16">
        <v>46.867785939139559</v>
      </c>
      <c r="AC42" s="705">
        <v>41.62</v>
      </c>
      <c r="AD42" s="163">
        <v>49.004160166406656</v>
      </c>
      <c r="AE42" s="112">
        <v>47.521739130434781</v>
      </c>
      <c r="AF42" s="17">
        <v>47.521739130434781</v>
      </c>
      <c r="AG42" s="164"/>
      <c r="AH42" s="683"/>
      <c r="AI42" s="744" t="s">
        <v>117</v>
      </c>
      <c r="AJ42" s="16">
        <v>12</v>
      </c>
      <c r="AK42" s="112">
        <v>8.5</v>
      </c>
      <c r="AL42" s="17">
        <v>8.5</v>
      </c>
      <c r="AM42" s="16">
        <v>8.5</v>
      </c>
      <c r="AN42" s="16">
        <v>8.5</v>
      </c>
      <c r="AO42" s="16">
        <v>6.5456453305351525</v>
      </c>
      <c r="AP42" s="705">
        <v>6.35</v>
      </c>
      <c r="AQ42" s="163">
        <v>7.2600104004160171</v>
      </c>
      <c r="AR42" s="112">
        <v>5.8208695652173912</v>
      </c>
      <c r="AS42" s="112">
        <v>7.1699029126213594</v>
      </c>
      <c r="AT42" s="683"/>
      <c r="AU42" s="744" t="s">
        <v>117</v>
      </c>
      <c r="AV42" s="818">
        <v>4380</v>
      </c>
      <c r="AW42" s="819">
        <v>4120</v>
      </c>
      <c r="AX42" s="818">
        <v>4120</v>
      </c>
      <c r="AY42" s="818">
        <v>4120</v>
      </c>
      <c r="AZ42" s="818">
        <v>4120</v>
      </c>
      <c r="BA42" s="818">
        <v>3585.087093389297</v>
      </c>
      <c r="BB42" s="818">
        <v>2808</v>
      </c>
      <c r="BC42" s="959">
        <v>1824.646905876235</v>
      </c>
      <c r="BD42" s="967">
        <v>2766.4156521739133</v>
      </c>
      <c r="BE42" s="967">
        <v>4383.2038834951454</v>
      </c>
      <c r="BF42" s="683"/>
      <c r="BG42" s="744" t="s">
        <v>117</v>
      </c>
      <c r="BH42" s="16">
        <v>1.07</v>
      </c>
      <c r="BI42" s="112">
        <v>1.1000000000000001</v>
      </c>
      <c r="BJ42" s="164">
        <v>1.1000000000000001</v>
      </c>
      <c r="BK42" s="18">
        <v>1.1000000000000001</v>
      </c>
      <c r="BL42" s="18">
        <v>1.1000000000000001</v>
      </c>
      <c r="BM42" s="17">
        <v>1.071</v>
      </c>
      <c r="BN42" s="705">
        <v>1.071</v>
      </c>
      <c r="BO42" s="695">
        <v>1.056</v>
      </c>
      <c r="BP42" s="1068">
        <v>1.056</v>
      </c>
      <c r="BQ42" s="1068">
        <v>1.056</v>
      </c>
      <c r="BR42" s="683"/>
      <c r="BS42" s="996" t="s">
        <v>117</v>
      </c>
      <c r="BT42" s="996"/>
      <c r="BU42" s="801"/>
      <c r="BV42" s="801"/>
      <c r="BW42" s="801"/>
      <c r="BX42" s="801"/>
      <c r="BY42" s="801"/>
      <c r="BZ42" s="801"/>
      <c r="CA42" s="695">
        <v>1.032</v>
      </c>
      <c r="CB42" s="1068">
        <v>1.032</v>
      </c>
      <c r="CC42" s="1068">
        <v>1.032</v>
      </c>
      <c r="CD42" s="656"/>
      <c r="CF42" s="996" t="s">
        <v>117</v>
      </c>
      <c r="CG42" s="16">
        <v>1</v>
      </c>
      <c r="CH42" s="112">
        <v>0.995</v>
      </c>
      <c r="CI42" s="16">
        <v>0.995</v>
      </c>
      <c r="CJ42" s="16">
        <v>0.995</v>
      </c>
      <c r="CK42" s="16">
        <v>0.995</v>
      </c>
      <c r="CL42" s="16">
        <v>0.995</v>
      </c>
      <c r="CM42" s="705">
        <v>0.995</v>
      </c>
      <c r="CN42" s="694">
        <v>0.995</v>
      </c>
      <c r="CO42" s="17">
        <v>1</v>
      </c>
      <c r="CP42" s="17">
        <v>1</v>
      </c>
      <c r="CQ42" s="164"/>
      <c r="CR42" s="683"/>
      <c r="CS42" s="996" t="s">
        <v>117</v>
      </c>
      <c r="CT42" s="19">
        <v>11</v>
      </c>
      <c r="CU42" s="654">
        <v>12</v>
      </c>
      <c r="CV42" s="630">
        <v>12</v>
      </c>
      <c r="CW42" s="630">
        <v>12</v>
      </c>
      <c r="CX42" s="630">
        <v>12</v>
      </c>
      <c r="CY42" s="630">
        <v>11</v>
      </c>
      <c r="CZ42" s="736">
        <v>10</v>
      </c>
      <c r="DA42" s="961">
        <v>10</v>
      </c>
      <c r="DB42" s="19">
        <v>10</v>
      </c>
      <c r="DC42" s="19">
        <v>10</v>
      </c>
      <c r="DD42" s="164"/>
      <c r="DE42" s="2"/>
      <c r="DF42" s="2"/>
      <c r="DG42" s="774"/>
      <c r="DH42" s="252"/>
      <c r="DI42" s="252"/>
      <c r="DJ42" s="252"/>
    </row>
    <row r="43" spans="1:114" ht="15" hidden="1" customHeight="1" outlineLevel="1" x14ac:dyDescent="0.25">
      <c r="C43" s="64"/>
      <c r="D43" s="399" t="str">
        <f t="shared" si="24"/>
        <v>800250_2024_12_</v>
      </c>
      <c r="E43" s="399" t="str">
        <f t="shared" si="25"/>
        <v xml:space="preserve">LED &lt;=20 Watt Lamp Replacing Interior Halogen PAR 48-90 Watt Lamp  </v>
      </c>
      <c r="F43" s="1775">
        <v>25</v>
      </c>
      <c r="G43" s="1775">
        <v>12.976816074188562</v>
      </c>
      <c r="H43" s="1776">
        <v>3389.9768160741887</v>
      </c>
      <c r="I43" s="1763">
        <v>1.056</v>
      </c>
      <c r="J43" s="1763">
        <v>1.032</v>
      </c>
      <c r="K43" s="1775">
        <v>1</v>
      </c>
      <c r="L43" s="711">
        <v>10</v>
      </c>
      <c r="M43" s="1763">
        <f t="shared" si="26"/>
        <v>0.93732108169668527</v>
      </c>
      <c r="O43" s="2086" t="s">
        <v>118</v>
      </c>
      <c r="P43" s="2086"/>
      <c r="Q43" s="2086"/>
      <c r="R43" s="2086"/>
      <c r="S43" s="2086"/>
      <c r="U43" s="466"/>
      <c r="V43" s="670" t="s">
        <v>119</v>
      </c>
      <c r="W43" s="16">
        <v>70</v>
      </c>
      <c r="X43" s="112">
        <v>72</v>
      </c>
      <c r="Y43" s="17">
        <v>72</v>
      </c>
      <c r="Z43" s="17">
        <v>72</v>
      </c>
      <c r="AA43" s="17">
        <v>72</v>
      </c>
      <c r="AB43" s="16">
        <v>75.836453954910198</v>
      </c>
      <c r="AC43" s="705">
        <v>75.62</v>
      </c>
      <c r="AD43" s="163">
        <v>76.371454711802386</v>
      </c>
      <c r="AE43" s="112">
        <v>25</v>
      </c>
      <c r="AF43" s="17">
        <v>25</v>
      </c>
      <c r="AG43" s="164"/>
      <c r="AH43" s="21"/>
      <c r="AI43" s="744" t="s">
        <v>119</v>
      </c>
      <c r="AJ43" s="16">
        <v>15</v>
      </c>
      <c r="AK43" s="112">
        <v>12.8</v>
      </c>
      <c r="AL43" s="17">
        <v>12.8</v>
      </c>
      <c r="AM43" s="16">
        <v>12.8</v>
      </c>
      <c r="AN43" s="16">
        <v>12.8</v>
      </c>
      <c r="AO43" s="16">
        <v>12.790026748184944</v>
      </c>
      <c r="AP43" s="705">
        <v>12.35</v>
      </c>
      <c r="AQ43" s="163">
        <v>13.429835265405735</v>
      </c>
      <c r="AR43" s="112">
        <v>13.587975730832873</v>
      </c>
      <c r="AS43" s="112">
        <v>12.976816074188562</v>
      </c>
      <c r="AT43" s="21"/>
      <c r="AU43" s="744" t="s">
        <v>119</v>
      </c>
      <c r="AV43" s="818">
        <v>4380</v>
      </c>
      <c r="AW43" s="819">
        <v>4003</v>
      </c>
      <c r="AX43" s="818">
        <v>4003</v>
      </c>
      <c r="AY43" s="818">
        <v>4003</v>
      </c>
      <c r="AZ43" s="818">
        <v>4003</v>
      </c>
      <c r="BA43" s="818">
        <v>3397.4975162399696</v>
      </c>
      <c r="BB43" s="818">
        <v>2956</v>
      </c>
      <c r="BC43" s="959">
        <v>2851.9417327638803</v>
      </c>
      <c r="BD43" s="967">
        <v>3399.2360728075014</v>
      </c>
      <c r="BE43" s="967">
        <v>3389.9768160741887</v>
      </c>
      <c r="BF43" s="21"/>
      <c r="BG43" s="744" t="s">
        <v>119</v>
      </c>
      <c r="BH43" s="16">
        <v>1.07</v>
      </c>
      <c r="BI43" s="112">
        <v>1.0900000000000001</v>
      </c>
      <c r="BJ43" s="164">
        <v>1.0900000000000001</v>
      </c>
      <c r="BK43" s="18">
        <v>1.0900000000000001</v>
      </c>
      <c r="BL43" s="18">
        <v>1.0900000000000001</v>
      </c>
      <c r="BM43" s="17">
        <v>1.071</v>
      </c>
      <c r="BN43" s="705">
        <v>1.071</v>
      </c>
      <c r="BO43" s="695">
        <v>1.056</v>
      </c>
      <c r="BP43" s="1068">
        <v>1.056</v>
      </c>
      <c r="BQ43" s="1068">
        <v>1.056</v>
      </c>
      <c r="BR43" s="21"/>
      <c r="BS43" s="996" t="s">
        <v>119</v>
      </c>
      <c r="BT43" s="996"/>
      <c r="BU43" s="801"/>
      <c r="BV43" s="801"/>
      <c r="BW43" s="801"/>
      <c r="BX43" s="801"/>
      <c r="BY43" s="801"/>
      <c r="BZ43" s="801"/>
      <c r="CA43" s="695">
        <v>1.032</v>
      </c>
      <c r="CB43" s="1068">
        <v>1.032</v>
      </c>
      <c r="CC43" s="1068">
        <v>1.032</v>
      </c>
      <c r="CD43" s="656"/>
      <c r="CF43" s="996" t="s">
        <v>119</v>
      </c>
      <c r="CG43" s="16">
        <v>1</v>
      </c>
      <c r="CH43" s="112">
        <v>0.99</v>
      </c>
      <c r="CI43" s="16">
        <v>0.99</v>
      </c>
      <c r="CJ43" s="16">
        <v>0.99</v>
      </c>
      <c r="CK43" s="16">
        <v>0.99</v>
      </c>
      <c r="CL43" s="16">
        <v>0.99</v>
      </c>
      <c r="CM43" s="705">
        <v>1</v>
      </c>
      <c r="CN43" s="694">
        <v>1</v>
      </c>
      <c r="CO43" s="17">
        <v>1</v>
      </c>
      <c r="CP43" s="17">
        <v>1</v>
      </c>
      <c r="CQ43" s="164"/>
      <c r="CR43" s="21"/>
      <c r="CS43" s="996" t="s">
        <v>119</v>
      </c>
      <c r="CT43" s="19">
        <v>11</v>
      </c>
      <c r="CU43" s="654">
        <v>12</v>
      </c>
      <c r="CV43" s="630">
        <v>12</v>
      </c>
      <c r="CW43" s="630">
        <v>12</v>
      </c>
      <c r="CX43" s="630">
        <v>12</v>
      </c>
      <c r="CY43" s="630">
        <v>11</v>
      </c>
      <c r="CZ43" s="736">
        <v>10</v>
      </c>
      <c r="DA43" s="961">
        <v>10</v>
      </c>
      <c r="DB43" s="19">
        <v>10</v>
      </c>
      <c r="DC43" s="19">
        <v>10</v>
      </c>
      <c r="DD43" s="164"/>
      <c r="DJ43" s="252"/>
    </row>
    <row r="44" spans="1:114" hidden="1" outlineLevel="1" x14ac:dyDescent="0.25">
      <c r="C44" s="64"/>
      <c r="D44" s="399" t="str">
        <f t="shared" si="24"/>
        <v>800300_2024_12_</v>
      </c>
      <c r="E44" s="399" t="str">
        <f t="shared" si="25"/>
        <v>LED &lt;=80 Watt Lamp or Fixture Replacing Interior HID 100-175 Watt Lamp or Fixture</v>
      </c>
      <c r="F44" s="1775">
        <v>322.75925221799747</v>
      </c>
      <c r="G44" s="1775">
        <v>95.206478765463586</v>
      </c>
      <c r="H44" s="1776">
        <v>3181.6099987246525</v>
      </c>
      <c r="I44" s="1763">
        <v>1.056</v>
      </c>
      <c r="J44" s="1763">
        <v>1.032</v>
      </c>
      <c r="K44" s="1775">
        <v>1</v>
      </c>
      <c r="L44" s="711">
        <v>15</v>
      </c>
      <c r="M44" s="1763">
        <f t="shared" si="26"/>
        <v>0.93732108169668527</v>
      </c>
      <c r="O44" s="2086"/>
      <c r="P44" s="2086"/>
      <c r="Q44" s="2086"/>
      <c r="R44" s="2086"/>
      <c r="S44" s="2086"/>
      <c r="U44" s="466"/>
      <c r="V44" s="670" t="s">
        <v>120</v>
      </c>
      <c r="W44" s="16">
        <v>175</v>
      </c>
      <c r="X44" s="112">
        <v>132</v>
      </c>
      <c r="Y44" s="17">
        <v>132</v>
      </c>
      <c r="Z44" s="17">
        <v>132</v>
      </c>
      <c r="AA44" s="17">
        <v>132</v>
      </c>
      <c r="AB44" s="16">
        <v>459.93313010766639</v>
      </c>
      <c r="AC44" s="705">
        <v>114.81</v>
      </c>
      <c r="AD44" s="163">
        <v>414.83622207804245</v>
      </c>
      <c r="AE44" s="17">
        <v>414.84</v>
      </c>
      <c r="AF44" s="112">
        <v>322.75925221799747</v>
      </c>
      <c r="AG44" s="164"/>
      <c r="AH44" s="21"/>
      <c r="AI44" s="744" t="s">
        <v>120</v>
      </c>
      <c r="AJ44" s="16">
        <v>52</v>
      </c>
      <c r="AK44" s="112">
        <v>48</v>
      </c>
      <c r="AL44" s="17">
        <v>48</v>
      </c>
      <c r="AM44" s="16">
        <v>48</v>
      </c>
      <c r="AN44" s="16">
        <v>48</v>
      </c>
      <c r="AO44" s="16">
        <v>141.88500454014789</v>
      </c>
      <c r="AP44" s="705">
        <v>20.54</v>
      </c>
      <c r="AQ44" s="163">
        <v>123.0018049544157</v>
      </c>
      <c r="AR44" s="17">
        <v>123</v>
      </c>
      <c r="AS44" s="112">
        <v>95.206478765463586</v>
      </c>
      <c r="AT44" s="21"/>
      <c r="AU44" s="744" t="s">
        <v>120</v>
      </c>
      <c r="AV44" s="818">
        <v>4380</v>
      </c>
      <c r="AW44" s="819">
        <v>4399</v>
      </c>
      <c r="AX44" s="818">
        <v>4399</v>
      </c>
      <c r="AY44" s="818">
        <v>4399</v>
      </c>
      <c r="AZ44" s="818">
        <v>4399</v>
      </c>
      <c r="BA44" s="818">
        <v>3517.5659618627578</v>
      </c>
      <c r="BB44" s="818">
        <v>6900</v>
      </c>
      <c r="BC44" s="959">
        <v>3697.4137581729442</v>
      </c>
      <c r="BD44" s="1069">
        <v>3697</v>
      </c>
      <c r="BE44" s="967">
        <v>3181.6099987246525</v>
      </c>
      <c r="BF44" s="21"/>
      <c r="BG44" s="744" t="s">
        <v>120</v>
      </c>
      <c r="BH44" s="16">
        <v>1.07</v>
      </c>
      <c r="BI44" s="112">
        <v>1</v>
      </c>
      <c r="BJ44" s="164">
        <v>1</v>
      </c>
      <c r="BK44" s="18">
        <v>1</v>
      </c>
      <c r="BL44" s="18">
        <v>1</v>
      </c>
      <c r="BM44" s="17">
        <v>1.071</v>
      </c>
      <c r="BN44" s="705">
        <v>1.071</v>
      </c>
      <c r="BO44" s="695">
        <v>1.056</v>
      </c>
      <c r="BP44" s="1068">
        <v>1.056</v>
      </c>
      <c r="BQ44" s="1068">
        <v>1.056</v>
      </c>
      <c r="BR44" s="21"/>
      <c r="BS44" s="996" t="s">
        <v>120</v>
      </c>
      <c r="BT44" s="996"/>
      <c r="BU44" s="801"/>
      <c r="BV44" s="801"/>
      <c r="BW44" s="801"/>
      <c r="BX44" s="801"/>
      <c r="BY44" s="801"/>
      <c r="BZ44" s="801"/>
      <c r="CA44" s="695">
        <v>1.032</v>
      </c>
      <c r="CB44" s="1068">
        <v>1.032</v>
      </c>
      <c r="CC44" s="1068">
        <v>1.032</v>
      </c>
      <c r="CD44" s="656"/>
      <c r="CF44" s="996" t="s">
        <v>120</v>
      </c>
      <c r="CG44" s="16">
        <v>1</v>
      </c>
      <c r="CH44" s="17">
        <v>1</v>
      </c>
      <c r="CI44" s="16">
        <v>1</v>
      </c>
      <c r="CJ44" s="16">
        <v>1</v>
      </c>
      <c r="CK44" s="16">
        <v>1</v>
      </c>
      <c r="CL44" s="16">
        <v>1</v>
      </c>
      <c r="CM44" s="705">
        <v>1</v>
      </c>
      <c r="CN44" s="694">
        <v>1</v>
      </c>
      <c r="CO44" s="17">
        <v>1</v>
      </c>
      <c r="CP44" s="17">
        <v>1</v>
      </c>
      <c r="CQ44" s="164"/>
      <c r="CR44" s="21"/>
      <c r="CS44" s="996" t="s">
        <v>120</v>
      </c>
      <c r="CT44" s="19">
        <v>11</v>
      </c>
      <c r="CU44" s="22">
        <v>11</v>
      </c>
      <c r="CV44" s="630">
        <v>11</v>
      </c>
      <c r="CW44" s="630">
        <v>11</v>
      </c>
      <c r="CX44" s="630">
        <v>11</v>
      </c>
      <c r="CY44" s="630">
        <v>11</v>
      </c>
      <c r="CZ44" s="736">
        <v>15</v>
      </c>
      <c r="DA44" s="961">
        <v>15</v>
      </c>
      <c r="DB44" s="19">
        <v>15</v>
      </c>
      <c r="DC44" s="19">
        <v>15</v>
      </c>
      <c r="DD44" s="164"/>
      <c r="DJ44" s="252"/>
    </row>
    <row r="45" spans="1:114" hidden="1" outlineLevel="1" x14ac:dyDescent="0.25">
      <c r="C45" s="64"/>
      <c r="D45" s="399" t="str">
        <f t="shared" si="24"/>
        <v>800350_2024_12_</v>
      </c>
      <c r="E45" s="399" t="str">
        <f t="shared" si="25"/>
        <v>LED 62 - 130 Watt Lamp or Fixture Replacing Interior HID 176-300 Watt Lamp or Fixture</v>
      </c>
      <c r="F45" s="1775">
        <v>281.02</v>
      </c>
      <c r="G45" s="1775">
        <v>111.93</v>
      </c>
      <c r="H45" s="1776">
        <v>4769</v>
      </c>
      <c r="I45" s="1763">
        <v>1.056</v>
      </c>
      <c r="J45" s="1763">
        <v>1.032</v>
      </c>
      <c r="K45" s="1775">
        <v>1</v>
      </c>
      <c r="L45" s="711">
        <v>15</v>
      </c>
      <c r="M45" s="1763">
        <f t="shared" si="26"/>
        <v>0.93732108169668527</v>
      </c>
      <c r="O45" s="2086"/>
      <c r="P45" s="2086"/>
      <c r="Q45" s="2086"/>
      <c r="R45" s="2086"/>
      <c r="S45" s="2086"/>
      <c r="U45" s="466"/>
      <c r="V45" s="670" t="s">
        <v>121</v>
      </c>
      <c r="W45" s="16">
        <v>250</v>
      </c>
      <c r="X45" s="112">
        <v>262</v>
      </c>
      <c r="Y45" s="17">
        <v>262</v>
      </c>
      <c r="Z45" s="17">
        <v>262</v>
      </c>
      <c r="AA45" s="17">
        <v>262</v>
      </c>
      <c r="AB45" s="16">
        <v>262</v>
      </c>
      <c r="AC45" s="705">
        <v>281.02</v>
      </c>
      <c r="AD45" s="20">
        <v>281.02314814814815</v>
      </c>
      <c r="AE45" s="17">
        <v>281.02</v>
      </c>
      <c r="AF45" s="17">
        <v>281.02</v>
      </c>
      <c r="AG45" s="164"/>
      <c r="AH45" s="21"/>
      <c r="AI45" s="744" t="s">
        <v>121</v>
      </c>
      <c r="AJ45" s="16">
        <v>100</v>
      </c>
      <c r="AK45" s="112">
        <v>92</v>
      </c>
      <c r="AL45" s="17">
        <v>92</v>
      </c>
      <c r="AM45" s="16">
        <v>92</v>
      </c>
      <c r="AN45" s="16">
        <v>92</v>
      </c>
      <c r="AO45" s="16">
        <v>92</v>
      </c>
      <c r="AP45" s="705">
        <v>111.93</v>
      </c>
      <c r="AQ45" s="20">
        <v>111.92592592592592</v>
      </c>
      <c r="AR45" s="17">
        <v>111.93</v>
      </c>
      <c r="AS45" s="17">
        <v>111.93</v>
      </c>
      <c r="AT45" s="21"/>
      <c r="AU45" s="744" t="s">
        <v>121</v>
      </c>
      <c r="AV45" s="818">
        <v>4380</v>
      </c>
      <c r="AW45" s="819">
        <v>4954.4778036070838</v>
      </c>
      <c r="AX45" s="818">
        <v>4954.4778036070838</v>
      </c>
      <c r="AY45" s="818">
        <v>4954.4778036070838</v>
      </c>
      <c r="AZ45" s="818">
        <v>4954.4778036070838</v>
      </c>
      <c r="BA45" s="818">
        <v>4954.4778036070838</v>
      </c>
      <c r="BB45" s="818">
        <v>4769</v>
      </c>
      <c r="BC45" s="960">
        <v>4768.7638888888887</v>
      </c>
      <c r="BD45" s="1069">
        <v>4769</v>
      </c>
      <c r="BE45" s="1069">
        <v>4769</v>
      </c>
      <c r="BF45" s="21"/>
      <c r="BG45" s="744" t="s">
        <v>121</v>
      </c>
      <c r="BH45" s="16">
        <v>1.07</v>
      </c>
      <c r="BI45" s="112">
        <v>1.05</v>
      </c>
      <c r="BJ45" s="164">
        <v>1.05</v>
      </c>
      <c r="BK45" s="18">
        <v>1.05</v>
      </c>
      <c r="BL45" s="18">
        <v>1.05</v>
      </c>
      <c r="BM45" s="17">
        <v>1.071</v>
      </c>
      <c r="BN45" s="705">
        <v>1.071</v>
      </c>
      <c r="BO45" s="695">
        <v>1.056</v>
      </c>
      <c r="BP45" s="1068">
        <v>1.056</v>
      </c>
      <c r="BQ45" s="1068">
        <v>1.056</v>
      </c>
      <c r="BR45" s="21"/>
      <c r="BS45" s="996" t="s">
        <v>121</v>
      </c>
      <c r="BT45" s="996"/>
      <c r="BU45" s="801"/>
      <c r="BV45" s="801"/>
      <c r="BW45" s="801"/>
      <c r="BX45" s="801"/>
      <c r="BY45" s="801"/>
      <c r="BZ45" s="801"/>
      <c r="CA45" s="695">
        <v>1.032</v>
      </c>
      <c r="CB45" s="1068">
        <v>1.032</v>
      </c>
      <c r="CC45" s="1068">
        <v>1.032</v>
      </c>
      <c r="CD45" s="656"/>
      <c r="CF45" s="996" t="s">
        <v>121</v>
      </c>
      <c r="CG45" s="16">
        <v>1</v>
      </c>
      <c r="CH45" s="17">
        <v>1</v>
      </c>
      <c r="CI45" s="16">
        <v>1</v>
      </c>
      <c r="CJ45" s="16">
        <v>1</v>
      </c>
      <c r="CK45" s="16">
        <v>1</v>
      </c>
      <c r="CL45" s="16">
        <v>1</v>
      </c>
      <c r="CM45" s="705">
        <v>1</v>
      </c>
      <c r="CN45" s="694">
        <v>1</v>
      </c>
      <c r="CO45" s="17">
        <v>1</v>
      </c>
      <c r="CP45" s="17">
        <v>1</v>
      </c>
      <c r="CQ45" s="164"/>
      <c r="CR45" s="21"/>
      <c r="CS45" s="996" t="s">
        <v>121</v>
      </c>
      <c r="CT45" s="19">
        <v>11</v>
      </c>
      <c r="CU45" s="654">
        <v>10</v>
      </c>
      <c r="CV45" s="630">
        <v>10</v>
      </c>
      <c r="CW45" s="630">
        <v>10</v>
      </c>
      <c r="CX45" s="630">
        <v>10</v>
      </c>
      <c r="CY45" s="630">
        <v>11</v>
      </c>
      <c r="CZ45" s="736">
        <v>15</v>
      </c>
      <c r="DA45" s="961">
        <v>15</v>
      </c>
      <c r="DB45" s="19">
        <v>15</v>
      </c>
      <c r="DC45" s="19">
        <v>15</v>
      </c>
      <c r="DD45" s="164"/>
      <c r="DJ45" s="252"/>
    </row>
    <row r="46" spans="1:114" hidden="1" outlineLevel="1" x14ac:dyDescent="0.25">
      <c r="C46" s="64"/>
      <c r="D46" s="399" t="str">
        <f t="shared" si="24"/>
        <v>800400_2024_12_</v>
      </c>
      <c r="E46" s="399" t="str">
        <f t="shared" si="25"/>
        <v>LED 85 - 225 Watt Lamp or Fixture Replacing Interior HID 301-500 Watt Lamp or Fixture</v>
      </c>
      <c r="F46" s="1775">
        <v>454.6</v>
      </c>
      <c r="G46" s="1775">
        <v>147.38</v>
      </c>
      <c r="H46" s="1776">
        <v>3235</v>
      </c>
      <c r="I46" s="1763">
        <v>1.056</v>
      </c>
      <c r="J46" s="1763">
        <v>1.032</v>
      </c>
      <c r="K46" s="1775">
        <v>1</v>
      </c>
      <c r="L46" s="711">
        <v>15</v>
      </c>
      <c r="M46" s="1763">
        <f t="shared" si="26"/>
        <v>0.93732108169668527</v>
      </c>
      <c r="O46" s="2086"/>
      <c r="P46" s="2086"/>
      <c r="Q46" s="2086"/>
      <c r="R46" s="2086"/>
      <c r="S46" s="2086"/>
      <c r="U46" s="466"/>
      <c r="V46" s="670" t="s">
        <v>122</v>
      </c>
      <c r="W46" s="16">
        <v>400</v>
      </c>
      <c r="X46" s="112">
        <v>444</v>
      </c>
      <c r="Y46" s="17">
        <v>444</v>
      </c>
      <c r="Z46" s="17">
        <v>444</v>
      </c>
      <c r="AA46" s="17">
        <v>444</v>
      </c>
      <c r="AB46" s="16">
        <v>444</v>
      </c>
      <c r="AC46" s="705">
        <v>454.6</v>
      </c>
      <c r="AD46" s="20">
        <v>454.59849024355503</v>
      </c>
      <c r="AE46" s="17">
        <v>454.6</v>
      </c>
      <c r="AF46" s="17">
        <v>454.6</v>
      </c>
      <c r="AG46" s="164"/>
      <c r="AH46" s="21"/>
      <c r="AI46" s="744" t="s">
        <v>122</v>
      </c>
      <c r="AJ46" s="16">
        <v>142</v>
      </c>
      <c r="AK46" s="112">
        <v>136</v>
      </c>
      <c r="AL46" s="17">
        <v>136</v>
      </c>
      <c r="AM46" s="16">
        <v>136</v>
      </c>
      <c r="AN46" s="16">
        <v>136</v>
      </c>
      <c r="AO46" s="16">
        <v>136</v>
      </c>
      <c r="AP46" s="705">
        <v>147.38</v>
      </c>
      <c r="AQ46" s="20">
        <v>147.38142714713004</v>
      </c>
      <c r="AR46" s="17">
        <v>147.38</v>
      </c>
      <c r="AS46" s="17">
        <v>147.38</v>
      </c>
      <c r="AT46" s="21"/>
      <c r="AU46" s="744" t="s">
        <v>122</v>
      </c>
      <c r="AV46" s="818">
        <v>4380</v>
      </c>
      <c r="AW46" s="819">
        <v>4425.1429410031269</v>
      </c>
      <c r="AX46" s="818">
        <v>4425.1429410031269</v>
      </c>
      <c r="AY46" s="818">
        <v>4425.1429410031269</v>
      </c>
      <c r="AZ46" s="818">
        <v>4425.1429410031269</v>
      </c>
      <c r="BA46" s="818">
        <v>4425.1429410031269</v>
      </c>
      <c r="BB46" s="818">
        <v>3235</v>
      </c>
      <c r="BC46" s="960">
        <v>3234.7262498219625</v>
      </c>
      <c r="BD46" s="1069">
        <v>3235</v>
      </c>
      <c r="BE46" s="1069">
        <v>3235</v>
      </c>
      <c r="BF46" s="21"/>
      <c r="BG46" s="744" t="s">
        <v>122</v>
      </c>
      <c r="BH46" s="16">
        <v>1.07</v>
      </c>
      <c r="BI46" s="112">
        <v>1.08</v>
      </c>
      <c r="BJ46" s="164">
        <v>1.08</v>
      </c>
      <c r="BK46" s="18">
        <v>1.08</v>
      </c>
      <c r="BL46" s="18">
        <v>1.08</v>
      </c>
      <c r="BM46" s="17">
        <v>1.071</v>
      </c>
      <c r="BN46" s="705">
        <v>1.071</v>
      </c>
      <c r="BO46" s="695">
        <v>1.056</v>
      </c>
      <c r="BP46" s="1068">
        <v>1.056</v>
      </c>
      <c r="BQ46" s="1068">
        <v>1.056</v>
      </c>
      <c r="BR46" s="21"/>
      <c r="BS46" s="996" t="s">
        <v>122</v>
      </c>
      <c r="BT46" s="996"/>
      <c r="BU46" s="801"/>
      <c r="BV46" s="801"/>
      <c r="BW46" s="801"/>
      <c r="BX46" s="801"/>
      <c r="BY46" s="801"/>
      <c r="BZ46" s="801"/>
      <c r="CA46" s="695">
        <v>1.032</v>
      </c>
      <c r="CB46" s="1068">
        <v>1.032</v>
      </c>
      <c r="CC46" s="1068">
        <v>1.032</v>
      </c>
      <c r="CD46" s="656"/>
      <c r="CF46" s="996" t="s">
        <v>122</v>
      </c>
      <c r="CG46" s="16">
        <v>1</v>
      </c>
      <c r="CH46" s="17">
        <v>1</v>
      </c>
      <c r="CI46" s="16">
        <v>1</v>
      </c>
      <c r="CJ46" s="16">
        <v>1</v>
      </c>
      <c r="CK46" s="16">
        <v>1</v>
      </c>
      <c r="CL46" s="16">
        <v>1</v>
      </c>
      <c r="CM46" s="705">
        <v>1</v>
      </c>
      <c r="CN46" s="694">
        <v>1</v>
      </c>
      <c r="CO46" s="17">
        <v>1</v>
      </c>
      <c r="CP46" s="17">
        <v>1</v>
      </c>
      <c r="CQ46" s="164"/>
      <c r="CR46" s="21"/>
      <c r="CS46" s="996" t="s">
        <v>122</v>
      </c>
      <c r="CT46" s="19">
        <v>11</v>
      </c>
      <c r="CU46" s="22">
        <v>11</v>
      </c>
      <c r="CV46" s="630">
        <v>11</v>
      </c>
      <c r="CW46" s="630">
        <v>11</v>
      </c>
      <c r="CX46" s="630">
        <v>11</v>
      </c>
      <c r="CY46" s="630">
        <v>11</v>
      </c>
      <c r="CZ46" s="736">
        <v>15</v>
      </c>
      <c r="DA46" s="961">
        <v>15</v>
      </c>
      <c r="DB46" s="19">
        <v>15</v>
      </c>
      <c r="DC46" s="19">
        <v>15</v>
      </c>
      <c r="DD46" s="164"/>
      <c r="DJ46" s="252"/>
    </row>
    <row r="47" spans="1:114" hidden="1" outlineLevel="1" x14ac:dyDescent="0.25">
      <c r="C47" s="64"/>
      <c r="D47" s="399" t="str">
        <f t="shared" si="24"/>
        <v>800750_2024_12_</v>
      </c>
      <c r="E47" s="399" t="str">
        <f t="shared" si="25"/>
        <v>LED or Electroluminescent Replacing Interior Incandescent/CFL Exit Sign</v>
      </c>
      <c r="F47" s="1775">
        <v>30.904993909866018</v>
      </c>
      <c r="G47" s="1775">
        <v>2.873838630806846</v>
      </c>
      <c r="H47" s="1776">
        <v>8758.4621026894874</v>
      </c>
      <c r="I47" s="1763">
        <v>1.056</v>
      </c>
      <c r="J47" s="1763">
        <v>1.032</v>
      </c>
      <c r="K47" s="1775">
        <v>1</v>
      </c>
      <c r="L47" s="711">
        <v>7</v>
      </c>
      <c r="M47" s="1763">
        <f t="shared" si="26"/>
        <v>0.93732108169668527</v>
      </c>
      <c r="U47" s="466"/>
      <c r="V47" s="670" t="s">
        <v>123</v>
      </c>
      <c r="W47" s="16">
        <v>30</v>
      </c>
      <c r="X47" s="16">
        <v>30</v>
      </c>
      <c r="Y47" s="17">
        <v>30</v>
      </c>
      <c r="Z47" s="17">
        <v>30</v>
      </c>
      <c r="AA47" s="17">
        <v>30</v>
      </c>
      <c r="AB47" s="16">
        <v>29.015364916773368</v>
      </c>
      <c r="AC47" s="705">
        <v>28.08</v>
      </c>
      <c r="AD47" s="163">
        <v>36.249311294765839</v>
      </c>
      <c r="AE47" s="112">
        <v>31.138461538461538</v>
      </c>
      <c r="AF47" s="112">
        <v>30.904993909866018</v>
      </c>
      <c r="AG47" s="164"/>
      <c r="AH47" s="21"/>
      <c r="AI47" s="744" t="s">
        <v>123</v>
      </c>
      <c r="AJ47" s="16">
        <v>3</v>
      </c>
      <c r="AK47" s="17">
        <v>3</v>
      </c>
      <c r="AL47" s="17">
        <v>3</v>
      </c>
      <c r="AM47" s="16">
        <v>3</v>
      </c>
      <c r="AN47" s="16">
        <v>3</v>
      </c>
      <c r="AO47" s="16">
        <v>2.5345710627400768</v>
      </c>
      <c r="AP47" s="705">
        <v>2.61</v>
      </c>
      <c r="AQ47" s="163">
        <v>2.5016062413951352</v>
      </c>
      <c r="AR47" s="112">
        <v>2.6626242544731609</v>
      </c>
      <c r="AS47" s="112">
        <v>2.873838630806846</v>
      </c>
      <c r="AT47" s="21"/>
      <c r="AU47" s="744" t="s">
        <v>123</v>
      </c>
      <c r="AV47" s="818">
        <v>8760</v>
      </c>
      <c r="AW47" s="820">
        <v>8760</v>
      </c>
      <c r="AX47" s="818">
        <v>8760</v>
      </c>
      <c r="AY47" s="818">
        <v>8760</v>
      </c>
      <c r="AZ47" s="818">
        <v>8760</v>
      </c>
      <c r="BA47" s="818">
        <v>8760</v>
      </c>
      <c r="BB47" s="818">
        <v>8760</v>
      </c>
      <c r="BC47" s="959">
        <v>8755.8696649839385</v>
      </c>
      <c r="BD47" s="967">
        <v>8760</v>
      </c>
      <c r="BE47" s="967">
        <v>8758.4621026894874</v>
      </c>
      <c r="BF47" s="21"/>
      <c r="BG47" s="744" t="s">
        <v>123</v>
      </c>
      <c r="BH47" s="16">
        <v>1.07</v>
      </c>
      <c r="BI47" s="16">
        <v>1.07</v>
      </c>
      <c r="BJ47" s="164">
        <v>1.07</v>
      </c>
      <c r="BK47" s="18">
        <v>1.07</v>
      </c>
      <c r="BL47" s="18">
        <v>1.07</v>
      </c>
      <c r="BM47" s="17">
        <v>1.071</v>
      </c>
      <c r="BN47" s="705">
        <v>1.071</v>
      </c>
      <c r="BO47" s="695">
        <v>1.056</v>
      </c>
      <c r="BP47" s="1068">
        <v>1.056</v>
      </c>
      <c r="BQ47" s="1068">
        <v>1.056</v>
      </c>
      <c r="BR47" s="21"/>
      <c r="BS47" s="996" t="s">
        <v>123</v>
      </c>
      <c r="BT47" s="996"/>
      <c r="BU47" s="801"/>
      <c r="BV47" s="801"/>
      <c r="BW47" s="801"/>
      <c r="BX47" s="801"/>
      <c r="BY47" s="801"/>
      <c r="BZ47" s="801"/>
      <c r="CA47" s="695">
        <v>1.032</v>
      </c>
      <c r="CB47" s="1068">
        <v>1.032</v>
      </c>
      <c r="CC47" s="1068">
        <v>1.032</v>
      </c>
      <c r="CD47" s="656"/>
      <c r="CF47" s="996" t="s">
        <v>123</v>
      </c>
      <c r="CG47" s="16">
        <v>1</v>
      </c>
      <c r="CH47" s="17">
        <v>1</v>
      </c>
      <c r="CI47" s="16">
        <v>1</v>
      </c>
      <c r="CJ47" s="16">
        <v>1</v>
      </c>
      <c r="CK47" s="16">
        <v>1</v>
      </c>
      <c r="CL47" s="16">
        <v>1</v>
      </c>
      <c r="CM47" s="705">
        <v>1</v>
      </c>
      <c r="CN47" s="694">
        <v>1</v>
      </c>
      <c r="CO47" s="17">
        <v>1</v>
      </c>
      <c r="CP47" s="17">
        <v>1</v>
      </c>
      <c r="CQ47" s="164"/>
      <c r="CR47" s="21"/>
      <c r="CS47" s="996" t="s">
        <v>123</v>
      </c>
      <c r="CT47" s="19">
        <v>16</v>
      </c>
      <c r="CU47" s="22">
        <v>16</v>
      </c>
      <c r="CV47" s="630">
        <v>16</v>
      </c>
      <c r="CW47" s="630">
        <v>16</v>
      </c>
      <c r="CX47" s="630">
        <v>16</v>
      </c>
      <c r="CY47" s="630">
        <v>16</v>
      </c>
      <c r="CZ47" s="736">
        <v>7</v>
      </c>
      <c r="DA47" s="961">
        <v>7</v>
      </c>
      <c r="DB47" s="19">
        <v>7</v>
      </c>
      <c r="DC47" s="19">
        <v>7</v>
      </c>
      <c r="DD47" s="164"/>
      <c r="DJ47" s="252"/>
    </row>
    <row r="48" spans="1:114" ht="15" hidden="1" customHeight="1" outlineLevel="1" x14ac:dyDescent="0.25">
      <c r="A48" s="2"/>
      <c r="B48" s="2"/>
      <c r="C48" s="64"/>
      <c r="D48" s="399" t="str">
        <f t="shared" ref="D48:D54" si="27">C18</f>
        <v>800800_2024_12_</v>
      </c>
      <c r="E48" s="399" t="str">
        <f t="shared" ref="E48:E54" si="28">E18</f>
        <v xml:space="preserve">LED Replacing Interior T5 Fluorescent (Type A / Hybrid) </v>
      </c>
      <c r="F48" s="1775">
        <v>114.37444756930495</v>
      </c>
      <c r="G48" s="1775">
        <v>48.07088199758357</v>
      </c>
      <c r="H48" s="1776">
        <v>4423.1816351188081</v>
      </c>
      <c r="I48" s="1763">
        <v>1.056</v>
      </c>
      <c r="J48" s="1763">
        <v>1.032</v>
      </c>
      <c r="K48" s="1775">
        <v>1</v>
      </c>
      <c r="L48" s="711">
        <v>10</v>
      </c>
      <c r="M48" s="1763">
        <f t="shared" si="26"/>
        <v>0.93732108169668527</v>
      </c>
      <c r="U48" s="466"/>
      <c r="V48" s="670" t="s">
        <v>124</v>
      </c>
      <c r="W48" s="400">
        <v>60</v>
      </c>
      <c r="X48" s="400">
        <v>60</v>
      </c>
      <c r="Y48" s="17">
        <v>60</v>
      </c>
      <c r="Z48" s="17">
        <v>60</v>
      </c>
      <c r="AA48" s="17">
        <v>60</v>
      </c>
      <c r="AB48" s="400">
        <v>57.151731160896134</v>
      </c>
      <c r="AC48" s="922">
        <v>127.07</v>
      </c>
      <c r="AD48" s="163">
        <v>128.79302832244008</v>
      </c>
      <c r="AE48" s="112">
        <v>126.14844649021865</v>
      </c>
      <c r="AF48" s="112">
        <v>114.37444756930495</v>
      </c>
      <c r="AG48" s="378"/>
      <c r="AH48" s="21"/>
      <c r="AI48" s="744" t="s">
        <v>124</v>
      </c>
      <c r="AJ48" s="400">
        <v>28</v>
      </c>
      <c r="AK48" s="17">
        <v>28</v>
      </c>
      <c r="AL48" s="17">
        <v>28</v>
      </c>
      <c r="AM48" s="400">
        <v>28</v>
      </c>
      <c r="AN48" s="400">
        <v>28</v>
      </c>
      <c r="AO48" s="400">
        <v>26.891378139850644</v>
      </c>
      <c r="AP48" s="922">
        <v>62.35</v>
      </c>
      <c r="AQ48" s="163">
        <v>61.414459556191836</v>
      </c>
      <c r="AR48" s="112">
        <v>56.754890678941315</v>
      </c>
      <c r="AS48" s="112">
        <v>48.07088199758357</v>
      </c>
      <c r="AT48" s="21"/>
      <c r="AU48" s="744" t="s">
        <v>124</v>
      </c>
      <c r="AV48" s="2044">
        <v>6500</v>
      </c>
      <c r="AW48" s="820">
        <v>6500</v>
      </c>
      <c r="AX48" s="2044">
        <v>6500</v>
      </c>
      <c r="AY48" s="2044">
        <v>6500</v>
      </c>
      <c r="AZ48" s="2044">
        <v>6500</v>
      </c>
      <c r="BA48" s="2044">
        <v>4842.3896809232856</v>
      </c>
      <c r="BB48" s="2044">
        <v>5216</v>
      </c>
      <c r="BC48" s="959">
        <v>4280.6456692913389</v>
      </c>
      <c r="BD48" s="967">
        <v>4791.7514384349824</v>
      </c>
      <c r="BE48" s="967">
        <v>4423.1816351188081</v>
      </c>
      <c r="BF48" s="21"/>
      <c r="BG48" s="744" t="s">
        <v>124</v>
      </c>
      <c r="BH48" s="400">
        <v>1.07</v>
      </c>
      <c r="BI48" s="400">
        <v>1.07</v>
      </c>
      <c r="BJ48" s="378">
        <v>1.07</v>
      </c>
      <c r="BK48" s="18">
        <v>1.07</v>
      </c>
      <c r="BL48" s="18">
        <v>1.07</v>
      </c>
      <c r="BM48" s="17">
        <v>1.071</v>
      </c>
      <c r="BN48" s="922">
        <v>1.071</v>
      </c>
      <c r="BO48" s="695">
        <v>1.056</v>
      </c>
      <c r="BP48" s="1068">
        <v>1.056</v>
      </c>
      <c r="BQ48" s="1068">
        <v>1.056</v>
      </c>
      <c r="BR48" s="21"/>
      <c r="BS48" s="996" t="s">
        <v>124</v>
      </c>
      <c r="BT48" s="996"/>
      <c r="BU48" s="801"/>
      <c r="BV48" s="801"/>
      <c r="BW48" s="801"/>
      <c r="BX48" s="801"/>
      <c r="BY48" s="801"/>
      <c r="BZ48" s="801"/>
      <c r="CA48" s="695">
        <v>1.032</v>
      </c>
      <c r="CB48" s="1068">
        <v>1.032</v>
      </c>
      <c r="CC48" s="1068">
        <v>1.032</v>
      </c>
      <c r="CD48" s="656"/>
      <c r="CF48" s="996" t="s">
        <v>124</v>
      </c>
      <c r="CG48" s="400">
        <v>1</v>
      </c>
      <c r="CH48" s="17">
        <v>1</v>
      </c>
      <c r="CI48" s="400">
        <v>1</v>
      </c>
      <c r="CJ48" s="400">
        <v>1</v>
      </c>
      <c r="CK48" s="400">
        <v>1</v>
      </c>
      <c r="CL48" s="400">
        <v>1</v>
      </c>
      <c r="CM48" s="922">
        <v>1</v>
      </c>
      <c r="CN48" s="694">
        <v>1</v>
      </c>
      <c r="CO48" s="17">
        <v>1</v>
      </c>
      <c r="CP48" s="17">
        <v>1</v>
      </c>
      <c r="CQ48" s="378"/>
      <c r="CR48" s="21"/>
      <c r="CS48" s="996" t="s">
        <v>124</v>
      </c>
      <c r="CT48" s="19">
        <v>8</v>
      </c>
      <c r="CU48" s="22">
        <v>8</v>
      </c>
      <c r="CV48" s="2045">
        <v>8</v>
      </c>
      <c r="CW48" s="2045">
        <v>8</v>
      </c>
      <c r="CX48" s="2045">
        <v>8</v>
      </c>
      <c r="CY48" s="2045">
        <v>10</v>
      </c>
      <c r="CZ48" s="2046">
        <v>10</v>
      </c>
      <c r="DA48" s="961">
        <v>10</v>
      </c>
      <c r="DB48" s="19">
        <v>10</v>
      </c>
      <c r="DC48" s="19">
        <v>10</v>
      </c>
      <c r="DD48" s="378"/>
    </row>
    <row r="49" spans="1:114" hidden="1" outlineLevel="1" x14ac:dyDescent="0.25">
      <c r="C49" s="64"/>
      <c r="D49" s="399" t="str">
        <f t="shared" si="27"/>
        <v>800801_2024_12_</v>
      </c>
      <c r="E49" s="399" t="str">
        <f t="shared" si="28"/>
        <v>LED Replacing Interior T5 Fluorescent (Type B, Kits, and Fixtures)</v>
      </c>
      <c r="F49" s="1775">
        <v>203.86267483527917</v>
      </c>
      <c r="G49" s="1775">
        <v>89.107963779893197</v>
      </c>
      <c r="H49" s="1776">
        <v>4167.8307406547483</v>
      </c>
      <c r="I49" s="1763">
        <v>1.056</v>
      </c>
      <c r="J49" s="1763">
        <v>1.032</v>
      </c>
      <c r="K49" s="1775">
        <v>1</v>
      </c>
      <c r="L49" s="711">
        <v>15</v>
      </c>
      <c r="M49" s="1763">
        <f t="shared" si="26"/>
        <v>0.93732108169668527</v>
      </c>
      <c r="U49" s="466"/>
      <c r="V49" s="670" t="s">
        <v>125</v>
      </c>
      <c r="W49" s="805"/>
      <c r="X49" s="805"/>
      <c r="Y49" s="806"/>
      <c r="Z49" s="806"/>
      <c r="AA49" s="806"/>
      <c r="AB49" s="16">
        <v>129.47809753575737</v>
      </c>
      <c r="AC49" s="705">
        <v>187.49</v>
      </c>
      <c r="AD49" s="163">
        <v>239.12037825864712</v>
      </c>
      <c r="AE49" s="112">
        <v>198.4882416938656</v>
      </c>
      <c r="AF49" s="112">
        <v>203.86267483527917</v>
      </c>
      <c r="AG49" s="164"/>
      <c r="AH49" s="21"/>
      <c r="AI49" s="744" t="s">
        <v>125</v>
      </c>
      <c r="AJ49" s="805"/>
      <c r="AK49" s="805"/>
      <c r="AL49" s="806"/>
      <c r="AM49" s="805"/>
      <c r="AN49" s="805"/>
      <c r="AO49" s="16">
        <v>54.55328661420338</v>
      </c>
      <c r="AP49" s="705">
        <v>80.180000000000007</v>
      </c>
      <c r="AQ49" s="163">
        <v>103.90829394069617</v>
      </c>
      <c r="AR49" s="112">
        <v>82.2269471290506</v>
      </c>
      <c r="AS49" s="112">
        <v>89.107963779893197</v>
      </c>
      <c r="AT49" s="21"/>
      <c r="AU49" s="744" t="s">
        <v>125</v>
      </c>
      <c r="AV49" s="822"/>
      <c r="AW49" s="823"/>
      <c r="AX49" s="822"/>
      <c r="AY49" s="822"/>
      <c r="AZ49" s="822"/>
      <c r="BA49" s="818">
        <v>4551.3067953357458</v>
      </c>
      <c r="BB49" s="818">
        <v>4282.6269361672566</v>
      </c>
      <c r="BC49" s="959">
        <v>3854.5204125483456</v>
      </c>
      <c r="BD49" s="967">
        <v>3692.4735645252986</v>
      </c>
      <c r="BE49" s="967">
        <v>4167.8307406547483</v>
      </c>
      <c r="BF49" s="21"/>
      <c r="BG49" s="744" t="s">
        <v>125</v>
      </c>
      <c r="BH49" s="801"/>
      <c r="BI49" s="803"/>
      <c r="BJ49" s="804"/>
      <c r="BK49" s="804"/>
      <c r="BL49" s="804"/>
      <c r="BM49" s="17">
        <v>1.071</v>
      </c>
      <c r="BN49" s="705">
        <v>1.071</v>
      </c>
      <c r="BO49" s="695">
        <v>1.056</v>
      </c>
      <c r="BP49" s="1068">
        <v>1.056</v>
      </c>
      <c r="BQ49" s="1068">
        <v>1.056</v>
      </c>
      <c r="BR49" s="21"/>
      <c r="BS49" s="996" t="s">
        <v>125</v>
      </c>
      <c r="BT49" s="996"/>
      <c r="BU49" s="801"/>
      <c r="BV49" s="801"/>
      <c r="BW49" s="801"/>
      <c r="BX49" s="801"/>
      <c r="BY49" s="801"/>
      <c r="BZ49" s="801"/>
      <c r="CA49" s="695">
        <v>1.032</v>
      </c>
      <c r="CB49" s="1068">
        <v>1.032</v>
      </c>
      <c r="CC49" s="1068">
        <v>1.032</v>
      </c>
      <c r="CD49" s="656"/>
      <c r="CF49" s="996" t="s">
        <v>125</v>
      </c>
      <c r="CG49" s="801"/>
      <c r="CH49" s="803"/>
      <c r="CI49" s="804"/>
      <c r="CJ49" s="804"/>
      <c r="CK49" s="804"/>
      <c r="CL49" s="16">
        <v>1</v>
      </c>
      <c r="CM49" s="705">
        <v>1</v>
      </c>
      <c r="CN49" s="694">
        <v>1</v>
      </c>
      <c r="CO49" s="17">
        <v>1</v>
      </c>
      <c r="CP49" s="17">
        <v>1</v>
      </c>
      <c r="CQ49" s="164"/>
      <c r="CR49" s="21"/>
      <c r="CS49" s="996" t="s">
        <v>125</v>
      </c>
      <c r="CT49" s="801"/>
      <c r="CU49" s="803"/>
      <c r="CV49" s="804"/>
      <c r="CW49" s="804"/>
      <c r="CX49" s="804"/>
      <c r="CY49" s="630">
        <v>15</v>
      </c>
      <c r="CZ49" s="736">
        <v>15</v>
      </c>
      <c r="DA49" s="961">
        <v>15</v>
      </c>
      <c r="DB49" s="19">
        <v>15</v>
      </c>
      <c r="DC49" s="19">
        <v>15</v>
      </c>
      <c r="DD49" s="164"/>
      <c r="DJ49" s="252"/>
    </row>
    <row r="50" spans="1:114" hidden="1" outlineLevel="1" x14ac:dyDescent="0.25">
      <c r="A50" s="2"/>
      <c r="B50" s="2"/>
      <c r="C50" s="64"/>
      <c r="D50" s="399" t="str">
        <f t="shared" si="27"/>
        <v>800850_2024_12_</v>
      </c>
      <c r="E50" s="399" t="str">
        <f t="shared" si="28"/>
        <v xml:space="preserve">LED Replacing Interior T8 Fluorescent (Type A / Hybrid) </v>
      </c>
      <c r="F50" s="1775">
        <v>79.353748870822045</v>
      </c>
      <c r="G50" s="1775">
        <v>34.882952108649036</v>
      </c>
      <c r="H50" s="1776">
        <v>5005.2332022873479</v>
      </c>
      <c r="I50" s="1763">
        <v>1.056</v>
      </c>
      <c r="J50" s="1763">
        <v>1.032</v>
      </c>
      <c r="K50" s="1775">
        <v>1</v>
      </c>
      <c r="L50" s="711">
        <v>10</v>
      </c>
      <c r="M50" s="1763">
        <f t="shared" si="26"/>
        <v>0.93732108169668527</v>
      </c>
      <c r="U50" s="467"/>
      <c r="V50" s="670" t="s">
        <v>126</v>
      </c>
      <c r="W50" s="400">
        <v>28</v>
      </c>
      <c r="X50" s="112">
        <v>28.3</v>
      </c>
      <c r="Y50" s="17">
        <v>28.3</v>
      </c>
      <c r="Z50" s="17">
        <v>28.3</v>
      </c>
      <c r="AA50" s="17">
        <v>28.3</v>
      </c>
      <c r="AB50" s="400">
        <v>34.696581538376684</v>
      </c>
      <c r="AC50" s="922">
        <v>85.48</v>
      </c>
      <c r="AD50" s="163">
        <v>85.624728473368663</v>
      </c>
      <c r="AE50" s="112">
        <v>68.807005171603194</v>
      </c>
      <c r="AF50" s="112">
        <v>79.353748870822045</v>
      </c>
      <c r="AG50" s="378"/>
      <c r="AH50" s="21"/>
      <c r="AI50" s="744" t="s">
        <v>126</v>
      </c>
      <c r="AJ50" s="400">
        <v>14</v>
      </c>
      <c r="AK50" s="112">
        <v>13.7</v>
      </c>
      <c r="AL50" s="17">
        <v>13.7</v>
      </c>
      <c r="AM50" s="400">
        <v>13.7</v>
      </c>
      <c r="AN50" s="400">
        <v>13.7</v>
      </c>
      <c r="AO50" s="400">
        <v>15.651019976649476</v>
      </c>
      <c r="AP50" s="922">
        <v>38.909999999999997</v>
      </c>
      <c r="AQ50" s="163">
        <v>41.195387293298523</v>
      </c>
      <c r="AR50" s="112">
        <v>31.73883403855195</v>
      </c>
      <c r="AS50" s="112">
        <v>34.882952108649036</v>
      </c>
      <c r="AT50" s="21"/>
      <c r="AU50" s="744" t="s">
        <v>126</v>
      </c>
      <c r="AV50" s="2044">
        <v>5500</v>
      </c>
      <c r="AW50" s="819">
        <v>5400</v>
      </c>
      <c r="AX50" s="2044">
        <v>5400</v>
      </c>
      <c r="AY50" s="2044">
        <v>5400</v>
      </c>
      <c r="AZ50" s="2044">
        <v>5400</v>
      </c>
      <c r="BA50" s="2044">
        <v>4232.7285363633855</v>
      </c>
      <c r="BB50" s="2044">
        <v>4312.5738874058725</v>
      </c>
      <c r="BC50" s="959">
        <v>5042.2161009573538</v>
      </c>
      <c r="BD50" s="967">
        <v>4820.145275035261</v>
      </c>
      <c r="BE50" s="967">
        <v>5005.2332022873479</v>
      </c>
      <c r="BF50" s="21"/>
      <c r="BG50" s="744" t="s">
        <v>126</v>
      </c>
      <c r="BH50" s="400">
        <v>1.07</v>
      </c>
      <c r="BI50" s="112">
        <v>1.08</v>
      </c>
      <c r="BJ50" s="378">
        <v>1.08</v>
      </c>
      <c r="BK50" s="18">
        <v>1.08</v>
      </c>
      <c r="BL50" s="18">
        <v>1.08</v>
      </c>
      <c r="BM50" s="17">
        <v>1.071</v>
      </c>
      <c r="BN50" s="922">
        <v>1.071</v>
      </c>
      <c r="BO50" s="695">
        <v>1.056</v>
      </c>
      <c r="BP50" s="1068">
        <v>1.056</v>
      </c>
      <c r="BQ50" s="1068">
        <v>1.056</v>
      </c>
      <c r="BR50" s="21"/>
      <c r="BS50" s="996" t="s">
        <v>126</v>
      </c>
      <c r="BT50" s="996"/>
      <c r="BU50" s="801"/>
      <c r="BV50" s="801"/>
      <c r="BW50" s="801"/>
      <c r="BX50" s="801"/>
      <c r="BY50" s="801"/>
      <c r="BZ50" s="801"/>
      <c r="CA50" s="695">
        <v>1.032</v>
      </c>
      <c r="CB50" s="1068">
        <v>1.032</v>
      </c>
      <c r="CC50" s="1068">
        <v>1.032</v>
      </c>
      <c r="CD50" s="656"/>
      <c r="CF50" s="996" t="s">
        <v>126</v>
      </c>
      <c r="CG50" s="400">
        <v>1</v>
      </c>
      <c r="CH50" s="112">
        <v>0.99614637091058145</v>
      </c>
      <c r="CI50" s="400">
        <v>0.99614637091058145</v>
      </c>
      <c r="CJ50" s="400">
        <v>0.99614637091058145</v>
      </c>
      <c r="CK50" s="400">
        <v>0.99614637091058145</v>
      </c>
      <c r="CL50" s="400">
        <v>0.99614637091058145</v>
      </c>
      <c r="CM50" s="922">
        <v>0.99614637091058145</v>
      </c>
      <c r="CN50" s="694">
        <v>0.99614637091058145</v>
      </c>
      <c r="CO50" s="17">
        <v>1</v>
      </c>
      <c r="CP50" s="17">
        <v>1</v>
      </c>
      <c r="CQ50" s="378"/>
      <c r="CR50" s="21"/>
      <c r="CS50" s="996" t="s">
        <v>126</v>
      </c>
      <c r="CT50" s="19">
        <v>9</v>
      </c>
      <c r="CU50" s="22">
        <v>9</v>
      </c>
      <c r="CV50" s="2045">
        <v>9</v>
      </c>
      <c r="CW50" s="2045">
        <v>9</v>
      </c>
      <c r="CX50" s="2045">
        <v>9</v>
      </c>
      <c r="CY50" s="2045">
        <v>10</v>
      </c>
      <c r="CZ50" s="2046">
        <v>10</v>
      </c>
      <c r="DA50" s="961">
        <v>10</v>
      </c>
      <c r="DB50" s="19">
        <v>10</v>
      </c>
      <c r="DC50" s="19">
        <v>10</v>
      </c>
      <c r="DD50" s="378"/>
    </row>
    <row r="51" spans="1:114" hidden="1" outlineLevel="1" x14ac:dyDescent="0.25">
      <c r="C51" s="64"/>
      <c r="D51" s="399" t="str">
        <f t="shared" si="27"/>
        <v>800851_2024_12_</v>
      </c>
      <c r="E51" s="399" t="str">
        <f t="shared" si="28"/>
        <v>LED Replacting Interior T8 Fluorescent (Type B, Kits, and Fixtures)</v>
      </c>
      <c r="F51" s="1775">
        <v>89.692345424668289</v>
      </c>
      <c r="G51" s="1775">
        <v>34.961974509010169</v>
      </c>
      <c r="H51" s="1776">
        <v>3692.2508494952099</v>
      </c>
      <c r="I51" s="1763">
        <v>1.056</v>
      </c>
      <c r="J51" s="1763">
        <v>1.032</v>
      </c>
      <c r="K51" s="1775">
        <v>1</v>
      </c>
      <c r="L51" s="711">
        <v>15</v>
      </c>
      <c r="M51" s="1763">
        <f t="shared" si="26"/>
        <v>0.93732108169668527</v>
      </c>
      <c r="U51" s="467"/>
      <c r="V51" s="670" t="s">
        <v>127</v>
      </c>
      <c r="W51" s="805"/>
      <c r="X51" s="805"/>
      <c r="Y51" s="806"/>
      <c r="Z51" s="806"/>
      <c r="AA51" s="806"/>
      <c r="AB51" s="16">
        <v>59.772720625328752</v>
      </c>
      <c r="AC51" s="705">
        <v>92.55</v>
      </c>
      <c r="AD51" s="163">
        <v>90.02361561617623</v>
      </c>
      <c r="AE51" s="112">
        <v>87.706374705635369</v>
      </c>
      <c r="AF51" s="112">
        <v>89.692345424668289</v>
      </c>
      <c r="AG51" s="164"/>
      <c r="AH51" s="21"/>
      <c r="AI51" s="744" t="s">
        <v>127</v>
      </c>
      <c r="AJ51" s="805"/>
      <c r="AK51" s="805"/>
      <c r="AL51" s="806"/>
      <c r="AM51" s="805"/>
      <c r="AN51" s="805"/>
      <c r="AO51" s="16">
        <v>24.753815057906763</v>
      </c>
      <c r="AP51" s="705">
        <v>37.119999999999997</v>
      </c>
      <c r="AQ51" s="163">
        <v>37.874579052232683</v>
      </c>
      <c r="AR51" s="112">
        <v>35.751255085101334</v>
      </c>
      <c r="AS51" s="112">
        <v>34.961974509010169</v>
      </c>
      <c r="AT51" s="21"/>
      <c r="AU51" s="744" t="s">
        <v>127</v>
      </c>
      <c r="AV51" s="822"/>
      <c r="AW51" s="823"/>
      <c r="AX51" s="822"/>
      <c r="AY51" s="822"/>
      <c r="AZ51" s="822"/>
      <c r="BA51" s="818">
        <v>4315.6299709124478</v>
      </c>
      <c r="BB51" s="818">
        <v>3612.4490433014971</v>
      </c>
      <c r="BC51" s="959">
        <v>3643.5084423955932</v>
      </c>
      <c r="BD51" s="967">
        <v>3539.0464180819818</v>
      </c>
      <c r="BE51" s="967">
        <v>3692.2508494952099</v>
      </c>
      <c r="BF51" s="21"/>
      <c r="BG51" s="744" t="s">
        <v>127</v>
      </c>
      <c r="BH51" s="801"/>
      <c r="BI51" s="803"/>
      <c r="BJ51" s="804"/>
      <c r="BK51" s="804"/>
      <c r="BL51" s="804"/>
      <c r="BM51" s="17">
        <v>1.071</v>
      </c>
      <c r="BN51" s="705">
        <v>1.071</v>
      </c>
      <c r="BO51" s="695">
        <v>1.056</v>
      </c>
      <c r="BP51" s="1068">
        <v>1.056</v>
      </c>
      <c r="BQ51" s="1068">
        <v>1.056</v>
      </c>
      <c r="BR51" s="21"/>
      <c r="BS51" s="996" t="s">
        <v>127</v>
      </c>
      <c r="BT51" s="996"/>
      <c r="BU51" s="801"/>
      <c r="BV51" s="801"/>
      <c r="BW51" s="801"/>
      <c r="BX51" s="801"/>
      <c r="BY51" s="801"/>
      <c r="BZ51" s="801"/>
      <c r="CA51" s="695">
        <v>1.032</v>
      </c>
      <c r="CB51" s="1068">
        <v>1.032</v>
      </c>
      <c r="CC51" s="1068">
        <v>1.032</v>
      </c>
      <c r="CD51" s="656"/>
      <c r="CF51" s="996" t="s">
        <v>127</v>
      </c>
      <c r="CG51" s="801"/>
      <c r="CH51" s="803"/>
      <c r="CI51" s="804"/>
      <c r="CJ51" s="804"/>
      <c r="CK51" s="804"/>
      <c r="CL51" s="16">
        <v>0.99614637091058145</v>
      </c>
      <c r="CM51" s="705">
        <v>0.99614637091058145</v>
      </c>
      <c r="CN51" s="694">
        <v>0.99614637091058145</v>
      </c>
      <c r="CO51" s="17">
        <v>1</v>
      </c>
      <c r="CP51" s="17">
        <v>1</v>
      </c>
      <c r="CQ51" s="164"/>
      <c r="CR51" s="21"/>
      <c r="CS51" s="996" t="s">
        <v>127</v>
      </c>
      <c r="CT51" s="801"/>
      <c r="CU51" s="803"/>
      <c r="CV51" s="804"/>
      <c r="CW51" s="804"/>
      <c r="CX51" s="804"/>
      <c r="CY51" s="630">
        <v>15</v>
      </c>
      <c r="CZ51" s="736">
        <v>15</v>
      </c>
      <c r="DA51" s="961">
        <v>15</v>
      </c>
      <c r="DB51" s="19">
        <v>15</v>
      </c>
      <c r="DC51" s="19">
        <v>15</v>
      </c>
      <c r="DD51" s="164"/>
      <c r="DJ51" s="252"/>
    </row>
    <row r="52" spans="1:114" hidden="1" outlineLevel="1" x14ac:dyDescent="0.25">
      <c r="A52" s="2"/>
      <c r="B52" s="2"/>
      <c r="C52" s="64"/>
      <c r="D52" s="399" t="str">
        <f t="shared" si="27"/>
        <v>800900_2024_12_</v>
      </c>
      <c r="E52" s="399" t="str">
        <f t="shared" si="28"/>
        <v xml:space="preserve">LED Replacing Interior T12 Fluorescent (Type A / Hybrid) </v>
      </c>
      <c r="F52" s="1775">
        <v>98.3</v>
      </c>
      <c r="G52" s="1775">
        <v>38.19</v>
      </c>
      <c r="H52" s="1776">
        <v>3141</v>
      </c>
      <c r="I52" s="1763">
        <v>1.056</v>
      </c>
      <c r="J52" s="1763">
        <v>1.032</v>
      </c>
      <c r="K52" s="1775">
        <v>1</v>
      </c>
      <c r="L52" s="711">
        <v>10</v>
      </c>
      <c r="M52" s="1763">
        <f t="shared" si="26"/>
        <v>0.93732108169668527</v>
      </c>
      <c r="U52" s="466"/>
      <c r="V52" s="670" t="s">
        <v>128</v>
      </c>
      <c r="W52" s="400">
        <v>40</v>
      </c>
      <c r="X52" s="112">
        <v>39.659124009019756</v>
      </c>
      <c r="Y52" s="17">
        <v>39.659124009019756</v>
      </c>
      <c r="Z52" s="17">
        <v>39.659124009019756</v>
      </c>
      <c r="AA52" s="17">
        <v>39.659124009019756</v>
      </c>
      <c r="AB52" s="400">
        <v>51.948940020682521</v>
      </c>
      <c r="AC52" s="922">
        <v>89.4</v>
      </c>
      <c r="AD52" s="163">
        <v>98.297069450020075</v>
      </c>
      <c r="AE52" s="17">
        <v>98.3</v>
      </c>
      <c r="AF52" s="17">
        <v>98.3</v>
      </c>
      <c r="AG52" s="378"/>
      <c r="AH52" s="21"/>
      <c r="AI52" s="744" t="s">
        <v>128</v>
      </c>
      <c r="AJ52" s="400">
        <v>14</v>
      </c>
      <c r="AK52" s="112">
        <v>16.024798289519346</v>
      </c>
      <c r="AL52" s="17">
        <v>16.024798289519346</v>
      </c>
      <c r="AM52" s="400">
        <v>16.024798289519346</v>
      </c>
      <c r="AN52" s="400">
        <v>16.024798289519346</v>
      </c>
      <c r="AO52" s="400">
        <v>16.49767321613237</v>
      </c>
      <c r="AP52" s="922">
        <v>33.47</v>
      </c>
      <c r="AQ52" s="163">
        <v>38.190028606456885</v>
      </c>
      <c r="AR52" s="17">
        <v>38.19</v>
      </c>
      <c r="AS52" s="17">
        <v>38.19</v>
      </c>
      <c r="AT52" s="21"/>
      <c r="AU52" s="744" t="s">
        <v>128</v>
      </c>
      <c r="AV52" s="2044">
        <v>4480</v>
      </c>
      <c r="AW52" s="819">
        <v>3660</v>
      </c>
      <c r="AX52" s="2044">
        <v>3660</v>
      </c>
      <c r="AY52" s="2044">
        <v>3660</v>
      </c>
      <c r="AZ52" s="2044">
        <v>3660</v>
      </c>
      <c r="BA52" s="2044">
        <v>3950.5788521199588</v>
      </c>
      <c r="BB52" s="2044">
        <v>3864.8374040474528</v>
      </c>
      <c r="BC52" s="959">
        <v>3141.0069472823866</v>
      </c>
      <c r="BD52" s="1069">
        <v>3141</v>
      </c>
      <c r="BE52" s="1069">
        <v>3141</v>
      </c>
      <c r="BF52" s="21"/>
      <c r="BG52" s="744" t="s">
        <v>128</v>
      </c>
      <c r="BH52" s="400">
        <v>1.07</v>
      </c>
      <c r="BI52" s="17">
        <v>1.07</v>
      </c>
      <c r="BJ52" s="378">
        <v>1.07</v>
      </c>
      <c r="BK52" s="18">
        <v>1.07</v>
      </c>
      <c r="BL52" s="18">
        <v>1.07</v>
      </c>
      <c r="BM52" s="17">
        <v>1.071</v>
      </c>
      <c r="BN52" s="922">
        <v>1.071</v>
      </c>
      <c r="BO52" s="695">
        <v>1.056</v>
      </c>
      <c r="BP52" s="1068">
        <v>1.056</v>
      </c>
      <c r="BQ52" s="1068">
        <v>1.056</v>
      </c>
      <c r="BR52" s="21"/>
      <c r="BS52" s="996" t="s">
        <v>128</v>
      </c>
      <c r="BT52" s="996"/>
      <c r="BU52" s="801"/>
      <c r="BV52" s="801"/>
      <c r="BW52" s="801"/>
      <c r="BX52" s="801"/>
      <c r="BY52" s="801"/>
      <c r="BZ52" s="801"/>
      <c r="CA52" s="695">
        <v>1.032</v>
      </c>
      <c r="CB52" s="1068">
        <v>1.032</v>
      </c>
      <c r="CC52" s="1068">
        <v>1.032</v>
      </c>
      <c r="CD52" s="656"/>
      <c r="CF52" s="996" t="s">
        <v>128</v>
      </c>
      <c r="CG52" s="400">
        <v>1</v>
      </c>
      <c r="CH52" s="17">
        <v>1</v>
      </c>
      <c r="CI52" s="400">
        <v>1</v>
      </c>
      <c r="CJ52" s="400">
        <v>1</v>
      </c>
      <c r="CK52" s="400">
        <v>1</v>
      </c>
      <c r="CL52" s="400">
        <v>1</v>
      </c>
      <c r="CM52" s="922">
        <v>1</v>
      </c>
      <c r="CN52" s="694">
        <v>1</v>
      </c>
      <c r="CO52" s="17">
        <v>1</v>
      </c>
      <c r="CP52" s="17">
        <v>1</v>
      </c>
      <c r="CQ52" s="378"/>
      <c r="CR52" s="21"/>
      <c r="CS52" s="996" t="s">
        <v>128</v>
      </c>
      <c r="CT52" s="19">
        <v>11</v>
      </c>
      <c r="CU52" s="654">
        <v>14</v>
      </c>
      <c r="CV52" s="2045">
        <v>14</v>
      </c>
      <c r="CW52" s="2045">
        <v>14</v>
      </c>
      <c r="CX52" s="2045">
        <v>14</v>
      </c>
      <c r="CY52" s="2045">
        <v>10</v>
      </c>
      <c r="CZ52" s="2046">
        <v>10</v>
      </c>
      <c r="DA52" s="961">
        <v>10</v>
      </c>
      <c r="DB52" s="19">
        <v>10</v>
      </c>
      <c r="DC52" s="19">
        <v>10</v>
      </c>
      <c r="DD52" s="378"/>
    </row>
    <row r="53" spans="1:114" hidden="1" outlineLevel="1" x14ac:dyDescent="0.25">
      <c r="C53" s="64"/>
      <c r="D53" s="399" t="str">
        <f t="shared" si="27"/>
        <v>800901_2024_12_</v>
      </c>
      <c r="E53" s="399" t="str">
        <f t="shared" si="28"/>
        <v xml:space="preserve">LED Replacing Interior T12 Fluorescent (Type B, Kits, and Fixtures) </v>
      </c>
      <c r="F53" s="1775">
        <v>136.81711165552466</v>
      </c>
      <c r="G53" s="1775">
        <v>37.065798708444945</v>
      </c>
      <c r="H53" s="1776">
        <v>2582.2919495836709</v>
      </c>
      <c r="I53" s="1763">
        <v>1.056</v>
      </c>
      <c r="J53" s="1763">
        <v>1.032</v>
      </c>
      <c r="K53" s="1775">
        <v>1</v>
      </c>
      <c r="L53" s="711">
        <v>15</v>
      </c>
      <c r="M53" s="1763">
        <f t="shared" si="26"/>
        <v>0.93732108169668527</v>
      </c>
      <c r="U53" s="466"/>
      <c r="V53" s="670" t="s">
        <v>129</v>
      </c>
      <c r="W53" s="805"/>
      <c r="X53" s="805"/>
      <c r="Y53" s="806"/>
      <c r="Z53" s="806"/>
      <c r="AA53" s="806"/>
      <c r="AB53" s="16">
        <v>84.520773254863471</v>
      </c>
      <c r="AC53" s="705">
        <v>136.32</v>
      </c>
      <c r="AD53" s="163">
        <v>146.26370318609995</v>
      </c>
      <c r="AE53" s="112">
        <v>146.10196257737761</v>
      </c>
      <c r="AF53" s="112">
        <v>136.81711165552466</v>
      </c>
      <c r="AG53" s="164"/>
      <c r="AH53" s="21"/>
      <c r="AI53" s="744" t="s">
        <v>129</v>
      </c>
      <c r="AJ53" s="805"/>
      <c r="AK53" s="805"/>
      <c r="AL53" s="806"/>
      <c r="AM53" s="805"/>
      <c r="AN53" s="805"/>
      <c r="AO53" s="16">
        <v>23.731453326794188</v>
      </c>
      <c r="AP53" s="705">
        <v>39.130000000000003</v>
      </c>
      <c r="AQ53" s="163">
        <v>43.421946826527595</v>
      </c>
      <c r="AR53" s="112">
        <v>39.297260080002829</v>
      </c>
      <c r="AS53" s="112">
        <v>37.065798708444945</v>
      </c>
      <c r="AT53" s="21"/>
      <c r="AU53" s="744" t="s">
        <v>129</v>
      </c>
      <c r="AV53" s="822"/>
      <c r="AW53" s="823"/>
      <c r="AX53" s="822"/>
      <c r="AY53" s="822"/>
      <c r="AZ53" s="822"/>
      <c r="BA53" s="818">
        <v>2782.143658656204</v>
      </c>
      <c r="BB53" s="818">
        <v>2711.4667506965634</v>
      </c>
      <c r="BC53" s="959">
        <v>2930.951450307804</v>
      </c>
      <c r="BD53" s="967">
        <v>2857.4279797514955</v>
      </c>
      <c r="BE53" s="967">
        <v>2582.2919495836709</v>
      </c>
      <c r="BF53" s="21"/>
      <c r="BG53" s="744" t="s">
        <v>129</v>
      </c>
      <c r="BH53" s="801"/>
      <c r="BI53" s="803"/>
      <c r="BJ53" s="804"/>
      <c r="BK53" s="804"/>
      <c r="BL53" s="804"/>
      <c r="BM53" s="17">
        <v>1.071</v>
      </c>
      <c r="BN53" s="705">
        <v>1.071</v>
      </c>
      <c r="BO53" s="695">
        <v>1.056</v>
      </c>
      <c r="BP53" s="1068">
        <v>1.056</v>
      </c>
      <c r="BQ53" s="1068">
        <v>1.056</v>
      </c>
      <c r="BR53" s="21"/>
      <c r="BS53" s="996" t="s">
        <v>129</v>
      </c>
      <c r="BT53" s="996"/>
      <c r="BU53" s="801"/>
      <c r="BV53" s="801"/>
      <c r="BW53" s="801"/>
      <c r="BX53" s="801"/>
      <c r="BY53" s="801"/>
      <c r="BZ53" s="801"/>
      <c r="CA53" s="695">
        <v>1.032</v>
      </c>
      <c r="CB53" s="1068">
        <v>1.032</v>
      </c>
      <c r="CC53" s="1068">
        <v>1.032</v>
      </c>
      <c r="CD53" s="656"/>
      <c r="CF53" s="996" t="s">
        <v>129</v>
      </c>
      <c r="CG53" s="801"/>
      <c r="CH53" s="803"/>
      <c r="CI53" s="804"/>
      <c r="CJ53" s="804"/>
      <c r="CK53" s="804"/>
      <c r="CL53" s="16">
        <v>1</v>
      </c>
      <c r="CM53" s="705">
        <v>1</v>
      </c>
      <c r="CN53" s="694">
        <v>1</v>
      </c>
      <c r="CO53" s="17">
        <v>1</v>
      </c>
      <c r="CP53" s="17">
        <v>1</v>
      </c>
      <c r="CQ53" s="164"/>
      <c r="CR53" s="21"/>
      <c r="CS53" s="996" t="s">
        <v>129</v>
      </c>
      <c r="CT53" s="801"/>
      <c r="CU53" s="803"/>
      <c r="CV53" s="804"/>
      <c r="CW53" s="804"/>
      <c r="CX53" s="804"/>
      <c r="CY53" s="630">
        <v>15</v>
      </c>
      <c r="CZ53" s="736">
        <v>15</v>
      </c>
      <c r="DA53" s="961">
        <v>15</v>
      </c>
      <c r="DB53" s="19">
        <v>15</v>
      </c>
      <c r="DC53" s="19">
        <v>15</v>
      </c>
      <c r="DD53" s="164"/>
      <c r="DJ53" s="252"/>
    </row>
    <row r="54" spans="1:114" hidden="1" outlineLevel="1" x14ac:dyDescent="0.25">
      <c r="A54" s="2"/>
      <c r="B54" s="2"/>
      <c r="D54" s="399" t="str">
        <f t="shared" si="27"/>
        <v>800950_2024_12_</v>
      </c>
      <c r="E54" s="399" t="str">
        <f t="shared" si="28"/>
        <v xml:space="preserve">LED Specialty Lamp </v>
      </c>
      <c r="F54" s="1775">
        <v>25</v>
      </c>
      <c r="G54" s="1775">
        <v>3.2</v>
      </c>
      <c r="H54" s="1776">
        <v>4380</v>
      </c>
      <c r="I54" s="1763">
        <v>1.056</v>
      </c>
      <c r="J54" s="1763">
        <v>1.032</v>
      </c>
      <c r="K54" s="1775">
        <v>1</v>
      </c>
      <c r="L54" s="711">
        <v>10</v>
      </c>
      <c r="M54" s="1763">
        <f t="shared" si="26"/>
        <v>0.93732108169668527</v>
      </c>
      <c r="U54" s="466"/>
      <c r="V54" s="670" t="s">
        <v>130</v>
      </c>
      <c r="W54" s="400">
        <v>25</v>
      </c>
      <c r="X54" s="400">
        <v>25</v>
      </c>
      <c r="Y54" s="17">
        <v>25</v>
      </c>
      <c r="Z54" s="17">
        <v>25</v>
      </c>
      <c r="AA54" s="17">
        <v>25</v>
      </c>
      <c r="AB54" s="400">
        <v>25</v>
      </c>
      <c r="AC54" s="922">
        <v>25</v>
      </c>
      <c r="AD54" s="20">
        <v>25</v>
      </c>
      <c r="AE54" s="112">
        <v>25</v>
      </c>
      <c r="AF54" s="17">
        <v>25</v>
      </c>
      <c r="AG54" s="378"/>
      <c r="AH54" s="21"/>
      <c r="AI54" s="744" t="s">
        <v>130</v>
      </c>
      <c r="AJ54" s="400">
        <v>3.2</v>
      </c>
      <c r="AK54" s="400">
        <v>3.2</v>
      </c>
      <c r="AL54" s="17">
        <v>3.2</v>
      </c>
      <c r="AM54" s="400">
        <v>3.2</v>
      </c>
      <c r="AN54" s="400">
        <v>3.2</v>
      </c>
      <c r="AO54" s="400">
        <v>3.2</v>
      </c>
      <c r="AP54" s="922">
        <v>3.2</v>
      </c>
      <c r="AQ54" s="20">
        <v>3.2</v>
      </c>
      <c r="AR54" s="17">
        <v>3.2</v>
      </c>
      <c r="AS54" s="17">
        <v>3.2</v>
      </c>
      <c r="AT54" s="21"/>
      <c r="AU54" s="744" t="s">
        <v>130</v>
      </c>
      <c r="AV54" s="2044">
        <v>4380</v>
      </c>
      <c r="AW54" s="820">
        <v>4380</v>
      </c>
      <c r="AX54" s="2044">
        <v>4380</v>
      </c>
      <c r="AY54" s="2044">
        <v>4380</v>
      </c>
      <c r="AZ54" s="2044">
        <v>4380</v>
      </c>
      <c r="BA54" s="2044">
        <v>4380</v>
      </c>
      <c r="BB54" s="2044">
        <v>4380</v>
      </c>
      <c r="BC54" s="960">
        <v>4380</v>
      </c>
      <c r="BD54" s="1069">
        <v>4380</v>
      </c>
      <c r="BE54" s="1069">
        <v>4380</v>
      </c>
      <c r="BF54" s="21"/>
      <c r="BG54" s="744" t="s">
        <v>130</v>
      </c>
      <c r="BH54" s="400">
        <v>1.07</v>
      </c>
      <c r="BI54" s="400">
        <v>1.07</v>
      </c>
      <c r="BJ54" s="378">
        <v>1.07</v>
      </c>
      <c r="BK54" s="18">
        <v>1.07</v>
      </c>
      <c r="BL54" s="18">
        <v>1.07</v>
      </c>
      <c r="BM54" s="17">
        <v>1.071</v>
      </c>
      <c r="BN54" s="922">
        <v>1.071</v>
      </c>
      <c r="BO54" s="695">
        <v>1.056</v>
      </c>
      <c r="BP54" s="1068">
        <v>1.056</v>
      </c>
      <c r="BQ54" s="1068">
        <v>1.056</v>
      </c>
      <c r="BR54" s="21"/>
      <c r="BS54" s="996" t="s">
        <v>130</v>
      </c>
      <c r="BT54" s="996"/>
      <c r="BU54" s="801"/>
      <c r="BV54" s="801"/>
      <c r="BW54" s="801"/>
      <c r="BX54" s="801"/>
      <c r="BY54" s="801"/>
      <c r="BZ54" s="801"/>
      <c r="CA54" s="695">
        <v>1.032</v>
      </c>
      <c r="CB54" s="1068">
        <v>1.032</v>
      </c>
      <c r="CC54" s="1068">
        <v>1.032</v>
      </c>
      <c r="CD54" s="656"/>
      <c r="CF54" s="996" t="s">
        <v>130</v>
      </c>
      <c r="CG54" s="400">
        <v>1</v>
      </c>
      <c r="CH54" s="17">
        <v>1</v>
      </c>
      <c r="CI54" s="400">
        <v>1</v>
      </c>
      <c r="CJ54" s="400">
        <v>1</v>
      </c>
      <c r="CK54" s="400">
        <v>1</v>
      </c>
      <c r="CL54" s="400">
        <v>1</v>
      </c>
      <c r="CM54" s="922">
        <v>1</v>
      </c>
      <c r="CN54" s="694">
        <v>1</v>
      </c>
      <c r="CO54" s="17">
        <v>1</v>
      </c>
      <c r="CP54" s="17">
        <v>1</v>
      </c>
      <c r="CQ54" s="378"/>
      <c r="CR54" s="21"/>
      <c r="CS54" s="996" t="s">
        <v>130</v>
      </c>
      <c r="CT54" s="19">
        <v>11</v>
      </c>
      <c r="CU54" s="22">
        <v>11</v>
      </c>
      <c r="CV54" s="2045">
        <v>11</v>
      </c>
      <c r="CW54" s="2045">
        <v>11</v>
      </c>
      <c r="CX54" s="2045">
        <v>11</v>
      </c>
      <c r="CY54" s="2045">
        <v>11</v>
      </c>
      <c r="CZ54" s="2046">
        <v>10</v>
      </c>
      <c r="DA54" s="961">
        <v>10</v>
      </c>
      <c r="DB54" s="19">
        <v>10</v>
      </c>
      <c r="DC54" s="19">
        <v>10</v>
      </c>
      <c r="DD54" s="378"/>
    </row>
    <row r="55" spans="1:114" ht="18.75" customHeight="1" collapsed="1" x14ac:dyDescent="0.25">
      <c r="D55" s="468"/>
      <c r="G55" s="252"/>
      <c r="H55" s="462"/>
      <c r="V55" s="8"/>
    </row>
    <row r="56" spans="1:114" ht="18.75" customHeight="1" x14ac:dyDescent="0.25">
      <c r="D56" s="468"/>
      <c r="G56" s="252"/>
      <c r="H56" s="462"/>
      <c r="V56" s="252"/>
      <c r="W56" s="8"/>
      <c r="CG56" s="2"/>
      <c r="CK56"/>
      <c r="CW56" s="2"/>
      <c r="DA56"/>
      <c r="DG56" s="252"/>
      <c r="DH56" s="774"/>
    </row>
    <row r="57" spans="1:114" s="7" customFormat="1" x14ac:dyDescent="0.25">
      <c r="A57" s="252"/>
      <c r="B57" s="2066" t="s">
        <v>131</v>
      </c>
      <c r="C57" s="2067"/>
      <c r="D57" s="2067"/>
      <c r="E57" s="2067"/>
      <c r="F57" s="2067"/>
      <c r="G57" s="2067"/>
      <c r="H57" s="2067"/>
      <c r="I57" s="2068"/>
      <c r="J57" s="2068"/>
      <c r="K57" s="2068"/>
      <c r="L57" s="2068"/>
      <c r="M57" s="2069"/>
      <c r="N57" s="2069"/>
      <c r="O57" s="2070"/>
      <c r="V57" s="1292" t="str">
        <f>B57</f>
        <v>Lighting Controls</v>
      </c>
      <c r="W57" s="1293"/>
      <c r="X57" s="1293"/>
      <c r="Y57" s="1293"/>
      <c r="Z57" s="1293"/>
      <c r="AA57" s="1293"/>
      <c r="AB57" s="1293"/>
      <c r="AC57" s="1293"/>
      <c r="AD57" s="1293"/>
      <c r="AE57" s="1293"/>
      <c r="AF57" s="1293"/>
      <c r="AG57" s="1293"/>
      <c r="AH57" s="1293"/>
      <c r="AI57" s="1327"/>
      <c r="AJ57" s="2"/>
      <c r="AK57" s="2"/>
      <c r="AL57" s="2"/>
      <c r="AM57" s="2"/>
      <c r="AN57" s="2"/>
      <c r="AO57" s="2"/>
      <c r="AP57" s="2"/>
      <c r="AQ57" s="2"/>
      <c r="AR57" s="2"/>
      <c r="AS57" s="2"/>
      <c r="AT57" s="2"/>
      <c r="AU57" s="2"/>
      <c r="BS57" s="2"/>
      <c r="CK57" s="6"/>
      <c r="DE57" s="2"/>
      <c r="DF57" s="2"/>
      <c r="DG57" s="1017"/>
      <c r="DH57" s="64"/>
      <c r="DI57" s="64"/>
      <c r="DJ57" s="1059"/>
    </row>
    <row r="58" spans="1:114" ht="18.75" customHeight="1" x14ac:dyDescent="0.25">
      <c r="D58" s="468"/>
      <c r="G58" s="252"/>
      <c r="H58" s="462"/>
      <c r="V58" s="8"/>
    </row>
    <row r="59" spans="1:114" s="8" customFormat="1" ht="30" x14ac:dyDescent="0.25">
      <c r="A59" s="252"/>
      <c r="B59" s="64"/>
      <c r="C59" s="9" t="s">
        <v>42</v>
      </c>
      <c r="D59" s="1361" t="s">
        <v>43</v>
      </c>
      <c r="E59" s="1361" t="s">
        <v>44</v>
      </c>
      <c r="F59" s="1361" t="s">
        <v>132</v>
      </c>
      <c r="G59" s="1361" t="s">
        <v>46</v>
      </c>
      <c r="H59" s="10" t="s">
        <v>47</v>
      </c>
      <c r="I59" s="1361" t="s">
        <v>133</v>
      </c>
      <c r="J59" s="1361" t="s">
        <v>49</v>
      </c>
      <c r="K59" s="9" t="s">
        <v>50</v>
      </c>
      <c r="L59" s="9" t="s">
        <v>51</v>
      </c>
      <c r="M59" s="252"/>
      <c r="N59" s="252"/>
      <c r="O59" s="252"/>
      <c r="P59" s="252"/>
      <c r="Q59" s="252"/>
      <c r="R59" s="252"/>
      <c r="S59" s="116"/>
      <c r="T59" s="116"/>
      <c r="U59" s="116"/>
      <c r="V59" s="648" t="s">
        <v>52</v>
      </c>
      <c r="W59" s="649">
        <f>$W$8</f>
        <v>43252</v>
      </c>
      <c r="X59" s="649">
        <f>$X$8</f>
        <v>43465</v>
      </c>
      <c r="Y59" s="649">
        <f>$Y$8</f>
        <v>43800</v>
      </c>
      <c r="Z59" s="649">
        <f>$Z$8</f>
        <v>43862</v>
      </c>
      <c r="AA59" s="649">
        <f>$AA$8</f>
        <v>44013</v>
      </c>
      <c r="AB59" s="649">
        <v>44166</v>
      </c>
      <c r="AC59" s="649">
        <f>$AC$8</f>
        <v>44531</v>
      </c>
      <c r="AD59" s="649">
        <f>$AD$8</f>
        <v>44774</v>
      </c>
      <c r="AE59" s="649">
        <f>$AE$8</f>
        <v>45142</v>
      </c>
      <c r="AF59" s="649">
        <f>$AF$8</f>
        <v>45672</v>
      </c>
      <c r="AG59" s="649" t="str">
        <f>$AG$8</f>
        <v>-</v>
      </c>
      <c r="AI59" s="648" t="s">
        <v>52</v>
      </c>
      <c r="AJ59" s="649">
        <f t="shared" ref="AJ59:AS59" si="29">W59</f>
        <v>43252</v>
      </c>
      <c r="AK59" s="649">
        <f t="shared" si="29"/>
        <v>43465</v>
      </c>
      <c r="AL59" s="649">
        <f t="shared" si="29"/>
        <v>43800</v>
      </c>
      <c r="AM59" s="649">
        <f t="shared" si="29"/>
        <v>43862</v>
      </c>
      <c r="AN59" s="649">
        <f t="shared" si="29"/>
        <v>44013</v>
      </c>
      <c r="AO59" s="649">
        <f t="shared" si="29"/>
        <v>44166</v>
      </c>
      <c r="AP59" s="649">
        <f t="shared" si="29"/>
        <v>44531</v>
      </c>
      <c r="AQ59" s="649">
        <f t="shared" si="29"/>
        <v>44774</v>
      </c>
      <c r="AR59" s="649">
        <f t="shared" si="29"/>
        <v>45142</v>
      </c>
      <c r="AS59" s="649">
        <f t="shared" si="29"/>
        <v>45672</v>
      </c>
      <c r="AT59" s="2"/>
      <c r="AU59" s="648" t="s">
        <v>52</v>
      </c>
      <c r="AV59" s="649">
        <f>W59</f>
        <v>43252</v>
      </c>
      <c r="AW59" s="649">
        <f>X59</f>
        <v>43465</v>
      </c>
      <c r="AX59" s="649">
        <f>Y59</f>
        <v>43800</v>
      </c>
      <c r="AY59" s="649">
        <f>Z59</f>
        <v>43862</v>
      </c>
      <c r="AZ59" s="649">
        <f>AA59</f>
        <v>44013</v>
      </c>
      <c r="BA59" s="649">
        <v>44166</v>
      </c>
      <c r="BB59" s="649">
        <f>AC59</f>
        <v>44531</v>
      </c>
      <c r="BC59" s="649">
        <f>AD59</f>
        <v>44774</v>
      </c>
      <c r="BD59" s="649">
        <f>AE59</f>
        <v>45142</v>
      </c>
      <c r="BE59" s="649">
        <f>AF59</f>
        <v>45672</v>
      </c>
      <c r="BS59" s="2"/>
      <c r="DE59" s="2"/>
      <c r="DF59" s="2"/>
      <c r="DG59" s="1018" t="str">
        <f>$DG$8</f>
        <v>TRC (2025)</v>
      </c>
      <c r="DH59" s="776" t="str">
        <f>$DH$8</f>
        <v>Benefit Lookup</v>
      </c>
      <c r="DI59" s="776" t="str">
        <f>$DI$8</f>
        <v>Benefits (2025 $)</v>
      </c>
      <c r="DJ59" s="1118" t="str">
        <f>$DJ$8</f>
        <v>Incremental Cost (2025 $)</v>
      </c>
    </row>
    <row r="60" spans="1:114" x14ac:dyDescent="0.25">
      <c r="B60" s="252">
        <f t="shared" ref="B60:B61" si="30">VALUE(LEFT(C60,6))</f>
        <v>801010</v>
      </c>
      <c r="C60" s="668" t="s">
        <v>134</v>
      </c>
      <c r="D60" s="452" t="s">
        <v>80</v>
      </c>
      <c r="E60" s="469" t="s">
        <v>135</v>
      </c>
      <c r="F60" s="1865">
        <f>ROUND(F74*G74*H74*I74,2)</f>
        <v>150.15</v>
      </c>
      <c r="G60" s="452" t="s">
        <v>61</v>
      </c>
      <c r="H60" s="453">
        <f>VLOOKUP(G60,'CP FACTORS'!$A$26:$B$38,2,FALSE)</f>
        <v>1.899635E-4</v>
      </c>
      <c r="I60" s="470">
        <f>ROUND(H60*F60*J74,6)</f>
        <v>2.9436E-2</v>
      </c>
      <c r="J60" s="19">
        <v>10</v>
      </c>
      <c r="K60" s="1774">
        <v>65</v>
      </c>
      <c r="L60" s="454" t="s">
        <v>62</v>
      </c>
      <c r="S60" s="458"/>
      <c r="T60" s="459"/>
      <c r="V60" s="1343" t="s">
        <v>45</v>
      </c>
      <c r="W60" s="52"/>
      <c r="X60" s="52"/>
      <c r="Y60" s="52"/>
      <c r="Z60" s="68"/>
      <c r="AA60" s="1700">
        <v>111.87</v>
      </c>
      <c r="AB60" s="808">
        <v>118.87</v>
      </c>
      <c r="AC60" s="1719">
        <v>118.87</v>
      </c>
      <c r="AD60" s="1700">
        <v>117.2</v>
      </c>
      <c r="AE60" s="1700">
        <v>164.85</v>
      </c>
      <c r="AF60" s="258">
        <f>IF(F60&lt;&gt;"",F60,"")</f>
        <v>150.15</v>
      </c>
      <c r="AG60" s="68"/>
      <c r="AI60" s="1343" t="s">
        <v>49</v>
      </c>
      <c r="AJ60" s="651"/>
      <c r="AK60" s="651"/>
      <c r="AL60" s="651"/>
      <c r="AM60" s="68"/>
      <c r="AN60" s="645">
        <v>15</v>
      </c>
      <c r="AO60" s="736">
        <v>10</v>
      </c>
      <c r="AP60" s="809">
        <v>10</v>
      </c>
      <c r="AQ60" s="809">
        <v>10</v>
      </c>
      <c r="AR60" s="19">
        <v>10</v>
      </c>
      <c r="AS60" s="19">
        <v>10</v>
      </c>
      <c r="AU60" s="1343" t="s">
        <v>50</v>
      </c>
      <c r="AV60" s="652"/>
      <c r="AW60" s="652"/>
      <c r="AX60" s="652"/>
      <c r="AY60" s="647"/>
      <c r="AZ60" s="647">
        <v>45</v>
      </c>
      <c r="BA60" s="669">
        <v>45</v>
      </c>
      <c r="BB60" s="669">
        <v>45</v>
      </c>
      <c r="BC60" s="669">
        <v>45</v>
      </c>
      <c r="BD60" s="1070">
        <v>45</v>
      </c>
      <c r="BE60" s="1722">
        <f>K60</f>
        <v>65</v>
      </c>
      <c r="DG60" s="590">
        <f>(DI60)/(DJ60)</f>
        <v>1.3273616282337573</v>
      </c>
      <c r="DH60" s="1330" t="str">
        <f>CONCATENATE(G60," ",J60," Year EUL")</f>
        <v>Lighting BUS 10 Year EUL</v>
      </c>
      <c r="DI60" s="431">
        <f>(INDEX('Avoided Cost Benefits'!$B$4:$B$865,MATCH(DH60,'Avoided Cost Benefits'!$A$4:$A$865,0)))*F60</f>
        <v>86.278505835194224</v>
      </c>
      <c r="DJ60" s="1935">
        <f>IFERROR(K60/((1+DiscountRate)^(CurrentYear-DiscountYear)),0)</f>
        <v>65</v>
      </c>
    </row>
    <row r="61" spans="1:114" x14ac:dyDescent="0.25">
      <c r="B61" s="252">
        <f t="shared" si="30"/>
        <v>801020</v>
      </c>
      <c r="C61" s="668" t="s">
        <v>136</v>
      </c>
      <c r="D61" s="452" t="str">
        <f>$D$60</f>
        <v>BSS</v>
      </c>
      <c r="E61" s="469" t="s">
        <v>137</v>
      </c>
      <c r="F61" s="1865">
        <f>ROUND(F75*G75*H75*I75,2)</f>
        <v>545.92999999999995</v>
      </c>
      <c r="G61" s="452" t="s">
        <v>61</v>
      </c>
      <c r="H61" s="453">
        <f>VLOOKUP(G61,'CP FACTORS'!$A$26:$B$38,2,FALSE)</f>
        <v>1.899635E-4</v>
      </c>
      <c r="I61" s="470">
        <f>ROUND(H61*F61*J75,6)</f>
        <v>0.107025</v>
      </c>
      <c r="J61" s="19">
        <v>10</v>
      </c>
      <c r="K61" s="1774">
        <v>105</v>
      </c>
      <c r="L61" s="454" t="s">
        <v>62</v>
      </c>
      <c r="S61" s="458"/>
      <c r="T61" s="459"/>
      <c r="V61" s="1343" t="s">
        <v>45</v>
      </c>
      <c r="W61" s="52"/>
      <c r="X61" s="52"/>
      <c r="Y61" s="52"/>
      <c r="Z61" s="52"/>
      <c r="AA61" s="1700">
        <v>290.86</v>
      </c>
      <c r="AB61" s="808">
        <v>291.13</v>
      </c>
      <c r="AC61" s="1719">
        <v>291.13</v>
      </c>
      <c r="AD61" s="1700">
        <v>287.06</v>
      </c>
      <c r="AE61" s="1700">
        <v>241.34</v>
      </c>
      <c r="AF61" s="258">
        <f>IF(F61&lt;&gt;"",F61,"")</f>
        <v>545.92999999999995</v>
      </c>
      <c r="AG61" s="52"/>
      <c r="AI61" s="1343" t="s">
        <v>49</v>
      </c>
      <c r="AJ61" s="651"/>
      <c r="AK61" s="651"/>
      <c r="AL61" s="651"/>
      <c r="AM61" s="52"/>
      <c r="AN61" s="645">
        <v>15</v>
      </c>
      <c r="AO61" s="736">
        <v>10</v>
      </c>
      <c r="AP61" s="809">
        <v>10</v>
      </c>
      <c r="AQ61" s="809">
        <v>10</v>
      </c>
      <c r="AR61" s="19">
        <v>10</v>
      </c>
      <c r="AS61" s="19">
        <v>10</v>
      </c>
      <c r="AU61" s="1343" t="s">
        <v>50</v>
      </c>
      <c r="AV61" s="652"/>
      <c r="AW61" s="652"/>
      <c r="AX61" s="652"/>
      <c r="AY61" s="647"/>
      <c r="AZ61" s="647">
        <v>105</v>
      </c>
      <c r="BA61" s="669">
        <v>105</v>
      </c>
      <c r="BB61" s="669">
        <v>105</v>
      </c>
      <c r="BC61" s="669">
        <v>105</v>
      </c>
      <c r="BD61" s="1070">
        <v>105</v>
      </c>
      <c r="BE61" s="1722">
        <f>K61</f>
        <v>105</v>
      </c>
      <c r="DG61" s="590">
        <f>(DI61)/(DJ61)</f>
        <v>2.9876171251356629</v>
      </c>
      <c r="DH61" s="1330" t="str">
        <f>CONCATENATE(G61," ",J61," Year EUL")</f>
        <v>Lighting BUS 10 Year EUL</v>
      </c>
      <c r="DI61" s="431">
        <f>(INDEX('Avoided Cost Benefits'!$B$4:$B$865,MATCH(DH61,'Avoided Cost Benefits'!$A$4:$A$865,0)))*F61</f>
        <v>313.69979813924459</v>
      </c>
      <c r="DJ61" s="1936">
        <f>IFERROR(K61/((1+DiscountRate)^(CurrentYear-DiscountYear)),0)</f>
        <v>105</v>
      </c>
    </row>
    <row r="62" spans="1:114" x14ac:dyDescent="0.25">
      <c r="D62" s="1668"/>
      <c r="E62" s="468"/>
      <c r="F62" s="473"/>
      <c r="G62" s="1668"/>
      <c r="H62" s="451"/>
      <c r="I62" s="1866"/>
      <c r="J62" s="1866"/>
      <c r="K62" s="1866"/>
      <c r="L62" s="1670"/>
      <c r="P62" s="456"/>
      <c r="S62" s="458"/>
      <c r="T62" s="459"/>
      <c r="U62" s="459"/>
      <c r="V62" s="459"/>
      <c r="W62" s="459"/>
      <c r="X62" s="459"/>
      <c r="Y62" s="459"/>
      <c r="Z62" s="459"/>
      <c r="AA62" s="1734"/>
      <c r="AB62" s="1734"/>
      <c r="AC62" s="1734"/>
      <c r="AD62" s="1734"/>
      <c r="AE62" s="1734"/>
      <c r="AF62" s="1734"/>
      <c r="AG62" s="459"/>
      <c r="AH62" s="459"/>
      <c r="AI62" s="459"/>
      <c r="AJ62" s="459"/>
      <c r="AK62" s="459"/>
      <c r="AL62" s="459"/>
      <c r="AM62" s="459"/>
      <c r="AN62" s="459"/>
      <c r="AO62" s="459"/>
      <c r="AP62" s="459"/>
      <c r="AQ62" s="459"/>
      <c r="AR62" s="459"/>
      <c r="AS62" s="459"/>
      <c r="AT62" s="459"/>
      <c r="AU62" s="459"/>
      <c r="AV62" s="459"/>
      <c r="AW62" s="459"/>
      <c r="AX62" s="459"/>
      <c r="AY62" s="459"/>
      <c r="AZ62" s="459"/>
      <c r="BA62" s="459"/>
      <c r="BB62" s="459"/>
      <c r="BC62" s="459"/>
      <c r="BD62" s="459"/>
      <c r="BE62" s="459"/>
      <c r="BF62" s="459"/>
      <c r="BG62" s="459"/>
      <c r="BH62" s="459"/>
      <c r="DG62" s="1023"/>
      <c r="DH62" s="1023"/>
      <c r="DI62" s="1023"/>
      <c r="DJ62" s="1023"/>
    </row>
    <row r="63" spans="1:114" hidden="1" outlineLevel="1" x14ac:dyDescent="0.25">
      <c r="D63" s="74" t="s">
        <v>94</v>
      </c>
      <c r="E63" s="108" t="s">
        <v>138</v>
      </c>
      <c r="F63" s="7"/>
      <c r="G63" s="7"/>
      <c r="H63" s="460"/>
      <c r="I63" s="7"/>
      <c r="J63" s="7"/>
      <c r="K63" s="7"/>
      <c r="V63" s="252"/>
      <c r="W63" s="252"/>
      <c r="X63" s="252"/>
      <c r="Y63" s="252"/>
      <c r="Z63" s="252"/>
      <c r="AA63" s="1735"/>
      <c r="AB63" s="1735"/>
      <c r="AC63" s="1735"/>
      <c r="AD63" s="1735"/>
      <c r="AE63" s="1735"/>
      <c r="AF63" s="1735"/>
      <c r="AG63" s="252"/>
      <c r="AH63" s="252"/>
      <c r="AI63" s="252"/>
      <c r="AJ63" s="252"/>
      <c r="AK63" s="252"/>
      <c r="AL63" s="252"/>
      <c r="AM63" s="252"/>
      <c r="AN63" s="252"/>
      <c r="AO63" s="252"/>
      <c r="AP63" s="252"/>
      <c r="AQ63" s="252"/>
      <c r="AR63" s="252"/>
      <c r="AS63" s="252"/>
      <c r="AT63" s="252"/>
      <c r="AU63" s="252"/>
      <c r="AV63" s="252"/>
      <c r="AW63" s="252"/>
      <c r="AX63" s="252"/>
      <c r="AY63" s="252"/>
      <c r="AZ63" s="252"/>
      <c r="BA63" s="252"/>
      <c r="BB63" s="252"/>
      <c r="BC63" s="252"/>
      <c r="BD63" s="252"/>
      <c r="BE63" s="252"/>
      <c r="BF63" s="252"/>
      <c r="BG63" s="252"/>
      <c r="BH63" s="252"/>
      <c r="DG63" s="1023"/>
      <c r="DH63" s="1023"/>
      <c r="DI63" s="1023"/>
      <c r="DJ63" s="1023"/>
    </row>
    <row r="64" spans="1:114" hidden="1" outlineLevel="1" x14ac:dyDescent="0.25">
      <c r="D64" s="7" t="s">
        <v>96</v>
      </c>
      <c r="E64" s="7"/>
      <c r="F64" s="7"/>
      <c r="G64" s="7"/>
      <c r="H64" s="460"/>
      <c r="I64" s="7"/>
      <c r="J64" s="7"/>
      <c r="K64" s="7"/>
      <c r="V64" s="252"/>
      <c r="W64" s="252"/>
      <c r="X64" s="252"/>
      <c r="Y64" s="252"/>
      <c r="Z64" s="252"/>
      <c r="AA64" s="1735"/>
      <c r="AB64" s="1735"/>
      <c r="AC64" s="1735"/>
      <c r="AD64" s="1735"/>
      <c r="AE64" s="1735"/>
      <c r="AF64" s="1735"/>
      <c r="AG64" s="252"/>
      <c r="AH64" s="252"/>
      <c r="AI64" s="252"/>
      <c r="AJ64" s="252"/>
      <c r="AK64" s="252"/>
      <c r="AL64" s="252"/>
      <c r="AM64" s="252"/>
      <c r="AN64" s="252"/>
      <c r="AO64" s="252"/>
      <c r="AP64" s="252"/>
      <c r="AQ64" s="252"/>
      <c r="AR64" s="252"/>
      <c r="AS64" s="252"/>
      <c r="AT64" s="252"/>
      <c r="AU64" s="252"/>
      <c r="AV64" s="252"/>
      <c r="AW64" s="252"/>
      <c r="AX64" s="252"/>
      <c r="AY64" s="252"/>
      <c r="AZ64" s="252"/>
      <c r="BA64" s="252"/>
      <c r="BB64" s="252"/>
      <c r="BC64" s="252"/>
      <c r="BD64" s="252"/>
      <c r="BE64" s="252"/>
      <c r="BF64" s="252"/>
      <c r="BG64" s="252"/>
      <c r="BH64" s="252"/>
      <c r="DG64" s="1023"/>
      <c r="DH64" s="1023"/>
      <c r="DI64" s="1023"/>
      <c r="DJ64" s="1023"/>
    </row>
    <row r="65" spans="1:114" hidden="1" outlineLevel="1" x14ac:dyDescent="0.25">
      <c r="D65" s="461"/>
      <c r="G65" s="252"/>
      <c r="H65" s="462"/>
      <c r="M65" s="7"/>
      <c r="AA65" s="1729"/>
      <c r="AB65" s="1729"/>
      <c r="AC65" s="1729"/>
      <c r="AD65" s="1729"/>
      <c r="AE65" s="1729"/>
      <c r="AF65" s="1729"/>
      <c r="DG65" s="1023"/>
      <c r="DH65" s="1023"/>
      <c r="DI65" s="1023"/>
      <c r="DJ65" s="1023"/>
    </row>
    <row r="66" spans="1:114" hidden="1" outlineLevel="1" x14ac:dyDescent="0.25">
      <c r="D66" s="461"/>
      <c r="G66" s="252"/>
      <c r="H66" s="462"/>
      <c r="M66" s="7"/>
      <c r="DG66" s="1023"/>
      <c r="DH66" s="1023"/>
      <c r="DI66" s="1023"/>
      <c r="DJ66" s="1023"/>
    </row>
    <row r="67" spans="1:114" hidden="1" outlineLevel="1" x14ac:dyDescent="0.25">
      <c r="D67" s="461"/>
      <c r="G67" s="252"/>
      <c r="H67" s="462"/>
      <c r="M67" s="7"/>
    </row>
    <row r="68" spans="1:114" hidden="1" outlineLevel="1" x14ac:dyDescent="0.25">
      <c r="D68" s="461"/>
      <c r="G68" s="252"/>
      <c r="H68" s="462"/>
      <c r="M68" s="7"/>
    </row>
    <row r="69" spans="1:114" hidden="1" outlineLevel="1" x14ac:dyDescent="0.25">
      <c r="D69" s="461"/>
      <c r="G69" s="252"/>
      <c r="H69" s="462"/>
      <c r="M69" s="7"/>
    </row>
    <row r="70" spans="1:114" hidden="1" outlineLevel="1" x14ac:dyDescent="0.25">
      <c r="D70" s="461"/>
      <c r="G70" s="252"/>
      <c r="H70" s="462"/>
      <c r="M70" s="7"/>
    </row>
    <row r="71" spans="1:114" hidden="1" outlineLevel="1" x14ac:dyDescent="0.25">
      <c r="D71" s="461"/>
      <c r="G71" s="252"/>
      <c r="H71" s="462"/>
      <c r="M71" s="7"/>
    </row>
    <row r="72" spans="1:114" hidden="1" outlineLevel="1" x14ac:dyDescent="0.25">
      <c r="D72" s="461"/>
      <c r="G72" s="252"/>
      <c r="H72" s="462"/>
      <c r="V72" s="817" t="s">
        <v>52</v>
      </c>
      <c r="W72" s="649">
        <f>$W$8</f>
        <v>43252</v>
      </c>
      <c r="X72" s="649">
        <f>$X$8</f>
        <v>43465</v>
      </c>
      <c r="Y72" s="649">
        <f>$Y$8</f>
        <v>43800</v>
      </c>
      <c r="Z72" s="649">
        <f>$Z$8</f>
        <v>43862</v>
      </c>
      <c r="AA72" s="649">
        <f>$AA$8</f>
        <v>44013</v>
      </c>
      <c r="AB72" s="649">
        <v>44166</v>
      </c>
      <c r="AC72" s="649">
        <f>$AC$8</f>
        <v>44531</v>
      </c>
      <c r="AD72" s="649">
        <f>$AD$8</f>
        <v>44774</v>
      </c>
      <c r="AE72" s="649">
        <f>$AE$8</f>
        <v>45142</v>
      </c>
      <c r="AF72" s="649">
        <f>$AF$8</f>
        <v>45672</v>
      </c>
      <c r="AG72" s="649" t="str">
        <f>$AG$8</f>
        <v>-</v>
      </c>
      <c r="AI72" s="817" t="s">
        <v>52</v>
      </c>
      <c r="AJ72" s="649">
        <f t="shared" ref="AJ72:AS72" si="31">W72</f>
        <v>43252</v>
      </c>
      <c r="AK72" s="649">
        <f t="shared" si="31"/>
        <v>43465</v>
      </c>
      <c r="AL72" s="649">
        <f t="shared" si="31"/>
        <v>43800</v>
      </c>
      <c r="AM72" s="649">
        <f t="shared" si="31"/>
        <v>43862</v>
      </c>
      <c r="AN72" s="649">
        <f t="shared" si="31"/>
        <v>44013</v>
      </c>
      <c r="AO72" s="649">
        <f t="shared" si="31"/>
        <v>44166</v>
      </c>
      <c r="AP72" s="649">
        <f t="shared" si="31"/>
        <v>44531</v>
      </c>
      <c r="AQ72" s="649">
        <f t="shared" si="31"/>
        <v>44774</v>
      </c>
      <c r="AR72" s="649">
        <f t="shared" si="31"/>
        <v>45142</v>
      </c>
      <c r="AS72" s="649">
        <f t="shared" si="31"/>
        <v>45672</v>
      </c>
      <c r="AU72" s="817" t="s">
        <v>52</v>
      </c>
      <c r="AV72" s="649">
        <f>W72</f>
        <v>43252</v>
      </c>
      <c r="AW72" s="649">
        <f>X72</f>
        <v>43465</v>
      </c>
      <c r="AX72" s="649">
        <f>Y72</f>
        <v>43800</v>
      </c>
      <c r="AY72" s="649">
        <f>Z72</f>
        <v>43862</v>
      </c>
      <c r="AZ72" s="649">
        <f>AA72</f>
        <v>44013</v>
      </c>
      <c r="BA72" s="649">
        <v>44166</v>
      </c>
      <c r="BB72" s="649">
        <f>AC72</f>
        <v>44531</v>
      </c>
      <c r="BC72" s="649">
        <f>AD72</f>
        <v>44774</v>
      </c>
      <c r="BD72" s="649">
        <f>AE72</f>
        <v>45142</v>
      </c>
      <c r="BE72" s="649">
        <f>AF72</f>
        <v>45672</v>
      </c>
      <c r="BG72" s="817" t="s">
        <v>52</v>
      </c>
      <c r="BH72" s="649">
        <f>$W$8</f>
        <v>43252</v>
      </c>
      <c r="BI72" s="649">
        <f>$X$8</f>
        <v>43465</v>
      </c>
      <c r="BJ72" s="649">
        <f>$Y$8</f>
        <v>43800</v>
      </c>
      <c r="BK72" s="649">
        <f>$Z$8</f>
        <v>43862</v>
      </c>
      <c r="BL72" s="649">
        <f>$AA$8</f>
        <v>44013</v>
      </c>
      <c r="BM72" s="649">
        <v>44166</v>
      </c>
      <c r="BN72" s="649">
        <f>$AC$8</f>
        <v>44531</v>
      </c>
      <c r="BO72" s="649">
        <f>$AD$8</f>
        <v>44774</v>
      </c>
      <c r="BP72" s="649">
        <f>$AE$8</f>
        <v>45142</v>
      </c>
      <c r="BQ72" s="649">
        <f>$AF$8</f>
        <v>45672</v>
      </c>
      <c r="BS72" s="968" t="s">
        <v>52</v>
      </c>
      <c r="BT72" s="962">
        <f>$W$8</f>
        <v>43252</v>
      </c>
      <c r="BU72" s="962">
        <f>$X$8</f>
        <v>43465</v>
      </c>
      <c r="BV72" s="962">
        <f>$Y$8</f>
        <v>43800</v>
      </c>
      <c r="BW72" s="962">
        <f>$Z$8</f>
        <v>43862</v>
      </c>
      <c r="BX72" s="962">
        <f>$AA$8</f>
        <v>44013</v>
      </c>
      <c r="BY72" s="962">
        <v>44166</v>
      </c>
      <c r="BZ72" s="962">
        <f>$AC$8</f>
        <v>44531</v>
      </c>
      <c r="CA72" s="962">
        <f>$AD$8</f>
        <v>44774</v>
      </c>
      <c r="CB72" s="962">
        <f>$AE$8</f>
        <v>45142</v>
      </c>
      <c r="CC72" s="962">
        <f>$AF$8</f>
        <v>45672</v>
      </c>
      <c r="CD72" s="962" t="str">
        <f>$AG$8</f>
        <v>-</v>
      </c>
      <c r="CG72" s="2"/>
      <c r="CK72"/>
      <c r="CW72" s="2"/>
      <c r="DA72"/>
      <c r="DG72" s="252"/>
      <c r="DH72" s="774"/>
    </row>
    <row r="73" spans="1:114" s="8" customFormat="1" ht="30" hidden="1" outlineLevel="1" x14ac:dyDescent="0.25">
      <c r="A73" s="252"/>
      <c r="B73" s="116"/>
      <c r="C73" s="64"/>
      <c r="D73" s="9" t="s">
        <v>42</v>
      </c>
      <c r="E73" s="1361" t="s">
        <v>98</v>
      </c>
      <c r="F73" s="1361" t="s">
        <v>139</v>
      </c>
      <c r="G73" s="1361" t="s">
        <v>140</v>
      </c>
      <c r="H73" s="10" t="s">
        <v>141</v>
      </c>
      <c r="I73" s="682" t="s">
        <v>102</v>
      </c>
      <c r="J73" s="682" t="s">
        <v>103</v>
      </c>
      <c r="K73" s="50"/>
      <c r="L73" s="64"/>
      <c r="M73" s="116"/>
      <c r="N73" s="116"/>
      <c r="O73" s="116"/>
      <c r="P73" s="116"/>
      <c r="Q73" s="116"/>
      <c r="R73" s="116"/>
      <c r="S73" s="116"/>
      <c r="T73" s="116"/>
      <c r="U73" s="116"/>
      <c r="V73" s="817" t="s">
        <v>42</v>
      </c>
      <c r="W73" s="995" t="str">
        <f>$F$73</f>
        <v>kWControlled</v>
      </c>
      <c r="X73" s="14" t="str">
        <f t="shared" ref="X73:AG73" si="32">$F$73</f>
        <v>kWControlled</v>
      </c>
      <c r="Y73" s="14" t="str">
        <f t="shared" si="32"/>
        <v>kWControlled</v>
      </c>
      <c r="Z73" s="14" t="str">
        <f t="shared" si="32"/>
        <v>kWControlled</v>
      </c>
      <c r="AA73" s="14" t="str">
        <f t="shared" si="32"/>
        <v>kWControlled</v>
      </c>
      <c r="AB73" s="14" t="s">
        <v>139</v>
      </c>
      <c r="AC73" s="14" t="str">
        <f t="shared" si="32"/>
        <v>kWControlled</v>
      </c>
      <c r="AD73" s="14" t="str">
        <f t="shared" si="32"/>
        <v>kWControlled</v>
      </c>
      <c r="AE73" s="14" t="str">
        <f t="shared" si="32"/>
        <v>kWControlled</v>
      </c>
      <c r="AF73" s="14" t="str">
        <f t="shared" si="32"/>
        <v>kWControlled</v>
      </c>
      <c r="AG73" s="14" t="str">
        <f t="shared" si="32"/>
        <v>kWControlled</v>
      </c>
      <c r="AI73" s="817" t="s">
        <v>42</v>
      </c>
      <c r="AJ73" s="14" t="str">
        <f t="shared" ref="AJ73:AS73" si="33">$G$73</f>
        <v>Hours</v>
      </c>
      <c r="AK73" s="14" t="str">
        <f t="shared" si="33"/>
        <v>Hours</v>
      </c>
      <c r="AL73" s="14" t="str">
        <f t="shared" si="33"/>
        <v>Hours</v>
      </c>
      <c r="AM73" s="14" t="str">
        <f t="shared" si="33"/>
        <v>Hours</v>
      </c>
      <c r="AN73" s="14" t="str">
        <f t="shared" si="33"/>
        <v>Hours</v>
      </c>
      <c r="AO73" s="14" t="str">
        <f t="shared" si="33"/>
        <v>Hours</v>
      </c>
      <c r="AP73" s="14" t="str">
        <f t="shared" si="33"/>
        <v>Hours</v>
      </c>
      <c r="AQ73" s="14" t="str">
        <f t="shared" si="33"/>
        <v>Hours</v>
      </c>
      <c r="AR73" s="14" t="str">
        <f t="shared" si="33"/>
        <v>Hours</v>
      </c>
      <c r="AS73" s="14" t="str">
        <f t="shared" si="33"/>
        <v>Hours</v>
      </c>
      <c r="AU73" s="817" t="s">
        <v>42</v>
      </c>
      <c r="AV73" s="15" t="str">
        <f t="shared" ref="AV73:BE73" si="34">$H$73</f>
        <v>ESF</v>
      </c>
      <c r="AW73" s="15" t="str">
        <f t="shared" si="34"/>
        <v>ESF</v>
      </c>
      <c r="AX73" s="15" t="str">
        <f t="shared" si="34"/>
        <v>ESF</v>
      </c>
      <c r="AY73" s="15" t="str">
        <f t="shared" si="34"/>
        <v>ESF</v>
      </c>
      <c r="AZ73" s="15" t="str">
        <f t="shared" si="34"/>
        <v>ESF</v>
      </c>
      <c r="BA73" s="15" t="s">
        <v>141</v>
      </c>
      <c r="BB73" s="15" t="str">
        <f t="shared" si="34"/>
        <v>ESF</v>
      </c>
      <c r="BC73" s="15" t="str">
        <f t="shared" si="34"/>
        <v>ESF</v>
      </c>
      <c r="BD73" s="15" t="str">
        <f t="shared" si="34"/>
        <v>ESF</v>
      </c>
      <c r="BE73" s="15" t="str">
        <f t="shared" si="34"/>
        <v>ESF</v>
      </c>
      <c r="BG73" s="817" t="s">
        <v>42</v>
      </c>
      <c r="BH73" s="15" t="str">
        <f>$I$73</f>
        <v>WHFe + -IFkWh</v>
      </c>
      <c r="BI73" s="15" t="str">
        <f t="shared" ref="BI73:BQ73" si="35">$I$73</f>
        <v>WHFe + -IFkWh</v>
      </c>
      <c r="BJ73" s="15" t="str">
        <f t="shared" si="35"/>
        <v>WHFe + -IFkWh</v>
      </c>
      <c r="BK73" s="15" t="str">
        <f t="shared" si="35"/>
        <v>WHFe + -IFkWh</v>
      </c>
      <c r="BL73" s="15" t="str">
        <f t="shared" si="35"/>
        <v>WHFe + -IFkWh</v>
      </c>
      <c r="BM73" s="15" t="s">
        <v>102</v>
      </c>
      <c r="BN73" s="15" t="str">
        <f t="shared" si="35"/>
        <v>WHFe + -IFkWh</v>
      </c>
      <c r="BO73" s="15" t="str">
        <f t="shared" si="35"/>
        <v>WHFe + -IFkWh</v>
      </c>
      <c r="BP73" s="15" t="str">
        <f t="shared" si="35"/>
        <v>WHFe + -IFkWh</v>
      </c>
      <c r="BQ73" s="15" t="str">
        <f t="shared" si="35"/>
        <v>WHFe + -IFkWh</v>
      </c>
      <c r="BR73" s="2"/>
      <c r="BS73" s="963" t="s">
        <v>42</v>
      </c>
      <c r="BT73" s="963" t="s">
        <v>103</v>
      </c>
      <c r="BU73" s="963" t="s">
        <v>103</v>
      </c>
      <c r="BV73" s="963" t="s">
        <v>103</v>
      </c>
      <c r="BW73" s="963" t="s">
        <v>103</v>
      </c>
      <c r="BX73" s="963" t="s">
        <v>103</v>
      </c>
      <c r="BY73" s="963" t="s">
        <v>103</v>
      </c>
      <c r="BZ73" s="963" t="s">
        <v>103</v>
      </c>
      <c r="CA73" s="963" t="s">
        <v>103</v>
      </c>
      <c r="CB73" s="963" t="s">
        <v>103</v>
      </c>
      <c r="CC73" s="963" t="s">
        <v>103</v>
      </c>
      <c r="CD73" s="963" t="s">
        <v>103</v>
      </c>
      <c r="CF73" s="2"/>
      <c r="DE73" s="2"/>
      <c r="DF73" s="2"/>
      <c r="DG73" s="116"/>
      <c r="DH73" s="1023"/>
      <c r="DI73" s="116"/>
      <c r="DJ73" s="1116"/>
    </row>
    <row r="74" spans="1:114" s="8" customFormat="1" hidden="1" outlineLevel="1" x14ac:dyDescent="0.25">
      <c r="A74" s="252"/>
      <c r="B74" s="116"/>
      <c r="C74" s="64"/>
      <c r="D74" s="659" t="str">
        <f>C60</f>
        <v>801010_2024_12_</v>
      </c>
      <c r="E74" s="463" t="str">
        <f>E60</f>
        <v>Fixture Mounted Occupancy Sensor Controlling &gt; 60 Watts, &lt;200 Watts</v>
      </c>
      <c r="F74" s="1761">
        <v>0.13800000000000001</v>
      </c>
      <c r="G74" s="1792">
        <v>4293.1629845769066</v>
      </c>
      <c r="H74" s="1762">
        <v>0.24</v>
      </c>
      <c r="I74" s="1763">
        <v>1.056</v>
      </c>
      <c r="J74" s="1763">
        <v>1.032</v>
      </c>
      <c r="K74" s="50"/>
      <c r="L74" s="64"/>
      <c r="M74" s="116"/>
      <c r="N74" s="116"/>
      <c r="O74" s="116"/>
      <c r="P74" s="116"/>
      <c r="Q74" s="116"/>
      <c r="R74" s="116"/>
      <c r="S74" s="116"/>
      <c r="T74" s="116"/>
      <c r="U74" s="116"/>
      <c r="V74" s="659" t="s">
        <v>142</v>
      </c>
      <c r="W74" s="52"/>
      <c r="X74" s="52"/>
      <c r="Y74" s="52"/>
      <c r="Z74" s="68"/>
      <c r="AA74" s="734">
        <v>0.13</v>
      </c>
      <c r="AB74" s="733">
        <v>0.13800000000000001</v>
      </c>
      <c r="AC74" s="807">
        <v>0.13800000000000001</v>
      </c>
      <c r="AD74" s="992">
        <v>0.13800000000000001</v>
      </c>
      <c r="AE74" s="68">
        <v>0.13800000000000001</v>
      </c>
      <c r="AF74" s="68">
        <v>0.13800000000000001</v>
      </c>
      <c r="AG74" s="68"/>
      <c r="AH74" s="2"/>
      <c r="AI74" s="659" t="s">
        <v>142</v>
      </c>
      <c r="AJ74" s="52"/>
      <c r="AK74" s="52"/>
      <c r="AL74" s="68"/>
      <c r="AM74" s="68"/>
      <c r="AN74" s="298">
        <v>3351</v>
      </c>
      <c r="AO74" s="735">
        <v>3351</v>
      </c>
      <c r="AP74" s="808">
        <v>3351</v>
      </c>
      <c r="AQ74" s="993">
        <v>3351</v>
      </c>
      <c r="AR74" s="993">
        <v>4713.4677103718195</v>
      </c>
      <c r="AS74" s="265">
        <v>4293.1629845769066</v>
      </c>
      <c r="AT74" s="2"/>
      <c r="AU74" s="659" t="s">
        <v>142</v>
      </c>
      <c r="AV74" s="52"/>
      <c r="AW74" s="52"/>
      <c r="AX74" s="68"/>
      <c r="AY74" s="68"/>
      <c r="AZ74" s="656">
        <v>0.24</v>
      </c>
      <c r="BA74" s="737">
        <v>0.24</v>
      </c>
      <c r="BB74" s="737">
        <v>0.24</v>
      </c>
      <c r="BC74" s="994">
        <v>0.24</v>
      </c>
      <c r="BD74" s="994">
        <v>0.24</v>
      </c>
      <c r="BE74" s="994">
        <v>0.24</v>
      </c>
      <c r="BF74" s="2"/>
      <c r="BG74" s="659" t="s">
        <v>142</v>
      </c>
      <c r="BH74" s="52"/>
      <c r="BI74" s="52"/>
      <c r="BJ74" s="52"/>
      <c r="BK74" s="68"/>
      <c r="BL74" s="656">
        <v>1.07</v>
      </c>
      <c r="BM74" s="628">
        <v>1.071</v>
      </c>
      <c r="BN74" s="628">
        <v>1.071</v>
      </c>
      <c r="BO74" s="695">
        <v>1.056</v>
      </c>
      <c r="BP74" s="1068">
        <v>1.056</v>
      </c>
      <c r="BQ74" s="1068">
        <v>1.056</v>
      </c>
      <c r="BR74" s="2"/>
      <c r="BS74" s="650" t="s">
        <v>142</v>
      </c>
      <c r="BT74" s="801"/>
      <c r="BU74" s="801"/>
      <c r="BV74" s="801"/>
      <c r="BW74" s="801"/>
      <c r="BX74" s="801"/>
      <c r="BY74" s="801"/>
      <c r="BZ74" s="801"/>
      <c r="CA74" s="695">
        <v>1.032</v>
      </c>
      <c r="CB74" s="1068">
        <v>1.032</v>
      </c>
      <c r="CC74" s="1068">
        <v>1.032</v>
      </c>
      <c r="CD74" s="656"/>
      <c r="CF74" s="2"/>
      <c r="DE74" s="2"/>
      <c r="DF74" s="2"/>
      <c r="DG74" s="116"/>
      <c r="DH74" s="1023"/>
      <c r="DI74" s="116"/>
      <c r="DJ74" s="1116"/>
    </row>
    <row r="75" spans="1:114" s="8" customFormat="1" hidden="1" outlineLevel="1" x14ac:dyDescent="0.25">
      <c r="A75" s="252"/>
      <c r="B75" s="116"/>
      <c r="C75" s="64"/>
      <c r="D75" s="659" t="str">
        <f>C61</f>
        <v>801020_2024_12_</v>
      </c>
      <c r="E75" s="463" t="str">
        <f>E61</f>
        <v>Remote Mounted Occupancy Sensor Controlling &gt; 150 Watts</v>
      </c>
      <c r="F75" s="1761">
        <v>0.33800000000000002</v>
      </c>
      <c r="G75" s="1792">
        <v>6373.0262361251262</v>
      </c>
      <c r="H75" s="1762">
        <v>0.24</v>
      </c>
      <c r="I75" s="1763">
        <v>1.056</v>
      </c>
      <c r="J75" s="1763">
        <v>1.032</v>
      </c>
      <c r="K75" s="50"/>
      <c r="L75" s="64"/>
      <c r="M75" s="116"/>
      <c r="N75" s="116"/>
      <c r="O75" s="116"/>
      <c r="P75" s="116"/>
      <c r="Q75" s="116"/>
      <c r="R75" s="116"/>
      <c r="S75" s="116"/>
      <c r="T75" s="116"/>
      <c r="U75" s="116"/>
      <c r="V75" s="659" t="s">
        <v>143</v>
      </c>
      <c r="W75" s="52"/>
      <c r="X75" s="52"/>
      <c r="Y75" s="52"/>
      <c r="Z75" s="68"/>
      <c r="AA75" s="734">
        <v>0.33800000000000002</v>
      </c>
      <c r="AB75" s="733">
        <v>0.33800000000000002</v>
      </c>
      <c r="AC75" s="807">
        <v>0.33800000000000002</v>
      </c>
      <c r="AD75" s="992">
        <v>0.33800000000000002</v>
      </c>
      <c r="AE75" s="68">
        <v>0.33800000000000002</v>
      </c>
      <c r="AF75" s="68">
        <v>0.33800000000000002</v>
      </c>
      <c r="AG75" s="68"/>
      <c r="AH75" s="2"/>
      <c r="AI75" s="659" t="s">
        <v>143</v>
      </c>
      <c r="AJ75" s="52"/>
      <c r="AK75" s="52"/>
      <c r="AL75" s="68"/>
      <c r="AM75" s="68"/>
      <c r="AN75" s="298">
        <v>3351</v>
      </c>
      <c r="AO75" s="735">
        <v>3351</v>
      </c>
      <c r="AP75" s="808">
        <v>3351</v>
      </c>
      <c r="AQ75" s="993">
        <v>3351</v>
      </c>
      <c r="AR75" s="993">
        <v>2817.3612774451099</v>
      </c>
      <c r="AS75" s="265">
        <v>6373.0262361251262</v>
      </c>
      <c r="AT75" s="2"/>
      <c r="AU75" s="659" t="s">
        <v>143</v>
      </c>
      <c r="AV75" s="52"/>
      <c r="AW75" s="52"/>
      <c r="AX75" s="68"/>
      <c r="AY75" s="68"/>
      <c r="AZ75" s="656">
        <v>0.24</v>
      </c>
      <c r="BA75" s="737">
        <v>0.24</v>
      </c>
      <c r="BB75" s="737">
        <v>0.24</v>
      </c>
      <c r="BC75" s="994">
        <v>0.24</v>
      </c>
      <c r="BD75" s="994">
        <v>0.24</v>
      </c>
      <c r="BE75" s="994">
        <v>0.24</v>
      </c>
      <c r="BF75" s="2"/>
      <c r="BG75" s="659" t="s">
        <v>143</v>
      </c>
      <c r="BH75" s="52"/>
      <c r="BI75" s="52"/>
      <c r="BJ75" s="52"/>
      <c r="BK75" s="68"/>
      <c r="BL75" s="656">
        <v>1.07</v>
      </c>
      <c r="BM75" s="628">
        <v>1.071</v>
      </c>
      <c r="BN75" s="628">
        <v>1.071</v>
      </c>
      <c r="BO75" s="695">
        <v>1.056</v>
      </c>
      <c r="BP75" s="1068">
        <v>1.056</v>
      </c>
      <c r="BQ75" s="1068">
        <v>1.056</v>
      </c>
      <c r="BR75" s="2"/>
      <c r="BS75" s="650" t="s">
        <v>143</v>
      </c>
      <c r="BT75" s="801"/>
      <c r="BU75" s="801"/>
      <c r="BV75" s="801"/>
      <c r="BW75" s="801"/>
      <c r="BX75" s="801"/>
      <c r="BY75" s="801"/>
      <c r="BZ75" s="801"/>
      <c r="CA75" s="695">
        <v>1.032</v>
      </c>
      <c r="CB75" s="1068">
        <v>1.032</v>
      </c>
      <c r="CC75" s="1068">
        <v>1.032</v>
      </c>
      <c r="CD75" s="656"/>
      <c r="CF75" s="2"/>
      <c r="DE75" s="2"/>
      <c r="DF75" s="2"/>
      <c r="DG75" s="116"/>
      <c r="DH75" s="1023"/>
      <c r="DI75" s="116"/>
      <c r="DJ75" s="1116"/>
    </row>
    <row r="76" spans="1:114" s="8" customFormat="1" collapsed="1" x14ac:dyDescent="0.25">
      <c r="A76" s="252"/>
      <c r="B76" s="116"/>
      <c r="C76" s="64"/>
      <c r="D76" s="472" t="s">
        <v>144</v>
      </c>
      <c r="E76" s="472"/>
      <c r="F76" s="473"/>
      <c r="G76" s="473"/>
      <c r="H76" s="474"/>
      <c r="I76" s="473"/>
      <c r="J76" s="473"/>
      <c r="K76" s="116"/>
      <c r="L76" s="64"/>
      <c r="M76" s="116"/>
      <c r="N76" s="116"/>
      <c r="O76" s="116"/>
      <c r="P76" s="116"/>
      <c r="Q76" s="116"/>
      <c r="R76" s="116"/>
      <c r="S76" s="116"/>
      <c r="T76" s="116"/>
      <c r="U76" s="116"/>
      <c r="BR76" s="2"/>
      <c r="BS76" s="2"/>
      <c r="DE76" s="2"/>
      <c r="DF76" s="2"/>
      <c r="DG76" s="1023"/>
      <c r="DH76" s="116"/>
      <c r="DI76" s="116"/>
      <c r="DJ76" s="1116"/>
    </row>
    <row r="77" spans="1:114" s="8" customFormat="1" x14ac:dyDescent="0.25">
      <c r="A77" s="252"/>
      <c r="B77" s="116"/>
      <c r="C77" s="64"/>
      <c r="D77" s="64"/>
      <c r="E77" s="64"/>
      <c r="F77" s="64"/>
      <c r="G77" s="473"/>
      <c r="H77" s="474"/>
      <c r="I77" s="473"/>
      <c r="J77" s="473"/>
      <c r="K77" s="116"/>
      <c r="L77" s="64"/>
      <c r="M77" s="116"/>
      <c r="N77" s="116"/>
      <c r="O77" s="116"/>
      <c r="P77" s="116"/>
      <c r="Q77" s="116"/>
      <c r="R77" s="116"/>
      <c r="S77" s="116"/>
      <c r="T77" s="116"/>
      <c r="U77" s="116"/>
      <c r="BR77" s="2"/>
      <c r="BS77" s="2"/>
      <c r="DE77" s="2"/>
      <c r="DF77" s="2"/>
      <c r="DG77" s="1023"/>
      <c r="DH77" s="116"/>
      <c r="DI77" s="116"/>
      <c r="DJ77" s="1116"/>
    </row>
    <row r="78" spans="1:114" s="8" customFormat="1" x14ac:dyDescent="0.25">
      <c r="A78" s="252"/>
      <c r="B78" s="116"/>
      <c r="C78" s="64"/>
      <c r="D78" s="64"/>
      <c r="E78" s="64"/>
      <c r="F78" s="64"/>
      <c r="G78" s="473"/>
      <c r="H78" s="474"/>
      <c r="I78" s="473"/>
      <c r="J78" s="473"/>
      <c r="K78" s="116"/>
      <c r="L78" s="64"/>
      <c r="M78" s="116"/>
      <c r="N78" s="116"/>
      <c r="O78" s="116"/>
      <c r="P78" s="116"/>
      <c r="Q78" s="116"/>
      <c r="R78" s="116"/>
      <c r="S78" s="116"/>
      <c r="T78" s="116"/>
      <c r="U78" s="116"/>
      <c r="DE78" s="2"/>
      <c r="DF78" s="2"/>
      <c r="DG78" s="1023"/>
      <c r="DH78" s="116"/>
      <c r="DI78" s="116"/>
      <c r="DJ78" s="1116"/>
    </row>
    <row r="79" spans="1:114" s="7" customFormat="1" x14ac:dyDescent="0.25">
      <c r="A79" s="252"/>
      <c r="B79" s="2071" t="s">
        <v>145</v>
      </c>
      <c r="C79" s="2072"/>
      <c r="D79" s="2072"/>
      <c r="E79" s="2072"/>
      <c r="F79" s="2072"/>
      <c r="G79" s="2072"/>
      <c r="H79" s="2072"/>
      <c r="I79" s="2073"/>
      <c r="J79" s="2073"/>
      <c r="K79" s="2073"/>
      <c r="L79" s="2073"/>
      <c r="M79" s="2074"/>
      <c r="N79" s="2074"/>
      <c r="O79" s="2075"/>
      <c r="V79" s="1292" t="str">
        <f>B79</f>
        <v>Commercial Solid and Glass Door Refrigerators &amp; Freezers</v>
      </c>
      <c r="W79" s="1293"/>
      <c r="X79" s="1293"/>
      <c r="Y79" s="1293"/>
      <c r="Z79" s="1293"/>
      <c r="AA79" s="1293"/>
      <c r="AB79" s="1293"/>
      <c r="AC79" s="1293"/>
      <c r="AD79" s="1293"/>
      <c r="AE79" s="1293"/>
      <c r="AF79" s="1293"/>
      <c r="AG79" s="1293"/>
      <c r="AH79" s="1293"/>
      <c r="AI79" s="1293"/>
      <c r="AJ79" s="1293"/>
      <c r="AK79" s="1293"/>
      <c r="AL79" s="1293"/>
      <c r="AM79" s="1293"/>
      <c r="AN79" s="1293"/>
      <c r="AO79" s="1293"/>
      <c r="AP79" s="1293"/>
      <c r="AQ79" s="1293"/>
      <c r="AR79" s="1293"/>
      <c r="AS79" s="1293"/>
      <c r="AT79" s="1293"/>
      <c r="AU79" s="1293"/>
      <c r="AV79" s="1293"/>
      <c r="AW79" s="1293"/>
      <c r="AX79" s="1293"/>
      <c r="AY79" s="1293"/>
      <c r="AZ79" s="1293"/>
      <c r="BA79" s="1293"/>
      <c r="BB79" s="1293"/>
      <c r="BC79" s="1293"/>
      <c r="BD79" s="1293"/>
      <c r="BE79" s="1293"/>
      <c r="BF79" s="1293"/>
      <c r="BG79" s="1293"/>
      <c r="BH79" s="1293"/>
      <c r="BI79" s="1293"/>
      <c r="DE79" s="2"/>
      <c r="DF79" s="2"/>
      <c r="DG79" s="23"/>
      <c r="DJ79" s="1059"/>
    </row>
    <row r="80" spans="1:114" x14ac:dyDescent="0.25">
      <c r="D80" s="450"/>
      <c r="E80" s="7"/>
      <c r="F80" s="7"/>
      <c r="G80" s="7"/>
      <c r="H80" s="451"/>
      <c r="I80" s="7"/>
      <c r="J80" s="7"/>
      <c r="K80" s="7"/>
      <c r="L80" s="7"/>
      <c r="P80" s="7"/>
      <c r="Q80" s="7"/>
      <c r="R80" s="7"/>
      <c r="S80" s="7"/>
      <c r="T80" s="7"/>
      <c r="U80" s="7"/>
      <c r="V80"/>
      <c r="W80"/>
      <c r="X80"/>
      <c r="Y80"/>
      <c r="Z80"/>
      <c r="AA80"/>
      <c r="AB80"/>
      <c r="AC80"/>
      <c r="AD80"/>
      <c r="AE80"/>
      <c r="AF80"/>
      <c r="AG80"/>
      <c r="AH80"/>
      <c r="AI80"/>
      <c r="AJ80" s="6"/>
      <c r="AK80" s="6"/>
      <c r="AL80" s="6"/>
      <c r="AM80" s="6"/>
      <c r="AN80" s="6"/>
      <c r="AO80" s="6"/>
      <c r="AP80" s="6"/>
      <c r="AQ80" s="6"/>
      <c r="AR80" s="6"/>
      <c r="AS80" s="6"/>
      <c r="AU80" s="6"/>
    </row>
    <row r="81" spans="1:114" s="8" customFormat="1" ht="30" x14ac:dyDescent="0.25">
      <c r="A81" s="252"/>
      <c r="B81" s="64"/>
      <c r="C81" s="9" t="s">
        <v>42</v>
      </c>
      <c r="D81" s="1361" t="s">
        <v>43</v>
      </c>
      <c r="E81" s="1361" t="s">
        <v>44</v>
      </c>
      <c r="F81" s="1361" t="s">
        <v>45</v>
      </c>
      <c r="G81" s="1361" t="s">
        <v>46</v>
      </c>
      <c r="H81" s="10" t="s">
        <v>47</v>
      </c>
      <c r="I81" s="1361" t="s">
        <v>48</v>
      </c>
      <c r="J81" s="1361" t="s">
        <v>49</v>
      </c>
      <c r="K81" s="9" t="s">
        <v>50</v>
      </c>
      <c r="L81" s="9" t="s">
        <v>51</v>
      </c>
      <c r="M81" s="252"/>
      <c r="N81" s="252"/>
      <c r="O81" s="252"/>
      <c r="P81" s="116"/>
      <c r="Q81" s="116"/>
      <c r="R81" s="116"/>
      <c r="S81" s="116"/>
      <c r="T81" s="116"/>
      <c r="U81" s="116"/>
      <c r="V81" s="648" t="s">
        <v>52</v>
      </c>
      <c r="W81" s="649">
        <f>$W$8</f>
        <v>43252</v>
      </c>
      <c r="X81" s="649">
        <f>$X$8</f>
        <v>43465</v>
      </c>
      <c r="Y81" s="649">
        <f>$Y$8</f>
        <v>43800</v>
      </c>
      <c r="Z81" s="649">
        <f>$Z$8</f>
        <v>43862</v>
      </c>
      <c r="AA81" s="649">
        <f>$AA$8</f>
        <v>44013</v>
      </c>
      <c r="AB81" s="649">
        <v>44166</v>
      </c>
      <c r="AC81" s="649">
        <f>$AC$8</f>
        <v>44531</v>
      </c>
      <c r="AD81" s="649">
        <f>$AD$8</f>
        <v>44774</v>
      </c>
      <c r="AE81" s="649">
        <f>$AE$8</f>
        <v>45142</v>
      </c>
      <c r="AF81" s="649">
        <f>$AF$8</f>
        <v>45672</v>
      </c>
      <c r="AG81" s="649" t="str">
        <f>$AG$8</f>
        <v>-</v>
      </c>
      <c r="AH81"/>
      <c r="AI81" s="648" t="s">
        <v>52</v>
      </c>
      <c r="AJ81" s="649">
        <v>43252</v>
      </c>
      <c r="AK81" s="649">
        <f>$X$8</f>
        <v>43465</v>
      </c>
      <c r="AL81" s="649">
        <f>$Y$8</f>
        <v>43800</v>
      </c>
      <c r="AM81" s="649">
        <f>$Z$8</f>
        <v>43862</v>
      </c>
      <c r="AN81" s="649">
        <f>$AA$8</f>
        <v>44013</v>
      </c>
      <c r="AO81" s="649">
        <f>$AB$8</f>
        <v>44166</v>
      </c>
      <c r="AP81" s="649">
        <f>$AC$8</f>
        <v>44531</v>
      </c>
      <c r="AQ81" s="649">
        <f>$AD$8</f>
        <v>44774</v>
      </c>
      <c r="AR81" s="649">
        <f>$AE$8</f>
        <v>45142</v>
      </c>
      <c r="AS81" s="649">
        <f>$AF$8</f>
        <v>45672</v>
      </c>
      <c r="AT81" s="2"/>
      <c r="AU81" s="648" t="s">
        <v>52</v>
      </c>
      <c r="AV81" s="649">
        <v>43252</v>
      </c>
      <c r="AW81" s="649">
        <f>$X$8</f>
        <v>43465</v>
      </c>
      <c r="AX81" s="649">
        <f>$Y$8</f>
        <v>43800</v>
      </c>
      <c r="AY81" s="649">
        <f>$Z$8</f>
        <v>43862</v>
      </c>
      <c r="AZ81" s="649">
        <f>$AA$8</f>
        <v>44013</v>
      </c>
      <c r="BA81" s="649">
        <v>44166</v>
      </c>
      <c r="BB81" s="649">
        <f>$AC$8</f>
        <v>44531</v>
      </c>
      <c r="BC81" s="649">
        <f>$AD$8</f>
        <v>44774</v>
      </c>
      <c r="BD81" s="649">
        <f>$AE$8</f>
        <v>45142</v>
      </c>
      <c r="BE81" s="649">
        <f>$AF$8</f>
        <v>45672</v>
      </c>
      <c r="BF81" s="1689"/>
      <c r="CE81" s="7"/>
      <c r="CF81" s="7"/>
      <c r="DE81" s="2"/>
      <c r="DF81" s="2"/>
      <c r="DG81" s="1018" t="str">
        <f>$DG$8</f>
        <v>TRC (2025)</v>
      </c>
      <c r="DH81" s="776" t="str">
        <f>$DH$8</f>
        <v>Benefit Lookup</v>
      </c>
      <c r="DI81" s="776" t="str">
        <f>$DI$8</f>
        <v>Benefits (2025 $)</v>
      </c>
      <c r="DJ81" s="1118" t="str">
        <f>$DJ$8</f>
        <v>Incremental Cost (2025 $)</v>
      </c>
    </row>
    <row r="82" spans="1:114" x14ac:dyDescent="0.25">
      <c r="B82" s="252">
        <f t="shared" ref="B82:B89" si="36">VALUE(LEFT(C82,6))</f>
        <v>801250</v>
      </c>
      <c r="C82" s="668" t="s">
        <v>146</v>
      </c>
      <c r="D82" s="452" t="s">
        <v>111</v>
      </c>
      <c r="E82" s="1798" t="s">
        <v>147</v>
      </c>
      <c r="F82" s="667">
        <f>ROUND(((G105*I105+J105)-(H105))*365.25,2)</f>
        <v>329.82</v>
      </c>
      <c r="G82" s="452" t="s">
        <v>148</v>
      </c>
      <c r="H82" s="453">
        <f>VLOOKUP(G82,'CP FACTORS'!$A$26:$B$38,2,FALSE)</f>
        <v>1.3573829999999999E-4</v>
      </c>
      <c r="I82" s="1868">
        <f t="shared" ref="I82:I92" si="37">ROUND(H82*F82,6)</f>
        <v>4.4769000000000003E-2</v>
      </c>
      <c r="J82" s="489">
        <v>12</v>
      </c>
      <c r="K82" s="1774">
        <v>150</v>
      </c>
      <c r="L82" s="454" t="s">
        <v>62</v>
      </c>
      <c r="V82" s="1343" t="s">
        <v>45</v>
      </c>
      <c r="W82" s="1577">
        <v>379.86</v>
      </c>
      <c r="X82" s="1577">
        <v>379.86</v>
      </c>
      <c r="Y82" s="1577">
        <v>379.86</v>
      </c>
      <c r="Z82" s="1577">
        <v>379.86</v>
      </c>
      <c r="AA82" s="1577">
        <v>379.86</v>
      </c>
      <c r="AB82" s="1694">
        <v>379.86</v>
      </c>
      <c r="AC82" s="735">
        <v>379.86</v>
      </c>
      <c r="AD82" s="735">
        <v>379.86</v>
      </c>
      <c r="AE82" s="735">
        <v>379.86</v>
      </c>
      <c r="AF82" s="258">
        <f t="shared" ref="AF82:AF92" si="38">IF(F82&lt;&gt;"",F82,"")</f>
        <v>329.82</v>
      </c>
      <c r="AG82" s="68"/>
      <c r="AH82"/>
      <c r="AI82" s="1375" t="s">
        <v>49</v>
      </c>
      <c r="AJ82" s="19">
        <v>12</v>
      </c>
      <c r="AK82" s="19">
        <v>12</v>
      </c>
      <c r="AL82" s="19">
        <v>12</v>
      </c>
      <c r="AM82" s="19">
        <v>12</v>
      </c>
      <c r="AN82" s="19">
        <v>12</v>
      </c>
      <c r="AO82" s="16">
        <v>12</v>
      </c>
      <c r="AP82" s="16">
        <v>12</v>
      </c>
      <c r="AQ82" s="16">
        <v>12</v>
      </c>
      <c r="AR82" s="16">
        <v>12</v>
      </c>
      <c r="AS82" s="16">
        <v>12</v>
      </c>
      <c r="AU82" s="1375" t="s">
        <v>50</v>
      </c>
      <c r="AV82" s="1695">
        <v>150</v>
      </c>
      <c r="AW82" s="1695">
        <v>150</v>
      </c>
      <c r="AX82" s="1695">
        <v>150</v>
      </c>
      <c r="AY82" s="1695">
        <v>150</v>
      </c>
      <c r="AZ82" s="1695">
        <v>150</v>
      </c>
      <c r="BA82" s="1696">
        <v>150</v>
      </c>
      <c r="BB82" s="1696">
        <v>150</v>
      </c>
      <c r="BC82" s="1696">
        <v>150</v>
      </c>
      <c r="BD82" s="1696">
        <v>150</v>
      </c>
      <c r="BE82" s="1696">
        <f>K82</f>
        <v>150</v>
      </c>
      <c r="BF82" s="1697"/>
      <c r="DG82" s="1020">
        <f>(DI82)/(DJ82)</f>
        <v>1.3324016354481989</v>
      </c>
      <c r="DH82" s="1330" t="str">
        <f t="shared" ref="DH82:DH91" si="39">CONCATENATE(G82," ",J82," Year EUL")</f>
        <v>Refrigeration BUS 12 Year EUL</v>
      </c>
      <c r="DI82" s="185">
        <f>(INDEX('Avoided Cost Benefits'!$B$4:$B$865,MATCH(DH82,'Avoided Cost Benefits'!$A$4:$A$865,0)))*F82</f>
        <v>199.86024531722984</v>
      </c>
      <c r="DJ82" s="1935">
        <f t="shared" ref="DJ82:DJ92" si="40">IFERROR(K82/((1+DiscountRate)^(CurrentYear-DiscountYear)),0)</f>
        <v>150</v>
      </c>
    </row>
    <row r="83" spans="1:114" x14ac:dyDescent="0.25">
      <c r="B83" s="252">
        <f t="shared" si="36"/>
        <v>801750</v>
      </c>
      <c r="C83" s="668" t="s">
        <v>149</v>
      </c>
      <c r="D83" s="452" t="s">
        <v>111</v>
      </c>
      <c r="E83" s="1798" t="s">
        <v>150</v>
      </c>
      <c r="F83" s="667">
        <f t="shared" ref="F83:F89" si="41">ROUND(((K106*M106+N106)-(L106))*365.25,2)</f>
        <v>575.27</v>
      </c>
      <c r="G83" s="452" t="s">
        <v>148</v>
      </c>
      <c r="H83" s="453">
        <f>VLOOKUP(G83,'CP FACTORS'!$A$26:$B$38,2,FALSE)</f>
        <v>1.3573829999999999E-4</v>
      </c>
      <c r="I83" s="1868">
        <f t="shared" si="37"/>
        <v>7.8086000000000003E-2</v>
      </c>
      <c r="J83" s="476">
        <v>12</v>
      </c>
      <c r="K83" s="1774">
        <v>350</v>
      </c>
      <c r="L83" s="454" t="s">
        <v>62</v>
      </c>
      <c r="M83" s="477"/>
      <c r="N83" s="478"/>
      <c r="O83" s="478"/>
      <c r="P83" s="456"/>
      <c r="Q83" s="457"/>
      <c r="R83" s="458"/>
      <c r="S83" s="458"/>
      <c r="T83" s="459"/>
      <c r="V83" s="1343" t="s">
        <v>45</v>
      </c>
      <c r="W83" s="1577">
        <v>1307.5949999999998</v>
      </c>
      <c r="X83" s="1577">
        <v>1307.5949999999998</v>
      </c>
      <c r="Y83" s="1577">
        <v>1307.5949999999998</v>
      </c>
      <c r="Z83" s="1577">
        <v>1307.5949999999998</v>
      </c>
      <c r="AA83" s="1577">
        <v>1307.5949999999998</v>
      </c>
      <c r="AB83" s="1694">
        <v>1307.5999999999999</v>
      </c>
      <c r="AC83" s="735">
        <v>1307.5999999999999</v>
      </c>
      <c r="AD83" s="735">
        <v>1307.5999999999999</v>
      </c>
      <c r="AE83" s="735">
        <v>1307.5999999999999</v>
      </c>
      <c r="AF83" s="258">
        <f t="shared" si="38"/>
        <v>575.27</v>
      </c>
      <c r="AG83" s="52"/>
      <c r="AI83" s="1375" t="s">
        <v>49</v>
      </c>
      <c r="AJ83" s="19">
        <v>12</v>
      </c>
      <c r="AK83" s="19">
        <v>12</v>
      </c>
      <c r="AL83" s="19">
        <v>12</v>
      </c>
      <c r="AM83" s="19">
        <v>12</v>
      </c>
      <c r="AN83" s="19">
        <v>12</v>
      </c>
      <c r="AO83" s="16">
        <v>12</v>
      </c>
      <c r="AP83" s="16">
        <v>12</v>
      </c>
      <c r="AQ83" s="16">
        <v>12</v>
      </c>
      <c r="AR83" s="16">
        <v>12</v>
      </c>
      <c r="AS83" s="16">
        <v>12</v>
      </c>
      <c r="AU83" s="1375" t="s">
        <v>50</v>
      </c>
      <c r="AV83" s="1695">
        <v>400</v>
      </c>
      <c r="AW83" s="1695">
        <v>400</v>
      </c>
      <c r="AX83" s="1695">
        <v>400</v>
      </c>
      <c r="AY83" s="1695">
        <v>400</v>
      </c>
      <c r="AZ83" s="1695">
        <v>400</v>
      </c>
      <c r="BA83" s="1696">
        <v>400</v>
      </c>
      <c r="BB83" s="1696">
        <v>400</v>
      </c>
      <c r="BC83" s="1696">
        <v>400</v>
      </c>
      <c r="BD83" s="1696">
        <v>400</v>
      </c>
      <c r="BE83" s="1738">
        <f t="shared" ref="BE83:BE91" si="42">K83</f>
        <v>350</v>
      </c>
      <c r="BF83" s="1697"/>
      <c r="DG83" s="1021">
        <f t="shared" ref="DG83:DG89" si="43">(DI83)/(DJ83)</f>
        <v>0.99598571795561908</v>
      </c>
      <c r="DH83" s="653" t="str">
        <f t="shared" si="39"/>
        <v>Refrigeration BUS 12 Year EUL</v>
      </c>
      <c r="DI83" s="635">
        <f>(INDEX('Avoided Cost Benefits'!$B$4:$B$865,MATCH(DH83,'Avoided Cost Benefits'!$A$4:$A$865,0)))*F83</f>
        <v>348.59500128446666</v>
      </c>
      <c r="DJ83" s="1936">
        <f t="shared" si="40"/>
        <v>350</v>
      </c>
    </row>
    <row r="84" spans="1:114" x14ac:dyDescent="0.25">
      <c r="B84" s="252">
        <f t="shared" si="36"/>
        <v>801800</v>
      </c>
      <c r="C84" s="668" t="s">
        <v>151</v>
      </c>
      <c r="D84" s="452" t="s">
        <v>111</v>
      </c>
      <c r="E84" s="1798" t="s">
        <v>152</v>
      </c>
      <c r="F84" s="667">
        <f t="shared" si="41"/>
        <v>1117.67</v>
      </c>
      <c r="G84" s="452" t="s">
        <v>148</v>
      </c>
      <c r="H84" s="453">
        <f>VLOOKUP(G84,'CP FACTORS'!$A$26:$B$38,2,FALSE)</f>
        <v>1.3573829999999999E-4</v>
      </c>
      <c r="I84" s="1868">
        <f t="shared" si="37"/>
        <v>0.15171100000000001</v>
      </c>
      <c r="J84" s="476">
        <v>12</v>
      </c>
      <c r="K84" s="1774">
        <v>500</v>
      </c>
      <c r="L84" s="454" t="s">
        <v>62</v>
      </c>
      <c r="M84" s="477"/>
      <c r="N84" s="478"/>
      <c r="O84" s="478"/>
      <c r="P84" s="456"/>
      <c r="Q84" s="457"/>
      <c r="R84" s="458"/>
      <c r="S84" s="458"/>
      <c r="T84" s="459"/>
      <c r="V84" s="1343" t="s">
        <v>45</v>
      </c>
      <c r="W84" s="1577">
        <v>2403.3449999999993</v>
      </c>
      <c r="X84" s="1577">
        <v>2403.3449999999993</v>
      </c>
      <c r="Y84" s="1577">
        <v>2403.3449999999993</v>
      </c>
      <c r="Z84" s="1577">
        <v>2403.3449999999993</v>
      </c>
      <c r="AA84" s="1577">
        <v>2403.3449999999993</v>
      </c>
      <c r="AB84" s="1694">
        <v>2403.35</v>
      </c>
      <c r="AC84" s="735">
        <v>2403.35</v>
      </c>
      <c r="AD84" s="735">
        <v>2403.35</v>
      </c>
      <c r="AE84" s="735">
        <v>2403.35</v>
      </c>
      <c r="AF84" s="258">
        <f t="shared" si="38"/>
        <v>1117.67</v>
      </c>
      <c r="AG84" s="52"/>
      <c r="AI84" s="1375" t="s">
        <v>49</v>
      </c>
      <c r="AJ84" s="19">
        <v>12</v>
      </c>
      <c r="AK84" s="19">
        <v>12</v>
      </c>
      <c r="AL84" s="19">
        <v>12</v>
      </c>
      <c r="AM84" s="19">
        <v>12</v>
      </c>
      <c r="AN84" s="19">
        <v>12</v>
      </c>
      <c r="AO84" s="16">
        <v>12</v>
      </c>
      <c r="AP84" s="16">
        <v>12</v>
      </c>
      <c r="AQ84" s="16">
        <v>12</v>
      </c>
      <c r="AR84" s="16">
        <v>12</v>
      </c>
      <c r="AS84" s="16">
        <v>12</v>
      </c>
      <c r="AU84" s="1375" t="s">
        <v>50</v>
      </c>
      <c r="AV84" s="1695">
        <v>550</v>
      </c>
      <c r="AW84" s="1695">
        <v>550</v>
      </c>
      <c r="AX84" s="1695">
        <v>550</v>
      </c>
      <c r="AY84" s="1695">
        <v>550</v>
      </c>
      <c r="AZ84" s="1695">
        <v>550</v>
      </c>
      <c r="BA84" s="1696">
        <v>550</v>
      </c>
      <c r="BB84" s="1696">
        <v>550</v>
      </c>
      <c r="BC84" s="1696">
        <v>550</v>
      </c>
      <c r="BD84" s="1696">
        <v>550</v>
      </c>
      <c r="BE84" s="1738">
        <f t="shared" si="42"/>
        <v>500</v>
      </c>
      <c r="BF84" s="1697"/>
      <c r="DG84" s="1021">
        <f t="shared" si="43"/>
        <v>1.3545436928246213</v>
      </c>
      <c r="DH84" s="653" t="str">
        <f t="shared" si="39"/>
        <v>Refrigeration BUS 12 Year EUL</v>
      </c>
      <c r="DI84" s="635">
        <f>(INDEX('Avoided Cost Benefits'!$B$4:$B$865,MATCH(DH84,'Avoided Cost Benefits'!$A$4:$A$865,0)))*F84</f>
        <v>677.27184641231065</v>
      </c>
      <c r="DJ84" s="1936">
        <f t="shared" si="40"/>
        <v>500</v>
      </c>
    </row>
    <row r="85" spans="1:114" ht="15.75" customHeight="1" x14ac:dyDescent="0.25">
      <c r="B85" s="252">
        <f t="shared" si="36"/>
        <v>801850</v>
      </c>
      <c r="C85" s="668" t="s">
        <v>153</v>
      </c>
      <c r="D85" s="452" t="s">
        <v>111</v>
      </c>
      <c r="E85" s="1798" t="s">
        <v>154</v>
      </c>
      <c r="F85" s="667">
        <f t="shared" si="41"/>
        <v>1504.46</v>
      </c>
      <c r="G85" s="452" t="s">
        <v>148</v>
      </c>
      <c r="H85" s="453">
        <f>VLOOKUP(G85,'CP FACTORS'!$A$26:$B$38,2,FALSE)</f>
        <v>1.3573829999999999E-4</v>
      </c>
      <c r="I85" s="1868">
        <f t="shared" si="37"/>
        <v>0.20421300000000001</v>
      </c>
      <c r="J85" s="476">
        <v>12</v>
      </c>
      <c r="K85" s="1774">
        <v>600</v>
      </c>
      <c r="L85" s="454" t="s">
        <v>62</v>
      </c>
      <c r="M85" s="477"/>
      <c r="P85" s="456"/>
      <c r="Q85" s="457"/>
      <c r="R85" s="458"/>
      <c r="S85" s="458"/>
      <c r="T85" s="459"/>
      <c r="V85" s="1343" t="s">
        <v>45</v>
      </c>
      <c r="W85" s="1577">
        <v>2951.2199999999993</v>
      </c>
      <c r="X85" s="1577">
        <v>2951.2199999999993</v>
      </c>
      <c r="Y85" s="1577">
        <v>2951.2199999999993</v>
      </c>
      <c r="Z85" s="1577">
        <v>2951.2199999999993</v>
      </c>
      <c r="AA85" s="1577">
        <v>2951.2199999999993</v>
      </c>
      <c r="AB85" s="1694">
        <v>2951.22</v>
      </c>
      <c r="AC85" s="735">
        <v>2951.22</v>
      </c>
      <c r="AD85" s="735">
        <v>2951.22</v>
      </c>
      <c r="AE85" s="735">
        <v>2951.22</v>
      </c>
      <c r="AF85" s="258">
        <f t="shared" si="38"/>
        <v>1504.46</v>
      </c>
      <c r="AG85" s="52"/>
      <c r="AI85" s="1375" t="s">
        <v>49</v>
      </c>
      <c r="AJ85" s="19">
        <v>12</v>
      </c>
      <c r="AK85" s="19">
        <v>12</v>
      </c>
      <c r="AL85" s="19">
        <v>12</v>
      </c>
      <c r="AM85" s="19">
        <v>12</v>
      </c>
      <c r="AN85" s="19">
        <v>12</v>
      </c>
      <c r="AO85" s="16">
        <v>12</v>
      </c>
      <c r="AP85" s="16">
        <v>12</v>
      </c>
      <c r="AQ85" s="16">
        <v>12</v>
      </c>
      <c r="AR85" s="16">
        <v>12</v>
      </c>
      <c r="AS85" s="16">
        <v>12</v>
      </c>
      <c r="AU85" s="1375" t="s">
        <v>50</v>
      </c>
      <c r="AV85" s="1695">
        <v>700</v>
      </c>
      <c r="AW85" s="1695">
        <v>700</v>
      </c>
      <c r="AX85" s="1695">
        <v>700</v>
      </c>
      <c r="AY85" s="1695">
        <v>700</v>
      </c>
      <c r="AZ85" s="1695">
        <v>700</v>
      </c>
      <c r="BA85" s="1696">
        <v>700</v>
      </c>
      <c r="BB85" s="1696">
        <v>700</v>
      </c>
      <c r="BC85" s="1696">
        <v>700</v>
      </c>
      <c r="BD85" s="1696">
        <v>700</v>
      </c>
      <c r="BE85" s="1738">
        <f t="shared" si="42"/>
        <v>600</v>
      </c>
      <c r="BF85" s="1697"/>
      <c r="DG85" s="1021">
        <f t="shared" si="43"/>
        <v>1.5194234464756515</v>
      </c>
      <c r="DH85" s="653" t="str">
        <f t="shared" si="39"/>
        <v>Refrigeration BUS 12 Year EUL</v>
      </c>
      <c r="DI85" s="635">
        <f>(INDEX('Avoided Cost Benefits'!$B$4:$B$865,MATCH(DH85,'Avoided Cost Benefits'!$A$4:$A$865,0)))*F85</f>
        <v>911.65406788539087</v>
      </c>
      <c r="DJ85" s="1936">
        <f t="shared" si="40"/>
        <v>600</v>
      </c>
    </row>
    <row r="86" spans="1:114" x14ac:dyDescent="0.25">
      <c r="B86" s="252">
        <f t="shared" si="36"/>
        <v>801900</v>
      </c>
      <c r="C86" s="668" t="s">
        <v>155</v>
      </c>
      <c r="D86" s="452" t="s">
        <v>111</v>
      </c>
      <c r="E86" s="1798" t="s">
        <v>156</v>
      </c>
      <c r="F86" s="667">
        <f t="shared" si="41"/>
        <v>558.83000000000004</v>
      </c>
      <c r="G86" s="452" t="s">
        <v>148</v>
      </c>
      <c r="H86" s="453">
        <f>VLOOKUP(G86,'CP FACTORS'!$A$26:$B$38,2,FALSE)</f>
        <v>1.3573829999999999E-4</v>
      </c>
      <c r="I86" s="1868">
        <f t="shared" si="37"/>
        <v>7.5855000000000006E-2</v>
      </c>
      <c r="J86" s="476">
        <v>12</v>
      </c>
      <c r="K86" s="1774">
        <v>50</v>
      </c>
      <c r="L86" s="454" t="s">
        <v>62</v>
      </c>
      <c r="M86" s="477"/>
      <c r="P86" s="456"/>
      <c r="Q86" s="457"/>
      <c r="R86" s="458"/>
      <c r="S86" s="458"/>
      <c r="T86" s="459"/>
      <c r="V86" s="1343" t="s">
        <v>45</v>
      </c>
      <c r="W86" s="1577">
        <v>1429.9537499999997</v>
      </c>
      <c r="X86" s="1577">
        <v>1429.9537499999997</v>
      </c>
      <c r="Y86" s="1577">
        <v>1429.9537499999997</v>
      </c>
      <c r="Z86" s="1577">
        <v>1429.9537499999997</v>
      </c>
      <c r="AA86" s="1577">
        <v>1429.9537499999997</v>
      </c>
      <c r="AB86" s="1694">
        <v>1429.95</v>
      </c>
      <c r="AC86" s="735">
        <v>1429.95</v>
      </c>
      <c r="AD86" s="735">
        <v>1429.95</v>
      </c>
      <c r="AE86" s="735">
        <v>1429.95</v>
      </c>
      <c r="AF86" s="258">
        <f t="shared" si="38"/>
        <v>558.83000000000004</v>
      </c>
      <c r="AG86" s="52"/>
      <c r="AI86" s="1375" t="s">
        <v>49</v>
      </c>
      <c r="AJ86" s="19">
        <v>12</v>
      </c>
      <c r="AK86" s="19">
        <v>12</v>
      </c>
      <c r="AL86" s="19">
        <v>12</v>
      </c>
      <c r="AM86" s="19">
        <v>12</v>
      </c>
      <c r="AN86" s="19">
        <v>12</v>
      </c>
      <c r="AO86" s="16">
        <v>12</v>
      </c>
      <c r="AP86" s="16">
        <v>12</v>
      </c>
      <c r="AQ86" s="16">
        <v>12</v>
      </c>
      <c r="AR86" s="16">
        <v>12</v>
      </c>
      <c r="AS86" s="16">
        <v>12</v>
      </c>
      <c r="AU86" s="1375" t="s">
        <v>50</v>
      </c>
      <c r="AV86" s="1695">
        <v>220</v>
      </c>
      <c r="AW86" s="1695">
        <v>220</v>
      </c>
      <c r="AX86" s="1695">
        <v>220</v>
      </c>
      <c r="AY86" s="1695">
        <v>220</v>
      </c>
      <c r="AZ86" s="1695">
        <v>220</v>
      </c>
      <c r="BA86" s="1696">
        <v>220</v>
      </c>
      <c r="BB86" s="1696">
        <v>220</v>
      </c>
      <c r="BC86" s="1696">
        <v>220</v>
      </c>
      <c r="BD86" s="1696">
        <v>220</v>
      </c>
      <c r="BE86" s="1738">
        <f t="shared" si="42"/>
        <v>50</v>
      </c>
      <c r="BF86" s="1697"/>
      <c r="DG86" s="1021">
        <f t="shared" si="43"/>
        <v>6.7726578673596238</v>
      </c>
      <c r="DH86" s="653" t="str">
        <f t="shared" si="39"/>
        <v>Refrigeration BUS 12 Year EUL</v>
      </c>
      <c r="DI86" s="635">
        <f>(INDEX('Avoided Cost Benefits'!$B$4:$B$865,MATCH(DH86,'Avoided Cost Benefits'!$A$4:$A$865,0)))*F86</f>
        <v>338.63289336798118</v>
      </c>
      <c r="DJ86" s="1936">
        <f t="shared" si="40"/>
        <v>50</v>
      </c>
    </row>
    <row r="87" spans="1:114" x14ac:dyDescent="0.25">
      <c r="B87" s="252">
        <f t="shared" si="36"/>
        <v>801950</v>
      </c>
      <c r="C87" s="668" t="s">
        <v>157</v>
      </c>
      <c r="D87" s="452" t="s">
        <v>111</v>
      </c>
      <c r="E87" s="1798" t="s">
        <v>158</v>
      </c>
      <c r="F87" s="667">
        <f t="shared" si="41"/>
        <v>974.85</v>
      </c>
      <c r="G87" s="452" t="s">
        <v>148</v>
      </c>
      <c r="H87" s="453">
        <f>VLOOKUP(G87,'CP FACTORS'!$A$26:$B$38,2,FALSE)</f>
        <v>1.3573829999999999E-4</v>
      </c>
      <c r="I87" s="1868">
        <f t="shared" si="37"/>
        <v>0.132324</v>
      </c>
      <c r="J87" s="476">
        <v>12</v>
      </c>
      <c r="K87" s="1774">
        <v>100</v>
      </c>
      <c r="L87" s="454" t="s">
        <v>62</v>
      </c>
      <c r="M87" s="477"/>
      <c r="P87" s="456"/>
      <c r="Q87" s="457"/>
      <c r="R87" s="458"/>
      <c r="S87" s="458"/>
      <c r="T87" s="459"/>
      <c r="V87" s="1343" t="s">
        <v>45</v>
      </c>
      <c r="W87" s="1577">
        <v>3186.8062500000005</v>
      </c>
      <c r="X87" s="1577">
        <v>3186.8062500000005</v>
      </c>
      <c r="Y87" s="1577">
        <v>3186.8062500000005</v>
      </c>
      <c r="Z87" s="1577">
        <v>3186.8062500000005</v>
      </c>
      <c r="AA87" s="1577">
        <v>3186.8062500000005</v>
      </c>
      <c r="AB87" s="1694">
        <v>3186.81</v>
      </c>
      <c r="AC87" s="735">
        <v>3186.81</v>
      </c>
      <c r="AD87" s="735">
        <v>3186.81</v>
      </c>
      <c r="AE87" s="735">
        <v>3186.81</v>
      </c>
      <c r="AF87" s="258">
        <f t="shared" si="38"/>
        <v>974.85</v>
      </c>
      <c r="AG87" s="52"/>
      <c r="AI87" s="1375" t="s">
        <v>49</v>
      </c>
      <c r="AJ87" s="19">
        <v>12</v>
      </c>
      <c r="AK87" s="19">
        <v>12</v>
      </c>
      <c r="AL87" s="19">
        <v>12</v>
      </c>
      <c r="AM87" s="19">
        <v>12</v>
      </c>
      <c r="AN87" s="19">
        <v>12</v>
      </c>
      <c r="AO87" s="16">
        <v>12</v>
      </c>
      <c r="AP87" s="16">
        <v>12</v>
      </c>
      <c r="AQ87" s="16">
        <v>12</v>
      </c>
      <c r="AR87" s="16">
        <v>12</v>
      </c>
      <c r="AS87" s="16">
        <v>12</v>
      </c>
      <c r="AU87" s="1375" t="s">
        <v>50</v>
      </c>
      <c r="AV87" s="1695">
        <v>950</v>
      </c>
      <c r="AW87" s="1695">
        <v>950</v>
      </c>
      <c r="AX87" s="1695">
        <v>950</v>
      </c>
      <c r="AY87" s="1695">
        <v>950</v>
      </c>
      <c r="AZ87" s="1695">
        <v>950</v>
      </c>
      <c r="BA87" s="1696">
        <v>950</v>
      </c>
      <c r="BB87" s="1696">
        <v>950</v>
      </c>
      <c r="BC87" s="1696">
        <v>950</v>
      </c>
      <c r="BD87" s="1696">
        <v>950</v>
      </c>
      <c r="BE87" s="1738">
        <f t="shared" si="42"/>
        <v>100</v>
      </c>
      <c r="BF87" s="1697"/>
      <c r="DG87" s="1021">
        <f t="shared" si="43"/>
        <v>5.9072754880692955</v>
      </c>
      <c r="DH87" s="653" t="str">
        <f t="shared" si="39"/>
        <v>Refrigeration BUS 12 Year EUL</v>
      </c>
      <c r="DI87" s="635">
        <f>(INDEX('Avoided Cost Benefits'!$B$4:$B$865,MATCH(DH87,'Avoided Cost Benefits'!$A$4:$A$865,0)))*F87</f>
        <v>590.72754880692958</v>
      </c>
      <c r="DJ87" s="1936">
        <f t="shared" si="40"/>
        <v>100</v>
      </c>
    </row>
    <row r="88" spans="1:114" x14ac:dyDescent="0.25">
      <c r="B88" s="252">
        <f t="shared" si="36"/>
        <v>802000</v>
      </c>
      <c r="C88" s="668" t="s">
        <v>159</v>
      </c>
      <c r="D88" s="452" t="s">
        <v>111</v>
      </c>
      <c r="E88" s="1798" t="s">
        <v>160</v>
      </c>
      <c r="F88" s="667">
        <f t="shared" si="41"/>
        <v>1579.34</v>
      </c>
      <c r="G88" s="452" t="s">
        <v>148</v>
      </c>
      <c r="H88" s="453">
        <f>VLOOKUP(G88,'CP FACTORS'!$A$26:$B$38,2,FALSE)</f>
        <v>1.3573829999999999E-4</v>
      </c>
      <c r="I88" s="1868">
        <f t="shared" si="37"/>
        <v>0.21437700000000001</v>
      </c>
      <c r="J88" s="476">
        <v>12</v>
      </c>
      <c r="K88" s="1774">
        <v>300</v>
      </c>
      <c r="L88" s="454" t="s">
        <v>62</v>
      </c>
      <c r="M88" s="477"/>
      <c r="P88" s="456"/>
      <c r="Q88" s="457"/>
      <c r="R88" s="458"/>
      <c r="S88" s="458"/>
      <c r="T88" s="459"/>
      <c r="V88" s="1343" t="s">
        <v>45</v>
      </c>
      <c r="W88" s="1577">
        <v>5150.0250000000005</v>
      </c>
      <c r="X88" s="1577">
        <v>5150.0250000000005</v>
      </c>
      <c r="Y88" s="1577">
        <v>5150.0250000000005</v>
      </c>
      <c r="Z88" s="1577">
        <v>5150.0250000000005</v>
      </c>
      <c r="AA88" s="1577">
        <v>5150.0250000000005</v>
      </c>
      <c r="AB88" s="1694">
        <v>5150.03</v>
      </c>
      <c r="AC88" s="735">
        <v>5150.03</v>
      </c>
      <c r="AD88" s="735">
        <v>5150.03</v>
      </c>
      <c r="AE88" s="735">
        <v>5150.03</v>
      </c>
      <c r="AF88" s="258">
        <f t="shared" si="38"/>
        <v>1579.34</v>
      </c>
      <c r="AG88" s="52"/>
      <c r="AI88" s="1375" t="s">
        <v>49</v>
      </c>
      <c r="AJ88" s="19">
        <v>12</v>
      </c>
      <c r="AK88" s="19">
        <v>12</v>
      </c>
      <c r="AL88" s="19">
        <v>12</v>
      </c>
      <c r="AM88" s="19">
        <v>12</v>
      </c>
      <c r="AN88" s="19">
        <v>12</v>
      </c>
      <c r="AO88" s="16">
        <v>12</v>
      </c>
      <c r="AP88" s="16">
        <v>12</v>
      </c>
      <c r="AQ88" s="16">
        <v>12</v>
      </c>
      <c r="AR88" s="16">
        <v>12</v>
      </c>
      <c r="AS88" s="16">
        <v>12</v>
      </c>
      <c r="AU88" s="1375" t="s">
        <v>50</v>
      </c>
      <c r="AV88" s="1695">
        <v>1307</v>
      </c>
      <c r="AW88" s="1695">
        <v>1307</v>
      </c>
      <c r="AX88" s="1695">
        <v>1307</v>
      </c>
      <c r="AY88" s="1695">
        <v>1307</v>
      </c>
      <c r="AZ88" s="1695">
        <v>1307</v>
      </c>
      <c r="BA88" s="1696">
        <v>1307</v>
      </c>
      <c r="BB88" s="1696">
        <v>1307</v>
      </c>
      <c r="BC88" s="1696">
        <v>1307</v>
      </c>
      <c r="BD88" s="1696">
        <v>1307</v>
      </c>
      <c r="BE88" s="1738">
        <f t="shared" si="42"/>
        <v>300</v>
      </c>
      <c r="BF88" s="1697"/>
      <c r="DG88" s="1021">
        <f t="shared" si="43"/>
        <v>3.1900964146030537</v>
      </c>
      <c r="DH88" s="653" t="str">
        <f t="shared" si="39"/>
        <v>Refrigeration BUS 12 Year EUL</v>
      </c>
      <c r="DI88" s="635">
        <f>(INDEX('Avoided Cost Benefits'!$B$4:$B$865,MATCH(DH88,'Avoided Cost Benefits'!$A$4:$A$865,0)))*F88</f>
        <v>957.02892438091612</v>
      </c>
      <c r="DJ88" s="1936">
        <f t="shared" si="40"/>
        <v>300</v>
      </c>
    </row>
    <row r="89" spans="1:114" x14ac:dyDescent="0.25">
      <c r="B89" s="252">
        <f t="shared" si="36"/>
        <v>802050</v>
      </c>
      <c r="C89" s="668" t="s">
        <v>161</v>
      </c>
      <c r="D89" s="452" t="s">
        <v>111</v>
      </c>
      <c r="E89" s="1798" t="s">
        <v>162</v>
      </c>
      <c r="F89" s="667">
        <f t="shared" si="41"/>
        <v>3149.19</v>
      </c>
      <c r="G89" s="452" t="s">
        <v>148</v>
      </c>
      <c r="H89" s="453">
        <f>VLOOKUP(G89,'CP FACTORS'!$A$26:$B$38,2,FALSE)</f>
        <v>1.3573829999999999E-4</v>
      </c>
      <c r="I89" s="1868">
        <f t="shared" si="37"/>
        <v>0.42746600000000001</v>
      </c>
      <c r="J89" s="476">
        <v>12</v>
      </c>
      <c r="K89" s="1774">
        <v>500</v>
      </c>
      <c r="L89" s="454" t="s">
        <v>62</v>
      </c>
      <c r="M89" s="477"/>
      <c r="V89" s="1343" t="s">
        <v>45</v>
      </c>
      <c r="W89" s="1577">
        <v>5884.1774999999998</v>
      </c>
      <c r="X89" s="1577">
        <v>5884.1774999999998</v>
      </c>
      <c r="Y89" s="1577">
        <v>5884.1774999999998</v>
      </c>
      <c r="Z89" s="1577">
        <v>5884.1774999999998</v>
      </c>
      <c r="AA89" s="1577">
        <v>5884.1774999999998</v>
      </c>
      <c r="AB89" s="1694">
        <v>5884.18</v>
      </c>
      <c r="AC89" s="735">
        <v>5884.18</v>
      </c>
      <c r="AD89" s="735">
        <v>5884.18</v>
      </c>
      <c r="AE89" s="735">
        <v>5884.18</v>
      </c>
      <c r="AF89" s="258">
        <f t="shared" si="38"/>
        <v>3149.19</v>
      </c>
      <c r="AG89" s="52"/>
      <c r="AI89" s="1375" t="s">
        <v>49</v>
      </c>
      <c r="AJ89" s="19">
        <v>12</v>
      </c>
      <c r="AK89" s="19">
        <v>12</v>
      </c>
      <c r="AL89" s="19">
        <v>12</v>
      </c>
      <c r="AM89" s="19">
        <v>12</v>
      </c>
      <c r="AN89" s="19">
        <v>12</v>
      </c>
      <c r="AO89" s="16">
        <v>12</v>
      </c>
      <c r="AP89" s="16">
        <v>12</v>
      </c>
      <c r="AQ89" s="16">
        <v>12</v>
      </c>
      <c r="AR89" s="16">
        <v>12</v>
      </c>
      <c r="AS89" s="16">
        <v>12</v>
      </c>
      <c r="AU89" s="1375" t="s">
        <v>50</v>
      </c>
      <c r="AV89" s="1695">
        <v>2300</v>
      </c>
      <c r="AW89" s="1695">
        <v>2300</v>
      </c>
      <c r="AX89" s="1695">
        <v>2300</v>
      </c>
      <c r="AY89" s="1695">
        <v>2300</v>
      </c>
      <c r="AZ89" s="1695">
        <v>2300</v>
      </c>
      <c r="BA89" s="1696">
        <v>2300</v>
      </c>
      <c r="BB89" s="1696">
        <v>2300</v>
      </c>
      <c r="BC89" s="1696">
        <v>2300</v>
      </c>
      <c r="BD89" s="1696">
        <v>2300</v>
      </c>
      <c r="BE89" s="1738">
        <f t="shared" si="42"/>
        <v>500</v>
      </c>
      <c r="BF89" s="1697"/>
      <c r="DG89" s="1021">
        <f t="shared" si="43"/>
        <v>3.8166144318147293</v>
      </c>
      <c r="DH89" s="653" t="str">
        <f t="shared" si="39"/>
        <v>Refrigeration BUS 12 Year EUL</v>
      </c>
      <c r="DI89" s="635">
        <f>(INDEX('Avoided Cost Benefits'!$B$4:$B$865,MATCH(DH89,'Avoided Cost Benefits'!$A$4:$A$865,0)))*F89</f>
        <v>1908.3072159073647</v>
      </c>
      <c r="DJ89" s="1936">
        <f t="shared" si="40"/>
        <v>500</v>
      </c>
    </row>
    <row r="90" spans="1:114" x14ac:dyDescent="0.25">
      <c r="B90" s="252">
        <f t="shared" ref="B90:B92" si="44">VALUE(LEFT(C90,6))</f>
        <v>801650</v>
      </c>
      <c r="C90" s="1867" t="s">
        <v>163</v>
      </c>
      <c r="D90" s="452" t="s">
        <v>111</v>
      </c>
      <c r="E90" s="1798" t="s">
        <v>164</v>
      </c>
      <c r="F90" s="667">
        <f>ROUND(((G113*I113+J113)-(H113))*365.25,2)</f>
        <v>290.01</v>
      </c>
      <c r="G90" s="452" t="s">
        <v>148</v>
      </c>
      <c r="H90" s="453">
        <f>VLOOKUP(G90,'CP FACTORS'!$A$26:$B$38,2,FALSE)</f>
        <v>1.3573829999999999E-4</v>
      </c>
      <c r="I90" s="1868">
        <f t="shared" si="37"/>
        <v>3.9364999999999997E-2</v>
      </c>
      <c r="J90" s="476">
        <v>12</v>
      </c>
      <c r="K90" s="1774">
        <v>0</v>
      </c>
      <c r="L90" s="454" t="s">
        <v>62</v>
      </c>
      <c r="M90" s="477"/>
      <c r="P90" s="456"/>
      <c r="Q90" s="457"/>
      <c r="R90" s="458"/>
      <c r="S90" s="458"/>
      <c r="T90" s="459"/>
      <c r="V90" s="1343" t="s">
        <v>45</v>
      </c>
      <c r="W90" s="1577">
        <v>1219.9349999999997</v>
      </c>
      <c r="X90" s="1577">
        <v>1219.9349999999997</v>
      </c>
      <c r="Y90" s="1577">
        <v>1219.9349999999997</v>
      </c>
      <c r="Z90" s="1577">
        <v>1219.9349999999997</v>
      </c>
      <c r="AA90" s="1577">
        <v>1219.9349999999997</v>
      </c>
      <c r="AB90" s="1694">
        <v>1219.94</v>
      </c>
      <c r="AC90" s="735">
        <v>1219.94</v>
      </c>
      <c r="AD90" s="735">
        <v>1219.94</v>
      </c>
      <c r="AE90" s="735">
        <v>1219.94</v>
      </c>
      <c r="AF90" s="258">
        <f t="shared" si="38"/>
        <v>290.01</v>
      </c>
      <c r="AG90" s="52"/>
      <c r="AI90" s="1375" t="s">
        <v>49</v>
      </c>
      <c r="AJ90" s="19">
        <v>12</v>
      </c>
      <c r="AK90" s="19">
        <v>12</v>
      </c>
      <c r="AL90" s="19">
        <v>12</v>
      </c>
      <c r="AM90" s="19">
        <v>12</v>
      </c>
      <c r="AN90" s="19">
        <v>12</v>
      </c>
      <c r="AO90" s="16">
        <v>12</v>
      </c>
      <c r="AP90" s="16">
        <v>12</v>
      </c>
      <c r="AQ90" s="16">
        <v>12</v>
      </c>
      <c r="AR90" s="16">
        <v>12</v>
      </c>
      <c r="AS90" s="16">
        <v>12</v>
      </c>
      <c r="AU90" s="1375" t="s">
        <v>50</v>
      </c>
      <c r="AV90" s="1695">
        <v>525</v>
      </c>
      <c r="AW90" s="1695">
        <v>525</v>
      </c>
      <c r="AX90" s="1695">
        <v>525</v>
      </c>
      <c r="AY90" s="1695">
        <v>525</v>
      </c>
      <c r="AZ90" s="1695">
        <v>525</v>
      </c>
      <c r="BA90" s="1696">
        <v>525</v>
      </c>
      <c r="BB90" s="1696">
        <v>525</v>
      </c>
      <c r="BC90" s="1696">
        <v>525</v>
      </c>
      <c r="BD90" s="1696">
        <v>525</v>
      </c>
      <c r="BE90" s="1738">
        <f t="shared" ref="BE90" si="45">K90</f>
        <v>0</v>
      </c>
      <c r="BF90" s="1697"/>
      <c r="DG90" s="1021" t="str">
        <f>IFERROR((DI90)/(DJ90),"n/a")</f>
        <v>n/a</v>
      </c>
      <c r="DH90" s="653" t="str">
        <f t="shared" ref="DH90" si="46">CONCATENATE(G90," ",J90," Year EUL")</f>
        <v>Refrigeration BUS 12 Year EUL</v>
      </c>
      <c r="DI90" s="635">
        <f>(INDEX('Avoided Cost Benefits'!$B$4:$B$865,MATCH(DH90,'Avoided Cost Benefits'!$A$4:$A$865,0)))*F90</f>
        <v>175.73667377493732</v>
      </c>
      <c r="DJ90" s="1936">
        <f t="shared" si="40"/>
        <v>0</v>
      </c>
    </row>
    <row r="91" spans="1:114" x14ac:dyDescent="0.25">
      <c r="B91" s="252">
        <f t="shared" si="44"/>
        <v>801655</v>
      </c>
      <c r="C91" s="1867" t="s">
        <v>165</v>
      </c>
      <c r="D91" s="452" t="s">
        <v>111</v>
      </c>
      <c r="E91" s="1798" t="s">
        <v>166</v>
      </c>
      <c r="F91" s="667">
        <f>ROUND(((G114*I114+J114)-(H114))*365.25,2)</f>
        <v>172.4</v>
      </c>
      <c r="G91" s="452" t="s">
        <v>148</v>
      </c>
      <c r="H91" s="453">
        <f>VLOOKUP(G91,'CP FACTORS'!$A$26:$B$38,2,FALSE)</f>
        <v>1.3573829999999999E-4</v>
      </c>
      <c r="I91" s="1868">
        <f t="shared" si="37"/>
        <v>2.3401000000000002E-2</v>
      </c>
      <c r="J91" s="476">
        <v>12</v>
      </c>
      <c r="K91" s="1774">
        <v>0</v>
      </c>
      <c r="L91" s="454" t="s">
        <v>62</v>
      </c>
      <c r="V91" s="1343" t="s">
        <v>45</v>
      </c>
      <c r="W91" s="1577"/>
      <c r="X91" s="1577"/>
      <c r="Y91" s="1577"/>
      <c r="Z91" s="1577"/>
      <c r="AA91" s="1577"/>
      <c r="AB91" s="1694"/>
      <c r="AC91" s="735"/>
      <c r="AD91" s="735"/>
      <c r="AE91" s="735"/>
      <c r="AF91" s="258">
        <f t="shared" si="38"/>
        <v>172.4</v>
      </c>
      <c r="AG91" s="52"/>
      <c r="AI91" s="1375" t="s">
        <v>49</v>
      </c>
      <c r="AJ91" s="19"/>
      <c r="AK91" s="19"/>
      <c r="AL91" s="19"/>
      <c r="AM91" s="19"/>
      <c r="AN91" s="19"/>
      <c r="AO91" s="16"/>
      <c r="AP91" s="16"/>
      <c r="AQ91" s="16"/>
      <c r="AR91" s="16"/>
      <c r="AS91" s="16">
        <v>12</v>
      </c>
      <c r="AU91" s="1375" t="s">
        <v>50</v>
      </c>
      <c r="AV91" s="1695"/>
      <c r="AW91" s="1695"/>
      <c r="AX91" s="1695"/>
      <c r="AY91" s="1695"/>
      <c r="AZ91" s="1695"/>
      <c r="BA91" s="1696"/>
      <c r="BB91" s="1696"/>
      <c r="BC91" s="1696"/>
      <c r="BD91" s="1696"/>
      <c r="BE91" s="1738">
        <f t="shared" si="42"/>
        <v>0</v>
      </c>
      <c r="BF91" s="1697"/>
      <c r="DG91" s="1021" t="str">
        <f>IFERROR((DI91)/(DJ91),"n/a")</f>
        <v>n/a</v>
      </c>
      <c r="DH91" s="653" t="str">
        <f t="shared" si="39"/>
        <v>Refrigeration BUS 12 Year EUL</v>
      </c>
      <c r="DI91" s="1024">
        <f>(INDEX('Avoided Cost Benefits'!$B$4:$B$865,MATCH(DH91,'Avoided Cost Benefits'!$A$4:$A$865,0)))*F91</f>
        <v>104.46882024343709</v>
      </c>
      <c r="DJ91" s="1936">
        <f t="shared" si="40"/>
        <v>0</v>
      </c>
    </row>
    <row r="92" spans="1:114" x14ac:dyDescent="0.25">
      <c r="B92" s="252">
        <f t="shared" si="44"/>
        <v>802100</v>
      </c>
      <c r="C92" s="1867" t="s">
        <v>167</v>
      </c>
      <c r="D92" s="452" t="s">
        <v>111</v>
      </c>
      <c r="E92" s="1798" t="s">
        <v>168</v>
      </c>
      <c r="F92" s="667">
        <f>ROUND(((K113*M113+N113)-(L113))*365.25,2)</f>
        <v>228.65</v>
      </c>
      <c r="G92" s="452" t="s">
        <v>148</v>
      </c>
      <c r="H92" s="453">
        <f>VLOOKUP(G92,'CP FACTORS'!$A$26:$B$38,2,FALSE)</f>
        <v>1.3573829999999999E-4</v>
      </c>
      <c r="I92" s="1868">
        <f t="shared" si="37"/>
        <v>3.1036999999999999E-2</v>
      </c>
      <c r="J92" s="476">
        <v>12</v>
      </c>
      <c r="K92" s="1774">
        <v>0</v>
      </c>
      <c r="L92" s="454" t="s">
        <v>62</v>
      </c>
      <c r="V92" s="1343" t="s">
        <v>45</v>
      </c>
      <c r="W92" s="1577">
        <v>5265.0787499999997</v>
      </c>
      <c r="X92" s="1577">
        <v>5265.0787499999997</v>
      </c>
      <c r="Y92" s="1577">
        <v>5265.0787499999997</v>
      </c>
      <c r="Z92" s="1577">
        <v>5265.0787499999997</v>
      </c>
      <c r="AA92" s="1577">
        <v>5265.0787499999997</v>
      </c>
      <c r="AB92" s="1577">
        <v>5265.08</v>
      </c>
      <c r="AC92" s="1737">
        <v>5265.08</v>
      </c>
      <c r="AD92" s="1737">
        <v>5265.08</v>
      </c>
      <c r="AE92" s="1737">
        <v>5265.08</v>
      </c>
      <c r="AF92" s="258">
        <f t="shared" si="38"/>
        <v>228.65</v>
      </c>
      <c r="AG92" s="52"/>
      <c r="AI92" s="1375" t="s">
        <v>49</v>
      </c>
      <c r="AJ92" s="19">
        <v>12</v>
      </c>
      <c r="AK92" s="19">
        <v>12</v>
      </c>
      <c r="AL92" s="19">
        <v>12</v>
      </c>
      <c r="AM92" s="19">
        <v>12</v>
      </c>
      <c r="AN92" s="19">
        <v>12</v>
      </c>
      <c r="AO92" s="16">
        <v>12</v>
      </c>
      <c r="AP92" s="16">
        <v>12</v>
      </c>
      <c r="AQ92" s="16">
        <v>12</v>
      </c>
      <c r="AR92" s="16">
        <v>12</v>
      </c>
      <c r="AS92" s="16">
        <v>12</v>
      </c>
      <c r="AU92" s="1375" t="s">
        <v>50</v>
      </c>
      <c r="AV92" s="685">
        <v>595</v>
      </c>
      <c r="AW92" s="685">
        <v>595</v>
      </c>
      <c r="AX92" s="685">
        <v>595</v>
      </c>
      <c r="AY92" s="685">
        <v>595</v>
      </c>
      <c r="AZ92" s="685">
        <v>595</v>
      </c>
      <c r="BA92" s="669">
        <v>595</v>
      </c>
      <c r="BB92" s="669">
        <v>595</v>
      </c>
      <c r="BC92" s="669">
        <v>595</v>
      </c>
      <c r="BD92" s="669">
        <v>595</v>
      </c>
      <c r="BE92" s="1738">
        <f t="shared" ref="BE92" si="47">K92</f>
        <v>0</v>
      </c>
      <c r="BF92" s="1698"/>
      <c r="DG92" s="1021" t="str">
        <f>IFERROR((DI92)/(DJ92),"n/a")</f>
        <v>n/a</v>
      </c>
      <c r="DH92" s="653" t="str">
        <f t="shared" ref="DH92" si="48">CONCATENATE(G92," ",J92," Year EUL")</f>
        <v>Refrigeration BUS 12 Year EUL</v>
      </c>
      <c r="DI92" s="1024">
        <f>(INDEX('Avoided Cost Benefits'!$B$4:$B$865,MATCH(DH92,'Avoided Cost Benefits'!$A$4:$A$865,0)))*F92</f>
        <v>138.55449970221517</v>
      </c>
      <c r="DJ92" s="1937">
        <f t="shared" si="40"/>
        <v>0</v>
      </c>
    </row>
    <row r="93" spans="1:114" x14ac:dyDescent="0.25">
      <c r="B93" s="458"/>
      <c r="C93" s="458"/>
      <c r="D93" s="458"/>
      <c r="E93" s="458"/>
      <c r="F93" s="458"/>
      <c r="G93" s="458"/>
      <c r="H93" s="458"/>
      <c r="I93" s="458"/>
      <c r="J93" s="458"/>
      <c r="K93" s="458"/>
      <c r="L93" s="458"/>
      <c r="M93" s="458"/>
      <c r="N93" s="458"/>
      <c r="O93" s="458"/>
      <c r="P93" s="458"/>
      <c r="Q93" s="458"/>
      <c r="R93" s="458"/>
      <c r="S93" s="458"/>
      <c r="T93" s="458"/>
      <c r="U93" s="458"/>
      <c r="V93" s="458"/>
      <c r="W93" s="458"/>
      <c r="X93" s="458"/>
      <c r="Y93" s="458"/>
      <c r="Z93" s="458"/>
      <c r="AA93" s="458"/>
      <c r="AB93" s="458"/>
      <c r="AC93" s="458"/>
      <c r="AD93" s="458"/>
      <c r="AE93" s="458"/>
      <c r="AF93" s="458"/>
      <c r="AG93" s="458"/>
      <c r="AH93" s="458"/>
      <c r="AI93" s="458"/>
      <c r="AJ93" s="458"/>
      <c r="AK93" s="458"/>
      <c r="AL93" s="458"/>
      <c r="AM93" s="458"/>
      <c r="AN93" s="458"/>
      <c r="AO93" s="458"/>
      <c r="AP93" s="458"/>
      <c r="AQ93" s="458"/>
      <c r="AR93" s="458"/>
      <c r="AS93" s="458"/>
      <c r="AT93" s="458"/>
      <c r="AU93" s="458"/>
      <c r="AV93" s="458"/>
      <c r="AW93" s="458"/>
      <c r="AX93" s="458"/>
      <c r="AY93" s="458"/>
      <c r="AZ93" s="458"/>
      <c r="BA93" s="458"/>
      <c r="BB93" s="458"/>
      <c r="BC93" s="458"/>
      <c r="BD93" s="458"/>
      <c r="BE93" s="1690" t="s">
        <v>169</v>
      </c>
      <c r="BF93" s="458"/>
      <c r="BG93" s="458"/>
      <c r="BH93" s="458"/>
      <c r="BI93" s="458"/>
      <c r="BJ93" s="458"/>
      <c r="BK93" s="458"/>
      <c r="BL93" s="458"/>
      <c r="BM93" s="458"/>
      <c r="BN93" s="458"/>
      <c r="BO93" s="458"/>
      <c r="BP93" s="458"/>
      <c r="BQ93" s="458"/>
      <c r="BR93" s="458"/>
      <c r="BS93" s="458"/>
      <c r="BT93" s="458"/>
      <c r="BU93" s="458"/>
      <c r="BV93" s="458"/>
      <c r="BW93" s="458"/>
      <c r="BX93" s="458"/>
      <c r="BY93" s="458"/>
      <c r="BZ93" s="458"/>
      <c r="CA93" s="458"/>
      <c r="DG93" s="1021"/>
      <c r="DH93" s="653"/>
      <c r="DI93" s="1024"/>
      <c r="DJ93" s="1117"/>
    </row>
    <row r="94" spans="1:114" hidden="1" outlineLevel="1" x14ac:dyDescent="0.25">
      <c r="D94" s="74" t="s">
        <v>94</v>
      </c>
      <c r="E94" s="108" t="s">
        <v>170</v>
      </c>
      <c r="F94" s="7"/>
      <c r="G94" s="7"/>
      <c r="H94" s="460"/>
      <c r="I94" s="7"/>
      <c r="J94" s="7"/>
      <c r="K94" s="7"/>
      <c r="BF94" s="1690"/>
    </row>
    <row r="95" spans="1:114" hidden="1" outlineLevel="1" x14ac:dyDescent="0.25">
      <c r="D95" s="7" t="s">
        <v>96</v>
      </c>
      <c r="E95" s="7"/>
      <c r="F95" s="7"/>
      <c r="G95" s="7"/>
      <c r="H95" s="460"/>
      <c r="I95" s="7"/>
      <c r="J95" s="7"/>
      <c r="K95" s="7"/>
      <c r="BF95" s="1690"/>
    </row>
    <row r="96" spans="1:114" hidden="1" outlineLevel="1" x14ac:dyDescent="0.25">
      <c r="D96" s="461"/>
      <c r="G96" s="252"/>
      <c r="H96" s="462"/>
      <c r="BF96" s="1690"/>
    </row>
    <row r="97" spans="1:114" hidden="1" outlineLevel="1" x14ac:dyDescent="0.25">
      <c r="D97" s="461"/>
      <c r="G97" s="252"/>
      <c r="H97" s="462"/>
      <c r="BF97" s="1690"/>
    </row>
    <row r="98" spans="1:114" hidden="1" outlineLevel="1" x14ac:dyDescent="0.25">
      <c r="D98" s="461"/>
      <c r="G98" s="252"/>
      <c r="H98" s="462"/>
      <c r="M98" s="7"/>
      <c r="BF98" s="1690"/>
    </row>
    <row r="99" spans="1:114" hidden="1" outlineLevel="1" x14ac:dyDescent="0.25">
      <c r="D99" s="461"/>
      <c r="G99" s="252"/>
      <c r="H99" s="462"/>
      <c r="M99" s="7"/>
      <c r="BF99" s="1690"/>
    </row>
    <row r="100" spans="1:114" hidden="1" outlineLevel="1" x14ac:dyDescent="0.25">
      <c r="D100" s="461"/>
      <c r="G100" s="252"/>
      <c r="H100" s="462"/>
      <c r="M100" s="7"/>
      <c r="BF100" s="1690"/>
    </row>
    <row r="101" spans="1:114" hidden="1" outlineLevel="1" x14ac:dyDescent="0.25">
      <c r="D101" s="461"/>
      <c r="G101" s="252"/>
      <c r="H101" s="462"/>
      <c r="BF101" s="1690"/>
    </row>
    <row r="102" spans="1:114" s="8" customFormat="1" ht="60" hidden="1" outlineLevel="1" x14ac:dyDescent="0.25">
      <c r="A102" s="252"/>
      <c r="B102" s="252"/>
      <c r="C102" s="64"/>
      <c r="D102" s="1294" t="s">
        <v>171</v>
      </c>
      <c r="E102" s="1294" t="s">
        <v>172</v>
      </c>
      <c r="F102" s="1294" t="s">
        <v>173</v>
      </c>
      <c r="G102" s="1294" t="s">
        <v>174</v>
      </c>
      <c r="H102" s="1294" t="s">
        <v>175</v>
      </c>
      <c r="I102" s="2087" t="s">
        <v>176</v>
      </c>
      <c r="J102" s="2088"/>
      <c r="K102" s="1294" t="s">
        <v>177</v>
      </c>
      <c r="L102" s="1294" t="s">
        <v>178</v>
      </c>
      <c r="M102" s="2087" t="s">
        <v>179</v>
      </c>
      <c r="N102" s="2088"/>
      <c r="O102" s="1691"/>
      <c r="P102" s="116"/>
      <c r="Q102" s="116"/>
      <c r="R102" s="116"/>
      <c r="S102" s="116"/>
      <c r="T102" s="116"/>
      <c r="U102" s="116"/>
      <c r="V102" s="648" t="s">
        <v>52</v>
      </c>
      <c r="W102" s="649">
        <f>$W$8</f>
        <v>43252</v>
      </c>
      <c r="X102" s="649">
        <f>$X$8</f>
        <v>43465</v>
      </c>
      <c r="Y102" s="649">
        <f>$Y$8</f>
        <v>43800</v>
      </c>
      <c r="Z102" s="649">
        <f>$Z$8</f>
        <v>43862</v>
      </c>
      <c r="AA102" s="649">
        <f>$AA$8</f>
        <v>44013</v>
      </c>
      <c r="AB102" s="649">
        <v>44166</v>
      </c>
      <c r="AC102" s="649">
        <f>$AC$8</f>
        <v>44531</v>
      </c>
      <c r="AD102" s="649">
        <f>$AD$8</f>
        <v>44774</v>
      </c>
      <c r="AE102" s="649">
        <f>$AE$8</f>
        <v>45142</v>
      </c>
      <c r="AF102" s="649">
        <f>$AF$8</f>
        <v>45672</v>
      </c>
      <c r="AG102" s="649" t="str">
        <f>$AG$8</f>
        <v>-</v>
      </c>
      <c r="BF102" s="1689"/>
      <c r="DE102" s="2"/>
      <c r="DF102" s="2"/>
      <c r="DG102" s="1023"/>
      <c r="DH102" s="116"/>
      <c r="DI102" s="116"/>
      <c r="DJ102" s="1116"/>
    </row>
    <row r="103" spans="1:114" s="8" customFormat="1" hidden="1" outlineLevel="1" x14ac:dyDescent="0.25">
      <c r="A103" s="252"/>
      <c r="B103" s="252"/>
      <c r="C103" s="64"/>
      <c r="D103" s="26"/>
      <c r="E103" s="26"/>
      <c r="F103" s="26"/>
      <c r="G103" s="26"/>
      <c r="H103" s="26"/>
      <c r="I103" s="1669" t="s">
        <v>180</v>
      </c>
      <c r="J103" s="1669"/>
      <c r="K103" s="26"/>
      <c r="L103" s="26"/>
      <c r="M103" s="1669" t="s">
        <v>181</v>
      </c>
      <c r="N103" s="1669"/>
      <c r="O103" s="1691"/>
      <c r="P103" s="116"/>
      <c r="Q103" s="116"/>
      <c r="R103" s="116"/>
      <c r="S103" s="116"/>
      <c r="T103" s="116"/>
      <c r="U103" s="116"/>
      <c r="DE103" s="2"/>
      <c r="DF103" s="2"/>
      <c r="DG103" s="1023"/>
      <c r="DH103" s="116"/>
      <c r="DI103" s="116"/>
      <c r="DJ103" s="1116"/>
    </row>
    <row r="104" spans="1:114" s="8" customFormat="1" hidden="1" outlineLevel="1" x14ac:dyDescent="0.25">
      <c r="A104" s="252"/>
      <c r="B104" s="252"/>
      <c r="C104" s="64"/>
      <c r="D104" s="27"/>
      <c r="E104" s="27"/>
      <c r="F104" s="27"/>
      <c r="G104" s="1361" t="s">
        <v>182</v>
      </c>
      <c r="H104" s="1361" t="s">
        <v>183</v>
      </c>
      <c r="I104" s="1361" t="s">
        <v>184</v>
      </c>
      <c r="J104" s="1361" t="s">
        <v>185</v>
      </c>
      <c r="K104" s="1361" t="s">
        <v>182</v>
      </c>
      <c r="L104" s="1361" t="s">
        <v>183</v>
      </c>
      <c r="M104" s="1361" t="s">
        <v>186</v>
      </c>
      <c r="N104" s="1361" t="s">
        <v>187</v>
      </c>
      <c r="O104" s="1691"/>
      <c r="P104" s="116"/>
      <c r="Q104" s="116"/>
      <c r="R104" s="116"/>
      <c r="S104" s="116"/>
      <c r="T104" s="116"/>
      <c r="U104" s="116"/>
      <c r="V104" s="116"/>
      <c r="W104" s="116"/>
      <c r="X104" s="116"/>
      <c r="Y104" s="116"/>
      <c r="Z104" s="116"/>
      <c r="AA104" s="116"/>
      <c r="AB104" s="116"/>
      <c r="AC104" s="116"/>
      <c r="AD104" s="116"/>
      <c r="AE104" s="116"/>
      <c r="AF104" s="116"/>
      <c r="AG104" s="116"/>
      <c r="AH104" s="116"/>
      <c r="AI104" s="116"/>
      <c r="AJ104" s="116"/>
      <c r="AK104" s="116"/>
      <c r="DE104" s="2"/>
      <c r="DF104" s="2"/>
      <c r="DG104" s="1023"/>
      <c r="DH104" s="116"/>
      <c r="DI104" s="116"/>
      <c r="DJ104" s="1116"/>
    </row>
    <row r="105" spans="1:114" hidden="1" outlineLevel="1" x14ac:dyDescent="0.25">
      <c r="D105" s="659" t="s">
        <v>188</v>
      </c>
      <c r="E105" s="659" t="s">
        <v>189</v>
      </c>
      <c r="F105" s="659" t="s">
        <v>190</v>
      </c>
      <c r="G105" s="1764">
        <v>9.1</v>
      </c>
      <c r="H105" s="1765">
        <v>0.91200000000000003</v>
      </c>
      <c r="I105" s="1671">
        <v>0.05</v>
      </c>
      <c r="J105" s="1672">
        <v>1.36</v>
      </c>
      <c r="K105" s="1764"/>
      <c r="L105" s="1765"/>
      <c r="M105" s="1672"/>
      <c r="N105" s="1674"/>
      <c r="O105" s="1692"/>
      <c r="V105" s="1343" t="s">
        <v>191</v>
      </c>
      <c r="W105" s="53"/>
      <c r="X105" s="53"/>
      <c r="Y105" s="53"/>
      <c r="Z105" s="53"/>
      <c r="AA105" s="53"/>
      <c r="AB105" s="52"/>
      <c r="AC105" s="705"/>
      <c r="AD105" s="705"/>
      <c r="AE105" s="705"/>
      <c r="AF105" s="705" t="str">
        <f>H105&amp;" and "&amp;L105</f>
        <v xml:space="preserve">0.912 and </v>
      </c>
      <c r="AG105" s="68"/>
      <c r="AH105" s="8"/>
    </row>
    <row r="106" spans="1:114" hidden="1" outlineLevel="1" x14ac:dyDescent="0.25">
      <c r="D106" s="659" t="s">
        <v>188</v>
      </c>
      <c r="E106" s="659" t="s">
        <v>189</v>
      </c>
      <c r="F106" s="659" t="s">
        <v>192</v>
      </c>
      <c r="G106" s="1764"/>
      <c r="H106" s="1765"/>
      <c r="I106" s="1671"/>
      <c r="J106" s="1672"/>
      <c r="K106" s="1764">
        <v>20.2</v>
      </c>
      <c r="L106" s="1765">
        <v>4.2489999999999997</v>
      </c>
      <c r="M106" s="1672">
        <v>0.22</v>
      </c>
      <c r="N106" s="1674">
        <v>1.38</v>
      </c>
      <c r="O106" s="1692"/>
      <c r="V106" s="1343" t="s">
        <v>191</v>
      </c>
      <c r="W106" s="53"/>
      <c r="X106" s="53"/>
      <c r="Y106" s="53"/>
      <c r="Z106" s="53"/>
      <c r="AA106" s="53"/>
      <c r="AB106" s="52"/>
      <c r="AC106" s="705"/>
      <c r="AD106" s="705"/>
      <c r="AE106" s="705"/>
      <c r="AF106" s="705" t="str">
        <f t="shared" ref="AF106:AF114" si="49">H106&amp;" and "&amp;L106</f>
        <v xml:space="preserve"> and 4.249</v>
      </c>
      <c r="AG106" s="68"/>
    </row>
    <row r="107" spans="1:114" hidden="1" outlineLevel="1" x14ac:dyDescent="0.25">
      <c r="D107" s="659" t="s">
        <v>188</v>
      </c>
      <c r="E107" s="659" t="s">
        <v>189</v>
      </c>
      <c r="F107" s="659" t="s">
        <v>193</v>
      </c>
      <c r="G107" s="1764"/>
      <c r="H107" s="1765"/>
      <c r="I107" s="1671"/>
      <c r="J107" s="1672"/>
      <c r="K107" s="1764">
        <v>42.5</v>
      </c>
      <c r="L107" s="1765">
        <v>7.67</v>
      </c>
      <c r="M107" s="1672">
        <v>0.22</v>
      </c>
      <c r="N107" s="1674">
        <v>1.38</v>
      </c>
      <c r="O107" s="1692"/>
      <c r="V107" s="1343" t="s">
        <v>191</v>
      </c>
      <c r="W107" s="53"/>
      <c r="X107" s="53"/>
      <c r="Y107" s="53"/>
      <c r="Z107" s="53"/>
      <c r="AA107" s="53"/>
      <c r="AB107" s="52"/>
      <c r="AC107" s="705"/>
      <c r="AD107" s="705"/>
      <c r="AE107" s="705"/>
      <c r="AF107" s="705" t="str">
        <f t="shared" si="49"/>
        <v xml:space="preserve"> and 7.67</v>
      </c>
      <c r="AG107" s="68"/>
    </row>
    <row r="108" spans="1:114" hidden="1" outlineLevel="1" x14ac:dyDescent="0.25">
      <c r="D108" s="659" t="s">
        <v>188</v>
      </c>
      <c r="E108" s="659" t="s">
        <v>189</v>
      </c>
      <c r="F108" s="659" t="s">
        <v>194</v>
      </c>
      <c r="G108" s="1764"/>
      <c r="H108" s="1765"/>
      <c r="I108" s="1671"/>
      <c r="J108" s="1672"/>
      <c r="K108" s="1764">
        <v>68</v>
      </c>
      <c r="L108" s="1765">
        <v>12.221</v>
      </c>
      <c r="M108" s="1672">
        <v>0.22</v>
      </c>
      <c r="N108" s="1674">
        <v>1.38</v>
      </c>
      <c r="O108" s="1692"/>
      <c r="V108" s="1343" t="s">
        <v>191</v>
      </c>
      <c r="W108" s="53"/>
      <c r="X108" s="53"/>
      <c r="Y108" s="53"/>
      <c r="Z108" s="53"/>
      <c r="AA108" s="53"/>
      <c r="AB108" s="52"/>
      <c r="AC108" s="705"/>
      <c r="AD108" s="705"/>
      <c r="AE108" s="705"/>
      <c r="AF108" s="705" t="str">
        <f t="shared" si="49"/>
        <v xml:space="preserve"> and 12.221</v>
      </c>
      <c r="AG108" s="68"/>
    </row>
    <row r="109" spans="1:114" hidden="1" outlineLevel="1" x14ac:dyDescent="0.25">
      <c r="D109" s="659" t="s">
        <v>188</v>
      </c>
      <c r="E109" s="659" t="s">
        <v>195</v>
      </c>
      <c r="F109" s="659" t="s">
        <v>190</v>
      </c>
      <c r="G109" s="1764"/>
      <c r="H109" s="1765"/>
      <c r="I109" s="1671"/>
      <c r="J109" s="1672"/>
      <c r="K109" s="1764">
        <v>6.8</v>
      </c>
      <c r="L109" s="1765">
        <v>3.3919999999999999</v>
      </c>
      <c r="M109" s="1672">
        <v>0.28999999999999998</v>
      </c>
      <c r="N109" s="1674">
        <v>2.95</v>
      </c>
      <c r="O109" s="1692"/>
      <c r="V109" s="1343" t="s">
        <v>191</v>
      </c>
      <c r="W109" s="53"/>
      <c r="X109" s="53"/>
      <c r="Y109" s="53"/>
      <c r="Z109" s="53"/>
      <c r="AA109" s="53"/>
      <c r="AB109" s="52"/>
      <c r="AC109" s="705"/>
      <c r="AD109" s="705"/>
      <c r="AE109" s="705"/>
      <c r="AF109" s="705" t="str">
        <f t="shared" si="49"/>
        <v xml:space="preserve"> and 3.392</v>
      </c>
      <c r="AG109" s="68"/>
    </row>
    <row r="110" spans="1:114" hidden="1" outlineLevel="1" x14ac:dyDescent="0.25">
      <c r="D110" s="659" t="s">
        <v>188</v>
      </c>
      <c r="E110" s="659" t="s">
        <v>195</v>
      </c>
      <c r="F110" s="659" t="s">
        <v>192</v>
      </c>
      <c r="G110" s="1764"/>
      <c r="H110" s="1765"/>
      <c r="I110" s="1671"/>
      <c r="J110" s="1672"/>
      <c r="K110" s="1764">
        <v>21</v>
      </c>
      <c r="L110" s="1765">
        <v>6.3710000000000004</v>
      </c>
      <c r="M110" s="1672">
        <v>0.28999999999999998</v>
      </c>
      <c r="N110" s="1674">
        <v>2.95</v>
      </c>
      <c r="O110" s="1693"/>
      <c r="V110" s="1343" t="s">
        <v>191</v>
      </c>
      <c r="W110" s="53"/>
      <c r="X110" s="53"/>
      <c r="Y110" s="53"/>
      <c r="Z110" s="53"/>
      <c r="AA110" s="53"/>
      <c r="AB110" s="52"/>
      <c r="AC110" s="705"/>
      <c r="AD110" s="705"/>
      <c r="AE110" s="705"/>
      <c r="AF110" s="705" t="str">
        <f t="shared" si="49"/>
        <v xml:space="preserve"> and 6.371</v>
      </c>
      <c r="AG110" s="68"/>
    </row>
    <row r="111" spans="1:114" hidden="1" outlineLevel="1" x14ac:dyDescent="0.25">
      <c r="D111" s="659" t="s">
        <v>188</v>
      </c>
      <c r="E111" s="659" t="s">
        <v>195</v>
      </c>
      <c r="F111" s="659" t="s">
        <v>193</v>
      </c>
      <c r="G111" s="1764"/>
      <c r="H111" s="1765"/>
      <c r="I111" s="1671"/>
      <c r="J111" s="1672"/>
      <c r="K111" s="1764">
        <v>41.8</v>
      </c>
      <c r="L111" s="1765">
        <v>10.747999999999999</v>
      </c>
      <c r="M111" s="1672">
        <v>0.28999999999999998</v>
      </c>
      <c r="N111" s="1674">
        <v>2.95</v>
      </c>
      <c r="O111" s="1693"/>
      <c r="V111" s="1343" t="s">
        <v>191</v>
      </c>
      <c r="W111" s="53"/>
      <c r="X111" s="53"/>
      <c r="Y111" s="53"/>
      <c r="Z111" s="53"/>
      <c r="AA111" s="53"/>
      <c r="AB111" s="52"/>
      <c r="AC111" s="705"/>
      <c r="AD111" s="705"/>
      <c r="AE111" s="705"/>
      <c r="AF111" s="705" t="str">
        <f t="shared" si="49"/>
        <v xml:space="preserve"> and 10.748</v>
      </c>
      <c r="AG111" s="68"/>
    </row>
    <row r="112" spans="1:114" hidden="1" outlineLevel="1" x14ac:dyDescent="0.25">
      <c r="D112" s="659" t="s">
        <v>188</v>
      </c>
      <c r="E112" s="659" t="s">
        <v>195</v>
      </c>
      <c r="F112" s="659" t="s">
        <v>194</v>
      </c>
      <c r="G112" s="1764"/>
      <c r="H112" s="1765"/>
      <c r="I112" s="1671"/>
      <c r="J112" s="1672"/>
      <c r="K112" s="1764">
        <v>80.7</v>
      </c>
      <c r="L112" s="1765">
        <v>17.731000000000002</v>
      </c>
      <c r="M112" s="1672">
        <v>0.28999999999999998</v>
      </c>
      <c r="N112" s="1674">
        <v>2.95</v>
      </c>
      <c r="O112" s="1693"/>
      <c r="V112" s="1343" t="s">
        <v>191</v>
      </c>
      <c r="W112" s="53"/>
      <c r="X112" s="53"/>
      <c r="Y112" s="53"/>
      <c r="Z112" s="53"/>
      <c r="AA112" s="53"/>
      <c r="AB112" s="52"/>
      <c r="AC112" s="705"/>
      <c r="AD112" s="705"/>
      <c r="AE112" s="705"/>
      <c r="AF112" s="705" t="str">
        <f t="shared" si="49"/>
        <v xml:space="preserve"> and 17.731</v>
      </c>
      <c r="AG112" s="68"/>
    </row>
    <row r="113" spans="1:114" hidden="1" outlineLevel="1" x14ac:dyDescent="0.25">
      <c r="D113" s="659" t="s">
        <v>188</v>
      </c>
      <c r="E113" s="659" t="s">
        <v>196</v>
      </c>
      <c r="F113" s="659" t="s">
        <v>197</v>
      </c>
      <c r="G113" s="1764">
        <v>18.600000000000001</v>
      </c>
      <c r="H113" s="1765">
        <v>1.046</v>
      </c>
      <c r="I113" s="1671">
        <v>0.05</v>
      </c>
      <c r="J113" s="1672">
        <v>0.91</v>
      </c>
      <c r="K113" s="1764">
        <v>19.100000000000001</v>
      </c>
      <c r="L113" s="1765">
        <v>1.64</v>
      </c>
      <c r="M113" s="1672">
        <v>0.06</v>
      </c>
      <c r="N113" s="1673">
        <v>1.1200000000000001</v>
      </c>
      <c r="O113" s="1693"/>
      <c r="V113" s="1343" t="s">
        <v>191</v>
      </c>
      <c r="W113" s="53"/>
      <c r="X113" s="53"/>
      <c r="Y113" s="53"/>
      <c r="Z113" s="53"/>
      <c r="AA113" s="53"/>
      <c r="AB113" s="52"/>
      <c r="AC113" s="705"/>
      <c r="AD113" s="705"/>
      <c r="AE113" s="705"/>
      <c r="AF113" s="705" t="str">
        <f t="shared" si="49"/>
        <v>1.046 and 1.64</v>
      </c>
      <c r="AG113" s="68"/>
    </row>
    <row r="114" spans="1:114" hidden="1" outlineLevel="1" x14ac:dyDescent="0.25">
      <c r="D114" s="659" t="s">
        <v>188</v>
      </c>
      <c r="E114" s="659" t="s">
        <v>198</v>
      </c>
      <c r="F114" s="659" t="s">
        <v>197</v>
      </c>
      <c r="G114" s="1764">
        <v>20.2</v>
      </c>
      <c r="H114" s="1765">
        <v>1.1100000000000001</v>
      </c>
      <c r="I114" s="1671">
        <v>0.06</v>
      </c>
      <c r="J114" s="1672">
        <v>0.37</v>
      </c>
      <c r="K114" s="1764"/>
      <c r="L114" s="1765"/>
      <c r="M114" s="1672">
        <v>0.08</v>
      </c>
      <c r="N114" s="1673" t="s">
        <v>199</v>
      </c>
      <c r="O114" s="1692" t="s">
        <v>200</v>
      </c>
      <c r="V114" s="1343" t="s">
        <v>191</v>
      </c>
      <c r="W114" s="53"/>
      <c r="X114" s="53"/>
      <c r="Y114" s="53"/>
      <c r="Z114" s="53"/>
      <c r="AA114" s="53"/>
      <c r="AB114" s="52"/>
      <c r="AC114" s="705"/>
      <c r="AD114" s="705"/>
      <c r="AE114" s="705"/>
      <c r="AF114" s="705" t="str">
        <f t="shared" si="49"/>
        <v xml:space="preserve">1.11 and </v>
      </c>
      <c r="AG114" s="68"/>
    </row>
    <row r="115" spans="1:114" hidden="1" outlineLevel="1" x14ac:dyDescent="0.25">
      <c r="G115" s="252"/>
      <c r="H115" s="1692"/>
      <c r="I115" s="1692" t="s">
        <v>201</v>
      </c>
      <c r="J115" s="1692"/>
      <c r="K115" s="1692"/>
      <c r="L115" s="1692"/>
      <c r="M115" s="1692" t="s">
        <v>201</v>
      </c>
      <c r="N115" s="1692"/>
      <c r="O115" s="1692"/>
      <c r="V115" s="252"/>
      <c r="W115" s="252"/>
      <c r="X115" s="252"/>
      <c r="Y115" s="252"/>
      <c r="Z115" s="252"/>
      <c r="AA115" s="252"/>
      <c r="AB115" s="252"/>
      <c r="AC115" s="252"/>
      <c r="AD115" s="252"/>
      <c r="AE115" s="252"/>
      <c r="AF115" s="252"/>
      <c r="AG115" s="252"/>
      <c r="AH115" s="252"/>
      <c r="AI115" s="252"/>
      <c r="AJ115" s="252"/>
    </row>
    <row r="116" spans="1:114" collapsed="1" x14ac:dyDescent="0.25"/>
    <row r="117" spans="1:114" s="7" customFormat="1" x14ac:dyDescent="0.25">
      <c r="A117" s="252"/>
      <c r="B117" s="2071" t="s">
        <v>202</v>
      </c>
      <c r="C117" s="2072"/>
      <c r="D117" s="2072"/>
      <c r="E117" s="2072"/>
      <c r="F117" s="2072"/>
      <c r="G117" s="2072"/>
      <c r="H117" s="2072"/>
      <c r="I117" s="2073"/>
      <c r="J117" s="2073"/>
      <c r="K117" s="2073"/>
      <c r="L117" s="2073"/>
      <c r="M117" s="2074"/>
      <c r="N117" s="2074"/>
      <c r="O117" s="2075"/>
      <c r="V117" s="1292" t="str">
        <f>B117</f>
        <v>Refrigerators &amp; Freezers Controls</v>
      </c>
      <c r="W117" s="1293"/>
      <c r="X117" s="1293"/>
      <c r="Y117" s="1293"/>
      <c r="Z117" s="1293"/>
      <c r="AA117" s="1293"/>
      <c r="AB117" s="1293"/>
      <c r="AC117" s="1293"/>
      <c r="AD117" s="1293"/>
      <c r="AE117" s="1293"/>
      <c r="AF117" s="1293"/>
      <c r="AG117" s="1293"/>
      <c r="AH117" s="1293"/>
      <c r="AI117" s="1327"/>
      <c r="AJ117" s="2"/>
      <c r="AK117" s="2"/>
      <c r="AL117" s="2"/>
      <c r="AM117" s="2"/>
      <c r="AN117" s="2"/>
      <c r="AO117" s="2"/>
      <c r="AP117" s="2"/>
      <c r="AQ117" s="2"/>
      <c r="AR117" s="2"/>
      <c r="AS117" s="2"/>
      <c r="AT117" s="2"/>
      <c r="AU117" s="2"/>
      <c r="DE117" s="2"/>
      <c r="DF117" s="2"/>
      <c r="DG117" s="23"/>
      <c r="DJ117" s="1059"/>
    </row>
    <row r="118" spans="1:114" x14ac:dyDescent="0.25">
      <c r="D118" s="450"/>
      <c r="E118" s="7"/>
      <c r="F118" s="7"/>
      <c r="G118" s="7"/>
      <c r="H118" s="451"/>
      <c r="I118" s="7"/>
      <c r="J118" s="7"/>
      <c r="K118" s="7"/>
      <c r="L118" s="7"/>
      <c r="P118" s="7"/>
      <c r="Q118" s="7"/>
      <c r="R118" s="7"/>
      <c r="S118" s="7"/>
      <c r="T118" s="7"/>
      <c r="U118" s="7"/>
      <c r="V118"/>
      <c r="W118"/>
      <c r="X118"/>
      <c r="Y118"/>
      <c r="Z118"/>
      <c r="AA118"/>
      <c r="AB118"/>
      <c r="AC118"/>
      <c r="AD118"/>
      <c r="AE118"/>
      <c r="AF118"/>
      <c r="AG118"/>
      <c r="AH118"/>
      <c r="AI118"/>
      <c r="AJ118" s="6"/>
      <c r="AK118" s="6"/>
      <c r="AL118" s="6"/>
      <c r="AM118" s="6"/>
      <c r="AN118" s="6"/>
      <c r="AO118" s="6"/>
      <c r="AP118" s="6"/>
      <c r="AQ118" s="6"/>
      <c r="AR118" s="6"/>
      <c r="AS118" s="6"/>
      <c r="AT118" s="6"/>
      <c r="AU118" s="6"/>
    </row>
    <row r="119" spans="1:114" s="8" customFormat="1" ht="30" x14ac:dyDescent="0.25">
      <c r="A119" s="252"/>
      <c r="B119" s="64"/>
      <c r="C119" s="9" t="s">
        <v>42</v>
      </c>
      <c r="D119" s="1361" t="s">
        <v>43</v>
      </c>
      <c r="E119" s="1361" t="s">
        <v>44</v>
      </c>
      <c r="F119" s="1361" t="s">
        <v>203</v>
      </c>
      <c r="G119" s="1361" t="s">
        <v>46</v>
      </c>
      <c r="H119" s="1361" t="s">
        <v>47</v>
      </c>
      <c r="I119" s="1361" t="s">
        <v>48</v>
      </c>
      <c r="J119" s="1361" t="s">
        <v>49</v>
      </c>
      <c r="K119" s="1361" t="s">
        <v>204</v>
      </c>
      <c r="L119" s="9" t="s">
        <v>51</v>
      </c>
      <c r="M119" s="252"/>
      <c r="N119" s="252"/>
      <c r="O119" s="252"/>
      <c r="P119" s="116"/>
      <c r="Q119" s="116"/>
      <c r="R119" s="116"/>
      <c r="S119" s="116"/>
      <c r="T119" s="116"/>
      <c r="U119" s="116"/>
      <c r="V119" s="648" t="s">
        <v>52</v>
      </c>
      <c r="W119" s="649">
        <f>$W$8</f>
        <v>43252</v>
      </c>
      <c r="X119" s="649">
        <f>$X$8</f>
        <v>43465</v>
      </c>
      <c r="Y119" s="649">
        <f>$Y$8</f>
        <v>43800</v>
      </c>
      <c r="Z119" s="649">
        <f>$Z$8</f>
        <v>43862</v>
      </c>
      <c r="AA119" s="649">
        <f>$AA$8</f>
        <v>44013</v>
      </c>
      <c r="AB119" s="649">
        <v>44166</v>
      </c>
      <c r="AC119" s="649">
        <f>$AC$8</f>
        <v>44531</v>
      </c>
      <c r="AD119" s="649">
        <f>$AD$8</f>
        <v>44774</v>
      </c>
      <c r="AE119" s="649">
        <f>$AE$8</f>
        <v>45142</v>
      </c>
      <c r="AF119" s="649">
        <f>$AF$8</f>
        <v>45672</v>
      </c>
      <c r="AG119" s="649" t="str">
        <f>$AG$8</f>
        <v>-</v>
      </c>
      <c r="AH119"/>
      <c r="AI119" s="648" t="s">
        <v>52</v>
      </c>
      <c r="AJ119" s="649">
        <v>43252</v>
      </c>
      <c r="AK119" s="649">
        <f>$X$8</f>
        <v>43465</v>
      </c>
      <c r="AL119" s="649">
        <f>$Y$8</f>
        <v>43800</v>
      </c>
      <c r="AM119" s="649">
        <f>$Z$8</f>
        <v>43862</v>
      </c>
      <c r="AN119" s="649">
        <f>$AA$8</f>
        <v>44013</v>
      </c>
      <c r="AO119" s="649">
        <f>$AB$8</f>
        <v>44166</v>
      </c>
      <c r="AP119" s="649">
        <f>$AC$8</f>
        <v>44531</v>
      </c>
      <c r="AQ119" s="649">
        <f>$AD$8</f>
        <v>44774</v>
      </c>
      <c r="AR119" s="649">
        <f>$AE$8</f>
        <v>45142</v>
      </c>
      <c r="AS119" s="649">
        <f>$AF$8</f>
        <v>45672</v>
      </c>
      <c r="AT119" s="2"/>
      <c r="AU119" s="648" t="s">
        <v>52</v>
      </c>
      <c r="AV119" s="649">
        <v>43252</v>
      </c>
      <c r="AW119" s="649">
        <f>$X$8</f>
        <v>43465</v>
      </c>
      <c r="AX119" s="649">
        <f>$Y$8</f>
        <v>43800</v>
      </c>
      <c r="AY119" s="649">
        <f>$Z$8</f>
        <v>43862</v>
      </c>
      <c r="AZ119" s="649">
        <f>$AA$8</f>
        <v>44013</v>
      </c>
      <c r="BA119" s="649">
        <v>44166</v>
      </c>
      <c r="BB119" s="649">
        <f>$AC$8</f>
        <v>44531</v>
      </c>
      <c r="BC119" s="649">
        <f>$AD$8</f>
        <v>44774</v>
      </c>
      <c r="BD119" s="649">
        <f>$AE$8</f>
        <v>45142</v>
      </c>
      <c r="BE119" s="649">
        <f>$AF$8</f>
        <v>45672</v>
      </c>
      <c r="DE119" s="2"/>
      <c r="DF119" s="2"/>
      <c r="DG119" s="1018" t="str">
        <f>$DG$8</f>
        <v>TRC (2025)</v>
      </c>
      <c r="DH119" s="776" t="str">
        <f>$DH$8</f>
        <v>Benefit Lookup</v>
      </c>
      <c r="DI119" s="776" t="str">
        <f>$DI$8</f>
        <v>Benefits (2025 $)</v>
      </c>
      <c r="DJ119" s="1118" t="str">
        <f>$DJ$8</f>
        <v>Incremental Cost (2025 $)</v>
      </c>
    </row>
    <row r="120" spans="1:114" ht="15" customHeight="1" x14ac:dyDescent="0.25">
      <c r="B120" s="252">
        <f t="shared" ref="B120:B121" si="50">VALUE(LEFT(C120,6))</f>
        <v>802150</v>
      </c>
      <c r="C120" s="668" t="s">
        <v>205</v>
      </c>
      <c r="D120" s="452" t="s">
        <v>111</v>
      </c>
      <c r="E120" s="469" t="s">
        <v>206</v>
      </c>
      <c r="F120" s="19">
        <f>ROUND(F$131*G$131*(H$131-H132)*I$131*J132,2)</f>
        <v>668.14</v>
      </c>
      <c r="G120" s="452" t="s">
        <v>148</v>
      </c>
      <c r="H120" s="453">
        <f>VLOOKUP(G120,'CP FACTORS'!$A$26:$B$38,2,FALSE)</f>
        <v>1.3573829999999999E-4</v>
      </c>
      <c r="I120" s="470">
        <f>ROUND(H120*F120,6)</f>
        <v>9.0691999999999995E-2</v>
      </c>
      <c r="J120" s="489">
        <v>12</v>
      </c>
      <c r="K120" s="1766">
        <v>150</v>
      </c>
      <c r="L120" s="424" t="s">
        <v>207</v>
      </c>
      <c r="M120" s="7"/>
      <c r="V120" s="1343" t="str">
        <f>F119</f>
        <v>kWh Annual Savings (per door)</v>
      </c>
      <c r="W120" s="53">
        <v>668.13575400000013</v>
      </c>
      <c r="X120" s="53">
        <v>668.13575400000013</v>
      </c>
      <c r="Y120" s="53">
        <v>668.13575400000013</v>
      </c>
      <c r="Z120" s="53">
        <v>668.13575400000013</v>
      </c>
      <c r="AA120" s="53">
        <v>668.13575400000013</v>
      </c>
      <c r="AB120" s="52">
        <v>668.14</v>
      </c>
      <c r="AC120" s="705">
        <v>668.14</v>
      </c>
      <c r="AD120" s="705">
        <v>668.14</v>
      </c>
      <c r="AE120" s="705">
        <v>668.14</v>
      </c>
      <c r="AF120" s="258">
        <f>IF(F120&lt;&gt;"",F120,"")</f>
        <v>668.14</v>
      </c>
      <c r="AG120" s="68"/>
      <c r="AH120"/>
      <c r="AI120" s="1375" t="s">
        <v>49</v>
      </c>
      <c r="AJ120" s="19">
        <v>12</v>
      </c>
      <c r="AK120" s="19">
        <v>12</v>
      </c>
      <c r="AL120" s="19">
        <v>12</v>
      </c>
      <c r="AM120" s="19">
        <v>12</v>
      </c>
      <c r="AN120" s="19">
        <v>12</v>
      </c>
      <c r="AO120" s="16">
        <v>12</v>
      </c>
      <c r="AP120" s="16">
        <v>12</v>
      </c>
      <c r="AQ120" s="16">
        <v>12</v>
      </c>
      <c r="AR120" s="16">
        <v>12</v>
      </c>
      <c r="AS120" s="16">
        <v>12</v>
      </c>
      <c r="AU120" s="1375" t="str">
        <f>K119</f>
        <v>Inc. Cost (per door)</v>
      </c>
      <c r="AV120" s="685">
        <v>151</v>
      </c>
      <c r="AW120" s="685">
        <v>151</v>
      </c>
      <c r="AX120" s="685">
        <v>151</v>
      </c>
      <c r="AY120" s="685">
        <v>151</v>
      </c>
      <c r="AZ120" s="685">
        <v>151</v>
      </c>
      <c r="BA120" s="685">
        <v>151</v>
      </c>
      <c r="BB120" s="685">
        <v>151</v>
      </c>
      <c r="BC120" s="685">
        <v>151</v>
      </c>
      <c r="BD120" s="685">
        <v>151</v>
      </c>
      <c r="BE120" s="1699">
        <v>150</v>
      </c>
      <c r="DG120" s="1020">
        <f>(DI120)/(DJ120)</f>
        <v>2.6991414368696853</v>
      </c>
      <c r="DH120" s="1330" t="str">
        <f>CONCATENATE(G120," ",J120," Year EUL")</f>
        <v>Refrigeration BUS 12 Year EUL</v>
      </c>
      <c r="DI120" s="185">
        <f>(INDEX('Avoided Cost Benefits'!$B$4:$B$865,MATCH(DH120,'Avoided Cost Benefits'!$A$4:$A$865,0)))*F120</f>
        <v>404.87121553045279</v>
      </c>
      <c r="DJ120" s="1935">
        <f>IFERROR(K120/((1+DiscountRate)^(CurrentYear-DiscountYear)),0)</f>
        <v>150</v>
      </c>
    </row>
    <row r="121" spans="1:114" x14ac:dyDescent="0.25">
      <c r="B121" s="252">
        <f t="shared" si="50"/>
        <v>802200</v>
      </c>
      <c r="C121" s="668" t="s">
        <v>208</v>
      </c>
      <c r="D121" s="452" t="s">
        <v>111</v>
      </c>
      <c r="E121" s="469" t="s">
        <v>209</v>
      </c>
      <c r="F121" s="19">
        <f>ROUND(F$131*G$131*(H$131-H133)*I$131*J133,2)</f>
        <v>770.93</v>
      </c>
      <c r="G121" s="452" t="s">
        <v>148</v>
      </c>
      <c r="H121" s="453">
        <f>VLOOKUP(G121,'CP FACTORS'!$A$26:$B$38,2,FALSE)</f>
        <v>1.3573829999999999E-4</v>
      </c>
      <c r="I121" s="470">
        <f>ROUND(H121*F121,6)</f>
        <v>0.104645</v>
      </c>
      <c r="J121" s="476">
        <v>12</v>
      </c>
      <c r="K121" s="1766">
        <v>150</v>
      </c>
      <c r="L121" s="424" t="s">
        <v>207</v>
      </c>
      <c r="V121" s="1343" t="str">
        <f>V120</f>
        <v>kWh Annual Savings (per door)</v>
      </c>
      <c r="W121" s="53">
        <v>770.92587000000003</v>
      </c>
      <c r="X121" s="53">
        <v>770.92587000000003</v>
      </c>
      <c r="Y121" s="53">
        <v>770.92587000000003</v>
      </c>
      <c r="Z121" s="53">
        <v>770.92587000000003</v>
      </c>
      <c r="AA121" s="53">
        <v>770.92587000000003</v>
      </c>
      <c r="AB121" s="52">
        <v>770.93</v>
      </c>
      <c r="AC121" s="705">
        <v>770.93</v>
      </c>
      <c r="AD121" s="705">
        <v>770.93</v>
      </c>
      <c r="AE121" s="705">
        <v>770.93</v>
      </c>
      <c r="AF121" s="258">
        <f>IF(F121&lt;&gt;"",F121,"")</f>
        <v>770.93</v>
      </c>
      <c r="AG121" s="68"/>
      <c r="AH121"/>
      <c r="AI121" s="1375" t="s">
        <v>49</v>
      </c>
      <c r="AJ121" s="19">
        <v>12</v>
      </c>
      <c r="AK121" s="19">
        <v>12</v>
      </c>
      <c r="AL121" s="19">
        <v>12</v>
      </c>
      <c r="AM121" s="19">
        <v>12</v>
      </c>
      <c r="AN121" s="19">
        <v>12</v>
      </c>
      <c r="AO121" s="16">
        <v>12</v>
      </c>
      <c r="AP121" s="16">
        <v>12</v>
      </c>
      <c r="AQ121" s="16">
        <v>12</v>
      </c>
      <c r="AR121" s="16">
        <v>12</v>
      </c>
      <c r="AS121" s="16">
        <v>12</v>
      </c>
      <c r="AU121" s="1375" t="str">
        <f>AU120</f>
        <v>Inc. Cost (per door)</v>
      </c>
      <c r="AV121" s="685">
        <v>151</v>
      </c>
      <c r="AW121" s="685">
        <v>151</v>
      </c>
      <c r="AX121" s="685">
        <v>151</v>
      </c>
      <c r="AY121" s="685">
        <v>151</v>
      </c>
      <c r="AZ121" s="685">
        <v>151</v>
      </c>
      <c r="BA121" s="685">
        <v>151</v>
      </c>
      <c r="BB121" s="685">
        <v>151</v>
      </c>
      <c r="BC121" s="685">
        <v>151</v>
      </c>
      <c r="BD121" s="685">
        <v>151</v>
      </c>
      <c r="BE121" s="1699">
        <v>150</v>
      </c>
      <c r="DG121" s="1022">
        <f>(DI121)/(DJ121)</f>
        <v>3.114390858092535</v>
      </c>
      <c r="DH121" s="653" t="str">
        <f>CONCATENATE(G121," ",J121," Year EUL")</f>
        <v>Refrigeration BUS 12 Year EUL</v>
      </c>
      <c r="DI121" s="1024">
        <f>(INDEX('Avoided Cost Benefits'!$B$4:$B$865,MATCH(DH121,'Avoided Cost Benefits'!$A$4:$A$865,0)))*F121</f>
        <v>467.15862871388026</v>
      </c>
      <c r="DJ121" s="1937">
        <f>IFERROR(K121/((1+DiscountRate)^(CurrentYear-DiscountYear)),0)</f>
        <v>150</v>
      </c>
    </row>
    <row r="122" spans="1:114" hidden="1" outlineLevel="1" x14ac:dyDescent="0.25">
      <c r="D122" s="74" t="s">
        <v>94</v>
      </c>
      <c r="E122" s="108" t="s">
        <v>210</v>
      </c>
      <c r="F122" s="7"/>
      <c r="G122" s="7"/>
      <c r="H122" s="460"/>
      <c r="I122" s="7"/>
      <c r="J122" s="7"/>
      <c r="K122" s="7"/>
      <c r="M122" s="7"/>
      <c r="BE122" s="1690" t="s">
        <v>211</v>
      </c>
    </row>
    <row r="123" spans="1:114" hidden="1" outlineLevel="1" x14ac:dyDescent="0.25">
      <c r="D123" s="7" t="s">
        <v>96</v>
      </c>
      <c r="E123" s="7"/>
      <c r="F123" s="7"/>
      <c r="G123" s="7"/>
      <c r="H123" s="460"/>
      <c r="I123" s="7"/>
      <c r="J123" s="7"/>
      <c r="K123" s="7"/>
    </row>
    <row r="124" spans="1:114" hidden="1" outlineLevel="1" x14ac:dyDescent="0.25">
      <c r="D124" s="461"/>
      <c r="G124" s="252"/>
      <c r="H124" s="462"/>
      <c r="M124" s="7"/>
    </row>
    <row r="125" spans="1:114" hidden="1" outlineLevel="1" x14ac:dyDescent="0.25">
      <c r="D125" s="461"/>
      <c r="G125" s="252"/>
      <c r="H125" s="462"/>
    </row>
    <row r="126" spans="1:114" hidden="1" outlineLevel="1" x14ac:dyDescent="0.25">
      <c r="D126" s="461"/>
      <c r="G126" s="252"/>
      <c r="H126" s="462"/>
      <c r="M126" s="7"/>
    </row>
    <row r="127" spans="1:114" hidden="1" outlineLevel="1" x14ac:dyDescent="0.25">
      <c r="D127" s="461"/>
      <c r="G127" s="252"/>
      <c r="H127" s="462"/>
      <c r="M127" s="7"/>
    </row>
    <row r="128" spans="1:114" hidden="1" outlineLevel="1" x14ac:dyDescent="0.25">
      <c r="D128" s="461"/>
      <c r="G128" s="252"/>
      <c r="H128" s="462"/>
      <c r="M128" s="7"/>
    </row>
    <row r="129" spans="1:117" hidden="1" outlineLevel="1" x14ac:dyDescent="0.25">
      <c r="D129" s="461"/>
      <c r="G129" s="252"/>
      <c r="H129" s="462"/>
    </row>
    <row r="130" spans="1:117" s="8" customFormat="1" ht="60" hidden="1" outlineLevel="1" x14ac:dyDescent="0.25">
      <c r="A130" s="252"/>
      <c r="B130" s="116"/>
      <c r="C130" s="64"/>
      <c r="D130" s="1294"/>
      <c r="E130" s="1294" t="s">
        <v>172</v>
      </c>
      <c r="F130" s="1294" t="s">
        <v>212</v>
      </c>
      <c r="G130" s="1294" t="s">
        <v>213</v>
      </c>
      <c r="H130" s="28" t="s">
        <v>214</v>
      </c>
      <c r="I130" s="28" t="s">
        <v>140</v>
      </c>
      <c r="J130" s="1361" t="s">
        <v>215</v>
      </c>
      <c r="K130" s="116"/>
      <c r="L130" s="116"/>
      <c r="M130" s="64"/>
      <c r="N130" s="116"/>
      <c r="O130" s="116"/>
      <c r="P130" s="116"/>
      <c r="Q130" s="116"/>
      <c r="R130" s="116"/>
      <c r="S130" s="116"/>
      <c r="T130" s="116"/>
      <c r="U130" s="116"/>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DE130" s="2"/>
      <c r="DF130" s="2"/>
      <c r="DG130" s="774"/>
      <c r="DH130" s="252"/>
      <c r="DI130" s="252"/>
      <c r="DJ130" s="1116"/>
      <c r="DK130" s="2"/>
      <c r="DL130" s="2"/>
      <c r="DM130" s="2"/>
    </row>
    <row r="131" spans="1:117" hidden="1" outlineLevel="1" x14ac:dyDescent="0.25">
      <c r="D131" s="659" t="s">
        <v>216</v>
      </c>
      <c r="E131" s="659" t="s">
        <v>217</v>
      </c>
      <c r="F131" s="480">
        <v>0.13</v>
      </c>
      <c r="G131" s="1764">
        <v>1</v>
      </c>
      <c r="H131" s="1767">
        <v>0.90700000000000003</v>
      </c>
      <c r="I131" s="481">
        <v>8766</v>
      </c>
      <c r="J131" s="482"/>
      <c r="K131" s="478"/>
    </row>
    <row r="132" spans="1:117" hidden="1" outlineLevel="1" x14ac:dyDescent="0.25">
      <c r="D132" s="659" t="s">
        <v>218</v>
      </c>
      <c r="E132" s="659" t="str">
        <f>E120</f>
        <v>Anti-Sweat Heater Controls Refrigerator</v>
      </c>
      <c r="F132" s="480">
        <v>0.13</v>
      </c>
      <c r="G132" s="1764">
        <v>1</v>
      </c>
      <c r="H132" s="1767">
        <v>0.45600000000000002</v>
      </c>
      <c r="I132" s="481">
        <v>8766</v>
      </c>
      <c r="J132" s="482">
        <v>1.3</v>
      </c>
      <c r="K132" s="478"/>
    </row>
    <row r="133" spans="1:117" hidden="1" outlineLevel="1" x14ac:dyDescent="0.25">
      <c r="D133" s="659" t="s">
        <v>219</v>
      </c>
      <c r="E133" s="659" t="str">
        <f>E121</f>
        <v>Anti-Sweat Heater Controls Freezer</v>
      </c>
      <c r="F133" s="480">
        <v>0.13</v>
      </c>
      <c r="G133" s="1764">
        <v>1</v>
      </c>
      <c r="H133" s="1767">
        <v>0.45600000000000002</v>
      </c>
      <c r="I133" s="481">
        <v>8766</v>
      </c>
      <c r="J133" s="482">
        <v>1.5</v>
      </c>
      <c r="K133" s="478"/>
    </row>
    <row r="134" spans="1:117" collapsed="1" x14ac:dyDescent="0.25"/>
    <row r="136" spans="1:117" s="7" customFormat="1" x14ac:dyDescent="0.25">
      <c r="A136" s="252"/>
      <c r="B136" s="2071" t="s">
        <v>220</v>
      </c>
      <c r="C136" s="2072"/>
      <c r="D136" s="2072"/>
      <c r="E136" s="2072"/>
      <c r="F136" s="2072"/>
      <c r="G136" s="2072"/>
      <c r="H136" s="2072"/>
      <c r="I136" s="2073"/>
      <c r="J136" s="2073"/>
      <c r="K136" s="2073"/>
      <c r="L136" s="2073"/>
      <c r="M136" s="2074"/>
      <c r="N136" s="2074"/>
      <c r="O136" s="2075"/>
      <c r="V136" s="1292" t="str">
        <f>B136</f>
        <v>Heat Pump Water Heaters</v>
      </c>
      <c r="W136" s="1293"/>
      <c r="X136" s="1293"/>
      <c r="Y136" s="1293"/>
      <c r="Z136" s="1293"/>
      <c r="AA136" s="1293"/>
      <c r="AB136" s="1293"/>
      <c r="AC136" s="1293"/>
      <c r="AD136" s="1293"/>
      <c r="AE136" s="1293"/>
      <c r="AF136" s="1293"/>
      <c r="AG136" s="1293"/>
      <c r="AH136" s="1293"/>
      <c r="AI136" s="1327"/>
      <c r="AJ136" s="2"/>
      <c r="AK136" s="2"/>
      <c r="AL136" s="2"/>
      <c r="AM136" s="2"/>
      <c r="AN136" s="2"/>
      <c r="AO136" s="2"/>
      <c r="AP136" s="2"/>
      <c r="AQ136" s="2"/>
      <c r="AR136" s="2"/>
      <c r="AS136" s="2"/>
      <c r="AT136" s="2"/>
      <c r="AU136" s="2"/>
      <c r="DE136" s="2"/>
      <c r="DF136" s="2"/>
      <c r="DG136" s="23"/>
      <c r="DJ136" s="1059"/>
    </row>
    <row r="137" spans="1:117" x14ac:dyDescent="0.25">
      <c r="D137" s="450"/>
      <c r="E137" s="7"/>
      <c r="F137" s="7"/>
      <c r="G137" s="7"/>
      <c r="H137" s="451"/>
      <c r="I137" s="7"/>
      <c r="J137" s="7"/>
      <c r="K137" s="7"/>
      <c r="L137" s="7"/>
      <c r="P137" s="7"/>
      <c r="Q137" s="7"/>
      <c r="R137" s="7"/>
      <c r="S137" s="7"/>
      <c r="T137" s="7"/>
      <c r="U137" s="7"/>
      <c r="V137"/>
      <c r="W137"/>
      <c r="X137"/>
      <c r="Y137"/>
      <c r="Z137"/>
      <c r="AA137"/>
      <c r="AB137"/>
      <c r="AC137"/>
      <c r="AD137"/>
      <c r="AE137"/>
      <c r="AF137"/>
      <c r="AG137"/>
      <c r="AH137"/>
      <c r="AI137"/>
      <c r="AJ137" s="6"/>
      <c r="AK137" s="6"/>
      <c r="AL137" s="6"/>
      <c r="AM137" s="6"/>
      <c r="AN137" s="6"/>
      <c r="AO137" s="6"/>
      <c r="AP137" s="6"/>
      <c r="AQ137" s="6"/>
      <c r="AR137" s="6"/>
      <c r="AS137" s="6"/>
      <c r="AT137" s="6"/>
      <c r="AU137" s="6"/>
    </row>
    <row r="138" spans="1:117" s="8" customFormat="1" ht="30" x14ac:dyDescent="0.25">
      <c r="A138" s="252"/>
      <c r="B138" s="64"/>
      <c r="C138" s="9" t="s">
        <v>42</v>
      </c>
      <c r="D138" s="1361" t="s">
        <v>43</v>
      </c>
      <c r="E138" s="1361" t="s">
        <v>44</v>
      </c>
      <c r="F138" s="1361" t="s">
        <v>45</v>
      </c>
      <c r="G138" s="1361" t="s">
        <v>46</v>
      </c>
      <c r="H138" s="10" t="s">
        <v>47</v>
      </c>
      <c r="I138" s="1361" t="s">
        <v>48</v>
      </c>
      <c r="J138" s="1361" t="s">
        <v>49</v>
      </c>
      <c r="K138" s="9" t="s">
        <v>50</v>
      </c>
      <c r="L138" s="9" t="s">
        <v>51</v>
      </c>
      <c r="M138" s="252"/>
      <c r="N138" s="252"/>
      <c r="O138" s="252"/>
      <c r="P138" s="116"/>
      <c r="Q138" s="116"/>
      <c r="R138" s="116"/>
      <c r="S138" s="116"/>
      <c r="T138" s="116"/>
      <c r="U138" s="116"/>
      <c r="V138" s="648" t="s">
        <v>52</v>
      </c>
      <c r="W138" s="649">
        <f>$W$8</f>
        <v>43252</v>
      </c>
      <c r="X138" s="649">
        <f>$X$8</f>
        <v>43465</v>
      </c>
      <c r="Y138" s="649">
        <f>$Y$8</f>
        <v>43800</v>
      </c>
      <c r="Z138" s="649">
        <f>$Z$8</f>
        <v>43862</v>
      </c>
      <c r="AA138" s="649">
        <f>$AA$8</f>
        <v>44013</v>
      </c>
      <c r="AB138" s="649">
        <v>44166</v>
      </c>
      <c r="AC138" s="649">
        <f>$AC$8</f>
        <v>44531</v>
      </c>
      <c r="AD138" s="649">
        <f>$AD$8</f>
        <v>44774</v>
      </c>
      <c r="AE138" s="649">
        <f>$AE$8</f>
        <v>45142</v>
      </c>
      <c r="AF138" s="649">
        <f>$AF$8</f>
        <v>45672</v>
      </c>
      <c r="AG138" s="649" t="str">
        <f>$AG$8</f>
        <v>-</v>
      </c>
      <c r="AH138"/>
      <c r="AI138" s="648" t="s">
        <v>52</v>
      </c>
      <c r="AJ138" s="649">
        <v>43252</v>
      </c>
      <c r="AK138" s="649">
        <f>$X$8</f>
        <v>43465</v>
      </c>
      <c r="AL138" s="649">
        <f>$Y$8</f>
        <v>43800</v>
      </c>
      <c r="AM138" s="649">
        <f>$Z$8</f>
        <v>43862</v>
      </c>
      <c r="AN138" s="649">
        <f>$AA$8</f>
        <v>44013</v>
      </c>
      <c r="AO138" s="649">
        <f>$AB$8</f>
        <v>44166</v>
      </c>
      <c r="AP138" s="649">
        <f>$AC$8</f>
        <v>44531</v>
      </c>
      <c r="AQ138" s="649">
        <f>$AD$8</f>
        <v>44774</v>
      </c>
      <c r="AR138" s="649">
        <f>$AE$8</f>
        <v>45142</v>
      </c>
      <c r="AS138" s="649">
        <f>$AF$8</f>
        <v>45672</v>
      </c>
      <c r="AT138" s="2"/>
      <c r="AU138" s="648" t="s">
        <v>52</v>
      </c>
      <c r="AV138" s="649">
        <v>43252</v>
      </c>
      <c r="AW138" s="649">
        <f>$X$8</f>
        <v>43465</v>
      </c>
      <c r="AX138" s="649">
        <f>$Y$8</f>
        <v>43800</v>
      </c>
      <c r="AY138" s="649">
        <f>$Z$8</f>
        <v>43862</v>
      </c>
      <c r="AZ138" s="649">
        <f>$AA$8</f>
        <v>44013</v>
      </c>
      <c r="BA138" s="649">
        <v>44166</v>
      </c>
      <c r="BB138" s="649">
        <f>$AC$8</f>
        <v>44531</v>
      </c>
      <c r="BC138" s="649">
        <f>$AD$8</f>
        <v>44774</v>
      </c>
      <c r="BD138" s="649">
        <f>$AE$8</f>
        <v>45142</v>
      </c>
      <c r="BE138" s="649">
        <f>$AF$8</f>
        <v>45672</v>
      </c>
      <c r="DE138" s="2"/>
      <c r="DF138" s="2"/>
      <c r="DG138" s="1018" t="str">
        <f>$DG$8</f>
        <v>TRC (2025)</v>
      </c>
      <c r="DH138" s="776" t="str">
        <f>$DH$8</f>
        <v>Benefit Lookup</v>
      </c>
      <c r="DI138" s="776" t="str">
        <f>$DI$8</f>
        <v>Benefits (2025 $)</v>
      </c>
      <c r="DJ138" s="1118" t="str">
        <f>$DJ$8</f>
        <v>Incremental Cost (2025 $)</v>
      </c>
    </row>
    <row r="139" spans="1:117" x14ac:dyDescent="0.25">
      <c r="B139" s="252">
        <f t="shared" ref="B139:B145" si="51">VALUE(LEFT(C139,6))</f>
        <v>802250</v>
      </c>
      <c r="C139" s="668" t="s">
        <v>221</v>
      </c>
      <c r="D139" s="452" t="s">
        <v>111</v>
      </c>
      <c r="E139" s="469" t="s">
        <v>222</v>
      </c>
      <c r="F139" s="667">
        <f>ROUND((((1/F155-1/G155)*H155*J155*(K155-L155)*1)/3412)+M155-N155,2)</f>
        <v>18785.38</v>
      </c>
      <c r="G139" s="452" t="s">
        <v>223</v>
      </c>
      <c r="H139" s="453">
        <f>VLOOKUP(G139,'CP FACTORS'!$A$26:$B$38,2,FALSE)</f>
        <v>1.811545E-4</v>
      </c>
      <c r="I139" s="1868">
        <f>ROUND(H139*F139,6)</f>
        <v>3.4030559999999999</v>
      </c>
      <c r="J139" s="475">
        <v>15</v>
      </c>
      <c r="K139" s="1768">
        <v>4000</v>
      </c>
      <c r="L139" s="454" t="s">
        <v>62</v>
      </c>
      <c r="V139" s="1343" t="s">
        <v>45</v>
      </c>
      <c r="W139" s="53">
        <v>21156</v>
      </c>
      <c r="X139" s="53">
        <v>21156</v>
      </c>
      <c r="Y139" s="53">
        <v>21156</v>
      </c>
      <c r="Z139" s="53">
        <v>21156</v>
      </c>
      <c r="AA139" s="53">
        <v>21156</v>
      </c>
      <c r="AB139" s="52">
        <v>21156</v>
      </c>
      <c r="AC139" s="705">
        <v>21156</v>
      </c>
      <c r="AD139" s="705">
        <v>21156</v>
      </c>
      <c r="AE139" s="705">
        <v>21156</v>
      </c>
      <c r="AF139" s="258">
        <f t="shared" ref="AF139:AF145" si="52">IF(F139&lt;&gt;"",F139,"")</f>
        <v>18785.38</v>
      </c>
      <c r="AG139" s="68"/>
      <c r="AH139"/>
      <c r="AI139" s="1375" t="s">
        <v>49</v>
      </c>
      <c r="AJ139" s="24">
        <v>15</v>
      </c>
      <c r="AK139" s="24">
        <v>15</v>
      </c>
      <c r="AL139" s="24">
        <v>15</v>
      </c>
      <c r="AM139" s="630">
        <v>15</v>
      </c>
      <c r="AN139" s="630">
        <v>15</v>
      </c>
      <c r="AO139" s="16">
        <v>15</v>
      </c>
      <c r="AP139" s="16">
        <v>15</v>
      </c>
      <c r="AQ139" s="16">
        <v>15</v>
      </c>
      <c r="AR139" s="16">
        <v>15</v>
      </c>
      <c r="AS139" s="16">
        <v>15</v>
      </c>
      <c r="AU139" s="1375" t="s">
        <v>50</v>
      </c>
      <c r="AV139" s="686">
        <v>4000</v>
      </c>
      <c r="AW139" s="686">
        <v>4000</v>
      </c>
      <c r="AX139" s="686">
        <v>4000</v>
      </c>
      <c r="AY139" s="686">
        <v>4000</v>
      </c>
      <c r="AZ139" s="686">
        <v>4000</v>
      </c>
      <c r="BA139" s="738">
        <v>4000</v>
      </c>
      <c r="BB139" s="738">
        <v>4000</v>
      </c>
      <c r="BC139" s="738">
        <v>4000</v>
      </c>
      <c r="BD139" s="738">
        <v>4000</v>
      </c>
      <c r="BE139" s="738">
        <v>4000</v>
      </c>
      <c r="DG139" s="1020">
        <f>(DI139)/(DJ139)</f>
        <v>3.9210604174884565</v>
      </c>
      <c r="DH139" s="1330" t="str">
        <f>CONCATENATE(G139," ",J139," Year EUL")</f>
        <v>Water Heating BUS 15 Year EUL</v>
      </c>
      <c r="DI139" s="185">
        <f>(INDEX('Avoided Cost Benefits'!$B$4:$B$865,MATCH(DH139,'Avoided Cost Benefits'!$A$4:$A$865,0)))*F139</f>
        <v>15684.241669953826</v>
      </c>
      <c r="DJ139" s="1935">
        <f t="shared" ref="DJ139:DJ145" si="53">IFERROR(K139/((1+DiscountRate)^(CurrentYear-DiscountYear)),0)</f>
        <v>4000</v>
      </c>
    </row>
    <row r="140" spans="1:117" x14ac:dyDescent="0.25">
      <c r="B140" s="252">
        <f t="shared" si="51"/>
        <v>802300</v>
      </c>
      <c r="C140" s="668" t="s">
        <v>224</v>
      </c>
      <c r="D140" s="452" t="s">
        <v>111</v>
      </c>
      <c r="E140" s="469" t="s">
        <v>225</v>
      </c>
      <c r="F140" s="667">
        <f>ROUND((((1/F156-1/G156)*H156*J156*(K156-L156)*1)/3412)+M156-N156,2)</f>
        <v>48912.79</v>
      </c>
      <c r="G140" s="452" t="s">
        <v>223</v>
      </c>
      <c r="H140" s="453">
        <f>VLOOKUP(G140,'CP FACTORS'!$A$26:$B$38,2,FALSE)</f>
        <v>1.811545E-4</v>
      </c>
      <c r="I140" s="1868">
        <f>ROUND(H140*F140,6)</f>
        <v>8.8607720000000008</v>
      </c>
      <c r="J140" s="476">
        <v>15</v>
      </c>
      <c r="K140" s="1768">
        <v>7000</v>
      </c>
      <c r="L140" s="454" t="s">
        <v>62</v>
      </c>
      <c r="V140" s="1343" t="s">
        <v>45</v>
      </c>
      <c r="W140" s="53">
        <v>52890.000000000015</v>
      </c>
      <c r="X140" s="53">
        <v>52890.000000000015</v>
      </c>
      <c r="Y140" s="53">
        <v>52890.000000000015</v>
      </c>
      <c r="Z140" s="53">
        <v>52890.000000000015</v>
      </c>
      <c r="AA140" s="53">
        <v>52890.000000000015</v>
      </c>
      <c r="AB140" s="52">
        <v>52890</v>
      </c>
      <c r="AC140" s="705">
        <v>52890</v>
      </c>
      <c r="AD140" s="705">
        <v>52890</v>
      </c>
      <c r="AE140" s="705">
        <v>52890</v>
      </c>
      <c r="AF140" s="258">
        <f t="shared" si="52"/>
        <v>48912.79</v>
      </c>
      <c r="AG140" s="68"/>
      <c r="AH140"/>
      <c r="AI140" s="1375" t="s">
        <v>49</v>
      </c>
      <c r="AJ140" s="25">
        <v>15</v>
      </c>
      <c r="AK140" s="25">
        <v>15</v>
      </c>
      <c r="AL140" s="25">
        <v>15</v>
      </c>
      <c r="AM140" s="630">
        <v>15</v>
      </c>
      <c r="AN140" s="630">
        <v>15</v>
      </c>
      <c r="AO140" s="16">
        <v>15</v>
      </c>
      <c r="AP140" s="16">
        <v>15</v>
      </c>
      <c r="AQ140" s="16">
        <v>15</v>
      </c>
      <c r="AR140" s="16">
        <v>15</v>
      </c>
      <c r="AS140" s="16">
        <v>15</v>
      </c>
      <c r="AU140" s="1375" t="s">
        <v>50</v>
      </c>
      <c r="AV140" s="686">
        <v>7000</v>
      </c>
      <c r="AW140" s="686">
        <v>7000</v>
      </c>
      <c r="AX140" s="686">
        <v>7000</v>
      </c>
      <c r="AY140" s="686">
        <v>7000</v>
      </c>
      <c r="AZ140" s="686">
        <v>7000</v>
      </c>
      <c r="BA140" s="738">
        <v>7000</v>
      </c>
      <c r="BB140" s="738">
        <v>7000</v>
      </c>
      <c r="BC140" s="738">
        <v>7000</v>
      </c>
      <c r="BD140" s="738">
        <v>7000</v>
      </c>
      <c r="BE140" s="738">
        <v>7000</v>
      </c>
      <c r="DG140" s="1021">
        <f>(DI140)/(DJ140)</f>
        <v>5.8340203096519048</v>
      </c>
      <c r="DH140" s="653" t="str">
        <f>CONCATENATE(G140," ",J140," Year EUL")</f>
        <v>Water Heating BUS 15 Year EUL</v>
      </c>
      <c r="DI140" s="635">
        <f>(INDEX('Avoided Cost Benefits'!$B$4:$B$865,MATCH(DH140,'Avoided Cost Benefits'!$A$4:$A$865,0)))*F140</f>
        <v>40838.142167563332</v>
      </c>
      <c r="DJ140" s="1936">
        <f t="shared" si="53"/>
        <v>7000</v>
      </c>
    </row>
    <row r="141" spans="1:117" x14ac:dyDescent="0.25">
      <c r="B141" s="252">
        <f t="shared" si="51"/>
        <v>802350</v>
      </c>
      <c r="C141" s="668" t="s">
        <v>226</v>
      </c>
      <c r="D141" s="452" t="s">
        <v>111</v>
      </c>
      <c r="E141" s="469" t="s">
        <v>227</v>
      </c>
      <c r="F141" s="667">
        <f>ROUND((((1/F157-1/G157)*H157*J157*(K157-L157)*1)/3412)+M157-N157,2)</f>
        <v>129087.64</v>
      </c>
      <c r="G141" s="452" t="s">
        <v>223</v>
      </c>
      <c r="H141" s="453">
        <f>VLOOKUP(G141,'CP FACTORS'!$A$26:$B$38,2,FALSE)</f>
        <v>1.811545E-4</v>
      </c>
      <c r="I141" s="1868">
        <f>ROUND(H141*F141,6)</f>
        <v>23.384806999999999</v>
      </c>
      <c r="J141" s="476">
        <v>15</v>
      </c>
      <c r="K141" s="1768">
        <v>10000</v>
      </c>
      <c r="L141" s="454" t="s">
        <v>62</v>
      </c>
      <c r="V141" s="1343" t="s">
        <v>45</v>
      </c>
      <c r="W141" s="53">
        <v>141040.99999999997</v>
      </c>
      <c r="X141" s="53">
        <v>141040.99999999997</v>
      </c>
      <c r="Y141" s="53">
        <v>141040.99999999997</v>
      </c>
      <c r="Z141" s="53">
        <v>141040.99999999997</v>
      </c>
      <c r="AA141" s="53">
        <v>141040.99999999997</v>
      </c>
      <c r="AB141" s="52">
        <v>141041</v>
      </c>
      <c r="AC141" s="705">
        <v>141041</v>
      </c>
      <c r="AD141" s="705">
        <v>141041</v>
      </c>
      <c r="AE141" s="705">
        <v>141041</v>
      </c>
      <c r="AF141" s="258">
        <f t="shared" si="52"/>
        <v>129087.64</v>
      </c>
      <c r="AG141" s="68"/>
      <c r="AH141"/>
      <c r="AI141" s="1375" t="s">
        <v>49</v>
      </c>
      <c r="AJ141" s="25">
        <v>15</v>
      </c>
      <c r="AK141" s="25">
        <v>15</v>
      </c>
      <c r="AL141" s="25">
        <v>15</v>
      </c>
      <c r="AM141" s="630">
        <v>15</v>
      </c>
      <c r="AN141" s="630">
        <v>15</v>
      </c>
      <c r="AO141" s="16">
        <v>15</v>
      </c>
      <c r="AP141" s="16">
        <v>15</v>
      </c>
      <c r="AQ141" s="16">
        <v>15</v>
      </c>
      <c r="AR141" s="16">
        <v>15</v>
      </c>
      <c r="AS141" s="16">
        <v>15</v>
      </c>
      <c r="AU141" s="1375" t="s">
        <v>50</v>
      </c>
      <c r="AV141" s="686">
        <v>10000</v>
      </c>
      <c r="AW141" s="686">
        <v>10000</v>
      </c>
      <c r="AX141" s="686">
        <v>10000</v>
      </c>
      <c r="AY141" s="686">
        <v>10000</v>
      </c>
      <c r="AZ141" s="686">
        <v>10000</v>
      </c>
      <c r="BA141" s="738">
        <v>10000</v>
      </c>
      <c r="BB141" s="738">
        <v>10000</v>
      </c>
      <c r="BC141" s="738">
        <v>10000</v>
      </c>
      <c r="BD141" s="738">
        <v>10000</v>
      </c>
      <c r="BE141" s="738">
        <v>10000</v>
      </c>
      <c r="DG141" s="1021">
        <f>(DI141)/(DJ141)</f>
        <v>10.777752392360433</v>
      </c>
      <c r="DH141" s="653" t="str">
        <f>CONCATENATE(G141," ",J141," Year EUL")</f>
        <v>Water Heating BUS 15 Year EUL</v>
      </c>
      <c r="DI141" s="635">
        <f>(INDEX('Avoided Cost Benefits'!$B$4:$B$865,MATCH(DH141,'Avoided Cost Benefits'!$A$4:$A$865,0)))*F141</f>
        <v>107777.52392360433</v>
      </c>
      <c r="DJ141" s="1936">
        <f t="shared" si="53"/>
        <v>10000</v>
      </c>
    </row>
    <row r="142" spans="1:117" x14ac:dyDescent="0.25">
      <c r="B142" s="252">
        <f t="shared" si="51"/>
        <v>802400</v>
      </c>
      <c r="C142" s="668" t="s">
        <v>228</v>
      </c>
      <c r="D142" s="452" t="s">
        <v>111</v>
      </c>
      <c r="E142" s="469" t="s">
        <v>229</v>
      </c>
      <c r="F142" s="667">
        <f>ROUND((((1/F158-1/G158)*H158*J158*(K158-L158)*1)/3412)+M158-N158,2)</f>
        <v>255265</v>
      </c>
      <c r="G142" s="452" t="s">
        <v>223</v>
      </c>
      <c r="H142" s="453">
        <f>VLOOKUP(G142,'CP FACTORS'!$A$26:$B$38,2,FALSE)</f>
        <v>1.811545E-4</v>
      </c>
      <c r="I142" s="1868">
        <f>ROUND(H142*F142,6)</f>
        <v>46.242403000000003</v>
      </c>
      <c r="J142" s="476">
        <v>15</v>
      </c>
      <c r="K142" s="1768">
        <v>14000</v>
      </c>
      <c r="L142" s="454" t="s">
        <v>62</v>
      </c>
      <c r="V142" s="1343" t="s">
        <v>45</v>
      </c>
      <c r="W142" s="53">
        <v>282081.00000000006</v>
      </c>
      <c r="X142" s="53">
        <v>282081.00000000006</v>
      </c>
      <c r="Y142" s="53">
        <v>282081.00000000006</v>
      </c>
      <c r="Z142" s="53">
        <v>282081.00000000006</v>
      </c>
      <c r="AA142" s="53">
        <v>282081.00000000006</v>
      </c>
      <c r="AB142" s="52">
        <v>282081</v>
      </c>
      <c r="AC142" s="705">
        <v>282081</v>
      </c>
      <c r="AD142" s="705">
        <v>282081</v>
      </c>
      <c r="AE142" s="705">
        <v>282081</v>
      </c>
      <c r="AF142" s="258">
        <f t="shared" si="52"/>
        <v>255265</v>
      </c>
      <c r="AG142" s="68"/>
      <c r="AH142"/>
      <c r="AI142" s="1375" t="s">
        <v>49</v>
      </c>
      <c r="AJ142" s="25">
        <v>15</v>
      </c>
      <c r="AK142" s="25">
        <v>15</v>
      </c>
      <c r="AL142" s="25">
        <v>15</v>
      </c>
      <c r="AM142" s="630">
        <v>15</v>
      </c>
      <c r="AN142" s="630">
        <v>15</v>
      </c>
      <c r="AO142" s="16">
        <v>15</v>
      </c>
      <c r="AP142" s="16">
        <v>15</v>
      </c>
      <c r="AQ142" s="16">
        <v>15</v>
      </c>
      <c r="AR142" s="16">
        <v>15</v>
      </c>
      <c r="AS142" s="16">
        <v>15</v>
      </c>
      <c r="AU142" s="1375" t="s">
        <v>50</v>
      </c>
      <c r="AV142" s="686">
        <v>14000</v>
      </c>
      <c r="AW142" s="686">
        <v>14000</v>
      </c>
      <c r="AX142" s="686">
        <v>14000</v>
      </c>
      <c r="AY142" s="686">
        <v>14000</v>
      </c>
      <c r="AZ142" s="686">
        <v>14000</v>
      </c>
      <c r="BA142" s="738">
        <v>14000</v>
      </c>
      <c r="BB142" s="738">
        <v>14000</v>
      </c>
      <c r="BC142" s="738">
        <v>14000</v>
      </c>
      <c r="BD142" s="738">
        <v>14000</v>
      </c>
      <c r="BE142" s="738">
        <v>14000</v>
      </c>
      <c r="DG142" s="1021">
        <f>(DI142)/(DJ142)</f>
        <v>15.223228876775309</v>
      </c>
      <c r="DH142" s="653" t="str">
        <f>CONCATENATE(G142," ",J142," Year EUL")</f>
        <v>Water Heating BUS 15 Year EUL</v>
      </c>
      <c r="DI142" s="635">
        <f>(INDEX('Avoided Cost Benefits'!$B$4:$B$865,MATCH(DH142,'Avoided Cost Benefits'!$A$4:$A$865,0)))*F142</f>
        <v>213125.20427485433</v>
      </c>
      <c r="DJ142" s="1936">
        <f t="shared" si="53"/>
        <v>14000</v>
      </c>
    </row>
    <row r="143" spans="1:117" x14ac:dyDescent="0.25">
      <c r="B143" s="252">
        <f t="shared" si="51"/>
        <v>802450</v>
      </c>
      <c r="C143" s="668" t="s">
        <v>230</v>
      </c>
      <c r="D143" s="452" t="s">
        <v>111</v>
      </c>
      <c r="E143" s="469" t="s">
        <v>231</v>
      </c>
      <c r="F143" s="667">
        <f>ROUND((((1/F159-1/G159)*H159*J159*(K159-L159)*1)/3412)+M159-N159,2)</f>
        <v>382897.95</v>
      </c>
      <c r="G143" s="452" t="s">
        <v>223</v>
      </c>
      <c r="H143" s="453">
        <f>VLOOKUP(G143,'CP FACTORS'!$A$26:$B$38,2,FALSE)</f>
        <v>1.811545E-4</v>
      </c>
      <c r="I143" s="1868">
        <f>ROUND(H143*F143,6)</f>
        <v>69.363686999999999</v>
      </c>
      <c r="J143" s="476">
        <v>15</v>
      </c>
      <c r="K143" s="1768">
        <v>18000</v>
      </c>
      <c r="L143" s="454" t="s">
        <v>62</v>
      </c>
      <c r="V143" s="1343" t="s">
        <v>45</v>
      </c>
      <c r="W143" s="53">
        <v>423122.00000000012</v>
      </c>
      <c r="X143" s="53">
        <v>423122.00000000012</v>
      </c>
      <c r="Y143" s="53">
        <v>423122.00000000012</v>
      </c>
      <c r="Z143" s="53">
        <v>423122.00000000012</v>
      </c>
      <c r="AA143" s="53">
        <v>423122.00000000012</v>
      </c>
      <c r="AB143" s="52">
        <v>423122</v>
      </c>
      <c r="AC143" s="705">
        <v>423122</v>
      </c>
      <c r="AD143" s="705">
        <v>423122</v>
      </c>
      <c r="AE143" s="705">
        <v>423122</v>
      </c>
      <c r="AF143" s="258">
        <f t="shared" si="52"/>
        <v>382897.95</v>
      </c>
      <c r="AG143" s="68"/>
      <c r="AH143"/>
      <c r="AI143" s="1375" t="s">
        <v>49</v>
      </c>
      <c r="AJ143" s="25">
        <v>15</v>
      </c>
      <c r="AK143" s="25">
        <v>15</v>
      </c>
      <c r="AL143" s="25">
        <v>15</v>
      </c>
      <c r="AM143" s="630">
        <v>15</v>
      </c>
      <c r="AN143" s="630">
        <v>15</v>
      </c>
      <c r="AO143" s="16">
        <v>15</v>
      </c>
      <c r="AP143" s="16">
        <v>15</v>
      </c>
      <c r="AQ143" s="16">
        <v>15</v>
      </c>
      <c r="AR143" s="16">
        <v>15</v>
      </c>
      <c r="AS143" s="16">
        <v>15</v>
      </c>
      <c r="AU143" s="1375" t="s">
        <v>50</v>
      </c>
      <c r="AV143" s="686">
        <v>18000</v>
      </c>
      <c r="AW143" s="686">
        <v>18000</v>
      </c>
      <c r="AX143" s="686">
        <v>18000</v>
      </c>
      <c r="AY143" s="686">
        <v>18000</v>
      </c>
      <c r="AZ143" s="686">
        <v>18000</v>
      </c>
      <c r="BA143" s="738">
        <v>18000</v>
      </c>
      <c r="BB143" s="738">
        <v>18000</v>
      </c>
      <c r="BC143" s="738">
        <v>18000</v>
      </c>
      <c r="BD143" s="738">
        <v>18000</v>
      </c>
      <c r="BE143" s="738">
        <v>18000</v>
      </c>
      <c r="DG143" s="1022">
        <f>(DI143)/(DJ143)</f>
        <v>17.760454562507583</v>
      </c>
      <c r="DH143" s="653" t="str">
        <f>CONCATENATE(G143," ",J143," Year EUL")</f>
        <v>Water Heating BUS 15 Year EUL</v>
      </c>
      <c r="DI143" s="1024">
        <f>(INDEX('Avoided Cost Benefits'!$B$4:$B$865,MATCH(DH143,'Avoided Cost Benefits'!$A$4:$A$865,0)))*F143</f>
        <v>319688.18212513649</v>
      </c>
      <c r="DJ143" s="1936">
        <f t="shared" si="53"/>
        <v>18000</v>
      </c>
    </row>
    <row r="144" spans="1:117" x14ac:dyDescent="0.25">
      <c r="B144" s="252">
        <f t="shared" si="51"/>
        <v>802455</v>
      </c>
      <c r="C144" s="668" t="s">
        <v>232</v>
      </c>
      <c r="D144" s="452" t="s">
        <v>111</v>
      </c>
      <c r="E144" s="469" t="s">
        <v>233</v>
      </c>
      <c r="F144" s="667">
        <f t="shared" ref="F144:F145" si="54">ROUND((((1/F160-1/G160)*H160*J160*(K160-L160)*1)/3412)+M160-N160,2)</f>
        <v>3363.29</v>
      </c>
      <c r="G144" s="452" t="s">
        <v>223</v>
      </c>
      <c r="H144" s="453">
        <f>VLOOKUP(G144,'CP FACTORS'!$A$26:$B$38,2,FALSE)</f>
        <v>1.811545E-4</v>
      </c>
      <c r="I144" s="1868">
        <f t="shared" ref="I144:I145" si="55">ROUND(H144*F144,6)</f>
        <v>0.60927500000000001</v>
      </c>
      <c r="J144" s="476">
        <v>15</v>
      </c>
      <c r="K144" s="1768">
        <v>18000</v>
      </c>
      <c r="L144" s="454" t="s">
        <v>62</v>
      </c>
      <c r="V144" s="1343" t="s">
        <v>45</v>
      </c>
      <c r="W144" s="53"/>
      <c r="X144" s="53"/>
      <c r="Y144" s="53"/>
      <c r="Z144" s="53"/>
      <c r="AA144" s="53"/>
      <c r="AB144" s="52"/>
      <c r="AC144" s="705"/>
      <c r="AD144" s="705"/>
      <c r="AE144" s="705"/>
      <c r="AF144" s="258">
        <f t="shared" si="52"/>
        <v>3363.29</v>
      </c>
      <c r="AG144" s="68"/>
      <c r="AH144"/>
      <c r="AI144" s="1375" t="s">
        <v>49</v>
      </c>
      <c r="AJ144" s="25"/>
      <c r="AK144" s="25"/>
      <c r="AL144" s="25"/>
      <c r="AM144" s="630"/>
      <c r="AN144" s="630"/>
      <c r="AO144" s="16"/>
      <c r="AP144" s="16"/>
      <c r="AQ144" s="16"/>
      <c r="AR144" s="16"/>
      <c r="AS144" s="112">
        <v>15</v>
      </c>
      <c r="AU144" s="1375" t="s">
        <v>50</v>
      </c>
      <c r="AV144" s="686"/>
      <c r="AW144" s="686"/>
      <c r="AX144" s="686"/>
      <c r="AY144" s="686"/>
      <c r="AZ144" s="686"/>
      <c r="BA144" s="738"/>
      <c r="BB144" s="738"/>
      <c r="BC144" s="738"/>
      <c r="BD144" s="738"/>
      <c r="BE144" s="1708">
        <v>1154</v>
      </c>
      <c r="DG144" s="1022">
        <f t="shared" ref="DG144:DG145" si="56">(DI144)/(DJ144)</f>
        <v>0.15600386271468972</v>
      </c>
      <c r="DH144" s="653" t="str">
        <f t="shared" ref="DH144:DH145" si="57">CONCATENATE(G144," ",J144," Year EUL")</f>
        <v>Water Heating BUS 15 Year EUL</v>
      </c>
      <c r="DI144" s="1024">
        <f>(INDEX('Avoided Cost Benefits'!$B$4:$B$865,MATCH(DH144,'Avoided Cost Benefits'!$A$4:$A$865,0)))*F144</f>
        <v>2808.0695288644147</v>
      </c>
      <c r="DJ144" s="1936">
        <f t="shared" si="53"/>
        <v>18000</v>
      </c>
    </row>
    <row r="145" spans="1:114" x14ac:dyDescent="0.25">
      <c r="B145" s="252">
        <f t="shared" si="51"/>
        <v>802460</v>
      </c>
      <c r="C145" s="668" t="s">
        <v>234</v>
      </c>
      <c r="D145" s="452" t="s">
        <v>111</v>
      </c>
      <c r="E145" s="469" t="s">
        <v>235</v>
      </c>
      <c r="F145" s="667">
        <f t="shared" si="54"/>
        <v>5044.93</v>
      </c>
      <c r="G145" s="452" t="s">
        <v>223</v>
      </c>
      <c r="H145" s="453">
        <f>VLOOKUP(G145,'CP FACTORS'!$A$26:$B$38,2,FALSE)</f>
        <v>1.811545E-4</v>
      </c>
      <c r="I145" s="1868">
        <f t="shared" si="55"/>
        <v>0.91391199999999995</v>
      </c>
      <c r="J145" s="476">
        <v>15</v>
      </c>
      <c r="K145" s="1768">
        <v>18000</v>
      </c>
      <c r="L145" s="454" t="s">
        <v>62</v>
      </c>
      <c r="V145" s="1343" t="s">
        <v>45</v>
      </c>
      <c r="W145" s="53"/>
      <c r="X145" s="53"/>
      <c r="Y145" s="53"/>
      <c r="Z145" s="53"/>
      <c r="AA145" s="53"/>
      <c r="AB145" s="52"/>
      <c r="AC145" s="705"/>
      <c r="AD145" s="705"/>
      <c r="AE145" s="705"/>
      <c r="AF145" s="258">
        <f t="shared" si="52"/>
        <v>5044.93</v>
      </c>
      <c r="AG145" s="68"/>
      <c r="AH145"/>
      <c r="AI145" s="1375" t="s">
        <v>49</v>
      </c>
      <c r="AJ145" s="25"/>
      <c r="AK145" s="25"/>
      <c r="AL145" s="25"/>
      <c r="AM145" s="630"/>
      <c r="AN145" s="630"/>
      <c r="AO145" s="16"/>
      <c r="AP145" s="16"/>
      <c r="AQ145" s="16"/>
      <c r="AR145" s="16"/>
      <c r="AS145" s="112">
        <v>15</v>
      </c>
      <c r="AU145" s="1375" t="s">
        <v>50</v>
      </c>
      <c r="AV145" s="686"/>
      <c r="AW145" s="686"/>
      <c r="AX145" s="686"/>
      <c r="AY145" s="686"/>
      <c r="AZ145" s="686"/>
      <c r="BA145" s="738"/>
      <c r="BB145" s="738"/>
      <c r="BC145" s="738"/>
      <c r="BD145" s="738"/>
      <c r="BE145" s="1708">
        <v>1646</v>
      </c>
      <c r="DG145" s="1022">
        <f t="shared" si="56"/>
        <v>0.23400556215051918</v>
      </c>
      <c r="DH145" s="653" t="str">
        <f t="shared" si="57"/>
        <v>Water Heating BUS 15 Year EUL</v>
      </c>
      <c r="DI145" s="1024">
        <f>(INDEX('Avoided Cost Benefits'!$B$4:$B$865,MATCH(DH145,'Avoided Cost Benefits'!$A$4:$A$865,0)))*F145</f>
        <v>4212.1001187093452</v>
      </c>
      <c r="DJ145" s="1937">
        <f t="shared" si="53"/>
        <v>18000</v>
      </c>
    </row>
    <row r="146" spans="1:114" hidden="1" outlineLevel="1" x14ac:dyDescent="0.25">
      <c r="D146" s="74" t="s">
        <v>94</v>
      </c>
      <c r="E146" s="252" t="s">
        <v>236</v>
      </c>
      <c r="F146" s="1701"/>
      <c r="G146" s="7"/>
      <c r="H146" s="460"/>
      <c r="I146" s="7"/>
      <c r="J146" s="7"/>
      <c r="K146" s="1702"/>
    </row>
    <row r="147" spans="1:114" hidden="1" outlineLevel="1" x14ac:dyDescent="0.25">
      <c r="D147" s="7" t="s">
        <v>96</v>
      </c>
      <c r="E147" s="64"/>
      <c r="F147" s="1701"/>
      <c r="G147" s="7"/>
      <c r="H147" s="460"/>
      <c r="I147" s="7"/>
      <c r="J147" s="7"/>
      <c r="K147" s="64"/>
    </row>
    <row r="148" spans="1:114" hidden="1" outlineLevel="1" x14ac:dyDescent="0.25">
      <c r="D148" s="461"/>
      <c r="F148" s="64"/>
      <c r="G148" s="252"/>
      <c r="H148" s="462"/>
    </row>
    <row r="149" spans="1:114" hidden="1" outlineLevel="1" x14ac:dyDescent="0.25">
      <c r="D149" s="461"/>
      <c r="G149" s="252"/>
      <c r="H149" s="462"/>
    </row>
    <row r="150" spans="1:114" hidden="1" outlineLevel="1" x14ac:dyDescent="0.25">
      <c r="D150" s="461"/>
      <c r="G150" s="252"/>
      <c r="H150" s="462"/>
      <c r="M150" s="7"/>
    </row>
    <row r="151" spans="1:114" hidden="1" outlineLevel="1" x14ac:dyDescent="0.25">
      <c r="D151" s="461"/>
      <c r="G151" s="252"/>
      <c r="H151" s="462"/>
      <c r="M151" s="7"/>
    </row>
    <row r="152" spans="1:114" hidden="1" outlineLevel="1" x14ac:dyDescent="0.25">
      <c r="D152" s="461"/>
      <c r="G152" s="252"/>
      <c r="H152" s="462"/>
      <c r="M152" s="7"/>
    </row>
    <row r="153" spans="1:114" hidden="1" outlineLevel="1" x14ac:dyDescent="0.25">
      <c r="D153" s="461"/>
      <c r="G153" s="252"/>
      <c r="H153" s="462"/>
    </row>
    <row r="154" spans="1:114" s="8" customFormat="1" hidden="1" outlineLevel="1" x14ac:dyDescent="0.25">
      <c r="A154" s="252"/>
      <c r="B154" s="116"/>
      <c r="C154" s="64"/>
      <c r="D154" s="9" t="s">
        <v>42</v>
      </c>
      <c r="E154" s="1294" t="s">
        <v>172</v>
      </c>
      <c r="F154" s="1294" t="s">
        <v>237</v>
      </c>
      <c r="G154" s="1294" t="s">
        <v>238</v>
      </c>
      <c r="H154" s="1289" t="s">
        <v>239</v>
      </c>
      <c r="I154" s="1289" t="s">
        <v>240</v>
      </c>
      <c r="J154" s="1289" t="s">
        <v>241</v>
      </c>
      <c r="K154" s="1289" t="s">
        <v>242</v>
      </c>
      <c r="L154" s="1289" t="s">
        <v>243</v>
      </c>
      <c r="M154" s="1361" t="s">
        <v>244</v>
      </c>
      <c r="N154" s="1361" t="s">
        <v>245</v>
      </c>
      <c r="O154" s="1361" t="s">
        <v>246</v>
      </c>
      <c r="P154" s="1361" t="s">
        <v>247</v>
      </c>
      <c r="Q154" s="1361" t="s">
        <v>248</v>
      </c>
      <c r="R154" s="1361" t="s">
        <v>249</v>
      </c>
      <c r="S154" s="1361" t="s">
        <v>250</v>
      </c>
      <c r="T154" s="116"/>
      <c r="U154" s="116"/>
      <c r="V154" s="648" t="s">
        <v>52</v>
      </c>
      <c r="W154" s="649">
        <f>$W$8</f>
        <v>43252</v>
      </c>
      <c r="X154" s="649">
        <f>$X$8</f>
        <v>43465</v>
      </c>
      <c r="Y154" s="649">
        <f>$Y$8</f>
        <v>43800</v>
      </c>
      <c r="Z154" s="649">
        <f>$Z$8</f>
        <v>43862</v>
      </c>
      <c r="AA154" s="649">
        <f>$AA$8</f>
        <v>44013</v>
      </c>
      <c r="AB154" s="649">
        <v>44166</v>
      </c>
      <c r="AC154" s="649">
        <f>$AC$8</f>
        <v>44531</v>
      </c>
      <c r="AD154" s="649">
        <f>$AD$8</f>
        <v>44774</v>
      </c>
      <c r="AE154" s="649">
        <f>$AE$8</f>
        <v>45142</v>
      </c>
      <c r="AF154" s="649">
        <f>$AF$8</f>
        <v>45672</v>
      </c>
      <c r="AG154" s="649" t="str">
        <f>$AG$8</f>
        <v>-</v>
      </c>
      <c r="AH154"/>
      <c r="AI154" s="648" t="s">
        <v>52</v>
      </c>
      <c r="AJ154" s="649">
        <v>43252</v>
      </c>
      <c r="AK154" s="649">
        <f>$X$8</f>
        <v>43465</v>
      </c>
      <c r="AL154" s="649">
        <f>$Y$8</f>
        <v>43800</v>
      </c>
      <c r="AM154" s="649">
        <f>$Z$8</f>
        <v>43862</v>
      </c>
      <c r="AN154" s="649">
        <f>$AA$8</f>
        <v>44013</v>
      </c>
      <c r="AO154" s="649">
        <f>$AB$8</f>
        <v>44166</v>
      </c>
      <c r="AP154" s="649">
        <f>$AC$8</f>
        <v>44531</v>
      </c>
      <c r="AQ154" s="649">
        <f>$AD$8</f>
        <v>44774</v>
      </c>
      <c r="AR154" s="649">
        <f>$AE$8</f>
        <v>45142</v>
      </c>
      <c r="AS154" s="649">
        <f>$AF$8</f>
        <v>45672</v>
      </c>
      <c r="AT154" s="2"/>
      <c r="AU154" s="648" t="s">
        <v>52</v>
      </c>
      <c r="AV154" s="649">
        <v>43252</v>
      </c>
      <c r="AW154" s="649">
        <f>$X$8</f>
        <v>43465</v>
      </c>
      <c r="AX154" s="649">
        <f>$Y$8</f>
        <v>43800</v>
      </c>
      <c r="AY154" s="649">
        <f>$Z$8</f>
        <v>43862</v>
      </c>
      <c r="AZ154" s="649">
        <f>$AA$8</f>
        <v>44013</v>
      </c>
      <c r="BA154" s="649">
        <v>44166</v>
      </c>
      <c r="BB154" s="649">
        <f>$AC$8</f>
        <v>44531</v>
      </c>
      <c r="BC154" s="649">
        <f>$AD$8</f>
        <v>44774</v>
      </c>
      <c r="BD154" s="649">
        <f>$AE$8</f>
        <v>45142</v>
      </c>
      <c r="BE154" s="649">
        <f>$AF$8</f>
        <v>45672</v>
      </c>
      <c r="BG154" s="648" t="s">
        <v>52</v>
      </c>
      <c r="BH154" s="649">
        <v>43252</v>
      </c>
      <c r="BI154" s="649">
        <f>$X$8</f>
        <v>43465</v>
      </c>
      <c r="BJ154" s="649">
        <f>$Y$8</f>
        <v>43800</v>
      </c>
      <c r="BK154" s="649">
        <f>$Z$8</f>
        <v>43862</v>
      </c>
      <c r="BL154" s="649">
        <f>$AA$8</f>
        <v>44013</v>
      </c>
      <c r="BM154" s="649">
        <v>44166</v>
      </c>
      <c r="BN154" s="649">
        <f>$AC$8</f>
        <v>44531</v>
      </c>
      <c r="BO154" s="649">
        <f>$AD$8</f>
        <v>44774</v>
      </c>
      <c r="BP154" s="649">
        <f>$AE$8</f>
        <v>45142</v>
      </c>
      <c r="BQ154" s="649">
        <f>$AF$8</f>
        <v>45672</v>
      </c>
      <c r="DE154" s="2"/>
      <c r="DF154" s="2"/>
      <c r="DG154" s="1023"/>
      <c r="DH154" s="116"/>
      <c r="DI154" s="116"/>
      <c r="DJ154" s="1116"/>
    </row>
    <row r="155" spans="1:114" hidden="1" outlineLevel="1" x14ac:dyDescent="0.25">
      <c r="D155" s="659" t="str">
        <f>C139</f>
        <v>802250_2024_12_</v>
      </c>
      <c r="E155" s="659" t="str">
        <f>E139</f>
        <v>Heat Pump Water Heater replacing 98% Efficiency 2.9-14.6 kW (10 to 50 MBH)</v>
      </c>
      <c r="F155" s="1769">
        <v>0.98</v>
      </c>
      <c r="G155" s="1769">
        <v>4.6100000000000003</v>
      </c>
      <c r="H155" s="1770">
        <f>558*I155</f>
        <v>149421.71926647448</v>
      </c>
      <c r="I155" s="1771">
        <v>267.78085890049192</v>
      </c>
      <c r="J155" s="479">
        <v>8.33</v>
      </c>
      <c r="K155" s="1772">
        <v>125</v>
      </c>
      <c r="L155" s="482">
        <v>59.3</v>
      </c>
      <c r="M155" s="1703">
        <f>((((1-1/G155)*H155*J155*(K155-L155)*1)*Q155*0.53*3)/(O155*3412))*R155</f>
        <v>7598.4096289631689</v>
      </c>
      <c r="N155" s="1703">
        <f>((((1-1/G155)*H155*J155*(K155-L155)*1)*Q155*0.43)/(P155*3412))*S155</f>
        <v>8070.3024254178326</v>
      </c>
      <c r="O155" s="1869">
        <f>13.4/3.412</f>
        <v>3.9273153575615476</v>
      </c>
      <c r="P155" s="1870">
        <v>1</v>
      </c>
      <c r="Q155" s="1764">
        <v>1</v>
      </c>
      <c r="R155" s="1769">
        <v>1</v>
      </c>
      <c r="S155" s="1769">
        <v>1</v>
      </c>
      <c r="V155" s="1343" t="s">
        <v>238</v>
      </c>
      <c r="W155" s="1741">
        <v>4</v>
      </c>
      <c r="X155" s="1741">
        <v>4</v>
      </c>
      <c r="Y155" s="1741">
        <v>4</v>
      </c>
      <c r="Z155" s="1741">
        <v>4</v>
      </c>
      <c r="AA155" s="1741">
        <v>4</v>
      </c>
      <c r="AB155" s="1741">
        <v>4</v>
      </c>
      <c r="AC155" s="1741">
        <v>4</v>
      </c>
      <c r="AD155" s="1741">
        <v>4</v>
      </c>
      <c r="AE155" s="1741">
        <v>4</v>
      </c>
      <c r="AF155" s="1389">
        <v>4.6100000000000003</v>
      </c>
      <c r="AG155" s="68"/>
      <c r="AH155"/>
      <c r="AI155" s="1375" t="s">
        <v>243</v>
      </c>
      <c r="AJ155" s="24">
        <v>57.898000000000003</v>
      </c>
      <c r="AK155" s="24">
        <v>57.898000000000003</v>
      </c>
      <c r="AL155" s="24">
        <v>57.898000000000003</v>
      </c>
      <c r="AM155" s="24">
        <v>57.898000000000003</v>
      </c>
      <c r="AN155" s="24">
        <v>57.898000000000003</v>
      </c>
      <c r="AO155" s="24">
        <v>57.898000000000003</v>
      </c>
      <c r="AP155" s="24">
        <v>57.898000000000003</v>
      </c>
      <c r="AQ155" s="24">
        <v>57.898000000000003</v>
      </c>
      <c r="AR155" s="24">
        <v>57.898000000000003</v>
      </c>
      <c r="AS155" s="112">
        <v>59.3</v>
      </c>
      <c r="AU155" s="1375" t="s">
        <v>246</v>
      </c>
      <c r="AV155" s="1742">
        <v>2.8</v>
      </c>
      <c r="AW155" s="1742">
        <v>2.8</v>
      </c>
      <c r="AX155" s="1742">
        <v>2.8</v>
      </c>
      <c r="AY155" s="1742">
        <v>2.8</v>
      </c>
      <c r="AZ155" s="1742">
        <v>2.8</v>
      </c>
      <c r="BA155" s="1742">
        <v>2.8</v>
      </c>
      <c r="BB155" s="1742">
        <v>2.8</v>
      </c>
      <c r="BC155" s="1742">
        <v>2.8</v>
      </c>
      <c r="BD155" s="1742">
        <v>2.8</v>
      </c>
      <c r="BE155" s="658">
        <v>3.9273153575615476</v>
      </c>
      <c r="BG155" s="1375" t="s">
        <v>247</v>
      </c>
      <c r="BH155" s="1742">
        <v>0.88</v>
      </c>
      <c r="BI155" s="1742">
        <v>0.88</v>
      </c>
      <c r="BJ155" s="1742">
        <v>0.88</v>
      </c>
      <c r="BK155" s="1742">
        <v>0.88</v>
      </c>
      <c r="BL155" s="1742">
        <v>0.88</v>
      </c>
      <c r="BM155" s="1742">
        <v>0.88</v>
      </c>
      <c r="BN155" s="1742">
        <v>0.88</v>
      </c>
      <c r="BO155" s="1742">
        <v>0.88</v>
      </c>
      <c r="BP155" s="1742">
        <v>0.88</v>
      </c>
      <c r="BQ155" s="658">
        <v>1</v>
      </c>
    </row>
    <row r="156" spans="1:114" hidden="1" outlineLevel="1" x14ac:dyDescent="0.25">
      <c r="D156" s="659" t="str">
        <f>C140</f>
        <v>802300_2024_12_</v>
      </c>
      <c r="E156" s="659" t="str">
        <f>E140</f>
        <v>Heat Pump Water Heater replacing 98% Efficiency 14.7-29.3 kW (50 to 100 MBH)</v>
      </c>
      <c r="F156" s="484">
        <v>0.98</v>
      </c>
      <c r="G156" s="1769">
        <v>4.6100000000000003</v>
      </c>
      <c r="H156" s="1770">
        <f>558*I156</f>
        <v>389059.7149286035</v>
      </c>
      <c r="I156" s="1771">
        <v>697.2396324885367</v>
      </c>
      <c r="J156" s="479">
        <v>8.33</v>
      </c>
      <c r="K156" s="1772">
        <v>125</v>
      </c>
      <c r="L156" s="482">
        <v>59.3</v>
      </c>
      <c r="M156" s="1703">
        <f>((((1-1/G156)*H156*J156*(K156-L156)*1)*1*0.53*3)/(O156*3412))*1</f>
        <v>19784.507223364901</v>
      </c>
      <c r="N156" s="1703">
        <f>((((1-1/G156)*H156*J156*(K156-L156)*1)*Q156*0.43)/(P156*3412))*S156</f>
        <v>21013.207292985273</v>
      </c>
      <c r="O156" s="1869">
        <f t="shared" ref="O156:O161" si="58">13.4/3.412</f>
        <v>3.9273153575615476</v>
      </c>
      <c r="P156" s="1870">
        <v>1</v>
      </c>
      <c r="Q156" s="1764">
        <v>1</v>
      </c>
      <c r="R156" s="1769">
        <v>1</v>
      </c>
      <c r="S156" s="1769">
        <v>1</v>
      </c>
      <c r="V156" s="1343" t="s">
        <v>238</v>
      </c>
      <c r="W156" s="1741">
        <v>4</v>
      </c>
      <c r="X156" s="1741">
        <v>4</v>
      </c>
      <c r="Y156" s="1741">
        <v>4</v>
      </c>
      <c r="Z156" s="1741">
        <v>4</v>
      </c>
      <c r="AA156" s="1741">
        <v>4</v>
      </c>
      <c r="AB156" s="1741">
        <v>4</v>
      </c>
      <c r="AC156" s="1741">
        <v>4</v>
      </c>
      <c r="AD156" s="1741">
        <v>4</v>
      </c>
      <c r="AE156" s="1741">
        <v>4</v>
      </c>
      <c r="AF156" s="1389">
        <v>4.6100000000000003</v>
      </c>
      <c r="AG156" s="68"/>
      <c r="AH156"/>
      <c r="AI156" s="1375" t="s">
        <v>243</v>
      </c>
      <c r="AJ156" s="25">
        <v>57.898000000000003</v>
      </c>
      <c r="AK156" s="25">
        <v>57.898000000000003</v>
      </c>
      <c r="AL156" s="25">
        <v>57.898000000000003</v>
      </c>
      <c r="AM156" s="25">
        <v>57.898000000000003</v>
      </c>
      <c r="AN156" s="25">
        <v>57.898000000000003</v>
      </c>
      <c r="AO156" s="25">
        <v>57.898000000000003</v>
      </c>
      <c r="AP156" s="25">
        <v>57.898000000000003</v>
      </c>
      <c r="AQ156" s="25">
        <v>57.898000000000003</v>
      </c>
      <c r="AR156" s="25">
        <v>57.898000000000003</v>
      </c>
      <c r="AS156" s="112">
        <v>59.3</v>
      </c>
      <c r="AU156" s="1375" t="s">
        <v>246</v>
      </c>
      <c r="AV156" s="1742">
        <v>2.8</v>
      </c>
      <c r="AW156" s="1742">
        <v>2.8</v>
      </c>
      <c r="AX156" s="1742">
        <v>2.8</v>
      </c>
      <c r="AY156" s="1742">
        <v>2.8</v>
      </c>
      <c r="AZ156" s="1742">
        <v>2.8</v>
      </c>
      <c r="BA156" s="1742">
        <v>2.8</v>
      </c>
      <c r="BB156" s="1742">
        <v>2.8</v>
      </c>
      <c r="BC156" s="1742">
        <v>2.8</v>
      </c>
      <c r="BD156" s="1742">
        <v>2.8</v>
      </c>
      <c r="BE156" s="658">
        <v>3.9273153575615476</v>
      </c>
      <c r="BG156" s="1375" t="s">
        <v>247</v>
      </c>
      <c r="BH156" s="1742">
        <v>0.88</v>
      </c>
      <c r="BI156" s="1742">
        <v>0.88</v>
      </c>
      <c r="BJ156" s="1742">
        <v>0.88</v>
      </c>
      <c r="BK156" s="1742">
        <v>0.88</v>
      </c>
      <c r="BL156" s="1742">
        <v>0.88</v>
      </c>
      <c r="BM156" s="1742">
        <v>0.88</v>
      </c>
      <c r="BN156" s="1742">
        <v>0.88</v>
      </c>
      <c r="BO156" s="1742">
        <v>0.88</v>
      </c>
      <c r="BP156" s="1742">
        <v>0.88</v>
      </c>
      <c r="BQ156" s="658">
        <v>1</v>
      </c>
    </row>
    <row r="157" spans="1:114" hidden="1" outlineLevel="1" x14ac:dyDescent="0.25">
      <c r="D157" s="659" t="str">
        <f>C141</f>
        <v>802350_2024_12_</v>
      </c>
      <c r="E157" s="659" t="str">
        <f>E141</f>
        <v>Heat Pump Water Heater replacing 98% Efficiency 29.4-87.9 kW (100 to 300 MBH)</v>
      </c>
      <c r="F157" s="484">
        <v>0.98</v>
      </c>
      <c r="G157" s="1769">
        <v>4.4400000000000004</v>
      </c>
      <c r="H157" s="1770">
        <f>558*I157</f>
        <v>1037499.9291594848</v>
      </c>
      <c r="I157" s="1771">
        <v>1859.3188694614423</v>
      </c>
      <c r="J157" s="479">
        <v>8.33</v>
      </c>
      <c r="K157" s="1772">
        <v>125</v>
      </c>
      <c r="L157" s="482">
        <v>59.3</v>
      </c>
      <c r="M157" s="1703">
        <f>((((1-1/G157)*H157*J157*(K157-L157)*1)*1*0.53*3)/(O157*3412))*1</f>
        <v>52199.488225350025</v>
      </c>
      <c r="N157" s="1703">
        <f>((((1-1/G157)*H157*J157*(K157-L157)*1)*Q157*0.43)/(P157*3412))*S157</f>
        <v>55441.293244425302</v>
      </c>
      <c r="O157" s="1869">
        <f t="shared" si="58"/>
        <v>3.9273153575615476</v>
      </c>
      <c r="P157" s="1870">
        <v>1</v>
      </c>
      <c r="Q157" s="1764">
        <v>1</v>
      </c>
      <c r="R157" s="1769">
        <v>1</v>
      </c>
      <c r="S157" s="1769">
        <v>1</v>
      </c>
      <c r="V157" s="1343" t="s">
        <v>238</v>
      </c>
      <c r="W157" s="1741">
        <v>4</v>
      </c>
      <c r="X157" s="1741">
        <v>4</v>
      </c>
      <c r="Y157" s="1741">
        <v>4</v>
      </c>
      <c r="Z157" s="1741">
        <v>4</v>
      </c>
      <c r="AA157" s="1741">
        <v>4</v>
      </c>
      <c r="AB157" s="1741">
        <v>4</v>
      </c>
      <c r="AC157" s="1741">
        <v>4</v>
      </c>
      <c r="AD157" s="1741">
        <v>4</v>
      </c>
      <c r="AE157" s="1741">
        <v>4</v>
      </c>
      <c r="AF157" s="1389">
        <v>4.4400000000000004</v>
      </c>
      <c r="AG157" s="68"/>
      <c r="AH157"/>
      <c r="AI157" s="1375" t="s">
        <v>243</v>
      </c>
      <c r="AJ157" s="25">
        <v>57.898000000000003</v>
      </c>
      <c r="AK157" s="25">
        <v>57.898000000000003</v>
      </c>
      <c r="AL157" s="25">
        <v>57.898000000000003</v>
      </c>
      <c r="AM157" s="25">
        <v>57.898000000000003</v>
      </c>
      <c r="AN157" s="25">
        <v>57.898000000000003</v>
      </c>
      <c r="AO157" s="25">
        <v>57.898000000000003</v>
      </c>
      <c r="AP157" s="25">
        <v>57.898000000000003</v>
      </c>
      <c r="AQ157" s="25">
        <v>57.898000000000003</v>
      </c>
      <c r="AR157" s="25">
        <v>57.898000000000003</v>
      </c>
      <c r="AS157" s="112">
        <v>59.3</v>
      </c>
      <c r="AU157" s="1375" t="s">
        <v>246</v>
      </c>
      <c r="AV157" s="1742">
        <v>2.8</v>
      </c>
      <c r="AW157" s="1742">
        <v>2.8</v>
      </c>
      <c r="AX157" s="1742">
        <v>2.8</v>
      </c>
      <c r="AY157" s="1742">
        <v>2.8</v>
      </c>
      <c r="AZ157" s="1742">
        <v>2.8</v>
      </c>
      <c r="BA157" s="1742">
        <v>2.8</v>
      </c>
      <c r="BB157" s="1742">
        <v>2.8</v>
      </c>
      <c r="BC157" s="1742">
        <v>2.8</v>
      </c>
      <c r="BD157" s="1742">
        <v>2.8</v>
      </c>
      <c r="BE157" s="658">
        <v>3.9273153575615476</v>
      </c>
      <c r="BG157" s="1375" t="s">
        <v>247</v>
      </c>
      <c r="BH157" s="1742">
        <v>0.88</v>
      </c>
      <c r="BI157" s="1742">
        <v>0.88</v>
      </c>
      <c r="BJ157" s="1742">
        <v>0.88</v>
      </c>
      <c r="BK157" s="1742">
        <v>0.88</v>
      </c>
      <c r="BL157" s="1742">
        <v>0.88</v>
      </c>
      <c r="BM157" s="1742">
        <v>0.88</v>
      </c>
      <c r="BN157" s="1742">
        <v>0.88</v>
      </c>
      <c r="BO157" s="1742">
        <v>0.88</v>
      </c>
      <c r="BP157" s="1742">
        <v>0.88</v>
      </c>
      <c r="BQ157" s="658">
        <v>1</v>
      </c>
    </row>
    <row r="158" spans="1:114" hidden="1" outlineLevel="1" x14ac:dyDescent="0.25">
      <c r="D158" s="659" t="str">
        <f>C142</f>
        <v>802400_2024_12_</v>
      </c>
      <c r="E158" s="659" t="str">
        <f>E142</f>
        <v>Heat Pump Water Heater replacing 98% Efficiency 88-146.5 kW (300 to 500 MBH)</v>
      </c>
      <c r="F158" s="484">
        <v>0.98</v>
      </c>
      <c r="G158" s="1769">
        <v>4.2699999999999996</v>
      </c>
      <c r="H158" s="1770">
        <f>558*I158</f>
        <v>2074992.5023024278</v>
      </c>
      <c r="I158" s="1771">
        <v>3718.6245560975408</v>
      </c>
      <c r="J158" s="479">
        <v>8.33</v>
      </c>
      <c r="K158" s="1772">
        <v>125</v>
      </c>
      <c r="L158" s="482">
        <v>59.3</v>
      </c>
      <c r="M158" s="1703">
        <f>((((1-1/G158)*H158*J158*(K158-L158)*1)*1*0.53*3)/(O158*3412))*1</f>
        <v>103190.35495496581</v>
      </c>
      <c r="N158" s="1703">
        <f>((((1-1/G158)*H158*J158*(K158-L158)*1)*Q158*0.43)/(P158*3412))*S158</f>
        <v>109598.90457846022</v>
      </c>
      <c r="O158" s="1869">
        <f t="shared" si="58"/>
        <v>3.9273153575615476</v>
      </c>
      <c r="P158" s="1870">
        <v>1</v>
      </c>
      <c r="Q158" s="1764">
        <v>1</v>
      </c>
      <c r="R158" s="1769">
        <v>1</v>
      </c>
      <c r="S158" s="1769">
        <v>1</v>
      </c>
      <c r="V158" s="1343" t="s">
        <v>238</v>
      </c>
      <c r="W158" s="1741">
        <v>4</v>
      </c>
      <c r="X158" s="1741">
        <v>4</v>
      </c>
      <c r="Y158" s="1741">
        <v>4</v>
      </c>
      <c r="Z158" s="1741">
        <v>4</v>
      </c>
      <c r="AA158" s="1741">
        <v>4</v>
      </c>
      <c r="AB158" s="1741">
        <v>4</v>
      </c>
      <c r="AC158" s="1741">
        <v>4</v>
      </c>
      <c r="AD158" s="1741">
        <v>4</v>
      </c>
      <c r="AE158" s="1741">
        <v>4</v>
      </c>
      <c r="AF158" s="1389">
        <v>4.2699999999999996</v>
      </c>
      <c r="AG158" s="68"/>
      <c r="AH158"/>
      <c r="AI158" s="1375" t="s">
        <v>243</v>
      </c>
      <c r="AJ158" s="25">
        <v>57.898000000000003</v>
      </c>
      <c r="AK158" s="25">
        <v>57.898000000000003</v>
      </c>
      <c r="AL158" s="25">
        <v>57.898000000000003</v>
      </c>
      <c r="AM158" s="25">
        <v>57.898000000000003</v>
      </c>
      <c r="AN158" s="25">
        <v>57.898000000000003</v>
      </c>
      <c r="AO158" s="25">
        <v>57.898000000000003</v>
      </c>
      <c r="AP158" s="25">
        <v>57.898000000000003</v>
      </c>
      <c r="AQ158" s="25">
        <v>57.898000000000003</v>
      </c>
      <c r="AR158" s="25">
        <v>57.898000000000003</v>
      </c>
      <c r="AS158" s="112">
        <v>59.3</v>
      </c>
      <c r="AU158" s="1375" t="s">
        <v>246</v>
      </c>
      <c r="AV158" s="1742">
        <v>2.8</v>
      </c>
      <c r="AW158" s="1742">
        <v>2.8</v>
      </c>
      <c r="AX158" s="1742">
        <v>2.8</v>
      </c>
      <c r="AY158" s="1742">
        <v>2.8</v>
      </c>
      <c r="AZ158" s="1742">
        <v>2.8</v>
      </c>
      <c r="BA158" s="1742">
        <v>2.8</v>
      </c>
      <c r="BB158" s="1742">
        <v>2.8</v>
      </c>
      <c r="BC158" s="1742">
        <v>2.8</v>
      </c>
      <c r="BD158" s="1742">
        <v>2.8</v>
      </c>
      <c r="BE158" s="658">
        <v>3.9273153575615476</v>
      </c>
      <c r="BG158" s="1375" t="s">
        <v>247</v>
      </c>
      <c r="BH158" s="1742">
        <v>0.88</v>
      </c>
      <c r="BI158" s="1742">
        <v>0.88</v>
      </c>
      <c r="BJ158" s="1742">
        <v>0.88</v>
      </c>
      <c r="BK158" s="1742">
        <v>0.88</v>
      </c>
      <c r="BL158" s="1742">
        <v>0.88</v>
      </c>
      <c r="BM158" s="1742">
        <v>0.88</v>
      </c>
      <c r="BN158" s="1742">
        <v>0.88</v>
      </c>
      <c r="BO158" s="1742">
        <v>0.88</v>
      </c>
      <c r="BP158" s="1742">
        <v>0.88</v>
      </c>
      <c r="BQ158" s="658">
        <v>1</v>
      </c>
    </row>
    <row r="159" spans="1:114" hidden="1" outlineLevel="1" x14ac:dyDescent="0.25">
      <c r="D159" s="659" t="str">
        <f>C143</f>
        <v>802450_2024_12_</v>
      </c>
      <c r="E159" s="659" t="str">
        <f>E143</f>
        <v>Heat Pump Water Heater replacing 98% Efficiency &gt;146.6 kW (above 500 MBH)</v>
      </c>
      <c r="F159" s="484">
        <v>0.98</v>
      </c>
      <c r="G159" s="1769">
        <v>4.2699999999999996</v>
      </c>
      <c r="H159" s="1770">
        <f>558*I159</f>
        <v>3112492.431461913</v>
      </c>
      <c r="I159" s="1771">
        <v>5577.943425558984</v>
      </c>
      <c r="J159" s="479">
        <v>8.33</v>
      </c>
      <c r="K159" s="1772">
        <v>125</v>
      </c>
      <c r="L159" s="482">
        <v>59.3</v>
      </c>
      <c r="M159" s="1703">
        <f>((((1-1/G159)*H159*J159*(K159-L159)*1)*1*0.53*3)/(O159*3412))*1</f>
        <v>154785.71534153324</v>
      </c>
      <c r="N159" s="1703">
        <f>((((1-1/G159)*H159*J159*(K159-L159)*1)*Q159*0.43)/(P159*3412))*S159</f>
        <v>164398.5511361887</v>
      </c>
      <c r="O159" s="1869">
        <f t="shared" si="58"/>
        <v>3.9273153575615476</v>
      </c>
      <c r="P159" s="1870">
        <v>1</v>
      </c>
      <c r="Q159" s="1764">
        <v>1</v>
      </c>
      <c r="R159" s="1769">
        <v>1</v>
      </c>
      <c r="S159" s="1769">
        <v>1</v>
      </c>
      <c r="V159" s="1343" t="s">
        <v>238</v>
      </c>
      <c r="W159" s="1741">
        <v>4</v>
      </c>
      <c r="X159" s="1741">
        <v>4</v>
      </c>
      <c r="Y159" s="1741">
        <v>4</v>
      </c>
      <c r="Z159" s="1741">
        <v>4</v>
      </c>
      <c r="AA159" s="1741">
        <v>4</v>
      </c>
      <c r="AB159" s="1741">
        <v>4</v>
      </c>
      <c r="AC159" s="1741">
        <v>4</v>
      </c>
      <c r="AD159" s="1741">
        <v>4</v>
      </c>
      <c r="AE159" s="1741">
        <v>4</v>
      </c>
      <c r="AF159" s="1389">
        <v>4.2699999999999996</v>
      </c>
      <c r="AG159" s="68"/>
      <c r="AH159"/>
      <c r="AI159" s="1375" t="s">
        <v>243</v>
      </c>
      <c r="AJ159" s="25">
        <v>57.898000000000003</v>
      </c>
      <c r="AK159" s="25">
        <v>57.898000000000003</v>
      </c>
      <c r="AL159" s="25">
        <v>57.898000000000003</v>
      </c>
      <c r="AM159" s="25">
        <v>57.898000000000003</v>
      </c>
      <c r="AN159" s="25">
        <v>57.898000000000003</v>
      </c>
      <c r="AO159" s="25">
        <v>57.898000000000003</v>
      </c>
      <c r="AP159" s="25">
        <v>57.898000000000003</v>
      </c>
      <c r="AQ159" s="25">
        <v>57.898000000000003</v>
      </c>
      <c r="AR159" s="25">
        <v>57.898000000000003</v>
      </c>
      <c r="AS159" s="112">
        <v>59.3</v>
      </c>
      <c r="AU159" s="1375" t="s">
        <v>246</v>
      </c>
      <c r="AV159" s="1742">
        <v>2.8</v>
      </c>
      <c r="AW159" s="1742">
        <v>2.8</v>
      </c>
      <c r="AX159" s="1742">
        <v>2.8</v>
      </c>
      <c r="AY159" s="1742">
        <v>2.8</v>
      </c>
      <c r="AZ159" s="1742">
        <v>2.8</v>
      </c>
      <c r="BA159" s="1742">
        <v>2.8</v>
      </c>
      <c r="BB159" s="1742">
        <v>2.8</v>
      </c>
      <c r="BC159" s="1742">
        <v>2.8</v>
      </c>
      <c r="BD159" s="1742">
        <v>2.8</v>
      </c>
      <c r="BE159" s="658">
        <v>3.9273153575615476</v>
      </c>
      <c r="BG159" s="1375" t="s">
        <v>247</v>
      </c>
      <c r="BH159" s="1742">
        <v>0.88</v>
      </c>
      <c r="BI159" s="1742">
        <v>0.88</v>
      </c>
      <c r="BJ159" s="1742">
        <v>0.88</v>
      </c>
      <c r="BK159" s="1742">
        <v>0.88</v>
      </c>
      <c r="BL159" s="1742">
        <v>0.88</v>
      </c>
      <c r="BM159" s="1742">
        <v>0.88</v>
      </c>
      <c r="BN159" s="1742">
        <v>0.88</v>
      </c>
      <c r="BO159" s="1742">
        <v>0.88</v>
      </c>
      <c r="BP159" s="1742">
        <v>0.88</v>
      </c>
      <c r="BQ159" s="658">
        <v>1</v>
      </c>
    </row>
    <row r="160" spans="1:114" hidden="1" outlineLevel="1" x14ac:dyDescent="0.25">
      <c r="D160" s="659" t="str">
        <f t="shared" ref="D160:D161" si="59">C144</f>
        <v>802455_2024_12_</v>
      </c>
      <c r="E160" s="659" t="str">
        <f t="shared" ref="E160:E161" si="60">E144</f>
        <v>Heat Pump Water Heater replacing 98% Efficiency, ≤55 gal, medium draw</v>
      </c>
      <c r="F160" s="484">
        <v>0.98</v>
      </c>
      <c r="G160" s="1769">
        <v>4</v>
      </c>
      <c r="H160" s="1770">
        <f t="shared" ref="H160:H161" si="61">558*I160</f>
        <v>27900</v>
      </c>
      <c r="I160" s="1771">
        <v>50</v>
      </c>
      <c r="J160" s="479">
        <v>8.33</v>
      </c>
      <c r="K160" s="1772">
        <v>125</v>
      </c>
      <c r="L160" s="482">
        <v>59.3</v>
      </c>
      <c r="M160" s="1703">
        <f t="shared" ref="M160:M161" si="62">((((1-1/G160)*H160*J160*(K160-L160)*1)*1*0.53*3)/(O160*3412))*1</f>
        <v>1358.8395022947764</v>
      </c>
      <c r="N160" s="1703">
        <f t="shared" ref="N160:N161" si="63">((((1-1/G160)*H160*J160*(K160-L160)*1)*Q160*0.43)/(P160*3412))*S160</f>
        <v>1443.2290790592028</v>
      </c>
      <c r="O160" s="1869">
        <f t="shared" si="58"/>
        <v>3.9273153575615476</v>
      </c>
      <c r="P160" s="1870">
        <v>1</v>
      </c>
      <c r="Q160" s="1764">
        <v>1</v>
      </c>
      <c r="R160" s="1769">
        <v>1</v>
      </c>
      <c r="S160" s="1769">
        <v>1</v>
      </c>
      <c r="V160" s="1343" t="s">
        <v>238</v>
      </c>
      <c r="W160" s="53"/>
      <c r="X160" s="53"/>
      <c r="Y160" s="53"/>
      <c r="Z160" s="53"/>
      <c r="AA160" s="53"/>
      <c r="AB160" s="52"/>
      <c r="AC160" s="705"/>
      <c r="AD160" s="705"/>
      <c r="AE160" s="705"/>
      <c r="AF160" s="1389">
        <v>4</v>
      </c>
      <c r="AG160" s="68"/>
      <c r="AH160"/>
      <c r="AI160" s="1375" t="s">
        <v>243</v>
      </c>
      <c r="AJ160" s="25"/>
      <c r="AK160" s="25"/>
      <c r="AL160" s="25"/>
      <c r="AM160" s="630"/>
      <c r="AN160" s="630"/>
      <c r="AO160" s="16"/>
      <c r="AP160" s="16"/>
      <c r="AQ160" s="16"/>
      <c r="AR160" s="16"/>
      <c r="AS160" s="112">
        <v>59.3</v>
      </c>
      <c r="AU160" s="1375" t="s">
        <v>246</v>
      </c>
      <c r="AV160" s="686"/>
      <c r="AW160" s="686"/>
      <c r="AX160" s="686"/>
      <c r="AY160" s="686"/>
      <c r="AZ160" s="686"/>
      <c r="BA160" s="738"/>
      <c r="BB160" s="738"/>
      <c r="BC160" s="738"/>
      <c r="BD160" s="738"/>
      <c r="BE160" s="658">
        <v>3.9273153575615476</v>
      </c>
      <c r="BG160" s="1375" t="s">
        <v>247</v>
      </c>
      <c r="BH160" s="686"/>
      <c r="BI160" s="686"/>
      <c r="BJ160" s="686"/>
      <c r="BK160" s="686"/>
      <c r="BL160" s="686"/>
      <c r="BM160" s="738"/>
      <c r="BN160" s="738"/>
      <c r="BO160" s="738"/>
      <c r="BP160" s="738"/>
      <c r="BQ160" s="658">
        <v>1</v>
      </c>
    </row>
    <row r="161" spans="1:114" hidden="1" outlineLevel="1" x14ac:dyDescent="0.25">
      <c r="D161" s="659" t="str">
        <f t="shared" si="59"/>
        <v>802460_2024_12_</v>
      </c>
      <c r="E161" s="659" t="str">
        <f t="shared" si="60"/>
        <v>Heat Pump Water Heater replacing 98% Efficiency, &gt;55 gal and ≤ 120 gal, medium draw</v>
      </c>
      <c r="F161" s="484">
        <v>0.98</v>
      </c>
      <c r="G161" s="1769">
        <v>4</v>
      </c>
      <c r="H161" s="1770">
        <f t="shared" si="61"/>
        <v>41850</v>
      </c>
      <c r="I161" s="1771">
        <v>75</v>
      </c>
      <c r="J161" s="479">
        <v>8.33</v>
      </c>
      <c r="K161" s="1772">
        <v>125</v>
      </c>
      <c r="L161" s="482">
        <v>59.3</v>
      </c>
      <c r="M161" s="1703">
        <f t="shared" si="62"/>
        <v>2038.259253442164</v>
      </c>
      <c r="N161" s="1703">
        <f t="shared" si="63"/>
        <v>2164.843618588804</v>
      </c>
      <c r="O161" s="1869">
        <f t="shared" si="58"/>
        <v>3.9273153575615476</v>
      </c>
      <c r="P161" s="1870">
        <v>1</v>
      </c>
      <c r="Q161" s="1764">
        <v>1</v>
      </c>
      <c r="R161" s="1769">
        <v>1</v>
      </c>
      <c r="S161" s="1769">
        <v>1</v>
      </c>
      <c r="V161" s="1343" t="s">
        <v>238</v>
      </c>
      <c r="W161" s="53"/>
      <c r="X161" s="53"/>
      <c r="Y161" s="53"/>
      <c r="Z161" s="53"/>
      <c r="AA161" s="53"/>
      <c r="AB161" s="52"/>
      <c r="AC161" s="705"/>
      <c r="AD161" s="705"/>
      <c r="AE161" s="705"/>
      <c r="AF161" s="1389">
        <v>4</v>
      </c>
      <c r="AG161" s="68"/>
      <c r="AH161"/>
      <c r="AI161" s="1375" t="s">
        <v>243</v>
      </c>
      <c r="AJ161" s="25"/>
      <c r="AK161" s="25"/>
      <c r="AL161" s="25"/>
      <c r="AM161" s="630"/>
      <c r="AN161" s="630"/>
      <c r="AO161" s="16"/>
      <c r="AP161" s="16"/>
      <c r="AQ161" s="16"/>
      <c r="AR161" s="16"/>
      <c r="AS161" s="112">
        <v>59.3</v>
      </c>
      <c r="AU161" s="1375" t="s">
        <v>246</v>
      </c>
      <c r="AV161" s="686"/>
      <c r="AW161" s="686"/>
      <c r="AX161" s="686"/>
      <c r="AY161" s="686"/>
      <c r="AZ161" s="686"/>
      <c r="BA161" s="738"/>
      <c r="BB161" s="738"/>
      <c r="BC161" s="738"/>
      <c r="BD161" s="738"/>
      <c r="BE161" s="658">
        <v>3.9273153575615476</v>
      </c>
      <c r="BG161" s="1375" t="s">
        <v>247</v>
      </c>
      <c r="BH161" s="686"/>
      <c r="BI161" s="686"/>
      <c r="BJ161" s="686"/>
      <c r="BK161" s="686"/>
      <c r="BL161" s="686"/>
      <c r="BM161" s="738"/>
      <c r="BN161" s="738"/>
      <c r="BO161" s="738"/>
      <c r="BP161" s="738"/>
      <c r="BQ161" s="658">
        <v>1</v>
      </c>
    </row>
    <row r="162" spans="1:114" collapsed="1" x14ac:dyDescent="0.25">
      <c r="F162" s="1692" t="s">
        <v>251</v>
      </c>
      <c r="G162" s="1704" t="s">
        <v>252</v>
      </c>
      <c r="H162" s="1705" t="s">
        <v>253</v>
      </c>
      <c r="I162" s="1692"/>
      <c r="J162" s="1692"/>
      <c r="K162" s="1692"/>
      <c r="L162" s="1692" t="s">
        <v>254</v>
      </c>
      <c r="M162" s="1692"/>
      <c r="N162" s="1692"/>
      <c r="O162" s="1692" t="s">
        <v>255</v>
      </c>
      <c r="P162" s="1692" t="s">
        <v>256</v>
      </c>
      <c r="Q162" s="1692" t="s">
        <v>257</v>
      </c>
      <c r="R162" s="1692"/>
      <c r="S162" s="1692"/>
    </row>
    <row r="164" spans="1:114" s="7" customFormat="1" x14ac:dyDescent="0.25">
      <c r="A164" s="252"/>
      <c r="B164" s="2071" t="s">
        <v>258</v>
      </c>
      <c r="C164" s="2072"/>
      <c r="D164" s="2072"/>
      <c r="E164" s="2072"/>
      <c r="F164" s="2072"/>
      <c r="G164" s="2072"/>
      <c r="H164" s="2072"/>
      <c r="I164" s="2073"/>
      <c r="J164" s="2073"/>
      <c r="K164" s="2073"/>
      <c r="L164" s="2073"/>
      <c r="M164" s="2074"/>
      <c r="N164" s="2074"/>
      <c r="O164" s="2075"/>
      <c r="V164" s="1292" t="str">
        <f>B164</f>
        <v>Pool Pump</v>
      </c>
      <c r="W164" s="1293"/>
      <c r="X164" s="1293"/>
      <c r="Y164" s="1293"/>
      <c r="Z164" s="1293"/>
      <c r="AA164" s="1293"/>
      <c r="AB164" s="1293"/>
      <c r="AC164" s="1293"/>
      <c r="AD164" s="1293"/>
      <c r="AE164" s="1293"/>
      <c r="AF164" s="1293"/>
      <c r="AG164" s="1293"/>
      <c r="AH164" s="1293"/>
      <c r="AI164" s="1327"/>
      <c r="AJ164" s="2"/>
      <c r="AK164" s="2"/>
      <c r="AL164" s="2"/>
      <c r="AM164" s="2"/>
      <c r="AN164" s="2"/>
      <c r="AO164" s="2"/>
      <c r="AP164" s="2"/>
      <c r="AQ164" s="2"/>
      <c r="AR164" s="2"/>
      <c r="AS164" s="2"/>
      <c r="AT164" s="2"/>
      <c r="AU164" s="2"/>
      <c r="DE164" s="2"/>
      <c r="DF164" s="2"/>
      <c r="DG164" s="23"/>
      <c r="DJ164" s="1059"/>
    </row>
    <row r="165" spans="1:114" x14ac:dyDescent="0.25">
      <c r="D165" s="450"/>
      <c r="E165" s="7"/>
      <c r="F165" s="7"/>
      <c r="G165" s="7"/>
      <c r="H165" s="451"/>
      <c r="I165" s="7"/>
      <c r="J165" s="7"/>
      <c r="K165" s="7"/>
      <c r="L165" s="7"/>
      <c r="P165" s="7"/>
      <c r="Q165" s="7"/>
      <c r="R165" s="7"/>
      <c r="S165" s="7"/>
      <c r="T165" s="7"/>
      <c r="U165" s="7"/>
      <c r="V165"/>
      <c r="W165"/>
      <c r="X165"/>
      <c r="Y165"/>
      <c r="Z165"/>
      <c r="AA165"/>
      <c r="AB165"/>
      <c r="AC165"/>
      <c r="AD165"/>
      <c r="AE165"/>
      <c r="AF165"/>
      <c r="AG165"/>
      <c r="AH165"/>
      <c r="AI165"/>
      <c r="AJ165" s="6"/>
      <c r="AK165" s="6"/>
      <c r="AL165" s="6"/>
      <c r="AM165" s="6"/>
      <c r="AN165" s="6"/>
      <c r="AO165" s="6"/>
      <c r="AP165" s="6"/>
      <c r="AQ165" s="6"/>
      <c r="AR165" s="6"/>
      <c r="AS165" s="6"/>
      <c r="AT165" s="6"/>
      <c r="AU165" s="6"/>
      <c r="DG165" s="1016" t="s">
        <v>259</v>
      </c>
    </row>
    <row r="166" spans="1:114" s="8" customFormat="1" ht="30" x14ac:dyDescent="0.25">
      <c r="A166" s="252"/>
      <c r="B166" s="64"/>
      <c r="C166" s="9" t="s">
        <v>42</v>
      </c>
      <c r="D166" s="1361" t="s">
        <v>43</v>
      </c>
      <c r="E166" s="1361" t="s">
        <v>44</v>
      </c>
      <c r="F166" s="1361" t="s">
        <v>260</v>
      </c>
      <c r="G166" s="1361" t="s">
        <v>46</v>
      </c>
      <c r="H166" s="10" t="s">
        <v>47</v>
      </c>
      <c r="I166" s="1361" t="s">
        <v>48</v>
      </c>
      <c r="J166" s="1361" t="s">
        <v>49</v>
      </c>
      <c r="K166" s="9" t="s">
        <v>50</v>
      </c>
      <c r="L166" s="9" t="s">
        <v>51</v>
      </c>
      <c r="M166" s="252"/>
      <c r="N166" s="252"/>
      <c r="O166" s="252"/>
      <c r="P166" s="116"/>
      <c r="Q166" s="116"/>
      <c r="R166" s="116"/>
      <c r="S166" s="116"/>
      <c r="T166" s="116"/>
      <c r="U166" s="116"/>
      <c r="V166" s="648" t="s">
        <v>52</v>
      </c>
      <c r="W166" s="649">
        <f>$W$8</f>
        <v>43252</v>
      </c>
      <c r="X166" s="649">
        <f>$X$8</f>
        <v>43465</v>
      </c>
      <c r="Y166" s="649">
        <f>$Y$8</f>
        <v>43800</v>
      </c>
      <c r="Z166" s="649">
        <f>$Z$8</f>
        <v>43862</v>
      </c>
      <c r="AA166" s="649">
        <f>$AA$8</f>
        <v>44013</v>
      </c>
      <c r="AB166" s="649">
        <v>44166</v>
      </c>
      <c r="AC166" s="649">
        <f>$AC$8</f>
        <v>44531</v>
      </c>
      <c r="AD166" s="649">
        <f>$AD$8</f>
        <v>44774</v>
      </c>
      <c r="AE166" s="649">
        <f>$AE$8</f>
        <v>45142</v>
      </c>
      <c r="AF166" s="649">
        <f>$AF$8</f>
        <v>45672</v>
      </c>
      <c r="AG166" s="649" t="str">
        <f>$AG$8</f>
        <v>-</v>
      </c>
      <c r="AH166"/>
      <c r="AI166" s="648" t="s">
        <v>52</v>
      </c>
      <c r="AJ166" s="649">
        <v>43252</v>
      </c>
      <c r="AK166" s="649">
        <f>$X$8</f>
        <v>43465</v>
      </c>
      <c r="AL166" s="649">
        <f>$Y$8</f>
        <v>43800</v>
      </c>
      <c r="AM166" s="649">
        <f>$Z$8</f>
        <v>43862</v>
      </c>
      <c r="AN166" s="649">
        <f>$AA$8</f>
        <v>44013</v>
      </c>
      <c r="AO166" s="649">
        <f>$AB$8</f>
        <v>44166</v>
      </c>
      <c r="AP166" s="649">
        <f>$AC$8</f>
        <v>44531</v>
      </c>
      <c r="AQ166" s="649">
        <f>$AD$8</f>
        <v>44774</v>
      </c>
      <c r="AR166" s="649">
        <f>$AE$8</f>
        <v>45142</v>
      </c>
      <c r="AS166" s="649">
        <f>$AF$8</f>
        <v>45672</v>
      </c>
      <c r="AT166" s="2"/>
      <c r="AU166" s="648" t="s">
        <v>52</v>
      </c>
      <c r="AV166" s="649">
        <v>43252</v>
      </c>
      <c r="AW166" s="649">
        <f>$X$8</f>
        <v>43465</v>
      </c>
      <c r="AX166" s="649">
        <f>$Y$8</f>
        <v>43800</v>
      </c>
      <c r="AY166" s="649">
        <f>$Z$8</f>
        <v>43862</v>
      </c>
      <c r="AZ166" s="649">
        <f>$AA$8</f>
        <v>44013</v>
      </c>
      <c r="BA166" s="649">
        <v>44166</v>
      </c>
      <c r="BB166" s="649">
        <f>$AC$8</f>
        <v>44531</v>
      </c>
      <c r="BC166" s="649">
        <f>$AD$8</f>
        <v>44774</v>
      </c>
      <c r="BD166" s="649">
        <f>$AE$8</f>
        <v>45142</v>
      </c>
      <c r="BE166" s="649">
        <f>$AF$8</f>
        <v>45672</v>
      </c>
      <c r="DE166" s="2"/>
      <c r="DF166" s="2"/>
      <c r="DG166" s="1018" t="str">
        <f>$DG$8</f>
        <v>TRC (2025)</v>
      </c>
      <c r="DH166" s="776" t="str">
        <f>$DH$8</f>
        <v>Benefit Lookup</v>
      </c>
      <c r="DI166" s="776" t="str">
        <f>$DI$8</f>
        <v>Benefits (2025 $)</v>
      </c>
      <c r="DJ166" s="1118" t="str">
        <f>$DJ$8</f>
        <v>Incremental Cost (2025 $)</v>
      </c>
    </row>
    <row r="167" spans="1:114" x14ac:dyDescent="0.25">
      <c r="B167" s="252">
        <f t="shared" ref="B167" si="64">VALUE(LEFT(C167,6))</f>
        <v>802600</v>
      </c>
      <c r="C167" s="668" t="s">
        <v>261</v>
      </c>
      <c r="D167" s="452" t="s">
        <v>59</v>
      </c>
      <c r="E167" s="469" t="s">
        <v>262</v>
      </c>
      <c r="F167" s="667">
        <f>ROUND(1747*F177,2)</f>
        <v>1747</v>
      </c>
      <c r="G167" s="452" t="s">
        <v>263</v>
      </c>
      <c r="H167" s="453">
        <f>VLOOKUP(G167,'CP FACTORS'!$A$26:$B$38,2,FALSE)</f>
        <v>1.379439E-4</v>
      </c>
      <c r="I167" s="470">
        <f>ROUND(H167*F167,6)</f>
        <v>0.24098800000000001</v>
      </c>
      <c r="J167" s="486">
        <v>10</v>
      </c>
      <c r="K167" s="1768">
        <f>200*F177+46</f>
        <v>246</v>
      </c>
      <c r="L167" s="454" t="s">
        <v>264</v>
      </c>
      <c r="M167" s="816"/>
      <c r="N167" s="816"/>
      <c r="O167" s="816"/>
      <c r="V167" s="1343" t="s">
        <v>45</v>
      </c>
      <c r="W167" s="53">
        <v>1747</v>
      </c>
      <c r="X167" s="53">
        <v>1747</v>
      </c>
      <c r="Y167" s="53">
        <v>1747</v>
      </c>
      <c r="Z167" s="53">
        <v>1747</v>
      </c>
      <c r="AA167" s="53">
        <v>1747</v>
      </c>
      <c r="AB167" s="52">
        <v>1747</v>
      </c>
      <c r="AC167" s="705">
        <v>1747</v>
      </c>
      <c r="AD167" s="705">
        <v>1747</v>
      </c>
      <c r="AE167" s="705">
        <v>1747</v>
      </c>
      <c r="AF167" s="258">
        <f>IF(F167&lt;&gt;"",F167,"")</f>
        <v>1747</v>
      </c>
      <c r="AG167" s="68"/>
      <c r="AH167"/>
      <c r="AI167" s="1375" t="s">
        <v>49</v>
      </c>
      <c r="AJ167" s="687">
        <v>15</v>
      </c>
      <c r="AK167" s="687">
        <v>15</v>
      </c>
      <c r="AL167" s="687">
        <v>15</v>
      </c>
      <c r="AM167" s="687">
        <v>15</v>
      </c>
      <c r="AN167" s="687">
        <v>15</v>
      </c>
      <c r="AO167" s="16">
        <v>15</v>
      </c>
      <c r="AP167" s="650">
        <v>10</v>
      </c>
      <c r="AQ167" s="53">
        <v>10</v>
      </c>
      <c r="AR167" s="52">
        <v>10</v>
      </c>
      <c r="AS167" s="52">
        <v>10</v>
      </c>
      <c r="AU167" s="1375" t="s">
        <v>50</v>
      </c>
      <c r="AV167" s="685">
        <v>246</v>
      </c>
      <c r="AW167" s="685">
        <v>246</v>
      </c>
      <c r="AX167" s="685">
        <v>246</v>
      </c>
      <c r="AY167" s="685">
        <v>246</v>
      </c>
      <c r="AZ167" s="685">
        <v>246</v>
      </c>
      <c r="BA167" s="738">
        <v>246</v>
      </c>
      <c r="BB167" s="738">
        <v>246</v>
      </c>
      <c r="BC167" s="738">
        <v>246</v>
      </c>
      <c r="BD167" s="738">
        <v>246</v>
      </c>
      <c r="BE167" s="738">
        <v>246</v>
      </c>
      <c r="DG167" s="1025">
        <f>(DI167)/(DJ167)</f>
        <v>3.786650095230387</v>
      </c>
      <c r="DH167" s="1330" t="str">
        <f>CONCATENATE(G167," ",J167," Year EUL")</f>
        <v>Motors BUS 10 Year EUL</v>
      </c>
      <c r="DI167" s="1026">
        <f>(INDEX('Avoided Cost Benefits'!$B$4:$B$865,MATCH(DH167,'Avoided Cost Benefits'!$A$4:$A$865,0)))*F167</f>
        <v>931.51592342667516</v>
      </c>
      <c r="DJ167" s="1119">
        <f>IFERROR(K167/((1+DiscountRate)^(CurrentYear-DiscountYear)),0)</f>
        <v>246</v>
      </c>
    </row>
    <row r="168" spans="1:114" hidden="1" outlineLevel="1" x14ac:dyDescent="0.25">
      <c r="D168" s="74" t="s">
        <v>94</v>
      </c>
      <c r="E168" s="108" t="s">
        <v>265</v>
      </c>
      <c r="F168" s="1707" t="s">
        <v>266</v>
      </c>
      <c r="G168" s="7"/>
      <c r="H168" s="460"/>
      <c r="I168" s="7"/>
      <c r="J168" s="7"/>
      <c r="K168" s="7"/>
      <c r="M168" s="816"/>
      <c r="N168" s="816"/>
      <c r="O168" s="816"/>
    </row>
    <row r="169" spans="1:114" hidden="1" outlineLevel="1" x14ac:dyDescent="0.25">
      <c r="D169" s="7" t="s">
        <v>96</v>
      </c>
      <c r="E169" s="7"/>
      <c r="F169" s="7"/>
      <c r="G169" s="7"/>
      <c r="H169" s="460"/>
      <c r="I169" s="7"/>
      <c r="J169" s="7"/>
      <c r="K169" s="7"/>
      <c r="M169" s="816"/>
      <c r="N169" s="816"/>
      <c r="O169" s="816"/>
    </row>
    <row r="170" spans="1:114" hidden="1" outlineLevel="1" x14ac:dyDescent="0.25">
      <c r="D170" s="461"/>
      <c r="G170" s="252"/>
      <c r="H170" s="462"/>
      <c r="M170" s="816"/>
      <c r="N170" s="816"/>
      <c r="O170" s="816"/>
    </row>
    <row r="171" spans="1:114" hidden="1" outlineLevel="1" x14ac:dyDescent="0.25">
      <c r="D171" s="461"/>
      <c r="G171" s="252"/>
      <c r="H171" s="462"/>
      <c r="M171" s="816"/>
      <c r="N171" s="816"/>
      <c r="O171" s="816"/>
    </row>
    <row r="172" spans="1:114" hidden="1" outlineLevel="1" x14ac:dyDescent="0.25">
      <c r="D172" s="461"/>
      <c r="G172" s="252"/>
      <c r="H172" s="462"/>
      <c r="M172" s="7"/>
    </row>
    <row r="173" spans="1:114" hidden="1" outlineLevel="1" x14ac:dyDescent="0.25">
      <c r="D173" s="461"/>
      <c r="G173" s="252"/>
      <c r="H173" s="462"/>
      <c r="M173" s="7"/>
    </row>
    <row r="174" spans="1:114" hidden="1" outlineLevel="1" x14ac:dyDescent="0.25">
      <c r="D174" s="461"/>
      <c r="G174" s="252"/>
      <c r="H174" s="462"/>
      <c r="M174" s="7"/>
    </row>
    <row r="175" spans="1:114" hidden="1" outlineLevel="1" x14ac:dyDescent="0.25">
      <c r="D175" s="461"/>
      <c r="G175" s="252"/>
      <c r="H175" s="462"/>
    </row>
    <row r="176" spans="1:114" s="8" customFormat="1" hidden="1" outlineLevel="1" x14ac:dyDescent="0.25">
      <c r="A176" s="252"/>
      <c r="B176" s="116"/>
      <c r="C176" s="64"/>
      <c r="D176" s="9" t="s">
        <v>42</v>
      </c>
      <c r="E176" s="1294" t="s">
        <v>172</v>
      </c>
      <c r="F176" s="1294" t="s">
        <v>267</v>
      </c>
      <c r="G176" s="116"/>
      <c r="H176" s="116"/>
      <c r="I176" s="64"/>
      <c r="J176" s="116"/>
      <c r="K176" s="116"/>
      <c r="L176" s="116"/>
      <c r="M176" s="116"/>
      <c r="N176" s="116"/>
      <c r="O176" s="116"/>
      <c r="P176" s="116"/>
      <c r="Q176" s="116"/>
      <c r="R176" s="116"/>
      <c r="S176" s="116"/>
      <c r="T176" s="116"/>
      <c r="U176" s="116"/>
      <c r="V176" s="2"/>
      <c r="W176" s="2"/>
      <c r="X176" s="2"/>
      <c r="Y176" s="2"/>
      <c r="Z176" s="2"/>
      <c r="AA176" s="2"/>
      <c r="AB176" s="2"/>
      <c r="AC176" s="2"/>
      <c r="AD176" s="2"/>
      <c r="AE176" s="2"/>
      <c r="AF176" s="2"/>
      <c r="AG176" s="2"/>
      <c r="AH176" s="2"/>
      <c r="DE176" s="2"/>
      <c r="DF176" s="2"/>
      <c r="DG176" s="1023"/>
      <c r="DH176" s="116"/>
      <c r="DI176" s="116"/>
      <c r="DJ176" s="1116"/>
    </row>
    <row r="177" spans="1:114" hidden="1" outlineLevel="1" x14ac:dyDescent="0.25">
      <c r="D177" s="659" t="str">
        <f>C167</f>
        <v>802600_2019_12_</v>
      </c>
      <c r="E177" s="659" t="str">
        <f>E167</f>
        <v>Pool Pump w/ Variable Frequency Drive per HP</v>
      </c>
      <c r="F177" s="1777">
        <v>1</v>
      </c>
      <c r="H177" s="252"/>
    </row>
    <row r="178" spans="1:114" collapsed="1" x14ac:dyDescent="0.25"/>
    <row r="180" spans="1:114" s="7" customFormat="1" x14ac:dyDescent="0.25">
      <c r="A180" s="252"/>
      <c r="B180" s="2071" t="s">
        <v>268</v>
      </c>
      <c r="C180" s="2072"/>
      <c r="D180" s="2072"/>
      <c r="E180" s="2072"/>
      <c r="F180" s="2072"/>
      <c r="G180" s="2072"/>
      <c r="H180" s="2072"/>
      <c r="I180" s="2073"/>
      <c r="J180" s="2073"/>
      <c r="K180" s="2073"/>
      <c r="L180" s="2073"/>
      <c r="M180" s="2074"/>
      <c r="N180" s="2074"/>
      <c r="O180" s="2075"/>
      <c r="V180" s="1292" t="str">
        <f>B180</f>
        <v>Steam Cookers</v>
      </c>
      <c r="W180" s="1293"/>
      <c r="X180" s="1293"/>
      <c r="Y180" s="1293"/>
      <c r="Z180" s="1293"/>
      <c r="AA180" s="1293"/>
      <c r="AB180" s="1293"/>
      <c r="AC180" s="1293"/>
      <c r="AD180" s="1293"/>
      <c r="AE180" s="1293"/>
      <c r="AF180" s="1293"/>
      <c r="AG180" s="1293"/>
      <c r="AH180" s="1293"/>
      <c r="AI180" s="1327"/>
      <c r="AJ180" s="2"/>
      <c r="AK180" s="2"/>
      <c r="AL180" s="2"/>
      <c r="AM180" s="2"/>
      <c r="AN180" s="2"/>
      <c r="AO180" s="2"/>
      <c r="AP180" s="2"/>
      <c r="AQ180" s="2"/>
      <c r="AR180" s="2"/>
      <c r="AS180" s="2"/>
      <c r="AT180" s="2"/>
      <c r="AU180" s="2"/>
      <c r="DE180" s="2"/>
      <c r="DF180" s="2"/>
      <c r="DG180" s="23"/>
      <c r="DJ180" s="1059"/>
    </row>
    <row r="181" spans="1:114" x14ac:dyDescent="0.25">
      <c r="D181" s="450"/>
      <c r="E181" s="7"/>
      <c r="F181" s="7"/>
      <c r="G181" s="7"/>
      <c r="H181" s="451"/>
      <c r="I181" s="7"/>
      <c r="J181" s="7"/>
      <c r="K181" s="7"/>
      <c r="L181" s="7"/>
      <c r="P181" s="7"/>
      <c r="Q181" s="7"/>
      <c r="R181" s="7"/>
      <c r="S181" s="7"/>
      <c r="T181" s="7"/>
      <c r="U181" s="7"/>
      <c r="V181"/>
      <c r="W181"/>
      <c r="X181"/>
      <c r="Y181"/>
      <c r="Z181"/>
      <c r="AA181"/>
      <c r="AB181"/>
      <c r="AC181"/>
      <c r="AD181"/>
      <c r="AE181"/>
      <c r="AF181"/>
      <c r="AG181"/>
      <c r="AH181"/>
      <c r="AI181"/>
      <c r="AJ181" s="6"/>
      <c r="AK181" s="6"/>
      <c r="AL181" s="6"/>
      <c r="AM181" s="6"/>
      <c r="AN181" s="6"/>
      <c r="AO181" s="6"/>
      <c r="AP181" s="6"/>
      <c r="AQ181" s="6"/>
      <c r="AR181" s="6"/>
      <c r="AS181" s="6"/>
      <c r="AT181" s="6"/>
      <c r="AU181" s="6"/>
    </row>
    <row r="182" spans="1:114" s="8" customFormat="1" ht="30" x14ac:dyDescent="0.25">
      <c r="A182" s="252"/>
      <c r="B182" s="64"/>
      <c r="C182" s="9" t="s">
        <v>42</v>
      </c>
      <c r="D182" s="1361" t="s">
        <v>43</v>
      </c>
      <c r="E182" s="1361" t="s">
        <v>44</v>
      </c>
      <c r="F182" s="1361" t="s">
        <v>45</v>
      </c>
      <c r="G182" s="1361" t="s">
        <v>46</v>
      </c>
      <c r="H182" s="10" t="s">
        <v>47</v>
      </c>
      <c r="I182" s="1361" t="s">
        <v>48</v>
      </c>
      <c r="J182" s="1361" t="s">
        <v>49</v>
      </c>
      <c r="K182" s="9" t="s">
        <v>50</v>
      </c>
      <c r="L182" s="9" t="s">
        <v>51</v>
      </c>
      <c r="M182" s="9" t="s">
        <v>269</v>
      </c>
      <c r="N182" s="9" t="s">
        <v>270</v>
      </c>
      <c r="O182" s="9" t="s">
        <v>271</v>
      </c>
      <c r="P182" s="9" t="s">
        <v>272</v>
      </c>
      <c r="Q182" s="9" t="s">
        <v>273</v>
      </c>
      <c r="R182" s="9" t="s">
        <v>274</v>
      </c>
      <c r="S182" s="9" t="s">
        <v>216</v>
      </c>
      <c r="T182" s="9" t="s">
        <v>275</v>
      </c>
      <c r="U182" s="9" t="s">
        <v>276</v>
      </c>
      <c r="V182" s="648" t="s">
        <v>52</v>
      </c>
      <c r="W182" s="649">
        <f>$W$8</f>
        <v>43252</v>
      </c>
      <c r="X182" s="649">
        <f>$X$8</f>
        <v>43465</v>
      </c>
      <c r="Y182" s="649">
        <f>$Y$8</f>
        <v>43800</v>
      </c>
      <c r="Z182" s="649">
        <f>$Z$8</f>
        <v>43862</v>
      </c>
      <c r="AA182" s="649">
        <f>$AA$8</f>
        <v>44013</v>
      </c>
      <c r="AB182" s="649">
        <v>44166</v>
      </c>
      <c r="AC182" s="649">
        <f>$AC$8</f>
        <v>44531</v>
      </c>
      <c r="AD182" s="649">
        <f>$AD$8</f>
        <v>44774</v>
      </c>
      <c r="AE182" s="649">
        <f>$AE$8</f>
        <v>45142</v>
      </c>
      <c r="AF182" s="649">
        <f>$AF$8</f>
        <v>45672</v>
      </c>
      <c r="AG182" s="649" t="str">
        <f>$AG$8</f>
        <v>-</v>
      </c>
      <c r="AH182"/>
      <c r="AI182" s="648" t="s">
        <v>52</v>
      </c>
      <c r="AJ182" s="649">
        <v>43252</v>
      </c>
      <c r="AK182" s="649">
        <f>$X$8</f>
        <v>43465</v>
      </c>
      <c r="AL182" s="649">
        <f>$Y$8</f>
        <v>43800</v>
      </c>
      <c r="AM182" s="649">
        <f>$Z$8</f>
        <v>43862</v>
      </c>
      <c r="AN182" s="649">
        <f>$AA$8</f>
        <v>44013</v>
      </c>
      <c r="AO182" s="649">
        <f>$AB$8</f>
        <v>44166</v>
      </c>
      <c r="AP182" s="649">
        <f>$AC$8</f>
        <v>44531</v>
      </c>
      <c r="AQ182" s="649">
        <f>$AD$8</f>
        <v>44774</v>
      </c>
      <c r="AR182" s="649">
        <f>$AE$8</f>
        <v>45142</v>
      </c>
      <c r="AS182" s="649">
        <f>$AF$8</f>
        <v>45672</v>
      </c>
      <c r="AT182" s="2"/>
      <c r="AU182" s="648" t="s">
        <v>52</v>
      </c>
      <c r="AV182" s="649">
        <v>43252</v>
      </c>
      <c r="AW182" s="649">
        <f>$X$8</f>
        <v>43465</v>
      </c>
      <c r="AX182" s="649">
        <f>$Y$8</f>
        <v>43800</v>
      </c>
      <c r="AY182" s="649">
        <f>$Z$8</f>
        <v>43862</v>
      </c>
      <c r="AZ182" s="649">
        <f>$AA$8</f>
        <v>44013</v>
      </c>
      <c r="BA182" s="649">
        <v>44166</v>
      </c>
      <c r="BB182" s="649">
        <f>$AC$8</f>
        <v>44531</v>
      </c>
      <c r="BC182" s="649">
        <f>$AD$8</f>
        <v>44774</v>
      </c>
      <c r="BD182" s="649">
        <f>$AE$8</f>
        <v>45142</v>
      </c>
      <c r="BE182" s="649">
        <f>$AF$8</f>
        <v>45672</v>
      </c>
      <c r="DE182" s="2"/>
      <c r="DF182" s="2"/>
      <c r="DG182" s="1018" t="str">
        <f>$DG$8</f>
        <v>TRC (2025)</v>
      </c>
      <c r="DH182" s="776" t="str">
        <f>$DH$8</f>
        <v>Benefit Lookup</v>
      </c>
      <c r="DI182" s="776" t="str">
        <f>$DI$8</f>
        <v>Benefits (2025 $)</v>
      </c>
      <c r="DJ182" s="1118" t="str">
        <f>$DJ$8</f>
        <v>Incremental Cost (2025 $)</v>
      </c>
    </row>
    <row r="183" spans="1:114" x14ac:dyDescent="0.25">
      <c r="B183" s="252">
        <f t="shared" ref="B183:B186" si="65">VALUE(LEFT(C183,6))</f>
        <v>802700</v>
      </c>
      <c r="C183" s="668" t="s">
        <v>277</v>
      </c>
      <c r="D183" s="452" t="s">
        <v>111</v>
      </c>
      <c r="E183" s="469" t="s">
        <v>278</v>
      </c>
      <c r="F183" s="667">
        <f>ROUND((F197+G197+T197)*H197/1000,2)</f>
        <v>7383.26</v>
      </c>
      <c r="G183" s="452" t="s">
        <v>279</v>
      </c>
      <c r="H183" s="453">
        <f>VLOOKUP(G183,'CP FACTORS'!$A$26:$B$38,2,FALSE)</f>
        <v>1.998949E-4</v>
      </c>
      <c r="I183" s="470">
        <f>ROUND(H183*F183,6)</f>
        <v>1.475876</v>
      </c>
      <c r="J183" s="489">
        <v>12</v>
      </c>
      <c r="K183" s="1871">
        <v>2000</v>
      </c>
      <c r="L183" s="454" t="s">
        <v>62</v>
      </c>
      <c r="M183" s="1733">
        <f>((1-I197)*(J197+I197*L197*N197*(O197/P197))*(R197-S197/(L197*N197)))</f>
        <v>25813.989081545067</v>
      </c>
      <c r="N183" s="1733">
        <f>((1-I197)*(K197+I197*M197*N197*(O197/Q197))*(R197-S197/(M197*N197)))</f>
        <v>9810.6988838323341</v>
      </c>
      <c r="O183" s="1733">
        <f>(S197*(O197/P197))</f>
        <v>10266.666666666668</v>
      </c>
      <c r="P183" s="1733">
        <f>(S197*(O197/Q197))</f>
        <v>6160</v>
      </c>
      <c r="Q183" s="1733">
        <v>1776</v>
      </c>
      <c r="R183" s="1732">
        <v>1671.7</v>
      </c>
      <c r="S183" s="1733">
        <f t="shared" ref="S183:T186" si="66">M183+O183+Q183</f>
        <v>37856.655748211735</v>
      </c>
      <c r="T183" s="1733">
        <f t="shared" si="66"/>
        <v>17642.398883832335</v>
      </c>
      <c r="U183" s="1732">
        <f>(S183-T183)*H197/1000</f>
        <v>7383.2573197145757</v>
      </c>
      <c r="V183" s="1343" t="s">
        <v>45</v>
      </c>
      <c r="W183" s="1717">
        <v>7856.3138680450465</v>
      </c>
      <c r="X183" s="1717">
        <v>7856.3138680450465</v>
      </c>
      <c r="Y183" s="1717">
        <v>7856.3138680450465</v>
      </c>
      <c r="Z183" s="1717">
        <v>7856.3138680450465</v>
      </c>
      <c r="AA183" s="1717">
        <v>7856.3138680450465</v>
      </c>
      <c r="AB183" s="808">
        <v>7856.31</v>
      </c>
      <c r="AC183" s="1719">
        <v>7856.31</v>
      </c>
      <c r="AD183" s="1719">
        <v>7856.31</v>
      </c>
      <c r="AE183" s="1719">
        <v>7856.31</v>
      </c>
      <c r="AF183" s="258">
        <f>IF(F183&lt;&gt;"",F183,"")</f>
        <v>7383.26</v>
      </c>
      <c r="AG183" s="68"/>
      <c r="AH183"/>
      <c r="AI183" s="1375" t="s">
        <v>49</v>
      </c>
      <c r="AJ183" s="19">
        <v>12</v>
      </c>
      <c r="AK183" s="19">
        <v>12</v>
      </c>
      <c r="AL183" s="19">
        <v>12</v>
      </c>
      <c r="AM183" s="19">
        <v>12</v>
      </c>
      <c r="AN183" s="19">
        <v>12</v>
      </c>
      <c r="AO183" s="16">
        <v>12</v>
      </c>
      <c r="AP183" s="16">
        <v>12</v>
      </c>
      <c r="AQ183" s="16">
        <v>12</v>
      </c>
      <c r="AR183" s="16">
        <v>12</v>
      </c>
      <c r="AS183" s="16">
        <v>12</v>
      </c>
      <c r="AU183" s="1375" t="s">
        <v>50</v>
      </c>
      <c r="AV183" s="685">
        <v>4150</v>
      </c>
      <c r="AW183" s="685">
        <v>4150</v>
      </c>
      <c r="AX183" s="685">
        <v>4150</v>
      </c>
      <c r="AY183" s="685">
        <v>4150</v>
      </c>
      <c r="AZ183" s="685">
        <v>4150</v>
      </c>
      <c r="BA183" s="738">
        <v>4150</v>
      </c>
      <c r="BB183" s="738">
        <v>4150</v>
      </c>
      <c r="BC183" s="738">
        <v>4150</v>
      </c>
      <c r="BD183" s="738">
        <v>4150</v>
      </c>
      <c r="BE183" s="1708">
        <f>K183</f>
        <v>2000</v>
      </c>
      <c r="DG183" s="1020">
        <f>(DI183)/(DJ183)</f>
        <v>2.6007745812285687</v>
      </c>
      <c r="DH183" s="1330" t="str">
        <f>CONCATENATE(G183," ",J183," Year EUL")</f>
        <v>Cooking BUS 12 Year EUL</v>
      </c>
      <c r="DI183" s="185">
        <f>(INDEX('Avoided Cost Benefits'!$B$4:$B$865,MATCH(DH183,'Avoided Cost Benefits'!$A$4:$A$865,0)))*F183</f>
        <v>5201.5491624571378</v>
      </c>
      <c r="DJ183" s="1935">
        <f>IFERROR(K183/((1+DiscountRate)^(CurrentYear-DiscountYear)),0)</f>
        <v>2000</v>
      </c>
    </row>
    <row r="184" spans="1:114" x14ac:dyDescent="0.25">
      <c r="B184" s="252">
        <f t="shared" si="65"/>
        <v>802750</v>
      </c>
      <c r="C184" s="668" t="s">
        <v>280</v>
      </c>
      <c r="D184" s="452" t="s">
        <v>111</v>
      </c>
      <c r="E184" s="469" t="s">
        <v>281</v>
      </c>
      <c r="F184" s="667">
        <f>ROUND((F198+G198+T198)*H198/1000,2)</f>
        <v>8568.5499999999993</v>
      </c>
      <c r="G184" s="452" t="s">
        <v>279</v>
      </c>
      <c r="H184" s="453">
        <f>VLOOKUP(G184,'CP FACTORS'!$A$26:$B$38,2,FALSE)</f>
        <v>1.998949E-4</v>
      </c>
      <c r="I184" s="470">
        <f>ROUND(H184*F184,6)</f>
        <v>1.712809</v>
      </c>
      <c r="J184" s="476">
        <v>12</v>
      </c>
      <c r="K184" s="1871">
        <v>2000</v>
      </c>
      <c r="L184" s="454" t="s">
        <v>62</v>
      </c>
      <c r="M184" s="1733">
        <f>((1-I198)*(J198+I198*L198*N198*(O198/P198))*(R198-S198/(L198*N198)))</f>
        <v>32960.843811158797</v>
      </c>
      <c r="N184" s="1733">
        <f>((1-I198)*(K198+I198*M198*N198*(O198/Q198))*(R198-S198/(M198*N198)))</f>
        <v>13712.406495808384</v>
      </c>
      <c r="O184" s="1733">
        <f>(S198*(O198/P198))</f>
        <v>10266.666666666668</v>
      </c>
      <c r="P184" s="1733">
        <f>(S198*(O198/Q198))</f>
        <v>6160</v>
      </c>
      <c r="Q184" s="1733">
        <v>1776</v>
      </c>
      <c r="R184" s="1732">
        <v>1671.7</v>
      </c>
      <c r="S184" s="1733">
        <f t="shared" si="66"/>
        <v>45003.510477825461</v>
      </c>
      <c r="T184" s="1733">
        <f t="shared" si="66"/>
        <v>21544.106495808384</v>
      </c>
      <c r="U184" s="1733">
        <f>(S184-T184)*H198/1000</f>
        <v>8568.5473044317368</v>
      </c>
      <c r="V184" s="1343" t="s">
        <v>45</v>
      </c>
      <c r="W184" s="1717">
        <v>9213.5039339295909</v>
      </c>
      <c r="X184" s="1717">
        <v>9213.5039339295909</v>
      </c>
      <c r="Y184" s="1717">
        <v>9213.5039339295909</v>
      </c>
      <c r="Z184" s="1717">
        <v>9213.5039339295909</v>
      </c>
      <c r="AA184" s="1717">
        <v>9213.5039339295909</v>
      </c>
      <c r="AB184" s="808">
        <v>9213.5</v>
      </c>
      <c r="AC184" s="1719">
        <v>9213.5</v>
      </c>
      <c r="AD184" s="1719">
        <v>9213.5</v>
      </c>
      <c r="AE184" s="1719">
        <v>9213.5</v>
      </c>
      <c r="AF184" s="258">
        <f>IF(F184&lt;&gt;"",F184,"")</f>
        <v>8568.5499999999993</v>
      </c>
      <c r="AG184" s="68"/>
      <c r="AH184"/>
      <c r="AI184" s="1375" t="s">
        <v>49</v>
      </c>
      <c r="AJ184" s="19">
        <v>12</v>
      </c>
      <c r="AK184" s="19">
        <v>12</v>
      </c>
      <c r="AL184" s="19">
        <v>12</v>
      </c>
      <c r="AM184" s="19">
        <v>12</v>
      </c>
      <c r="AN184" s="19">
        <v>12</v>
      </c>
      <c r="AO184" s="16">
        <v>12</v>
      </c>
      <c r="AP184" s="16">
        <v>12</v>
      </c>
      <c r="AQ184" s="16">
        <v>12</v>
      </c>
      <c r="AR184" s="16">
        <v>12</v>
      </c>
      <c r="AS184" s="16">
        <v>12</v>
      </c>
      <c r="AU184" s="1375" t="s">
        <v>50</v>
      </c>
      <c r="AV184" s="685">
        <v>4150</v>
      </c>
      <c r="AW184" s="685">
        <v>4150</v>
      </c>
      <c r="AX184" s="685">
        <v>4150</v>
      </c>
      <c r="AY184" s="685">
        <v>4150</v>
      </c>
      <c r="AZ184" s="685">
        <v>4150</v>
      </c>
      <c r="BA184" s="738">
        <v>4150</v>
      </c>
      <c r="BB184" s="738">
        <v>4150</v>
      </c>
      <c r="BC184" s="738">
        <v>4150</v>
      </c>
      <c r="BD184" s="738">
        <v>4150</v>
      </c>
      <c r="BE184" s="1708">
        <f t="shared" ref="BE184:BE186" si="67">K184</f>
        <v>2000</v>
      </c>
      <c r="DG184" s="1021">
        <f>(DI184)/(DJ184)</f>
        <v>3.0182963945446932</v>
      </c>
      <c r="DH184" s="653" t="str">
        <f>CONCATENATE(G184," ",J184," Year EUL")</f>
        <v>Cooking BUS 12 Year EUL</v>
      </c>
      <c r="DI184" s="635">
        <f>(INDEX('Avoided Cost Benefits'!$B$4:$B$865,MATCH(DH184,'Avoided Cost Benefits'!$A$4:$A$865,0)))*F184</f>
        <v>6036.5927890893863</v>
      </c>
      <c r="DJ184" s="1936">
        <f>IFERROR(K184/((1+DiscountRate)^(CurrentYear-DiscountYear)),0)</f>
        <v>2000</v>
      </c>
    </row>
    <row r="185" spans="1:114" x14ac:dyDescent="0.25">
      <c r="B185" s="252">
        <f t="shared" si="65"/>
        <v>802800</v>
      </c>
      <c r="C185" s="668" t="s">
        <v>282</v>
      </c>
      <c r="D185" s="452" t="s">
        <v>111</v>
      </c>
      <c r="E185" s="469" t="s">
        <v>283</v>
      </c>
      <c r="F185" s="667">
        <f t="shared" ref="F185:F186" si="68">ROUND((F199+G199+T199)*H199/1000,2)</f>
        <v>9692.98</v>
      </c>
      <c r="G185" s="452" t="s">
        <v>279</v>
      </c>
      <c r="H185" s="453">
        <f>VLOOKUP(G185,'CP FACTORS'!$A$26:$B$38,2,FALSE)</f>
        <v>1.998949E-4</v>
      </c>
      <c r="I185" s="470">
        <f>ROUND(H185*F185,6)</f>
        <v>1.9375770000000001</v>
      </c>
      <c r="J185" s="476">
        <v>12</v>
      </c>
      <c r="K185" s="1871">
        <v>2000</v>
      </c>
      <c r="L185" s="454" t="s">
        <v>62</v>
      </c>
      <c r="M185" s="1733">
        <f>((1-I199)*(J199+I199*L199*N199*(O199/P199))*(R199-S199/(L199*N199)))</f>
        <v>40004.694248927044</v>
      </c>
      <c r="N185" s="1733">
        <f>((1-I199)*(K199+I199*M199*N199*(O199/Q199))*(R199-S199/(M199*N199)))</f>
        <v>17677.730874251498</v>
      </c>
      <c r="O185" s="1733">
        <f>(S199*(O199/P199))</f>
        <v>10266.666666666668</v>
      </c>
      <c r="P185" s="1733">
        <f>(S199*(O199/Q199))</f>
        <v>6160</v>
      </c>
      <c r="Q185" s="1733">
        <v>1776</v>
      </c>
      <c r="R185" s="1732">
        <v>1671.7</v>
      </c>
      <c r="S185" s="1733">
        <f t="shared" si="66"/>
        <v>52047.360915593716</v>
      </c>
      <c r="T185" s="1733">
        <f t="shared" si="66"/>
        <v>25509.430874251499</v>
      </c>
      <c r="U185" s="1733">
        <f>(S185-T185)*H199/1000</f>
        <v>9692.9789476002461</v>
      </c>
      <c r="V185" s="1343" t="s">
        <v>45</v>
      </c>
      <c r="W185" s="1717">
        <v>10512.970851398522</v>
      </c>
      <c r="X185" s="1717">
        <v>10512.970851398522</v>
      </c>
      <c r="Y185" s="1717">
        <v>10512.970851398522</v>
      </c>
      <c r="Z185" s="1717">
        <v>10512.970851398522</v>
      </c>
      <c r="AA185" s="1717">
        <v>10512.970851398522</v>
      </c>
      <c r="AB185" s="808">
        <v>10512.97</v>
      </c>
      <c r="AC185" s="1719">
        <v>10512.97</v>
      </c>
      <c r="AD185" s="1719">
        <v>10512.97</v>
      </c>
      <c r="AE185" s="1719">
        <v>10512.97</v>
      </c>
      <c r="AF185" s="258">
        <f>IF(F185&lt;&gt;"",F185,"")</f>
        <v>9692.98</v>
      </c>
      <c r="AG185" s="68"/>
      <c r="AH185"/>
      <c r="AI185" s="1375" t="s">
        <v>49</v>
      </c>
      <c r="AJ185" s="19">
        <v>12</v>
      </c>
      <c r="AK185" s="19">
        <v>12</v>
      </c>
      <c r="AL185" s="19">
        <v>12</v>
      </c>
      <c r="AM185" s="19">
        <v>12</v>
      </c>
      <c r="AN185" s="19">
        <v>12</v>
      </c>
      <c r="AO185" s="16">
        <v>12</v>
      </c>
      <c r="AP185" s="16">
        <v>12</v>
      </c>
      <c r="AQ185" s="16">
        <v>12</v>
      </c>
      <c r="AR185" s="16">
        <v>12</v>
      </c>
      <c r="AS185" s="16">
        <v>12</v>
      </c>
      <c r="AU185" s="1375" t="s">
        <v>50</v>
      </c>
      <c r="AV185" s="685">
        <v>4150</v>
      </c>
      <c r="AW185" s="685">
        <v>4150</v>
      </c>
      <c r="AX185" s="685">
        <v>4150</v>
      </c>
      <c r="AY185" s="685">
        <v>4150</v>
      </c>
      <c r="AZ185" s="685">
        <v>4150</v>
      </c>
      <c r="BA185" s="738">
        <v>4150</v>
      </c>
      <c r="BB185" s="738">
        <v>4150</v>
      </c>
      <c r="BC185" s="738">
        <v>4150</v>
      </c>
      <c r="BD185" s="738">
        <v>4150</v>
      </c>
      <c r="BE185" s="1708">
        <f t="shared" si="67"/>
        <v>2000</v>
      </c>
      <c r="DG185" s="1021">
        <f>(DI185)/(DJ185)</f>
        <v>3.4143800977287664</v>
      </c>
      <c r="DH185" s="653" t="str">
        <f>CONCATENATE(G185," ",J185," Year EUL")</f>
        <v>Cooking BUS 12 Year EUL</v>
      </c>
      <c r="DI185" s="635">
        <f>(INDEX('Avoided Cost Benefits'!$B$4:$B$865,MATCH(DH185,'Avoided Cost Benefits'!$A$4:$A$865,0)))*F185</f>
        <v>6828.760195457533</v>
      </c>
      <c r="DJ185" s="1936">
        <f>IFERROR(K185/((1+DiscountRate)^(CurrentYear-DiscountYear)),0)</f>
        <v>2000</v>
      </c>
    </row>
    <row r="186" spans="1:114" x14ac:dyDescent="0.25">
      <c r="B186" s="252">
        <f t="shared" si="65"/>
        <v>802850</v>
      </c>
      <c r="C186" s="668" t="s">
        <v>284</v>
      </c>
      <c r="D186" s="452" t="s">
        <v>111</v>
      </c>
      <c r="E186" s="469" t="s">
        <v>285</v>
      </c>
      <c r="F186" s="667">
        <f t="shared" si="68"/>
        <v>10822.05</v>
      </c>
      <c r="G186" s="452" t="s">
        <v>279</v>
      </c>
      <c r="H186" s="453">
        <f>VLOOKUP(G186,'CP FACTORS'!$A$26:$B$38,2,FALSE)</f>
        <v>1.998949E-4</v>
      </c>
      <c r="I186" s="470">
        <f>ROUND(H186*F186,6)</f>
        <v>2.1632729999999998</v>
      </c>
      <c r="J186" s="476">
        <v>12</v>
      </c>
      <c r="K186" s="1871">
        <v>2000</v>
      </c>
      <c r="L186" s="454" t="s">
        <v>62</v>
      </c>
      <c r="M186" s="1733">
        <f>((1-I200)*(J200+I200*L200*N200*(O200/P200))*(R200-S200/(L200*N200)))</f>
        <v>46997.042540772534</v>
      </c>
      <c r="N186" s="1733">
        <f>((1-I200)*(K200+I200*M200*N200*(O200/Q200))*(R200-S200/(M200*N200)))</f>
        <v>21578.839683832332</v>
      </c>
      <c r="O186" s="1733">
        <f>(S200*(O200/P200))</f>
        <v>10266.666666666668</v>
      </c>
      <c r="P186" s="1733">
        <f>(S200*(O200/Q200))</f>
        <v>6160</v>
      </c>
      <c r="Q186" s="1733">
        <v>1776</v>
      </c>
      <c r="R186" s="1732">
        <v>1671.7</v>
      </c>
      <c r="S186" s="1733">
        <f t="shared" si="66"/>
        <v>59039.709207439199</v>
      </c>
      <c r="T186" s="1733">
        <f t="shared" si="66"/>
        <v>29410.539683832332</v>
      </c>
      <c r="U186" s="1733">
        <f>(S186-T186)*H200/1000</f>
        <v>10822.054168497409</v>
      </c>
      <c r="V186" s="1343" t="s">
        <v>45</v>
      </c>
      <c r="W186" s="1717">
        <v>11818.648943162641</v>
      </c>
      <c r="X186" s="1717">
        <v>11818.648943162641</v>
      </c>
      <c r="Y186" s="1717">
        <v>11818.648943162641</v>
      </c>
      <c r="Z186" s="1717">
        <v>11818.648943162641</v>
      </c>
      <c r="AA186" s="1717">
        <v>11818.648943162641</v>
      </c>
      <c r="AB186" s="808">
        <v>11818.65</v>
      </c>
      <c r="AC186" s="1719">
        <v>11818.65</v>
      </c>
      <c r="AD186" s="1719">
        <v>11818.65</v>
      </c>
      <c r="AE186" s="1719">
        <v>11818.65</v>
      </c>
      <c r="AF186" s="258">
        <f>IF(F186&lt;&gt;"",F186,"")</f>
        <v>10822.05</v>
      </c>
      <c r="AG186" s="68"/>
      <c r="AH186"/>
      <c r="AI186" s="1375" t="s">
        <v>49</v>
      </c>
      <c r="AJ186" s="19">
        <v>12</v>
      </c>
      <c r="AK186" s="19">
        <v>12</v>
      </c>
      <c r="AL186" s="19">
        <v>12</v>
      </c>
      <c r="AM186" s="19">
        <v>12</v>
      </c>
      <c r="AN186" s="19">
        <v>12</v>
      </c>
      <c r="AO186" s="16">
        <v>12</v>
      </c>
      <c r="AP186" s="16">
        <v>12</v>
      </c>
      <c r="AQ186" s="16">
        <v>12</v>
      </c>
      <c r="AR186" s="16">
        <v>12</v>
      </c>
      <c r="AS186" s="16">
        <v>12</v>
      </c>
      <c r="AU186" s="1375" t="s">
        <v>50</v>
      </c>
      <c r="AV186" s="685">
        <v>4150</v>
      </c>
      <c r="AW186" s="685">
        <v>4150</v>
      </c>
      <c r="AX186" s="685">
        <v>4150</v>
      </c>
      <c r="AY186" s="685">
        <v>4150</v>
      </c>
      <c r="AZ186" s="685">
        <v>4150</v>
      </c>
      <c r="BA186" s="738">
        <v>4150</v>
      </c>
      <c r="BB186" s="738">
        <v>4150</v>
      </c>
      <c r="BC186" s="738">
        <v>4150</v>
      </c>
      <c r="BD186" s="738">
        <v>4150</v>
      </c>
      <c r="BE186" s="1708">
        <f t="shared" si="67"/>
        <v>2000</v>
      </c>
      <c r="DG186" s="1022">
        <f>(DI186)/(DJ186)</f>
        <v>3.8120982542650035</v>
      </c>
      <c r="DH186" s="653" t="str">
        <f>CONCATENATE(G186," ",J186," Year EUL")</f>
        <v>Cooking BUS 12 Year EUL</v>
      </c>
      <c r="DI186" s="1024">
        <f>(INDEX('Avoided Cost Benefits'!$B$4:$B$865,MATCH(DH186,'Avoided Cost Benefits'!$A$4:$A$865,0)))*F186</f>
        <v>7624.1965085300071</v>
      </c>
      <c r="DJ186" s="1936">
        <f>IFERROR(K186/((1+DiscountRate)^(CurrentYear-DiscountYear)),0)</f>
        <v>2000</v>
      </c>
    </row>
    <row r="187" spans="1:114" hidden="1" outlineLevel="1" x14ac:dyDescent="0.25">
      <c r="D187" s="74" t="s">
        <v>94</v>
      </c>
      <c r="E187" s="108" t="s">
        <v>286</v>
      </c>
      <c r="F187" s="7"/>
      <c r="G187" s="7"/>
      <c r="H187" s="460"/>
      <c r="I187" s="7"/>
      <c r="J187" s="7"/>
      <c r="K187" s="7"/>
      <c r="L187" s="7"/>
      <c r="M187" s="1015"/>
      <c r="N187" s="1015"/>
      <c r="O187" s="1015"/>
      <c r="P187" s="1015"/>
      <c r="Q187" s="1015"/>
      <c r="R187" s="1015" t="s">
        <v>287</v>
      </c>
      <c r="S187" s="1733">
        <f>AVERAGE(S183:S186)</f>
        <v>48486.809087267524</v>
      </c>
      <c r="T187" s="1733">
        <f>AVERAGE(T183:T186)</f>
        <v>23526.618984431138</v>
      </c>
      <c r="U187" s="1733">
        <f>AVERAGE(U183:U186)</f>
        <v>9116.7094350609914</v>
      </c>
      <c r="BE187" s="1690" t="s">
        <v>288</v>
      </c>
    </row>
    <row r="188" spans="1:114" hidden="1" outlineLevel="1" x14ac:dyDescent="0.25">
      <c r="D188" s="7" t="s">
        <v>96</v>
      </c>
      <c r="E188" s="64"/>
      <c r="F188" s="7"/>
      <c r="G188" s="7"/>
      <c r="H188" s="460"/>
      <c r="I188" s="7"/>
      <c r="J188" s="7"/>
      <c r="K188" s="64"/>
      <c r="M188" s="1731"/>
      <c r="N188" s="1731"/>
      <c r="O188" s="1731"/>
      <c r="P188" s="1731"/>
      <c r="Q188" s="1731"/>
      <c r="R188" s="1731"/>
      <c r="S188" s="1731"/>
      <c r="T188" s="1731"/>
      <c r="U188" s="1731"/>
    </row>
    <row r="189" spans="1:114" hidden="1" outlineLevel="1" x14ac:dyDescent="0.25">
      <c r="E189" s="64"/>
      <c r="F189" s="7"/>
      <c r="G189" s="7"/>
      <c r="H189" s="460"/>
      <c r="I189" s="7"/>
      <c r="J189" s="7"/>
      <c r="K189" s="64"/>
    </row>
    <row r="190" spans="1:114" hidden="1" outlineLevel="1" x14ac:dyDescent="0.25">
      <c r="D190" s="461"/>
      <c r="E190" s="64"/>
      <c r="F190" s="64"/>
      <c r="G190" s="252"/>
      <c r="H190" s="462"/>
    </row>
    <row r="191" spans="1:114" ht="21" hidden="1" outlineLevel="1" x14ac:dyDescent="0.35">
      <c r="D191" s="461"/>
      <c r="G191" s="252"/>
      <c r="H191" s="462"/>
      <c r="P191" s="1730"/>
      <c r="Q191" s="1743">
        <f>M183-N183</f>
        <v>16003.290197712733</v>
      </c>
      <c r="R191" s="1498">
        <f>O183-P183</f>
        <v>4106.6666666666679</v>
      </c>
      <c r="S191" s="1498">
        <f>Q183-R183</f>
        <v>104.29999999999995</v>
      </c>
      <c r="U191" s="455">
        <f>Q191+R191+S191</f>
        <v>20214.2568643794</v>
      </c>
    </row>
    <row r="192" spans="1:114" ht="21" hidden="1" outlineLevel="1" x14ac:dyDescent="0.35">
      <c r="D192" s="461"/>
      <c r="G192" s="252"/>
      <c r="H192" s="462"/>
      <c r="M192" s="7"/>
      <c r="P192" s="1730"/>
      <c r="Q192" s="1730"/>
      <c r="U192" s="1498">
        <f>U191*365.25/1000</f>
        <v>7383.2573197145757</v>
      </c>
    </row>
    <row r="193" spans="1:114" ht="21" hidden="1" outlineLevel="1" x14ac:dyDescent="0.35">
      <c r="D193" s="461"/>
      <c r="G193" s="252"/>
      <c r="H193" s="462"/>
      <c r="M193" s="7"/>
      <c r="P193" s="1730"/>
      <c r="Q193" s="1730"/>
    </row>
    <row r="194" spans="1:114" hidden="1" outlineLevel="1" x14ac:dyDescent="0.25">
      <c r="D194" s="461"/>
      <c r="G194" s="252"/>
      <c r="H194" s="462"/>
      <c r="M194" s="7"/>
      <c r="T194" s="487"/>
    </row>
    <row r="195" spans="1:114" hidden="1" outlineLevel="1" x14ac:dyDescent="0.25">
      <c r="D195" s="461"/>
      <c r="G195" s="252"/>
      <c r="H195" s="462"/>
    </row>
    <row r="196" spans="1:114" s="8" customFormat="1" ht="30" hidden="1" outlineLevel="1" x14ac:dyDescent="0.25">
      <c r="A196" s="252"/>
      <c r="B196" s="116"/>
      <c r="C196" s="64"/>
      <c r="D196" s="1294" t="s">
        <v>42</v>
      </c>
      <c r="E196" s="1294" t="s">
        <v>172</v>
      </c>
      <c r="F196" s="31" t="s">
        <v>289</v>
      </c>
      <c r="G196" s="1294" t="s">
        <v>290</v>
      </c>
      <c r="H196" s="1294" t="s">
        <v>291</v>
      </c>
      <c r="I196" s="1294" t="s">
        <v>292</v>
      </c>
      <c r="J196" s="1289" t="s">
        <v>293</v>
      </c>
      <c r="K196" s="1289" t="s">
        <v>294</v>
      </c>
      <c r="L196" s="1289" t="s">
        <v>295</v>
      </c>
      <c r="M196" s="1289" t="s">
        <v>296</v>
      </c>
      <c r="N196" s="1289" t="s">
        <v>297</v>
      </c>
      <c r="O196" s="1289" t="s">
        <v>298</v>
      </c>
      <c r="P196" s="1289" t="s">
        <v>299</v>
      </c>
      <c r="Q196" s="1289" t="s">
        <v>300</v>
      </c>
      <c r="R196" s="1289" t="s">
        <v>140</v>
      </c>
      <c r="S196" s="1361" t="s">
        <v>301</v>
      </c>
      <c r="T196" s="1872" t="s">
        <v>302</v>
      </c>
      <c r="U196" s="116"/>
      <c r="V196" s="648" t="s">
        <v>52</v>
      </c>
      <c r="W196" s="649">
        <f>$W$8</f>
        <v>43252</v>
      </c>
      <c r="X196" s="649">
        <f>$X$8</f>
        <v>43465</v>
      </c>
      <c r="Y196" s="649">
        <f>$Y$8</f>
        <v>43800</v>
      </c>
      <c r="Z196" s="649">
        <f>$Z$8</f>
        <v>43862</v>
      </c>
      <c r="AA196" s="649">
        <f>$AA$8</f>
        <v>44013</v>
      </c>
      <c r="AB196" s="649">
        <v>44166</v>
      </c>
      <c r="AC196" s="649">
        <f>$AC$8</f>
        <v>44531</v>
      </c>
      <c r="AD196" s="649">
        <f>$AD$8</f>
        <v>44774</v>
      </c>
      <c r="AE196" s="649">
        <f>$AE$8</f>
        <v>45142</v>
      </c>
      <c r="AF196" s="649">
        <f>$AF$8</f>
        <v>45672</v>
      </c>
      <c r="AI196" s="648" t="s">
        <v>52</v>
      </c>
      <c r="AJ196" s="649">
        <f>$W$8</f>
        <v>43252</v>
      </c>
      <c r="AK196" s="649">
        <f>$X$8</f>
        <v>43465</v>
      </c>
      <c r="AL196" s="649">
        <f>$Y$8</f>
        <v>43800</v>
      </c>
      <c r="AM196" s="649">
        <f>$Z$8</f>
        <v>43862</v>
      </c>
      <c r="AN196" s="649">
        <f>$AA$8</f>
        <v>44013</v>
      </c>
      <c r="AO196" s="649">
        <v>44166</v>
      </c>
      <c r="AP196" s="649">
        <f>$AC$8</f>
        <v>44531</v>
      </c>
      <c r="AQ196" s="649">
        <f>$AD$8</f>
        <v>44774</v>
      </c>
      <c r="AR196" s="649">
        <f>$AE$8</f>
        <v>45142</v>
      </c>
      <c r="AS196" s="649">
        <f>$AF$8</f>
        <v>45672</v>
      </c>
      <c r="AT196" s="2"/>
      <c r="AU196" s="648" t="s">
        <v>52</v>
      </c>
      <c r="AV196" s="649">
        <f>$W$8</f>
        <v>43252</v>
      </c>
      <c r="AW196" s="649">
        <f>$X$8</f>
        <v>43465</v>
      </c>
      <c r="AX196" s="649">
        <f>$Y$8</f>
        <v>43800</v>
      </c>
      <c r="AY196" s="649">
        <f>$Z$8</f>
        <v>43862</v>
      </c>
      <c r="AZ196" s="649">
        <f>$AA$8</f>
        <v>44013</v>
      </c>
      <c r="BA196" s="649">
        <v>44166</v>
      </c>
      <c r="BB196" s="649">
        <f>$AC$8</f>
        <v>44531</v>
      </c>
      <c r="BC196" s="649">
        <f>$AD$8</f>
        <v>44774</v>
      </c>
      <c r="BD196" s="649">
        <f>$AE$8</f>
        <v>45142</v>
      </c>
      <c r="BE196" s="649">
        <f>$AF$8</f>
        <v>45672</v>
      </c>
      <c r="DE196" s="2"/>
      <c r="DF196" s="2"/>
      <c r="DG196" s="1023"/>
      <c r="DH196" s="116"/>
      <c r="DI196" s="116"/>
      <c r="DJ196" s="1116"/>
    </row>
    <row r="197" spans="1:114" hidden="1" outlineLevel="1" x14ac:dyDescent="0.25">
      <c r="D197" s="659" t="str">
        <f>C183</f>
        <v>802700_2024_12_</v>
      </c>
      <c r="E197" s="659" t="str">
        <f>E183</f>
        <v>3 Pan ENERGY STAR Steam Cooker</v>
      </c>
      <c r="F197" s="490">
        <f>((1-I197)*(J197+I197*L197*N197*(O197/P197))*(R197-S197/(L197*N197)))-((1-I197)*(K197+I197*M197*N197*(O197/Q197))*(R197-S197/(M197*N197)))</f>
        <v>16003.290197712733</v>
      </c>
      <c r="G197" s="492">
        <f>(S197*(O197/P197))-(S197*(O197/Q197))</f>
        <v>4106.6666666666679</v>
      </c>
      <c r="H197" s="1779">
        <v>365.25</v>
      </c>
      <c r="I197" s="1769">
        <v>0.4</v>
      </c>
      <c r="J197" s="491">
        <v>1200</v>
      </c>
      <c r="K197" s="1772">
        <v>400</v>
      </c>
      <c r="L197" s="482">
        <v>23.3</v>
      </c>
      <c r="M197" s="1780">
        <v>16.7</v>
      </c>
      <c r="N197" s="1772">
        <v>3</v>
      </c>
      <c r="O197" s="482">
        <v>30.8</v>
      </c>
      <c r="P197" s="484">
        <v>0.3</v>
      </c>
      <c r="Q197" s="1769">
        <v>0.5</v>
      </c>
      <c r="R197" s="1764">
        <v>12</v>
      </c>
      <c r="S197" s="1771">
        <v>100</v>
      </c>
      <c r="T197" s="1873">
        <v>104.3</v>
      </c>
      <c r="V197" s="1343" t="s">
        <v>293</v>
      </c>
      <c r="W197" s="53"/>
      <c r="X197" s="53"/>
      <c r="Y197" s="53">
        <v>1100</v>
      </c>
      <c r="Z197" s="53">
        <v>1100</v>
      </c>
      <c r="AA197" s="53">
        <v>1100</v>
      </c>
      <c r="AB197" s="53">
        <v>1100</v>
      </c>
      <c r="AC197" s="53">
        <v>1100</v>
      </c>
      <c r="AD197" s="53">
        <v>1100</v>
      </c>
      <c r="AE197" s="53">
        <v>1100</v>
      </c>
      <c r="AF197" s="258">
        <f>IF(F197&lt;&gt;"",F197,"")</f>
        <v>16003.290197712733</v>
      </c>
      <c r="AI197" s="1343" t="s">
        <v>299</v>
      </c>
      <c r="AJ197" s="53"/>
      <c r="AK197" s="53"/>
      <c r="AL197" s="53">
        <v>0.28000000000000003</v>
      </c>
      <c r="AM197" s="53">
        <v>0.28000000000000003</v>
      </c>
      <c r="AN197" s="53">
        <v>0.28000000000000003</v>
      </c>
      <c r="AO197" s="53">
        <v>0.28000000000000003</v>
      </c>
      <c r="AP197" s="53">
        <v>0.28000000000000003</v>
      </c>
      <c r="AQ197" s="53">
        <v>0.28000000000000003</v>
      </c>
      <c r="AR197" s="53">
        <v>0.28000000000000003</v>
      </c>
      <c r="AS197" s="705">
        <v>0.3</v>
      </c>
      <c r="AU197" s="1343" t="s">
        <v>303</v>
      </c>
      <c r="AV197" s="53"/>
      <c r="AW197" s="53"/>
      <c r="AX197" s="53"/>
      <c r="AY197" s="53"/>
      <c r="AZ197" s="53"/>
      <c r="BA197" s="52"/>
      <c r="BB197" s="705"/>
      <c r="BC197" s="705"/>
      <c r="BD197" s="705"/>
      <c r="BE197" s="705">
        <f>AF197</f>
        <v>16003.290197712733</v>
      </c>
    </row>
    <row r="198" spans="1:114" hidden="1" outlineLevel="1" x14ac:dyDescent="0.25">
      <c r="D198" s="659" t="str">
        <f>C184</f>
        <v>802750_2024_12_</v>
      </c>
      <c r="E198" s="659" t="str">
        <f>E184</f>
        <v>4 Pan ENERGY STAR Steam Cooker</v>
      </c>
      <c r="F198" s="490">
        <f>((1-I198)*(J198+I198*L198*N198*(O198/P198))*(R198-S198/(L198*N198)))-((1-I198)*(K198+I198*M198*N198*(O198/Q198))*(R198-S198/(M198*N198)))</f>
        <v>19248.437315350413</v>
      </c>
      <c r="G198" s="492">
        <f>(S198*(O198/P198))-(S198*(O198/Q198))</f>
        <v>4106.6666666666679</v>
      </c>
      <c r="H198" s="1779">
        <v>365.25</v>
      </c>
      <c r="I198" s="1769">
        <v>0.4</v>
      </c>
      <c r="J198" s="491">
        <v>1200</v>
      </c>
      <c r="K198" s="1772">
        <v>530</v>
      </c>
      <c r="L198" s="482">
        <v>23.3</v>
      </c>
      <c r="M198" s="1780">
        <v>16.7</v>
      </c>
      <c r="N198" s="1772">
        <v>4</v>
      </c>
      <c r="O198" s="482">
        <v>30.8</v>
      </c>
      <c r="P198" s="484">
        <v>0.3</v>
      </c>
      <c r="Q198" s="1769">
        <v>0.5</v>
      </c>
      <c r="R198" s="1764">
        <v>12</v>
      </c>
      <c r="S198" s="1771">
        <v>100</v>
      </c>
      <c r="T198" s="1873">
        <v>104.3</v>
      </c>
      <c r="V198" s="1343" t="s">
        <v>293</v>
      </c>
      <c r="W198" s="53"/>
      <c r="X198" s="53"/>
      <c r="Y198" s="53">
        <v>1100</v>
      </c>
      <c r="Z198" s="53">
        <v>1100</v>
      </c>
      <c r="AA198" s="53">
        <v>1100</v>
      </c>
      <c r="AB198" s="53">
        <v>1100</v>
      </c>
      <c r="AC198" s="53">
        <v>1100</v>
      </c>
      <c r="AD198" s="53">
        <v>1100</v>
      </c>
      <c r="AE198" s="53">
        <v>1100</v>
      </c>
      <c r="AF198" s="258">
        <f>IF(F198&lt;&gt;"",F198,"")</f>
        <v>19248.437315350413</v>
      </c>
      <c r="AI198" s="1343" t="s">
        <v>299</v>
      </c>
      <c r="AJ198" s="53"/>
      <c r="AK198" s="53"/>
      <c r="AL198" s="53">
        <v>0.28000000000000003</v>
      </c>
      <c r="AM198" s="53">
        <v>0.28000000000000003</v>
      </c>
      <c r="AN198" s="53">
        <v>0.28000000000000003</v>
      </c>
      <c r="AO198" s="53">
        <v>0.28000000000000003</v>
      </c>
      <c r="AP198" s="53">
        <v>0.28000000000000003</v>
      </c>
      <c r="AQ198" s="53">
        <v>0.28000000000000003</v>
      </c>
      <c r="AR198" s="53">
        <v>0.28000000000000003</v>
      </c>
      <c r="AS198" s="705">
        <v>0.3</v>
      </c>
      <c r="AU198" s="1343" t="s">
        <v>303</v>
      </c>
      <c r="AV198" s="53"/>
      <c r="AW198" s="53"/>
      <c r="AX198" s="53"/>
      <c r="AY198" s="53"/>
      <c r="AZ198" s="53"/>
      <c r="BA198" s="52"/>
      <c r="BB198" s="705"/>
      <c r="BC198" s="705"/>
      <c r="BD198" s="705"/>
      <c r="BE198" s="705">
        <f>AF198</f>
        <v>19248.437315350413</v>
      </c>
    </row>
    <row r="199" spans="1:114" hidden="1" outlineLevel="1" x14ac:dyDescent="0.25">
      <c r="D199" s="659" t="str">
        <f>C185</f>
        <v>802800_2024_12_</v>
      </c>
      <c r="E199" s="659" t="str">
        <f>E185</f>
        <v>5 Pan ENERGY STAR Steam Cooker</v>
      </c>
      <c r="F199" s="490">
        <f t="shared" ref="F199:F200" si="69">((1-I199)*(J199+I199*L199*N199*(O199/P199))*(R199-S199/(L199*N199)))-((1-I199)*(K199+I199*M199*N199*(O199/Q199))*(R199-S199/(M199*N199)))</f>
        <v>22326.963374675546</v>
      </c>
      <c r="G199" s="492">
        <f>(S199*(O199/P199))-(S199*(O199/Q199))</f>
        <v>4106.6666666666679</v>
      </c>
      <c r="H199" s="1779">
        <v>365.25</v>
      </c>
      <c r="I199" s="1769">
        <v>0.4</v>
      </c>
      <c r="J199" s="491">
        <v>1200</v>
      </c>
      <c r="K199" s="1772">
        <v>670</v>
      </c>
      <c r="L199" s="482">
        <v>23.3</v>
      </c>
      <c r="M199" s="1780">
        <v>16.7</v>
      </c>
      <c r="N199" s="1772">
        <v>5</v>
      </c>
      <c r="O199" s="482">
        <v>30.8</v>
      </c>
      <c r="P199" s="484">
        <v>0.3</v>
      </c>
      <c r="Q199" s="1769">
        <v>0.5</v>
      </c>
      <c r="R199" s="1764">
        <v>12</v>
      </c>
      <c r="S199" s="1771">
        <v>100</v>
      </c>
      <c r="T199" s="1873">
        <v>104.3</v>
      </c>
      <c r="V199" s="1343" t="s">
        <v>293</v>
      </c>
      <c r="W199" s="53"/>
      <c r="X199" s="53"/>
      <c r="Y199" s="53">
        <v>1100</v>
      </c>
      <c r="Z199" s="53">
        <v>1100</v>
      </c>
      <c r="AA199" s="53">
        <v>1100</v>
      </c>
      <c r="AB199" s="53">
        <v>1100</v>
      </c>
      <c r="AC199" s="53">
        <v>1100</v>
      </c>
      <c r="AD199" s="53">
        <v>1100</v>
      </c>
      <c r="AE199" s="53">
        <v>1100</v>
      </c>
      <c r="AF199" s="258">
        <f>IF(F199&lt;&gt;"",F199,"")</f>
        <v>22326.963374675546</v>
      </c>
      <c r="AI199" s="1343" t="s">
        <v>299</v>
      </c>
      <c r="AJ199" s="53"/>
      <c r="AK199" s="53"/>
      <c r="AL199" s="53">
        <v>0.28000000000000003</v>
      </c>
      <c r="AM199" s="53">
        <v>0.28000000000000003</v>
      </c>
      <c r="AN199" s="53">
        <v>0.28000000000000003</v>
      </c>
      <c r="AO199" s="53">
        <v>0.28000000000000003</v>
      </c>
      <c r="AP199" s="53">
        <v>0.28000000000000003</v>
      </c>
      <c r="AQ199" s="53">
        <v>0.28000000000000003</v>
      </c>
      <c r="AR199" s="53">
        <v>0.28000000000000003</v>
      </c>
      <c r="AS199" s="705">
        <v>0.3</v>
      </c>
      <c r="AU199" s="1343" t="s">
        <v>303</v>
      </c>
      <c r="AV199" s="53"/>
      <c r="AW199" s="53"/>
      <c r="AX199" s="53"/>
      <c r="AY199" s="53"/>
      <c r="AZ199" s="53"/>
      <c r="BA199" s="52"/>
      <c r="BB199" s="705"/>
      <c r="BC199" s="705"/>
      <c r="BD199" s="705"/>
      <c r="BE199" s="705">
        <f>AF199</f>
        <v>22326.963374675546</v>
      </c>
    </row>
    <row r="200" spans="1:114" hidden="1" outlineLevel="1" x14ac:dyDescent="0.25">
      <c r="D200" s="659" t="str">
        <f>C186</f>
        <v>802850_2024_12_</v>
      </c>
      <c r="E200" s="659" t="str">
        <f>E186</f>
        <v>6 Pan ENERGY STAR Steam Cooker</v>
      </c>
      <c r="F200" s="490">
        <f t="shared" si="69"/>
        <v>25418.202856940203</v>
      </c>
      <c r="G200" s="492">
        <f>(S200*(O200/P200))-(S200*(O200/Q200))</f>
        <v>4106.6666666666679</v>
      </c>
      <c r="H200" s="1779">
        <v>365.25</v>
      </c>
      <c r="I200" s="1769">
        <v>0.4</v>
      </c>
      <c r="J200" s="491">
        <v>1200</v>
      </c>
      <c r="K200" s="1772">
        <v>800</v>
      </c>
      <c r="L200" s="482">
        <v>23.3</v>
      </c>
      <c r="M200" s="1780">
        <v>16.7</v>
      </c>
      <c r="N200" s="1772">
        <v>6</v>
      </c>
      <c r="O200" s="482">
        <v>30.8</v>
      </c>
      <c r="P200" s="484">
        <v>0.3</v>
      </c>
      <c r="Q200" s="1769">
        <v>0.5</v>
      </c>
      <c r="R200" s="1764">
        <v>12</v>
      </c>
      <c r="S200" s="1771">
        <v>100</v>
      </c>
      <c r="T200" s="1873">
        <v>104.3</v>
      </c>
      <c r="V200" s="1343" t="s">
        <v>293</v>
      </c>
      <c r="W200" s="53"/>
      <c r="X200" s="53"/>
      <c r="Y200" s="53">
        <v>1100</v>
      </c>
      <c r="Z200" s="53">
        <v>1100</v>
      </c>
      <c r="AA200" s="53">
        <v>1100</v>
      </c>
      <c r="AB200" s="53">
        <v>1100</v>
      </c>
      <c r="AC200" s="53">
        <v>1100</v>
      </c>
      <c r="AD200" s="53">
        <v>1100</v>
      </c>
      <c r="AE200" s="53">
        <v>1100</v>
      </c>
      <c r="AF200" s="258">
        <f>IF(F200&lt;&gt;"",F200,"")</f>
        <v>25418.202856940203</v>
      </c>
      <c r="AI200" s="1343" t="s">
        <v>299</v>
      </c>
      <c r="AJ200" s="53"/>
      <c r="AK200" s="53"/>
      <c r="AL200" s="53">
        <v>0.28000000000000003</v>
      </c>
      <c r="AM200" s="53">
        <v>0.28000000000000003</v>
      </c>
      <c r="AN200" s="53">
        <v>0.28000000000000003</v>
      </c>
      <c r="AO200" s="53">
        <v>0.28000000000000003</v>
      </c>
      <c r="AP200" s="53">
        <v>0.28000000000000003</v>
      </c>
      <c r="AQ200" s="53">
        <v>0.28000000000000003</v>
      </c>
      <c r="AR200" s="53">
        <v>0.28000000000000003</v>
      </c>
      <c r="AS200" s="705">
        <v>0.3</v>
      </c>
      <c r="AU200" s="1343" t="s">
        <v>303</v>
      </c>
      <c r="AV200" s="53"/>
      <c r="AW200" s="53"/>
      <c r="AX200" s="53"/>
      <c r="AY200" s="53"/>
      <c r="AZ200" s="53"/>
      <c r="BA200" s="52"/>
      <c r="BB200" s="705"/>
      <c r="BC200" s="705"/>
      <c r="BD200" s="705"/>
      <c r="BE200" s="705">
        <f>AF200</f>
        <v>25418.202856940203</v>
      </c>
    </row>
    <row r="201" spans="1:114" hidden="1" outlineLevel="1" x14ac:dyDescent="0.25">
      <c r="H201" s="1706"/>
      <c r="I201" s="1692" t="s">
        <v>304</v>
      </c>
      <c r="J201" s="1692" t="s">
        <v>305</v>
      </c>
      <c r="K201" s="1692" t="s">
        <v>304</v>
      </c>
      <c r="L201" s="1692" t="s">
        <v>304</v>
      </c>
      <c r="M201" s="1692" t="s">
        <v>304</v>
      </c>
      <c r="N201" s="1692"/>
      <c r="O201" s="1692" t="s">
        <v>304</v>
      </c>
      <c r="P201" s="1692" t="s">
        <v>304</v>
      </c>
      <c r="Q201" s="1692" t="s">
        <v>304</v>
      </c>
      <c r="R201" s="1692" t="s">
        <v>306</v>
      </c>
      <c r="S201" s="1692" t="s">
        <v>304</v>
      </c>
      <c r="T201" s="1692" t="s">
        <v>304</v>
      </c>
    </row>
    <row r="202" spans="1:114" collapsed="1" x14ac:dyDescent="0.25"/>
    <row r="203" spans="1:114" s="7" customFormat="1" x14ac:dyDescent="0.25">
      <c r="A203" s="252"/>
      <c r="B203" s="2071" t="s">
        <v>307</v>
      </c>
      <c r="C203" s="2072"/>
      <c r="D203" s="2072"/>
      <c r="E203" s="2072"/>
      <c r="F203" s="2072"/>
      <c r="G203" s="2072"/>
      <c r="H203" s="2072"/>
      <c r="I203" s="2073"/>
      <c r="J203" s="2073"/>
      <c r="K203" s="2073"/>
      <c r="L203" s="2073"/>
      <c r="M203" s="2074"/>
      <c r="N203" s="2074"/>
      <c r="O203" s="2075"/>
      <c r="V203" s="1292" t="str">
        <f>B203</f>
        <v>Holding Cabinet</v>
      </c>
      <c r="W203" s="1293"/>
      <c r="X203" s="1293"/>
      <c r="Y203" s="1293"/>
      <c r="Z203" s="1293"/>
      <c r="AA203" s="1293"/>
      <c r="AB203" s="1293"/>
      <c r="AC203" s="1293"/>
      <c r="AD203" s="1293"/>
      <c r="AE203" s="1293"/>
      <c r="AF203" s="1293"/>
      <c r="AG203" s="1293"/>
      <c r="AH203" s="1293"/>
      <c r="AI203" s="1327"/>
      <c r="AJ203" s="2"/>
      <c r="AK203" s="2"/>
      <c r="AL203" s="2"/>
      <c r="AM203" s="2"/>
      <c r="AN203" s="2"/>
      <c r="AO203" s="2"/>
      <c r="AP203" s="2"/>
      <c r="AQ203" s="2"/>
      <c r="AR203" s="2"/>
      <c r="AS203" s="2"/>
      <c r="AT203" s="2"/>
      <c r="AU203" s="2"/>
      <c r="DE203" s="2"/>
      <c r="DF203" s="2"/>
      <c r="DG203" s="23"/>
      <c r="DJ203" s="1059"/>
    </row>
    <row r="204" spans="1:114" x14ac:dyDescent="0.25">
      <c r="D204" s="450"/>
      <c r="E204" s="7"/>
      <c r="F204" s="7"/>
      <c r="G204" s="7"/>
      <c r="H204" s="451"/>
      <c r="I204" s="7"/>
      <c r="J204" s="7"/>
      <c r="K204" s="7"/>
      <c r="L204" s="7"/>
      <c r="P204" s="7"/>
      <c r="Q204" s="7"/>
      <c r="R204" s="7" t="s">
        <v>306</v>
      </c>
      <c r="S204" s="7"/>
      <c r="T204" s="7"/>
      <c r="U204" s="7"/>
      <c r="V204"/>
      <c r="W204"/>
      <c r="X204"/>
      <c r="Y204"/>
      <c r="Z204"/>
      <c r="AA204"/>
      <c r="AB204"/>
      <c r="AC204"/>
      <c r="AD204"/>
      <c r="AE204"/>
      <c r="AF204"/>
      <c r="AG204"/>
      <c r="AH204"/>
      <c r="AI204"/>
      <c r="AJ204" s="6"/>
      <c r="AK204" s="6"/>
      <c r="AL204" s="6"/>
      <c r="AM204" s="6"/>
      <c r="AN204" s="6"/>
      <c r="AO204" s="6"/>
      <c r="AP204" s="6"/>
      <c r="AQ204" s="6"/>
      <c r="AR204" s="6"/>
      <c r="AS204" s="6"/>
      <c r="AT204" s="6"/>
      <c r="AU204" s="6"/>
    </row>
    <row r="205" spans="1:114" s="8" customFormat="1" ht="30" x14ac:dyDescent="0.25">
      <c r="A205" s="252"/>
      <c r="B205" s="64"/>
      <c r="C205" s="9" t="s">
        <v>42</v>
      </c>
      <c r="D205" s="9" t="s">
        <v>43</v>
      </c>
      <c r="E205" s="1361" t="s">
        <v>44</v>
      </c>
      <c r="F205" s="1361" t="s">
        <v>45</v>
      </c>
      <c r="G205" s="1361" t="s">
        <v>46</v>
      </c>
      <c r="H205" s="10" t="s">
        <v>47</v>
      </c>
      <c r="I205" s="1361" t="s">
        <v>48</v>
      </c>
      <c r="J205" s="1361" t="s">
        <v>49</v>
      </c>
      <c r="K205" s="9" t="s">
        <v>50</v>
      </c>
      <c r="L205" s="9" t="s">
        <v>51</v>
      </c>
      <c r="M205" s="252"/>
      <c r="N205" s="252"/>
      <c r="O205" s="252"/>
      <c r="P205" s="116"/>
      <c r="Q205" s="116"/>
      <c r="R205" s="116"/>
      <c r="S205" s="116"/>
      <c r="T205" s="116"/>
      <c r="U205" s="116"/>
      <c r="V205" s="648" t="s">
        <v>52</v>
      </c>
      <c r="W205" s="649">
        <f>$W$8</f>
        <v>43252</v>
      </c>
      <c r="X205" s="649">
        <f>$X$8</f>
        <v>43465</v>
      </c>
      <c r="Y205" s="649">
        <f>$Y$8</f>
        <v>43800</v>
      </c>
      <c r="Z205" s="649">
        <f>$Z$8</f>
        <v>43862</v>
      </c>
      <c r="AA205" s="649">
        <f>$AA$8</f>
        <v>44013</v>
      </c>
      <c r="AB205" s="649">
        <v>44166</v>
      </c>
      <c r="AC205" s="649">
        <f>$AC$8</f>
        <v>44531</v>
      </c>
      <c r="AD205" s="649">
        <f>$AD$8</f>
        <v>44774</v>
      </c>
      <c r="AE205" s="649">
        <f>$AE$8</f>
        <v>45142</v>
      </c>
      <c r="AF205" s="649">
        <f>$AF$8</f>
        <v>45672</v>
      </c>
      <c r="AG205" s="649" t="str">
        <f>$AG$8</f>
        <v>-</v>
      </c>
      <c r="AH205"/>
      <c r="AI205" s="648" t="s">
        <v>52</v>
      </c>
      <c r="AJ205" s="649">
        <v>43252</v>
      </c>
      <c r="AK205" s="649">
        <f>$X$8</f>
        <v>43465</v>
      </c>
      <c r="AL205" s="649">
        <f>$Y$8</f>
        <v>43800</v>
      </c>
      <c r="AM205" s="649">
        <f>$Z$8</f>
        <v>43862</v>
      </c>
      <c r="AN205" s="649">
        <f>$AA$8</f>
        <v>44013</v>
      </c>
      <c r="AO205" s="649">
        <f>$AB$8</f>
        <v>44166</v>
      </c>
      <c r="AP205" s="649">
        <f>$AC$8</f>
        <v>44531</v>
      </c>
      <c r="AQ205" s="649">
        <f>$AD$8</f>
        <v>44774</v>
      </c>
      <c r="AR205" s="649">
        <f>$AE$8</f>
        <v>45142</v>
      </c>
      <c r="AS205" s="649">
        <f>$AF$8</f>
        <v>45672</v>
      </c>
      <c r="AT205" s="2"/>
      <c r="AU205" s="648" t="s">
        <v>52</v>
      </c>
      <c r="AV205" s="649">
        <v>43252</v>
      </c>
      <c r="AW205" s="649">
        <f>$X$8</f>
        <v>43465</v>
      </c>
      <c r="AX205" s="649">
        <f>$Y$8</f>
        <v>43800</v>
      </c>
      <c r="AY205" s="649">
        <f>$Z$8</f>
        <v>43862</v>
      </c>
      <c r="AZ205" s="649">
        <f>$AA$8</f>
        <v>44013</v>
      </c>
      <c r="BA205" s="649">
        <v>44166</v>
      </c>
      <c r="BB205" s="649">
        <f>$AC$8</f>
        <v>44531</v>
      </c>
      <c r="BC205" s="649">
        <f>$AD$8</f>
        <v>44774</v>
      </c>
      <c r="BD205" s="649">
        <f>$AE$8</f>
        <v>45142</v>
      </c>
      <c r="BE205" s="649">
        <f>$AF$8</f>
        <v>45672</v>
      </c>
      <c r="DE205" s="2"/>
      <c r="DF205" s="2"/>
      <c r="DG205" s="1018" t="str">
        <f>$DG$8</f>
        <v>TRC (2025)</v>
      </c>
      <c r="DH205" s="776" t="str">
        <f>$DH$8</f>
        <v>Benefit Lookup</v>
      </c>
      <c r="DI205" s="776" t="str">
        <f>$DI$8</f>
        <v>Benefits (2025 $)</v>
      </c>
      <c r="DJ205" s="1118" t="str">
        <f>$DJ$8</f>
        <v>Incremental Cost (2025 $)</v>
      </c>
    </row>
    <row r="206" spans="1:114" x14ac:dyDescent="0.25">
      <c r="B206" s="252">
        <f t="shared" ref="B206:B208" si="70">VALUE(LEFT(C206,6))</f>
        <v>802900</v>
      </c>
      <c r="C206" s="668" t="s">
        <v>308</v>
      </c>
      <c r="D206" s="452" t="s">
        <v>111</v>
      </c>
      <c r="E206" s="469" t="s">
        <v>309</v>
      </c>
      <c r="F206" s="667">
        <f>ROUND((H218-I218)*J218*K218/1000,2)</f>
        <v>325.99</v>
      </c>
      <c r="G206" s="452" t="s">
        <v>279</v>
      </c>
      <c r="H206" s="453">
        <f>VLOOKUP(G206,'CP FACTORS'!$A$26:$B$38,2,FALSE)</f>
        <v>1.998949E-4</v>
      </c>
      <c r="I206" s="470">
        <f>ROUND(H206*F206,6)</f>
        <v>6.5164E-2</v>
      </c>
      <c r="J206" s="488">
        <v>12</v>
      </c>
      <c r="K206" s="1774">
        <v>1000</v>
      </c>
      <c r="L206" s="454" t="s">
        <v>62</v>
      </c>
      <c r="V206" s="1343" t="s">
        <v>45</v>
      </c>
      <c r="W206" s="1577">
        <v>709.49812499999996</v>
      </c>
      <c r="X206" s="1577">
        <v>709.49812499999996</v>
      </c>
      <c r="Y206" s="1577">
        <v>709.49812499999996</v>
      </c>
      <c r="Z206" s="1577">
        <v>709.49812499999996</v>
      </c>
      <c r="AA206" s="1577">
        <v>709.49812499999996</v>
      </c>
      <c r="AB206" s="1694">
        <v>709.5</v>
      </c>
      <c r="AC206" s="735">
        <v>709.5</v>
      </c>
      <c r="AD206" s="735">
        <v>709.5</v>
      </c>
      <c r="AE206" s="735">
        <v>709.5</v>
      </c>
      <c r="AF206" s="735">
        <f>F206</f>
        <v>325.99</v>
      </c>
      <c r="AG206" s="1694"/>
      <c r="AH206"/>
      <c r="AI206" s="1375" t="s">
        <v>49</v>
      </c>
      <c r="AJ206" s="19">
        <v>12</v>
      </c>
      <c r="AK206" s="19">
        <v>12</v>
      </c>
      <c r="AL206" s="19">
        <v>12</v>
      </c>
      <c r="AM206" s="19">
        <v>12</v>
      </c>
      <c r="AN206" s="19">
        <v>12</v>
      </c>
      <c r="AO206" s="16">
        <v>12</v>
      </c>
      <c r="AP206" s="16">
        <v>12</v>
      </c>
      <c r="AQ206" s="16">
        <v>12</v>
      </c>
      <c r="AR206" s="16">
        <v>12</v>
      </c>
      <c r="AS206" s="16">
        <v>12</v>
      </c>
      <c r="AU206" s="1375" t="s">
        <v>50</v>
      </c>
      <c r="AV206" s="685">
        <v>1783</v>
      </c>
      <c r="AW206" s="685">
        <v>1783</v>
      </c>
      <c r="AX206" s="685">
        <v>1783</v>
      </c>
      <c r="AY206" s="685">
        <v>1783</v>
      </c>
      <c r="AZ206" s="685">
        <v>1783</v>
      </c>
      <c r="BA206" s="669">
        <v>1783</v>
      </c>
      <c r="BB206" s="669">
        <v>1783</v>
      </c>
      <c r="BC206" s="669">
        <v>1783</v>
      </c>
      <c r="BD206" s="669">
        <v>1783</v>
      </c>
      <c r="BE206" s="739">
        <f>K206</f>
        <v>1000</v>
      </c>
      <c r="DG206" s="1020">
        <f>(DI206)/(DJ206)</f>
        <v>0.22966183115174088</v>
      </c>
      <c r="DH206" s="1330" t="str">
        <f>CONCATENATE(G206," ",J206," Year EUL")</f>
        <v>Cooking BUS 12 Year EUL</v>
      </c>
      <c r="DI206" s="185">
        <f>(INDEX('Avoided Cost Benefits'!$B$4:$B$865,MATCH(DH206,'Avoided Cost Benefits'!$A$4:$A$865,0)))*F206</f>
        <v>229.66183115174087</v>
      </c>
      <c r="DJ206" s="1935">
        <f>IFERROR(K206/((1+DiscountRate)^(CurrentYear-DiscountYear)),0)</f>
        <v>1000</v>
      </c>
    </row>
    <row r="207" spans="1:114" x14ac:dyDescent="0.25">
      <c r="B207" s="252">
        <f t="shared" si="70"/>
        <v>802950</v>
      </c>
      <c r="C207" s="668" t="s">
        <v>310</v>
      </c>
      <c r="D207" s="452" t="s">
        <v>111</v>
      </c>
      <c r="E207" s="469" t="s">
        <v>311</v>
      </c>
      <c r="F207" s="667">
        <f>ROUND((H219-I219)*J219*K219/1000,2)</f>
        <v>1676.5</v>
      </c>
      <c r="G207" s="452" t="s">
        <v>279</v>
      </c>
      <c r="H207" s="453">
        <f>VLOOKUP(G207,'CP FACTORS'!$A$26:$B$38,2,FALSE)</f>
        <v>1.998949E-4</v>
      </c>
      <c r="I207" s="470">
        <f>ROUND(H207*F207,6)</f>
        <v>0.33512399999999998</v>
      </c>
      <c r="J207" s="488">
        <v>12</v>
      </c>
      <c r="K207" s="1774">
        <v>1000</v>
      </c>
      <c r="L207" s="454" t="s">
        <v>62</v>
      </c>
      <c r="V207" s="1343" t="s">
        <v>45</v>
      </c>
      <c r="W207" s="1577">
        <v>2772.2474999999999</v>
      </c>
      <c r="X207" s="1577">
        <v>2772.2474999999999</v>
      </c>
      <c r="Y207" s="1577">
        <v>2772.2474999999999</v>
      </c>
      <c r="Z207" s="1577">
        <v>2772.2474999999999</v>
      </c>
      <c r="AA207" s="1577">
        <v>2772.2474999999999</v>
      </c>
      <c r="AB207" s="1694">
        <v>2772.25</v>
      </c>
      <c r="AC207" s="735">
        <v>2772.25</v>
      </c>
      <c r="AD207" s="735">
        <v>2772.25</v>
      </c>
      <c r="AE207" s="735">
        <v>2772.25</v>
      </c>
      <c r="AF207" s="735">
        <f t="shared" ref="AF207:AF208" si="71">F207</f>
        <v>1676.5</v>
      </c>
      <c r="AG207" s="1694"/>
      <c r="AH207"/>
      <c r="AI207" s="1375" t="s">
        <v>49</v>
      </c>
      <c r="AJ207" s="19">
        <v>12</v>
      </c>
      <c r="AK207" s="19">
        <v>12</v>
      </c>
      <c r="AL207" s="19">
        <v>12</v>
      </c>
      <c r="AM207" s="19">
        <v>12</v>
      </c>
      <c r="AN207" s="19">
        <v>12</v>
      </c>
      <c r="AO207" s="16">
        <v>12</v>
      </c>
      <c r="AP207" s="16">
        <v>12</v>
      </c>
      <c r="AQ207" s="16">
        <v>12</v>
      </c>
      <c r="AR207" s="16">
        <v>12</v>
      </c>
      <c r="AS207" s="16">
        <v>12</v>
      </c>
      <c r="AU207" s="1375" t="s">
        <v>50</v>
      </c>
      <c r="AV207" s="685">
        <v>1783</v>
      </c>
      <c r="AW207" s="685">
        <v>1783</v>
      </c>
      <c r="AX207" s="685">
        <v>1783</v>
      </c>
      <c r="AY207" s="685">
        <v>1783</v>
      </c>
      <c r="AZ207" s="685">
        <v>1783</v>
      </c>
      <c r="BA207" s="669">
        <v>1783</v>
      </c>
      <c r="BB207" s="669">
        <v>1783</v>
      </c>
      <c r="BC207" s="669">
        <v>1783</v>
      </c>
      <c r="BD207" s="669">
        <v>1783</v>
      </c>
      <c r="BE207" s="739">
        <f t="shared" ref="BE207:BE208" si="72">K207</f>
        <v>1000</v>
      </c>
      <c r="DG207" s="1021">
        <f>(DI207)/(DJ207)</f>
        <v>1.1811038986652769</v>
      </c>
      <c r="DH207" s="653" t="str">
        <f>CONCATENATE(G207," ",J207," Year EUL")</f>
        <v>Cooking BUS 12 Year EUL</v>
      </c>
      <c r="DI207" s="635">
        <f>(INDEX('Avoided Cost Benefits'!$B$4:$B$865,MATCH(DH207,'Avoided Cost Benefits'!$A$4:$A$865,0)))*F207</f>
        <v>1181.1038986652768</v>
      </c>
      <c r="DJ207" s="1936">
        <f>IFERROR(K207/((1+DiscountRate)^(CurrentYear-DiscountYear)),0)</f>
        <v>1000</v>
      </c>
    </row>
    <row r="208" spans="1:114" x14ac:dyDescent="0.25">
      <c r="B208" s="252">
        <f t="shared" si="70"/>
        <v>803000</v>
      </c>
      <c r="C208" s="668" t="s">
        <v>312</v>
      </c>
      <c r="D208" s="452" t="s">
        <v>111</v>
      </c>
      <c r="E208" s="469" t="s">
        <v>313</v>
      </c>
      <c r="F208" s="667">
        <f>ROUND((H220-I220)*J220*K220/1000,2)</f>
        <v>2904.29</v>
      </c>
      <c r="G208" s="452" t="s">
        <v>279</v>
      </c>
      <c r="H208" s="453">
        <f>VLOOKUP(G208,'CP FACTORS'!$A$26:$B$38,2,FALSE)</f>
        <v>1.998949E-4</v>
      </c>
      <c r="I208" s="470">
        <f>ROUND(H208*F208,6)</f>
        <v>0.58055299999999999</v>
      </c>
      <c r="J208" s="488">
        <v>12</v>
      </c>
      <c r="K208" s="1774">
        <v>1000</v>
      </c>
      <c r="L208" s="454" t="s">
        <v>62</v>
      </c>
      <c r="V208" s="1343" t="s">
        <v>45</v>
      </c>
      <c r="W208" s="1577">
        <v>4438.3353749999997</v>
      </c>
      <c r="X208" s="1577">
        <v>4438.3353749999997</v>
      </c>
      <c r="Y208" s="1577">
        <v>4438.3353749999997</v>
      </c>
      <c r="Z208" s="1577">
        <v>4438.3353749999997</v>
      </c>
      <c r="AA208" s="1577">
        <v>4438.3353749999997</v>
      </c>
      <c r="AB208" s="1694">
        <v>4438.34</v>
      </c>
      <c r="AC208" s="735">
        <v>4438.34</v>
      </c>
      <c r="AD208" s="735">
        <v>4438.34</v>
      </c>
      <c r="AE208" s="735">
        <v>4438.34</v>
      </c>
      <c r="AF208" s="735">
        <f t="shared" si="71"/>
        <v>2904.29</v>
      </c>
      <c r="AG208" s="1694"/>
      <c r="AH208"/>
      <c r="AI208" s="1375" t="s">
        <v>49</v>
      </c>
      <c r="AJ208" s="19">
        <v>12</v>
      </c>
      <c r="AK208" s="19">
        <v>12</v>
      </c>
      <c r="AL208" s="19">
        <v>12</v>
      </c>
      <c r="AM208" s="19">
        <v>12</v>
      </c>
      <c r="AN208" s="19">
        <v>12</v>
      </c>
      <c r="AO208" s="16">
        <v>12</v>
      </c>
      <c r="AP208" s="16">
        <v>12</v>
      </c>
      <c r="AQ208" s="16">
        <v>12</v>
      </c>
      <c r="AR208" s="16">
        <v>12</v>
      </c>
      <c r="AS208" s="16">
        <v>12</v>
      </c>
      <c r="AU208" s="1375" t="s">
        <v>50</v>
      </c>
      <c r="AV208" s="685">
        <v>1783</v>
      </c>
      <c r="AW208" s="685">
        <v>1783</v>
      </c>
      <c r="AX208" s="685">
        <v>1783</v>
      </c>
      <c r="AY208" s="685">
        <v>1783</v>
      </c>
      <c r="AZ208" s="685">
        <v>1783</v>
      </c>
      <c r="BA208" s="669">
        <v>1783</v>
      </c>
      <c r="BB208" s="669">
        <v>1783</v>
      </c>
      <c r="BC208" s="669">
        <v>1783</v>
      </c>
      <c r="BD208" s="669">
        <v>1783</v>
      </c>
      <c r="BE208" s="739">
        <f t="shared" si="72"/>
        <v>1000</v>
      </c>
      <c r="DG208" s="1022">
        <f>(DI208)/(DJ208)</f>
        <v>2.0460890198953634</v>
      </c>
      <c r="DH208" s="653" t="str">
        <f>CONCATENATE(G208," ",J208," Year EUL")</f>
        <v>Cooking BUS 12 Year EUL</v>
      </c>
      <c r="DI208" s="1024">
        <f>(INDEX('Avoided Cost Benefits'!$B$4:$B$865,MATCH(DH208,'Avoided Cost Benefits'!$A$4:$A$865,0)))*F208</f>
        <v>2046.0890198953634</v>
      </c>
      <c r="DJ208" s="1937">
        <f>IFERROR(K208/((1+DiscountRate)^(CurrentYear-DiscountYear)),0)</f>
        <v>1000</v>
      </c>
    </row>
    <row r="209" spans="1:114" hidden="1" outlineLevel="1" x14ac:dyDescent="0.25">
      <c r="D209" s="74" t="s">
        <v>94</v>
      </c>
      <c r="E209" s="108" t="s">
        <v>314</v>
      </c>
      <c r="F209" s="7"/>
      <c r="G209" s="7"/>
      <c r="H209" s="460"/>
      <c r="I209" s="7"/>
      <c r="J209" s="7"/>
      <c r="K209" s="1705"/>
      <c r="W209" s="1710"/>
      <c r="X209" s="1710"/>
      <c r="Y209" s="1710"/>
      <c r="Z209" s="1710"/>
      <c r="AA209" s="1710"/>
      <c r="AB209" s="1710"/>
      <c r="AC209" s="1710"/>
      <c r="AD209" s="1710"/>
      <c r="AE209" s="1710"/>
      <c r="AF209" s="1710"/>
      <c r="AG209" s="1710"/>
      <c r="BE209" s="1690" t="s">
        <v>315</v>
      </c>
    </row>
    <row r="210" spans="1:114" hidden="1" outlineLevel="1" x14ac:dyDescent="0.25">
      <c r="D210" s="7" t="s">
        <v>96</v>
      </c>
      <c r="E210" s="7"/>
      <c r="F210" s="7"/>
      <c r="G210" s="7"/>
      <c r="H210" s="460"/>
      <c r="I210" s="7"/>
      <c r="J210" s="7"/>
      <c r="K210" s="7"/>
      <c r="W210" s="1710"/>
      <c r="X210" s="1710"/>
      <c r="Y210" s="1710"/>
      <c r="Z210" s="1710"/>
      <c r="AA210" s="1710"/>
      <c r="AB210" s="1710"/>
      <c r="AC210" s="1710"/>
      <c r="AD210" s="1710"/>
      <c r="AE210" s="1710"/>
      <c r="AF210" s="1710"/>
      <c r="AG210" s="1710"/>
    </row>
    <row r="211" spans="1:114" hidden="1" outlineLevel="1" x14ac:dyDescent="0.25">
      <c r="D211" s="461"/>
      <c r="G211" s="252"/>
      <c r="H211" s="462"/>
      <c r="W211" s="1710"/>
      <c r="X211" s="1710"/>
      <c r="Y211" s="1710"/>
      <c r="Z211" s="1710"/>
      <c r="AA211" s="1710"/>
      <c r="AB211" s="1710"/>
      <c r="AC211" s="1710"/>
      <c r="AD211" s="1710"/>
      <c r="AE211" s="1710"/>
      <c r="AF211" s="1710"/>
      <c r="AG211" s="1710"/>
    </row>
    <row r="212" spans="1:114" hidden="1" outlineLevel="1" x14ac:dyDescent="0.25">
      <c r="D212" s="64"/>
      <c r="G212" s="252"/>
      <c r="H212" s="462"/>
      <c r="W212" s="1710"/>
      <c r="X212" s="1710"/>
      <c r="Y212" s="1710"/>
      <c r="Z212" s="1710"/>
      <c r="AA212" s="1710"/>
      <c r="AB212" s="1710"/>
      <c r="AC212" s="1710"/>
      <c r="AD212" s="1710"/>
      <c r="AE212" s="1710"/>
      <c r="AF212" s="1710"/>
      <c r="AG212" s="1710"/>
    </row>
    <row r="213" spans="1:114" hidden="1" outlineLevel="1" x14ac:dyDescent="0.25">
      <c r="D213" s="461"/>
      <c r="G213" s="252"/>
      <c r="H213" s="462"/>
      <c r="M213" s="7"/>
      <c r="W213" s="1710"/>
      <c r="X213" s="1710"/>
      <c r="Y213" s="1710"/>
      <c r="Z213" s="1710"/>
      <c r="AA213" s="1710"/>
      <c r="AB213" s="1710"/>
      <c r="AC213" s="1710"/>
      <c r="AD213" s="1710"/>
      <c r="AE213" s="1710"/>
      <c r="AF213" s="1710"/>
      <c r="AG213" s="1710"/>
    </row>
    <row r="214" spans="1:114" hidden="1" outlineLevel="1" x14ac:dyDescent="0.25">
      <c r="D214" s="461"/>
      <c r="G214" s="252"/>
      <c r="H214" s="462"/>
      <c r="M214" s="7"/>
    </row>
    <row r="215" spans="1:114" hidden="1" outlineLevel="1" x14ac:dyDescent="0.25">
      <c r="D215" s="461"/>
      <c r="G215" s="252"/>
      <c r="H215" s="462"/>
      <c r="M215" s="7"/>
    </row>
    <row r="216" spans="1:114" hidden="1" outlineLevel="1" x14ac:dyDescent="0.25">
      <c r="D216" s="461"/>
      <c r="G216" s="252"/>
      <c r="H216" s="462"/>
    </row>
    <row r="217" spans="1:114" s="8" customFormat="1" ht="17.25" hidden="1" outlineLevel="1" x14ac:dyDescent="0.25">
      <c r="A217" s="252"/>
      <c r="B217" s="116"/>
      <c r="C217" s="64"/>
      <c r="D217" s="1294" t="s">
        <v>42</v>
      </c>
      <c r="E217" s="1294" t="s">
        <v>172</v>
      </c>
      <c r="F217" s="1294" t="s">
        <v>173</v>
      </c>
      <c r="G217" s="1294" t="s">
        <v>316</v>
      </c>
      <c r="H217" s="28" t="s">
        <v>317</v>
      </c>
      <c r="I217" s="30" t="s">
        <v>318</v>
      </c>
      <c r="J217" s="30" t="s">
        <v>140</v>
      </c>
      <c r="K217" s="30" t="s">
        <v>291</v>
      </c>
      <c r="L217" s="64"/>
      <c r="M217" s="116"/>
      <c r="N217" s="116"/>
      <c r="O217" s="116"/>
      <c r="P217" s="116"/>
      <c r="Q217" s="116"/>
      <c r="R217" s="116"/>
      <c r="S217" s="116"/>
      <c r="T217" s="116"/>
      <c r="U217" s="116"/>
      <c r="V217" s="648" t="s">
        <v>52</v>
      </c>
      <c r="W217" s="649">
        <f>$W$8</f>
        <v>43252</v>
      </c>
      <c r="X217" s="649">
        <f>$X$8</f>
        <v>43465</v>
      </c>
      <c r="Y217" s="649">
        <f>$Y$8</f>
        <v>43800</v>
      </c>
      <c r="Z217" s="649">
        <f>$Z$8</f>
        <v>43862</v>
      </c>
      <c r="AA217" s="649">
        <f>$AA$8</f>
        <v>44013</v>
      </c>
      <c r="AB217" s="649">
        <v>44166</v>
      </c>
      <c r="AC217" s="649">
        <f>$AC$8</f>
        <v>44531</v>
      </c>
      <c r="AD217" s="649">
        <f>$AD$8</f>
        <v>44774</v>
      </c>
      <c r="AE217" s="649">
        <f>$AE$8</f>
        <v>45142</v>
      </c>
      <c r="AF217" s="649">
        <f>$AF$8</f>
        <v>45672</v>
      </c>
      <c r="AG217" s="649" t="str">
        <f>$AG$8</f>
        <v>-</v>
      </c>
      <c r="AH217"/>
      <c r="AI217" s="648" t="s">
        <v>52</v>
      </c>
      <c r="AJ217" s="649">
        <v>43252</v>
      </c>
      <c r="AK217" s="649">
        <f>$X$8</f>
        <v>43465</v>
      </c>
      <c r="AL217" s="649">
        <f>$Y$8</f>
        <v>43800</v>
      </c>
      <c r="AM217" s="649">
        <f>$Z$8</f>
        <v>43862</v>
      </c>
      <c r="AN217" s="649">
        <f>$AA$8</f>
        <v>44013</v>
      </c>
      <c r="AO217" s="649">
        <f>$AB$8</f>
        <v>44166</v>
      </c>
      <c r="AP217" s="649">
        <f>$AC$8</f>
        <v>44531</v>
      </c>
      <c r="AQ217" s="649">
        <f>$AD$8</f>
        <v>44774</v>
      </c>
      <c r="AR217" s="649">
        <f>$AE$8</f>
        <v>45142</v>
      </c>
      <c r="AS217" s="649">
        <f>$AF$8</f>
        <v>45672</v>
      </c>
      <c r="AT217" s="2"/>
      <c r="AU217" s="648" t="s">
        <v>52</v>
      </c>
      <c r="AV217" s="649">
        <v>43252</v>
      </c>
      <c r="AW217" s="649">
        <f>$X$8</f>
        <v>43465</v>
      </c>
      <c r="AX217" s="649">
        <f>$Y$8</f>
        <v>43800</v>
      </c>
      <c r="AY217" s="649">
        <f>$Z$8</f>
        <v>43862</v>
      </c>
      <c r="AZ217" s="649">
        <f>$AA$8</f>
        <v>44013</v>
      </c>
      <c r="BA217" s="649">
        <v>44166</v>
      </c>
      <c r="BB217" s="649">
        <f>$AC$8</f>
        <v>44531</v>
      </c>
      <c r="BC217" s="649">
        <f>$AD$8</f>
        <v>44774</v>
      </c>
      <c r="BD217" s="649">
        <f>$AE$8</f>
        <v>45142</v>
      </c>
      <c r="BE217" s="649">
        <f>$AF$8</f>
        <v>45672</v>
      </c>
      <c r="DE217" s="2"/>
      <c r="DF217" s="2"/>
      <c r="DG217" s="1023"/>
      <c r="DH217" s="116"/>
      <c r="DI217" s="116"/>
      <c r="DJ217" s="1116"/>
    </row>
    <row r="218" spans="1:114" hidden="1" outlineLevel="1" x14ac:dyDescent="0.25">
      <c r="D218" s="659" t="str">
        <f>C206</f>
        <v>802900_2024_12_</v>
      </c>
      <c r="E218" s="659" t="str">
        <f>E206</f>
        <v>ENERGY STAR Hot Holding Cabinet (0 &lt; V &lt;13)</v>
      </c>
      <c r="F218" s="480" t="s">
        <v>319</v>
      </c>
      <c r="G218" s="1764">
        <v>7</v>
      </c>
      <c r="H218" s="492">
        <f>30*G218</f>
        <v>210</v>
      </c>
      <c r="I218" s="493">
        <f>21.5*G218</f>
        <v>150.5</v>
      </c>
      <c r="J218" s="1781">
        <v>15</v>
      </c>
      <c r="K218" s="1782">
        <v>365.25</v>
      </c>
      <c r="V218" s="1343" t="s">
        <v>317</v>
      </c>
      <c r="W218" s="1577">
        <v>280</v>
      </c>
      <c r="X218" s="1577">
        <v>280</v>
      </c>
      <c r="Y218" s="1577">
        <v>280</v>
      </c>
      <c r="Z218" s="1577">
        <v>280</v>
      </c>
      <c r="AA218" s="1577">
        <v>280</v>
      </c>
      <c r="AB218" s="1694">
        <v>280</v>
      </c>
      <c r="AC218" s="735">
        <v>280</v>
      </c>
      <c r="AD218" s="735">
        <v>280</v>
      </c>
      <c r="AE218" s="735">
        <v>280</v>
      </c>
      <c r="AF218" s="735">
        <v>210</v>
      </c>
      <c r="AG218" s="1694"/>
      <c r="AH218"/>
      <c r="AI218" s="1375" t="s">
        <v>318</v>
      </c>
      <c r="AJ218" s="19">
        <v>150.5</v>
      </c>
      <c r="AK218" s="19">
        <v>150.5</v>
      </c>
      <c r="AL218" s="19">
        <v>150.5</v>
      </c>
      <c r="AM218" s="19">
        <v>150.5</v>
      </c>
      <c r="AN218" s="19">
        <v>150.5</v>
      </c>
      <c r="AO218" s="16">
        <v>150.5</v>
      </c>
      <c r="AP218" s="16">
        <v>150.5</v>
      </c>
      <c r="AQ218" s="16">
        <v>150.5</v>
      </c>
      <c r="AR218" s="16">
        <v>150.5</v>
      </c>
      <c r="AS218" s="16">
        <v>150.5</v>
      </c>
      <c r="AU218" s="1375"/>
      <c r="AV218" s="685"/>
      <c r="AW218" s="685"/>
      <c r="AX218" s="685"/>
      <c r="AY218" s="685"/>
      <c r="AZ218" s="685"/>
      <c r="BA218" s="669"/>
      <c r="BB218" s="669"/>
      <c r="BC218" s="669"/>
      <c r="BD218" s="669"/>
      <c r="BE218" s="739"/>
    </row>
    <row r="219" spans="1:114" hidden="1" outlineLevel="1" x14ac:dyDescent="0.25">
      <c r="D219" s="659" t="str">
        <f>C207</f>
        <v>802950_2024_12_</v>
      </c>
      <c r="E219" s="659" t="str">
        <f>E207</f>
        <v>ENERGY STAR Hot Holding Cabinet (13 ≤ V &lt;28)</v>
      </c>
      <c r="F219" s="480" t="s">
        <v>320</v>
      </c>
      <c r="G219" s="1764">
        <v>20</v>
      </c>
      <c r="H219" s="492">
        <f t="shared" ref="H219:H220" si="73">30*G219</f>
        <v>600</v>
      </c>
      <c r="I219" s="493">
        <f>(2*G219)+254</f>
        <v>294</v>
      </c>
      <c r="J219" s="1781">
        <v>15</v>
      </c>
      <c r="K219" s="1782">
        <v>365.25</v>
      </c>
      <c r="V219" s="1343" t="s">
        <v>317</v>
      </c>
      <c r="W219" s="1577">
        <v>800</v>
      </c>
      <c r="X219" s="1577">
        <v>800</v>
      </c>
      <c r="Y219" s="1577">
        <v>800</v>
      </c>
      <c r="Z219" s="1577">
        <v>800</v>
      </c>
      <c r="AA219" s="1577">
        <v>800</v>
      </c>
      <c r="AB219" s="1694">
        <v>800</v>
      </c>
      <c r="AC219" s="735">
        <v>800</v>
      </c>
      <c r="AD219" s="735">
        <v>800</v>
      </c>
      <c r="AE219" s="735">
        <v>800</v>
      </c>
      <c r="AF219" s="735">
        <v>600</v>
      </c>
      <c r="AG219" s="1694"/>
      <c r="AH219"/>
      <c r="AI219" s="1375" t="s">
        <v>318</v>
      </c>
      <c r="AJ219" s="19">
        <v>294</v>
      </c>
      <c r="AK219" s="19">
        <v>294</v>
      </c>
      <c r="AL219" s="19">
        <v>294</v>
      </c>
      <c r="AM219" s="19">
        <v>294</v>
      </c>
      <c r="AN219" s="19">
        <v>294</v>
      </c>
      <c r="AO219" s="16">
        <v>294</v>
      </c>
      <c r="AP219" s="16">
        <v>294</v>
      </c>
      <c r="AQ219" s="16">
        <v>294</v>
      </c>
      <c r="AR219" s="16">
        <v>294</v>
      </c>
      <c r="AS219" s="16">
        <v>294</v>
      </c>
      <c r="AU219" s="1375"/>
      <c r="AV219" s="685"/>
      <c r="AW219" s="685"/>
      <c r="AX219" s="685"/>
      <c r="AY219" s="685"/>
      <c r="AZ219" s="685"/>
      <c r="BA219" s="669"/>
      <c r="BB219" s="669"/>
      <c r="BC219" s="669"/>
      <c r="BD219" s="669"/>
      <c r="BE219" s="739"/>
    </row>
    <row r="220" spans="1:114" hidden="1" outlineLevel="1" x14ac:dyDescent="0.25">
      <c r="D220" s="659" t="str">
        <f>C208</f>
        <v>803000_2024_12_</v>
      </c>
      <c r="E220" s="659" t="str">
        <f>E208</f>
        <v>ENERGY STAR Hot Holding Cabinet (28 ≤ V)</v>
      </c>
      <c r="F220" s="480" t="s">
        <v>321</v>
      </c>
      <c r="G220" s="1764">
        <v>28</v>
      </c>
      <c r="H220" s="492">
        <f t="shared" si="73"/>
        <v>840</v>
      </c>
      <c r="I220" s="493">
        <f>(3.8*G220)+203.5</f>
        <v>309.89999999999998</v>
      </c>
      <c r="J220" s="1781">
        <v>15</v>
      </c>
      <c r="K220" s="1782">
        <v>365.25</v>
      </c>
      <c r="V220" s="1343" t="s">
        <v>317</v>
      </c>
      <c r="W220" s="1577">
        <v>1120</v>
      </c>
      <c r="X220" s="1577">
        <v>1120</v>
      </c>
      <c r="Y220" s="1577">
        <v>1120</v>
      </c>
      <c r="Z220" s="1577">
        <v>1120</v>
      </c>
      <c r="AA220" s="1577">
        <v>1120</v>
      </c>
      <c r="AB220" s="1694">
        <v>1120</v>
      </c>
      <c r="AC220" s="735">
        <v>1120</v>
      </c>
      <c r="AD220" s="735">
        <v>1120</v>
      </c>
      <c r="AE220" s="735">
        <v>1120</v>
      </c>
      <c r="AF220" s="735">
        <v>840</v>
      </c>
      <c r="AG220" s="1694"/>
      <c r="AH220"/>
      <c r="AI220" s="1375" t="s">
        <v>318</v>
      </c>
      <c r="AJ220" s="19">
        <v>309.89999999999998</v>
      </c>
      <c r="AK220" s="19">
        <v>309.89999999999998</v>
      </c>
      <c r="AL220" s="19">
        <v>309.89999999999998</v>
      </c>
      <c r="AM220" s="19">
        <v>309.89999999999998</v>
      </c>
      <c r="AN220" s="19">
        <v>309.89999999999998</v>
      </c>
      <c r="AO220" s="16">
        <v>309.89999999999998</v>
      </c>
      <c r="AP220" s="16">
        <v>309.89999999999998</v>
      </c>
      <c r="AQ220" s="16">
        <v>309.89999999999998</v>
      </c>
      <c r="AR220" s="16">
        <v>309.89999999999998</v>
      </c>
      <c r="AS220" s="16">
        <v>309.89999999999998</v>
      </c>
      <c r="AU220" s="1375"/>
      <c r="AV220" s="685"/>
      <c r="AW220" s="685"/>
      <c r="AX220" s="685"/>
      <c r="AY220" s="685"/>
      <c r="AZ220" s="685"/>
      <c r="BA220" s="669"/>
      <c r="BB220" s="669"/>
      <c r="BC220" s="669"/>
      <c r="BD220" s="669"/>
      <c r="BE220" s="739"/>
    </row>
    <row r="221" spans="1:114" collapsed="1" x14ac:dyDescent="0.25">
      <c r="H221" s="1705" t="s">
        <v>322</v>
      </c>
    </row>
    <row r="223" spans="1:114" s="7" customFormat="1" x14ac:dyDescent="0.25">
      <c r="A223" s="252"/>
      <c r="B223" s="2071" t="s">
        <v>323</v>
      </c>
      <c r="C223" s="2072"/>
      <c r="D223" s="2072"/>
      <c r="E223" s="2072"/>
      <c r="F223" s="2072"/>
      <c r="G223" s="2072"/>
      <c r="H223" s="2072"/>
      <c r="I223" s="2073"/>
      <c r="J223" s="2073"/>
      <c r="K223" s="2073"/>
      <c r="L223" s="2073"/>
      <c r="M223" s="2074"/>
      <c r="N223" s="2074"/>
      <c r="O223" s="2075"/>
      <c r="V223" s="1107" t="str">
        <f>B223</f>
        <v>HVAC</v>
      </c>
      <c r="W223" s="1293"/>
      <c r="X223" s="1293"/>
      <c r="Y223" s="1293"/>
      <c r="Z223" s="1293"/>
      <c r="AA223" s="1293"/>
      <c r="AB223" s="1293"/>
      <c r="AC223" s="1293"/>
      <c r="AD223" s="1293"/>
      <c r="AE223" s="1293"/>
      <c r="AF223" s="1293"/>
      <c r="AG223" s="1293"/>
      <c r="AH223" s="1293"/>
      <c r="AI223" s="1327"/>
      <c r="AJ223" s="2"/>
      <c r="AK223" s="2"/>
      <c r="AL223" s="2"/>
      <c r="AM223" s="2"/>
      <c r="AN223" s="2"/>
      <c r="AO223" s="2"/>
      <c r="AP223" s="2"/>
      <c r="AQ223" s="2"/>
      <c r="AR223" s="2"/>
      <c r="AS223" s="2"/>
      <c r="AT223" s="2"/>
      <c r="AU223" s="2"/>
      <c r="DE223" s="2"/>
      <c r="DF223" s="2"/>
      <c r="DG223" s="23"/>
      <c r="DJ223" s="1059"/>
    </row>
    <row r="224" spans="1:114" x14ac:dyDescent="0.25">
      <c r="D224" s="450"/>
      <c r="E224" s="7"/>
      <c r="F224" s="7"/>
      <c r="G224" s="7"/>
      <c r="H224" s="451"/>
      <c r="I224" s="7"/>
      <c r="J224" s="7"/>
      <c r="K224" s="7"/>
      <c r="L224" s="7"/>
      <c r="P224" s="7"/>
      <c r="Q224" s="7"/>
      <c r="R224" s="7"/>
      <c r="S224" s="7"/>
      <c r="T224" s="7"/>
      <c r="U224" s="7"/>
      <c r="V224"/>
      <c r="W224"/>
      <c r="X224"/>
      <c r="Y224"/>
      <c r="Z224"/>
      <c r="AA224"/>
      <c r="AB224"/>
      <c r="AC224"/>
      <c r="AD224"/>
      <c r="AE224"/>
      <c r="AF224"/>
      <c r="AG224"/>
      <c r="AH224"/>
      <c r="AI224"/>
      <c r="AJ224" s="6"/>
      <c r="AK224" s="6"/>
      <c r="AL224" s="6"/>
      <c r="AM224" s="6"/>
      <c r="AN224" s="6"/>
      <c r="AO224" s="6"/>
      <c r="AP224" s="6"/>
      <c r="AQ224" s="6"/>
      <c r="AR224" s="6"/>
      <c r="AS224" s="6"/>
      <c r="AT224" s="6"/>
      <c r="AU224" s="6"/>
      <c r="DG224" s="1016" t="s">
        <v>324</v>
      </c>
    </row>
    <row r="225" spans="1:114" s="8" customFormat="1" ht="30" x14ac:dyDescent="0.25">
      <c r="A225" s="252"/>
      <c r="B225" s="64"/>
      <c r="C225" s="9" t="s">
        <v>42</v>
      </c>
      <c r="D225" s="9" t="s">
        <v>43</v>
      </c>
      <c r="E225" s="1361" t="s">
        <v>44</v>
      </c>
      <c r="F225" s="1361" t="s">
        <v>325</v>
      </c>
      <c r="G225" s="1361" t="s">
        <v>326</v>
      </c>
      <c r="H225" s="1361" t="s">
        <v>327</v>
      </c>
      <c r="I225" s="1361" t="s">
        <v>46</v>
      </c>
      <c r="J225" s="1361" t="s">
        <v>46</v>
      </c>
      <c r="K225" s="10" t="s">
        <v>47</v>
      </c>
      <c r="L225" s="1361" t="s">
        <v>48</v>
      </c>
      <c r="M225" s="1361" t="s">
        <v>49</v>
      </c>
      <c r="N225" s="1361" t="s">
        <v>50</v>
      </c>
      <c r="O225" s="9" t="s">
        <v>51</v>
      </c>
      <c r="P225" s="494"/>
      <c r="Q225" s="495"/>
      <c r="R225" s="116"/>
      <c r="S225" s="116"/>
      <c r="T225" s="116"/>
      <c r="U225" s="116"/>
      <c r="V225" s="648" t="s">
        <v>52</v>
      </c>
      <c r="W225" s="649">
        <f>$W$8</f>
        <v>43252</v>
      </c>
      <c r="X225" s="649">
        <f>$X$8</f>
        <v>43465</v>
      </c>
      <c r="Y225" s="649">
        <f>$Y$8</f>
        <v>43800</v>
      </c>
      <c r="Z225" s="649">
        <f>$Z$8</f>
        <v>43862</v>
      </c>
      <c r="AA225" s="649">
        <f>$AA$8</f>
        <v>44013</v>
      </c>
      <c r="AB225" s="649">
        <v>44166</v>
      </c>
      <c r="AC225" s="649">
        <f>$AC$8</f>
        <v>44531</v>
      </c>
      <c r="AD225" s="649">
        <f>$AD$8</f>
        <v>44774</v>
      </c>
      <c r="AE225" s="649">
        <f>$AE$8</f>
        <v>45142</v>
      </c>
      <c r="AF225" s="649">
        <f>$AF$8</f>
        <v>45672</v>
      </c>
      <c r="AG225" s="649" t="str">
        <f>$AG$8</f>
        <v>-</v>
      </c>
      <c r="AH225"/>
      <c r="AI225" s="648" t="s">
        <v>52</v>
      </c>
      <c r="AJ225" s="649">
        <v>43252</v>
      </c>
      <c r="AK225" s="649">
        <f>$X$8</f>
        <v>43465</v>
      </c>
      <c r="AL225" s="649">
        <f>$Y$8</f>
        <v>43800</v>
      </c>
      <c r="AM225" s="649">
        <f>$Z$8</f>
        <v>43862</v>
      </c>
      <c r="AN225" s="649">
        <f>$AA$8</f>
        <v>44013</v>
      </c>
      <c r="AO225" s="649">
        <f>$AB$8</f>
        <v>44166</v>
      </c>
      <c r="AP225" s="649">
        <f>$AC$8</f>
        <v>44531</v>
      </c>
      <c r="AQ225" s="649">
        <f>$AD$8</f>
        <v>44774</v>
      </c>
      <c r="AR225" s="649">
        <f>$AE$8</f>
        <v>45142</v>
      </c>
      <c r="AS225" s="649">
        <f>$AF$8</f>
        <v>45672</v>
      </c>
      <c r="AT225"/>
      <c r="AU225" s="648" t="s">
        <v>52</v>
      </c>
      <c r="AV225" s="649">
        <v>43252</v>
      </c>
      <c r="AW225" s="649">
        <f>$X$8</f>
        <v>43465</v>
      </c>
      <c r="AX225" s="649">
        <f>$Y$8</f>
        <v>43800</v>
      </c>
      <c r="AY225" s="649">
        <f>$Z$8</f>
        <v>43862</v>
      </c>
      <c r="AZ225" s="649">
        <f>$AA$8</f>
        <v>44013</v>
      </c>
      <c r="BA225" s="649">
        <v>44166</v>
      </c>
      <c r="BB225" s="649">
        <f>$AC$8</f>
        <v>44531</v>
      </c>
      <c r="BC225" s="649">
        <f>$AD$8</f>
        <v>44774</v>
      </c>
      <c r="BD225" s="649">
        <f>$AE$8</f>
        <v>45142</v>
      </c>
      <c r="BE225" s="649">
        <f>$AF$8</f>
        <v>45672</v>
      </c>
      <c r="BF225"/>
      <c r="BG225" s="648" t="s">
        <v>52</v>
      </c>
      <c r="BH225" s="649">
        <v>43252</v>
      </c>
      <c r="BI225" s="649">
        <f>$X$8</f>
        <v>43465</v>
      </c>
      <c r="BJ225" s="649">
        <f>$Y$8</f>
        <v>43800</v>
      </c>
      <c r="BK225" s="649">
        <f>$Z$8</f>
        <v>43862</v>
      </c>
      <c r="BL225" s="649">
        <f>$AA$8</f>
        <v>44013</v>
      </c>
      <c r="BM225" s="649">
        <v>44166</v>
      </c>
      <c r="BN225" s="649">
        <f>$AC$8</f>
        <v>44531</v>
      </c>
      <c r="BO225" s="649">
        <f>$AD$8</f>
        <v>44774</v>
      </c>
      <c r="BP225" s="649">
        <f>$AE$8</f>
        <v>45142</v>
      </c>
      <c r="BQ225" s="649">
        <f>$AF$8</f>
        <v>45672</v>
      </c>
      <c r="BR225" s="2"/>
      <c r="BS225" s="2"/>
      <c r="BT225" s="648" t="s">
        <v>52</v>
      </c>
      <c r="BU225" s="649">
        <v>43252</v>
      </c>
      <c r="BV225" s="649">
        <f>$X$8</f>
        <v>43465</v>
      </c>
      <c r="BW225" s="649">
        <f>$Y$8</f>
        <v>43800</v>
      </c>
      <c r="BX225" s="649">
        <f>$Z$8</f>
        <v>43862</v>
      </c>
      <c r="BY225" s="649">
        <f>$AA$8</f>
        <v>44013</v>
      </c>
      <c r="BZ225" s="649">
        <f>$AB$8</f>
        <v>44166</v>
      </c>
      <c r="CA225" s="649">
        <f>$AC$8</f>
        <v>44531</v>
      </c>
      <c r="CB225" s="649">
        <f>$AD$8</f>
        <v>44774</v>
      </c>
      <c r="CC225" s="649">
        <f>$AE$8</f>
        <v>45142</v>
      </c>
      <c r="CD225" s="649">
        <f>$AF$8</f>
        <v>45672</v>
      </c>
      <c r="DE225" s="2"/>
      <c r="DF225" s="2"/>
      <c r="DG225" s="1018" t="str">
        <f>$DG$8</f>
        <v>TRC (2025)</v>
      </c>
      <c r="DH225" s="776" t="str">
        <f>$DH$8</f>
        <v>Benefit Lookup</v>
      </c>
      <c r="DI225" s="776" t="str">
        <f>$DI$8</f>
        <v>Benefits (2025 $)</v>
      </c>
      <c r="DJ225" s="1118" t="str">
        <f>$DJ$8</f>
        <v>Incremental Cost (2025 $)</v>
      </c>
    </row>
    <row r="226" spans="1:114" x14ac:dyDescent="0.25">
      <c r="B226" s="252">
        <f t="shared" ref="B226:B227" si="74">VALUE(LEFT(C226,6))</f>
        <v>803050</v>
      </c>
      <c r="C226" s="668" t="s">
        <v>328</v>
      </c>
      <c r="D226" s="452" t="s">
        <v>329</v>
      </c>
      <c r="E226" s="496" t="s">
        <v>330</v>
      </c>
      <c r="F226" s="19">
        <f>SUM(G226:H226)</f>
        <v>0</v>
      </c>
      <c r="G226" s="55">
        <f>ROUND((1/F237)*G237*(H237/1000)*I237/(H237/12000),2)*0</f>
        <v>0</v>
      </c>
      <c r="H226" s="651">
        <f>J237*(L237/(K237*3412)*1/(L237/12000))*M237*0</f>
        <v>0</v>
      </c>
      <c r="I226" s="452" t="s">
        <v>331</v>
      </c>
      <c r="J226" s="452" t="s">
        <v>332</v>
      </c>
      <c r="K226" s="453">
        <v>9.1068395835808389E-4</v>
      </c>
      <c r="L226" s="497">
        <f>ROUND(K226*G226,6)</f>
        <v>0</v>
      </c>
      <c r="M226" s="488">
        <v>9</v>
      </c>
      <c r="N226" s="1783">
        <f>N237/(H237/12000)</f>
        <v>105.6</v>
      </c>
      <c r="O226" s="454" t="s">
        <v>333</v>
      </c>
      <c r="V226" s="1375" t="str">
        <f>F225</f>
        <v>Total kWh Annual Savings per ton</v>
      </c>
      <c r="W226" s="53">
        <v>438.34117233294256</v>
      </c>
      <c r="X226" s="53">
        <v>438.34117233294256</v>
      </c>
      <c r="Y226" s="53">
        <v>438.34117233294256</v>
      </c>
      <c r="Z226" s="53">
        <v>438.34117233294256</v>
      </c>
      <c r="AA226" s="53">
        <v>438.34117233294256</v>
      </c>
      <c r="AB226" s="53">
        <v>438.34117233294256</v>
      </c>
      <c r="AC226" s="53">
        <v>438.34117233294256</v>
      </c>
      <c r="AD226" s="53">
        <v>438.34117233294256</v>
      </c>
      <c r="AE226" s="53">
        <v>438.34117233294256</v>
      </c>
      <c r="AF226" s="258">
        <f>IF(F226&lt;&gt;"",F226,"")</f>
        <v>0</v>
      </c>
      <c r="AG226" s="68"/>
      <c r="AH226"/>
      <c r="AI226" s="1375" t="str">
        <f>G225</f>
        <v>Cooling kWh Annual Savings (per Ton)</v>
      </c>
      <c r="AJ226" s="53">
        <v>233.00117233294256</v>
      </c>
      <c r="AK226" s="53">
        <v>233.00117233294256</v>
      </c>
      <c r="AL226" s="53">
        <v>233.00117233294256</v>
      </c>
      <c r="AM226" s="53">
        <v>233.00117233294256</v>
      </c>
      <c r="AN226" s="53">
        <v>233.00117233294256</v>
      </c>
      <c r="AO226" s="630">
        <v>233.00117233294256</v>
      </c>
      <c r="AP226" s="52">
        <v>233</v>
      </c>
      <c r="AQ226" s="51">
        <v>233</v>
      </c>
      <c r="AR226" s="51">
        <v>233</v>
      </c>
      <c r="AS226" s="46">
        <f>G226</f>
        <v>0</v>
      </c>
      <c r="AT226"/>
      <c r="AU226" s="1375" t="str">
        <f>H225</f>
        <v>Heating kWh Annual Savings (per ton)</v>
      </c>
      <c r="AV226" s="53">
        <v>205.33500000000004</v>
      </c>
      <c r="AW226" s="53">
        <v>205.33500000000004</v>
      </c>
      <c r="AX226" s="53">
        <v>205.33500000000004</v>
      </c>
      <c r="AY226" s="53">
        <v>205.33500000000004</v>
      </c>
      <c r="AZ226" s="53">
        <v>205.33500000000004</v>
      </c>
      <c r="BA226" s="52">
        <v>205.34</v>
      </c>
      <c r="BB226" s="628">
        <v>205.34</v>
      </c>
      <c r="BC226" s="982">
        <v>205.34</v>
      </c>
      <c r="BD226" s="982">
        <v>205.34</v>
      </c>
      <c r="BE226" s="639">
        <f>H226</f>
        <v>0</v>
      </c>
      <c r="BF226"/>
      <c r="BG226" s="1375" t="s">
        <v>49</v>
      </c>
      <c r="BH226" s="19">
        <v>10</v>
      </c>
      <c r="BI226" s="19">
        <v>10</v>
      </c>
      <c r="BJ226" s="19">
        <v>10</v>
      </c>
      <c r="BK226" s="19">
        <v>10</v>
      </c>
      <c r="BL226" s="19">
        <v>10</v>
      </c>
      <c r="BM226" s="52">
        <v>10</v>
      </c>
      <c r="BN226" s="52">
        <v>10</v>
      </c>
      <c r="BO226" s="52">
        <v>10</v>
      </c>
      <c r="BP226" s="52">
        <v>10</v>
      </c>
      <c r="BQ226" s="650">
        <f>M226</f>
        <v>9</v>
      </c>
      <c r="BT226" s="1375" t="str">
        <f>N225</f>
        <v>Inc. Cost</v>
      </c>
      <c r="BU226" s="685">
        <v>224</v>
      </c>
      <c r="BV226" s="685">
        <v>224</v>
      </c>
      <c r="BW226" s="685">
        <v>224</v>
      </c>
      <c r="BX226" s="685">
        <v>224</v>
      </c>
      <c r="BY226" s="685">
        <v>224</v>
      </c>
      <c r="BZ226" s="685">
        <v>224</v>
      </c>
      <c r="CA226" s="685">
        <v>224</v>
      </c>
      <c r="CB226" s="685">
        <v>224</v>
      </c>
      <c r="CC226" s="685">
        <v>224</v>
      </c>
      <c r="CD226" s="1699">
        <f>N226</f>
        <v>105.6</v>
      </c>
      <c r="DG226" s="1025">
        <f>(DI226)/(DJ226)</f>
        <v>0</v>
      </c>
      <c r="DH226" s="1330" t="str">
        <f>CONCATENATE(I226," ",M226," Year EUL")</f>
        <v>Cooling BUS 9 Year EUL</v>
      </c>
      <c r="DI226" s="1026">
        <f>(INDEX('Avoided Cost Benefits'!$B$4:$B$865,MATCH(DH226,'Avoided Cost Benefits'!$A$4:$A$865,0)))*G226</f>
        <v>0</v>
      </c>
      <c r="DJ226" s="1938">
        <f>IFERROR(N226/((1+DiscountRate)^(CurrentYear-DiscountYear)),0)</f>
        <v>105.6</v>
      </c>
    </row>
    <row r="227" spans="1:114" x14ac:dyDescent="0.25">
      <c r="B227" s="252">
        <f t="shared" si="74"/>
        <v>803060</v>
      </c>
      <c r="C227" s="668" t="s">
        <v>334</v>
      </c>
      <c r="D227" s="452" t="s">
        <v>329</v>
      </c>
      <c r="E227" s="496" t="s">
        <v>335</v>
      </c>
      <c r="F227" s="19">
        <f>SUM(G227:H227)</f>
        <v>0</v>
      </c>
      <c r="G227" s="55">
        <f>ROUND((1/F237)*G237*(H237/1000)*I237/(H237/12000),2)*0</f>
        <v>0</v>
      </c>
      <c r="H227" s="651">
        <v>0</v>
      </c>
      <c r="I227" s="452" t="s">
        <v>331</v>
      </c>
      <c r="J227" s="452" t="s">
        <v>332</v>
      </c>
      <c r="K227" s="453">
        <v>9.1068395835808389E-4</v>
      </c>
      <c r="L227" s="497">
        <f>ROUND(K227*G227,6)</f>
        <v>0</v>
      </c>
      <c r="M227" s="488">
        <v>9</v>
      </c>
      <c r="N227" s="1783">
        <f>N237/(H237/12000)</f>
        <v>105.6</v>
      </c>
      <c r="O227" s="454" t="s">
        <v>333</v>
      </c>
      <c r="V227" s="1375" t="str">
        <f>V226</f>
        <v>Total kWh Annual Savings per ton</v>
      </c>
      <c r="W227" s="53"/>
      <c r="X227" s="53"/>
      <c r="Y227" s="53"/>
      <c r="Z227" s="53"/>
      <c r="AA227" s="53"/>
      <c r="AB227" s="53"/>
      <c r="AC227" s="53"/>
      <c r="AD227" s="53"/>
      <c r="AE227" s="53"/>
      <c r="AF227" s="258">
        <f>IF(F227&lt;&gt;"",F227,"")</f>
        <v>0</v>
      </c>
      <c r="AG227" s="68"/>
      <c r="AH227"/>
      <c r="AI227" s="1375" t="str">
        <f>AI226</f>
        <v>Cooling kWh Annual Savings (per Ton)</v>
      </c>
      <c r="AJ227" s="53"/>
      <c r="AK227" s="53"/>
      <c r="AL227" s="53"/>
      <c r="AM227" s="53"/>
      <c r="AN227" s="53"/>
      <c r="AO227" s="630"/>
      <c r="AP227" s="52"/>
      <c r="AQ227" s="51"/>
      <c r="AR227" s="51"/>
      <c r="AS227" s="46">
        <f>G227</f>
        <v>0</v>
      </c>
      <c r="AT227"/>
      <c r="AU227" s="1375" t="str">
        <f>AU226</f>
        <v>Heating kWh Annual Savings (per ton)</v>
      </c>
      <c r="AV227" s="53"/>
      <c r="AW227" s="53"/>
      <c r="AX227" s="53"/>
      <c r="AY227" s="53"/>
      <c r="AZ227" s="53"/>
      <c r="BA227" s="52"/>
      <c r="BB227" s="628"/>
      <c r="BC227" s="982"/>
      <c r="BD227" s="982"/>
      <c r="BE227" s="639">
        <f>H227</f>
        <v>0</v>
      </c>
      <c r="BF227"/>
      <c r="BG227" s="1375" t="s">
        <v>49</v>
      </c>
      <c r="BH227" s="19">
        <v>10</v>
      </c>
      <c r="BI227" s="19">
        <v>10</v>
      </c>
      <c r="BJ227" s="19">
        <v>10</v>
      </c>
      <c r="BK227" s="19">
        <v>10</v>
      </c>
      <c r="BL227" s="19">
        <v>10</v>
      </c>
      <c r="BM227" s="52">
        <v>10</v>
      </c>
      <c r="BN227" s="52">
        <v>10</v>
      </c>
      <c r="BO227" s="52">
        <v>10</v>
      </c>
      <c r="BP227" s="52">
        <v>10</v>
      </c>
      <c r="BQ227" s="650">
        <f>M227</f>
        <v>9</v>
      </c>
      <c r="BT227" s="1375" t="str">
        <f>BT226</f>
        <v>Inc. Cost</v>
      </c>
      <c r="BU227" s="685"/>
      <c r="BV227" s="685"/>
      <c r="BW227" s="685"/>
      <c r="BX227" s="685"/>
      <c r="BY227" s="685"/>
      <c r="BZ227" s="685"/>
      <c r="CA227" s="685"/>
      <c r="CB227" s="685"/>
      <c r="CC227" s="685"/>
      <c r="CD227" s="1699">
        <f>N227</f>
        <v>105.6</v>
      </c>
      <c r="DG227" s="1025">
        <f>(DI227)/(DJ227)</f>
        <v>0</v>
      </c>
      <c r="DH227" s="1330" t="str">
        <f>CONCATENATE(I227," ",M227," Year EUL")</f>
        <v>Cooling BUS 9 Year EUL</v>
      </c>
      <c r="DI227" s="1026">
        <f>(INDEX('Avoided Cost Benefits'!$B$4:$B$865,MATCH(DH227,'Avoided Cost Benefits'!$A$4:$A$865,0)))*G227</f>
        <v>0</v>
      </c>
      <c r="DJ227" s="1939">
        <f>IFERROR(N227/((1+DiscountRate)^(CurrentYear-DiscountYear)),0)</f>
        <v>105.6</v>
      </c>
    </row>
    <row r="228" spans="1:114" hidden="1" outlineLevel="1" x14ac:dyDescent="0.25">
      <c r="D228" s="74" t="s">
        <v>94</v>
      </c>
      <c r="E228" s="108" t="s">
        <v>336</v>
      </c>
      <c r="F228" s="7"/>
      <c r="G228" s="7"/>
      <c r="H228" s="460"/>
      <c r="I228" s="7"/>
      <c r="J228" s="7"/>
      <c r="K228" s="7"/>
      <c r="M228" s="1692" t="s">
        <v>337</v>
      </c>
      <c r="N228" s="1692"/>
      <c r="AF228" s="1690" t="s">
        <v>338</v>
      </c>
      <c r="BQ228" s="252" t="s">
        <v>337</v>
      </c>
      <c r="CD228" s="2" t="s">
        <v>339</v>
      </c>
    </row>
    <row r="229" spans="1:114" hidden="1" outlineLevel="1" x14ac:dyDescent="0.25">
      <c r="D229" s="7" t="s">
        <v>96</v>
      </c>
      <c r="E229" s="7"/>
      <c r="F229" s="7"/>
      <c r="G229" s="7"/>
      <c r="H229" s="460"/>
      <c r="I229" s="7"/>
      <c r="J229" s="7"/>
      <c r="K229" s="7"/>
    </row>
    <row r="230" spans="1:114" hidden="1" outlineLevel="1" x14ac:dyDescent="0.25">
      <c r="D230" s="461"/>
      <c r="G230" s="252"/>
      <c r="H230" s="462"/>
      <c r="I230" s="50"/>
    </row>
    <row r="231" spans="1:114" hidden="1" outlineLevel="1" x14ac:dyDescent="0.25">
      <c r="D231" s="461"/>
      <c r="G231" s="252"/>
      <c r="H231" s="462"/>
    </row>
    <row r="232" spans="1:114" hidden="1" outlineLevel="1" x14ac:dyDescent="0.25">
      <c r="D232" s="461"/>
      <c r="G232" s="252"/>
      <c r="H232" s="462"/>
      <c r="M232" s="7"/>
    </row>
    <row r="233" spans="1:114" hidden="1" outlineLevel="1" x14ac:dyDescent="0.25">
      <c r="D233" s="461"/>
      <c r="G233" s="252"/>
      <c r="H233" s="462"/>
      <c r="M233" s="7"/>
    </row>
    <row r="234" spans="1:114" hidden="1" outlineLevel="1" x14ac:dyDescent="0.25">
      <c r="D234" s="461"/>
      <c r="G234" s="252"/>
      <c r="H234" s="462"/>
      <c r="M234" s="7"/>
    </row>
    <row r="235" spans="1:114" hidden="1" outlineLevel="1" x14ac:dyDescent="0.25">
      <c r="D235" s="461"/>
      <c r="G235" s="252"/>
      <c r="H235" s="462"/>
    </row>
    <row r="236" spans="1:114" s="8" customFormat="1" ht="30" hidden="1" outlineLevel="1" x14ac:dyDescent="0.25">
      <c r="A236" s="252"/>
      <c r="B236" s="116"/>
      <c r="C236" s="64"/>
      <c r="D236" s="1294" t="s">
        <v>42</v>
      </c>
      <c r="E236" s="1294" t="s">
        <v>172</v>
      </c>
      <c r="F236" s="32" t="s">
        <v>340</v>
      </c>
      <c r="G236" s="1294" t="s">
        <v>341</v>
      </c>
      <c r="H236" s="1294" t="s">
        <v>342</v>
      </c>
      <c r="I236" s="1294" t="s">
        <v>343</v>
      </c>
      <c r="J236" s="32" t="s">
        <v>344</v>
      </c>
      <c r="K236" s="32" t="s">
        <v>345</v>
      </c>
      <c r="L236" s="1294" t="s">
        <v>346</v>
      </c>
      <c r="M236" s="1294" t="s">
        <v>347</v>
      </c>
      <c r="N236" s="1294" t="s">
        <v>348</v>
      </c>
      <c r="O236" s="116"/>
      <c r="P236" s="116"/>
      <c r="Q236" s="116"/>
      <c r="R236" s="116"/>
      <c r="S236" s="116"/>
      <c r="T236" s="116"/>
      <c r="U236" s="116"/>
      <c r="V236" s="648" t="s">
        <v>52</v>
      </c>
      <c r="W236" s="649">
        <f>$W$8</f>
        <v>43252</v>
      </c>
      <c r="X236" s="649">
        <f>$X$8</f>
        <v>43465</v>
      </c>
      <c r="Y236" s="649">
        <f>$Y$8</f>
        <v>43800</v>
      </c>
      <c r="Z236" s="649">
        <f>$Z$8</f>
        <v>43862</v>
      </c>
      <c r="AA236" s="649">
        <f>$AA$8</f>
        <v>44013</v>
      </c>
      <c r="AB236" s="649">
        <v>44166</v>
      </c>
      <c r="AC236" s="649">
        <f>$AC$8</f>
        <v>44531</v>
      </c>
      <c r="AD236" s="649">
        <f>$AD$8</f>
        <v>44774</v>
      </c>
      <c r="AE236" s="649">
        <f>$AE$8</f>
        <v>45142</v>
      </c>
      <c r="AF236" s="649">
        <f>$AF$8</f>
        <v>45672</v>
      </c>
      <c r="AG236" s="649" t="str">
        <f>$AG$8</f>
        <v>-</v>
      </c>
      <c r="AI236" s="648" t="s">
        <v>52</v>
      </c>
      <c r="AJ236" s="649">
        <f>$W$8</f>
        <v>43252</v>
      </c>
      <c r="AK236" s="649">
        <f>$X$8</f>
        <v>43465</v>
      </c>
      <c r="AL236" s="649">
        <f>$Y$8</f>
        <v>43800</v>
      </c>
      <c r="AM236" s="649">
        <f>$Z$8</f>
        <v>43862</v>
      </c>
      <c r="AN236" s="649">
        <f>$AA$8</f>
        <v>44013</v>
      </c>
      <c r="AO236" s="649">
        <v>44166</v>
      </c>
      <c r="AP236" s="649">
        <f>$AC$8</f>
        <v>44531</v>
      </c>
      <c r="AQ236" s="649">
        <f>$AD$8</f>
        <v>44774</v>
      </c>
      <c r="AR236" s="649">
        <f>$AE$8</f>
        <v>45142</v>
      </c>
      <c r="AS236" s="649">
        <f>$AF$8</f>
        <v>45672</v>
      </c>
      <c r="AT236" s="2"/>
      <c r="AU236" s="648" t="s">
        <v>52</v>
      </c>
      <c r="AV236" s="649">
        <f>$W$8</f>
        <v>43252</v>
      </c>
      <c r="AW236" s="649">
        <f>$X$8</f>
        <v>43465</v>
      </c>
      <c r="AX236" s="649">
        <f>$Y$8</f>
        <v>43800</v>
      </c>
      <c r="AY236" s="649">
        <f>$Z$8</f>
        <v>43862</v>
      </c>
      <c r="AZ236" s="649">
        <f>$AA$8</f>
        <v>44013</v>
      </c>
      <c r="BA236" s="649">
        <v>44166</v>
      </c>
      <c r="BB236" s="649">
        <f>$AC$8</f>
        <v>44531</v>
      </c>
      <c r="BC236" s="649">
        <f>$AD$8</f>
        <v>44774</v>
      </c>
      <c r="BD236" s="649">
        <f>$AE$8</f>
        <v>45142</v>
      </c>
      <c r="BE236" s="649">
        <f>$AF$8</f>
        <v>45672</v>
      </c>
      <c r="BG236" s="648" t="s">
        <v>52</v>
      </c>
      <c r="BH236" s="649">
        <f>$W$8</f>
        <v>43252</v>
      </c>
      <c r="BI236" s="649">
        <f>$X$8</f>
        <v>43465</v>
      </c>
      <c r="BJ236" s="649">
        <f>$Y$8</f>
        <v>43800</v>
      </c>
      <c r="BK236" s="649">
        <f>$Z$8</f>
        <v>43862</v>
      </c>
      <c r="BL236" s="649">
        <f>$AA$8</f>
        <v>44013</v>
      </c>
      <c r="BM236" s="649">
        <v>44166</v>
      </c>
      <c r="BN236" s="649">
        <f>$AC$8</f>
        <v>44531</v>
      </c>
      <c r="BO236" s="649">
        <f>$AD$8</f>
        <v>44774</v>
      </c>
      <c r="BP236" s="649">
        <f>$AE$8</f>
        <v>45142</v>
      </c>
      <c r="BQ236" s="649">
        <f>$AF$8</f>
        <v>45672</v>
      </c>
      <c r="BT236" s="648" t="s">
        <v>52</v>
      </c>
      <c r="BU236" s="649">
        <v>43252</v>
      </c>
      <c r="BV236" s="649">
        <f>$X$8</f>
        <v>43465</v>
      </c>
      <c r="BW236" s="649">
        <f>$Y$8</f>
        <v>43800</v>
      </c>
      <c r="BX236" s="649">
        <f>$Z$8</f>
        <v>43862</v>
      </c>
      <c r="BY236" s="649">
        <f>$AA$8</f>
        <v>44013</v>
      </c>
      <c r="BZ236" s="649">
        <f>$AB$8</f>
        <v>44166</v>
      </c>
      <c r="CA236" s="649">
        <f>$AC$8</f>
        <v>44531</v>
      </c>
      <c r="CB236" s="649">
        <f>$AD$8</f>
        <v>44774</v>
      </c>
      <c r="CC236" s="649">
        <f>$AE$8</f>
        <v>45142</v>
      </c>
      <c r="CD236" s="649">
        <f>$AF$8</f>
        <v>45672</v>
      </c>
      <c r="DE236" s="2"/>
      <c r="DF236" s="2"/>
      <c r="DG236" s="1023"/>
      <c r="DH236" s="116"/>
      <c r="DI236" s="116"/>
      <c r="DJ236" s="1116"/>
    </row>
    <row r="237" spans="1:114" ht="30" hidden="1" outlineLevel="1" x14ac:dyDescent="0.25">
      <c r="D237" s="659" t="str">
        <f>C226</f>
        <v>803050_2024_12_</v>
      </c>
      <c r="E237" s="659" t="str">
        <f>E226</f>
        <v>Learning Thermostat, cooling and electric heat, per ton</v>
      </c>
      <c r="F237" s="1789">
        <v>13.4</v>
      </c>
      <c r="G237" s="1778">
        <v>1053</v>
      </c>
      <c r="H237" s="1874">
        <v>30000</v>
      </c>
      <c r="I237" s="1784">
        <v>0.13900000000000001</v>
      </c>
      <c r="J237" s="1778">
        <v>1060</v>
      </c>
      <c r="K237" s="1777">
        <v>2</v>
      </c>
      <c r="L237" s="1874">
        <v>30000</v>
      </c>
      <c r="M237" s="1784">
        <v>0.125</v>
      </c>
      <c r="N237" s="1778">
        <v>264</v>
      </c>
      <c r="V237" s="1343" t="s">
        <v>340</v>
      </c>
      <c r="W237" s="1577">
        <v>10</v>
      </c>
      <c r="X237" s="1577">
        <v>10</v>
      </c>
      <c r="Y237" s="1577">
        <v>10</v>
      </c>
      <c r="Z237" s="1577">
        <v>10</v>
      </c>
      <c r="AA237" s="1577">
        <v>10</v>
      </c>
      <c r="AB237" s="1577">
        <v>10</v>
      </c>
      <c r="AC237" s="1577">
        <v>10</v>
      </c>
      <c r="AD237" s="1577">
        <v>10</v>
      </c>
      <c r="AE237" s="1577">
        <v>10</v>
      </c>
      <c r="AF237" s="630">
        <v>13.4</v>
      </c>
      <c r="AG237" s="1694"/>
      <c r="AI237" s="1343" t="s">
        <v>342</v>
      </c>
      <c r="AJ237" s="1726">
        <v>12000</v>
      </c>
      <c r="AK237" s="1726">
        <v>12000</v>
      </c>
      <c r="AL237" s="1726">
        <v>12000</v>
      </c>
      <c r="AM237" s="1726">
        <v>12000</v>
      </c>
      <c r="AN237" s="1726">
        <v>12000</v>
      </c>
      <c r="AO237" s="1726">
        <v>12000</v>
      </c>
      <c r="AP237" s="1726">
        <v>12000</v>
      </c>
      <c r="AQ237" s="1726">
        <v>12000</v>
      </c>
      <c r="AR237" s="1726">
        <v>12000</v>
      </c>
      <c r="AS237" s="1736">
        <v>30000</v>
      </c>
      <c r="AU237" s="1343" t="s">
        <v>343</v>
      </c>
      <c r="AV237" s="1739">
        <v>0.16250000000000001</v>
      </c>
      <c r="AW237" s="1739">
        <v>0.16250000000000001</v>
      </c>
      <c r="AX237" s="1739">
        <v>0.16250000000000001</v>
      </c>
      <c r="AY237" s="1739">
        <v>0.16250000000000001</v>
      </c>
      <c r="AZ237" s="1739">
        <v>0.16250000000000001</v>
      </c>
      <c r="BA237" s="1739">
        <v>0.16250000000000001</v>
      </c>
      <c r="BB237" s="1739">
        <v>0.16250000000000001</v>
      </c>
      <c r="BC237" s="1739">
        <v>0.16250000000000001</v>
      </c>
      <c r="BD237" s="1739">
        <v>0.16250000000000001</v>
      </c>
      <c r="BE237" s="1740">
        <v>0.13900000000000001</v>
      </c>
      <c r="BG237" s="1343" t="s">
        <v>346</v>
      </c>
      <c r="BH237" s="1726">
        <v>12000</v>
      </c>
      <c r="BI237" s="1726">
        <v>12000</v>
      </c>
      <c r="BJ237" s="1726">
        <v>12000</v>
      </c>
      <c r="BK237" s="1726">
        <v>12000</v>
      </c>
      <c r="BL237" s="1726">
        <v>12000</v>
      </c>
      <c r="BM237" s="1726">
        <v>12000</v>
      </c>
      <c r="BN237" s="1726">
        <v>12000</v>
      </c>
      <c r="BO237" s="1726">
        <v>12000</v>
      </c>
      <c r="BP237" s="1726">
        <v>12000</v>
      </c>
      <c r="BQ237" s="1736">
        <v>30000</v>
      </c>
      <c r="BT237" s="1375" t="str">
        <f>N236</f>
        <v>Inc Cost per thermostat</v>
      </c>
      <c r="BU237" s="685">
        <v>224</v>
      </c>
      <c r="BV237" s="685">
        <v>224</v>
      </c>
      <c r="BW237" s="685">
        <v>224</v>
      </c>
      <c r="BX237" s="685">
        <v>224</v>
      </c>
      <c r="BY237" s="685">
        <v>224</v>
      </c>
      <c r="BZ237" s="685">
        <v>224</v>
      </c>
      <c r="CA237" s="685">
        <v>224</v>
      </c>
      <c r="CB237" s="685">
        <v>224</v>
      </c>
      <c r="CC237" s="685">
        <v>224</v>
      </c>
      <c r="CD237" s="1699">
        <f>N237</f>
        <v>264</v>
      </c>
    </row>
    <row r="238" spans="1:114" ht="26.25" collapsed="1" x14ac:dyDescent="0.25">
      <c r="F238" s="1692" t="s">
        <v>349</v>
      </c>
      <c r="G238" s="1704" t="s">
        <v>350</v>
      </c>
      <c r="H238" s="1706"/>
      <c r="I238" s="1692" t="s">
        <v>351</v>
      </c>
      <c r="J238" s="1692" t="s">
        <v>350</v>
      </c>
      <c r="K238" s="1692" t="s">
        <v>352</v>
      </c>
      <c r="L238" s="1692"/>
      <c r="M238" s="1692" t="s">
        <v>351</v>
      </c>
      <c r="N238" s="1692" t="s">
        <v>353</v>
      </c>
    </row>
    <row r="240" spans="1:114" s="8" customFormat="1" ht="30" x14ac:dyDescent="0.25">
      <c r="A240" s="252"/>
      <c r="B240" s="64"/>
      <c r="C240" s="9" t="s">
        <v>42</v>
      </c>
      <c r="D240" s="9" t="s">
        <v>43</v>
      </c>
      <c r="E240" s="1361" t="s">
        <v>44</v>
      </c>
      <c r="F240" s="1361" t="s">
        <v>260</v>
      </c>
      <c r="G240" s="1361" t="s">
        <v>46</v>
      </c>
      <c r="H240" s="1361" t="s">
        <v>47</v>
      </c>
      <c r="I240" s="1361" t="s">
        <v>48</v>
      </c>
      <c r="J240" s="1361" t="s">
        <v>49</v>
      </c>
      <c r="K240" s="1361" t="s">
        <v>354</v>
      </c>
      <c r="L240" s="9" t="s">
        <v>51</v>
      </c>
      <c r="M240" s="252"/>
      <c r="N240" s="252"/>
      <c r="O240" s="252"/>
      <c r="P240" s="116"/>
      <c r="Q240" s="116"/>
      <c r="R240" s="116"/>
      <c r="S240" s="116"/>
      <c r="T240" s="116"/>
      <c r="U240" s="116"/>
      <c r="V240" s="648" t="s">
        <v>52</v>
      </c>
      <c r="W240" s="649">
        <f>$W$8</f>
        <v>43252</v>
      </c>
      <c r="X240" s="649">
        <f>$X$8</f>
        <v>43465</v>
      </c>
      <c r="Y240" s="649">
        <f>$Y$8</f>
        <v>43800</v>
      </c>
      <c r="Z240" s="649">
        <f>$Z$8</f>
        <v>43862</v>
      </c>
      <c r="AA240" s="649">
        <f>$AA$8</f>
        <v>44013</v>
      </c>
      <c r="AB240" s="649">
        <v>44166</v>
      </c>
      <c r="AC240" s="649">
        <f>$AC$8</f>
        <v>44531</v>
      </c>
      <c r="AD240" s="649">
        <f>$AD$8</f>
        <v>44774</v>
      </c>
      <c r="AE240" s="649">
        <f>$AE$8</f>
        <v>45142</v>
      </c>
      <c r="AF240" s="649">
        <f>$AF$8</f>
        <v>45672</v>
      </c>
      <c r="AG240" s="649" t="str">
        <f>$AG$8</f>
        <v>-</v>
      </c>
      <c r="AH240"/>
      <c r="AI240" s="648" t="s">
        <v>52</v>
      </c>
      <c r="AJ240" s="649">
        <v>43252</v>
      </c>
      <c r="AK240" s="649">
        <f>$X$8</f>
        <v>43465</v>
      </c>
      <c r="AL240" s="649">
        <f>$Y$8</f>
        <v>43800</v>
      </c>
      <c r="AM240" s="649">
        <f>$Z$8</f>
        <v>43862</v>
      </c>
      <c r="AN240" s="649">
        <f>$AA$8</f>
        <v>44013</v>
      </c>
      <c r="AO240" s="649">
        <f>$AB$8</f>
        <v>44166</v>
      </c>
      <c r="AP240" s="649">
        <f>$AC$8</f>
        <v>44531</v>
      </c>
      <c r="AQ240" s="649">
        <f>$AD$8</f>
        <v>44774</v>
      </c>
      <c r="AR240" s="649">
        <f>$AE$8</f>
        <v>45142</v>
      </c>
      <c r="AS240" s="649">
        <f>$AF$8</f>
        <v>45672</v>
      </c>
      <c r="AT240" s="2"/>
      <c r="AU240" s="648" t="s">
        <v>52</v>
      </c>
      <c r="AV240" s="649">
        <v>43252</v>
      </c>
      <c r="AW240" s="649">
        <f>$X$8</f>
        <v>43465</v>
      </c>
      <c r="AX240" s="649">
        <f>$Y$8</f>
        <v>43800</v>
      </c>
      <c r="AY240" s="649">
        <f>$Z$8</f>
        <v>43862</v>
      </c>
      <c r="AZ240" s="649">
        <f>$AA$8</f>
        <v>44013</v>
      </c>
      <c r="BA240" s="649">
        <v>44166</v>
      </c>
      <c r="BB240" s="649">
        <f>$AC$8</f>
        <v>44531</v>
      </c>
      <c r="BC240" s="649">
        <f>$AD$8</f>
        <v>44774</v>
      </c>
      <c r="BD240" s="649">
        <f>$AE$8</f>
        <v>45142</v>
      </c>
      <c r="BE240" s="649">
        <f>$AF$8</f>
        <v>45672</v>
      </c>
      <c r="DE240" s="2"/>
      <c r="DF240" s="2"/>
      <c r="DG240" s="1018" t="str">
        <f>$DG$8</f>
        <v>TRC (2025)</v>
      </c>
      <c r="DH240" s="776" t="str">
        <f>$DH$8</f>
        <v>Benefit Lookup</v>
      </c>
      <c r="DI240" s="776" t="str">
        <f>$DI$8</f>
        <v>Benefits (2025 $)</v>
      </c>
      <c r="DJ240" s="1118" t="str">
        <f>$DJ$8</f>
        <v>Incremental Cost (2025 $)</v>
      </c>
    </row>
    <row r="241" spans="1:114" x14ac:dyDescent="0.25">
      <c r="B241" s="252">
        <f t="shared" ref="B241:B244" si="75">VALUE(LEFT(C241,6))</f>
        <v>803100</v>
      </c>
      <c r="C241" s="668" t="s">
        <v>355</v>
      </c>
      <c r="D241" s="452" t="s">
        <v>329</v>
      </c>
      <c r="E241" s="496" t="s">
        <v>356</v>
      </c>
      <c r="F241" s="19">
        <f>ROUND((F254/G254)*H254*I254,2)</f>
        <v>1362.32</v>
      </c>
      <c r="G241" s="452" t="s">
        <v>331</v>
      </c>
      <c r="H241" s="453">
        <f>VLOOKUP(G241,'CP FACTORS'!$A$26:$B$38,2,FALSE)</f>
        <v>9.1068400000000004E-4</v>
      </c>
      <c r="I241" s="470">
        <f>ROUND(H241*F241,6)</f>
        <v>1.2406429999999999</v>
      </c>
      <c r="J241" s="488">
        <v>15</v>
      </c>
      <c r="K241" s="1774">
        <f>300*1+(1500/J254)</f>
        <v>360</v>
      </c>
      <c r="L241" s="498" t="s">
        <v>357</v>
      </c>
      <c r="V241" s="1343" t="str">
        <f>F240</f>
        <v>kWh Annual Savings (per HP)</v>
      </c>
      <c r="W241" s="1577">
        <v>1289.6420430107526</v>
      </c>
      <c r="X241" s="1577">
        <v>1289.6420430107526</v>
      </c>
      <c r="Y241" s="1577">
        <v>1289.6420430107526</v>
      </c>
      <c r="Z241" s="1577">
        <v>1289.6420430107526</v>
      </c>
      <c r="AA241" s="1577">
        <v>1289.6420430107526</v>
      </c>
      <c r="AB241" s="1694">
        <v>1289.6400000000001</v>
      </c>
      <c r="AC241" s="735">
        <v>1289.6400000000001</v>
      </c>
      <c r="AD241" s="735">
        <v>1289.6400000000001</v>
      </c>
      <c r="AE241" s="735">
        <v>1289.6400000000001</v>
      </c>
      <c r="AF241" s="258">
        <f>IF(F241&lt;&gt;"",F241,"")</f>
        <v>1362.32</v>
      </c>
      <c r="AG241" s="1694"/>
      <c r="AH241" s="1382"/>
      <c r="AI241" s="1343" t="s">
        <v>49</v>
      </c>
      <c r="AJ241" s="1400">
        <v>15</v>
      </c>
      <c r="AK241" s="1400">
        <v>15</v>
      </c>
      <c r="AL241" s="1400">
        <v>15</v>
      </c>
      <c r="AM241" s="1400">
        <v>15</v>
      </c>
      <c r="AN241" s="1400">
        <v>15</v>
      </c>
      <c r="AO241" s="16">
        <v>15</v>
      </c>
      <c r="AP241" s="16">
        <v>15</v>
      </c>
      <c r="AQ241" s="16">
        <v>15</v>
      </c>
      <c r="AR241" s="628">
        <v>15</v>
      </c>
      <c r="AS241" s="628">
        <v>15</v>
      </c>
      <c r="AU241" s="1343" t="str">
        <f>K240</f>
        <v>Inc. Cost (per HP)</v>
      </c>
      <c r="AV241" s="655">
        <v>179</v>
      </c>
      <c r="AW241" s="655">
        <v>179</v>
      </c>
      <c r="AX241" s="655">
        <v>179</v>
      </c>
      <c r="AY241" s="655">
        <v>179</v>
      </c>
      <c r="AZ241" s="655">
        <v>179</v>
      </c>
      <c r="BA241" s="669">
        <v>179</v>
      </c>
      <c r="BB241" s="669">
        <v>179</v>
      </c>
      <c r="BC241" s="669">
        <v>179</v>
      </c>
      <c r="BD241" s="669">
        <v>179</v>
      </c>
      <c r="BE241" s="739">
        <f>K241</f>
        <v>360</v>
      </c>
      <c r="DG241" s="1020">
        <f>(DI241)/(DJ241)</f>
        <v>7.3182991924593015</v>
      </c>
      <c r="DH241" s="1330" t="str">
        <f>CONCATENATE(G241," ",J241," Year EUL")</f>
        <v>Cooling BUS 15 Year EUL</v>
      </c>
      <c r="DI241" s="185">
        <f>(INDEX('Avoided Cost Benefits'!$B$4:$B$865,MATCH(DH241,'Avoided Cost Benefits'!$A$4:$A$865,0)))*F241</f>
        <v>2634.5877092853484</v>
      </c>
      <c r="DJ241" s="1935">
        <f>IFERROR(K241/((1+DiscountRate)^(CurrentYear-DiscountYear)),0)</f>
        <v>360</v>
      </c>
    </row>
    <row r="242" spans="1:114" x14ac:dyDescent="0.25">
      <c r="B242" s="252">
        <f t="shared" si="75"/>
        <v>803150</v>
      </c>
      <c r="C242" s="668" t="s">
        <v>358</v>
      </c>
      <c r="D242" s="452" t="s">
        <v>111</v>
      </c>
      <c r="E242" s="496" t="s">
        <v>359</v>
      </c>
      <c r="F242" s="19">
        <f>ROUND((F255/G255)*H255*I255,2)</f>
        <v>1181.01</v>
      </c>
      <c r="G242" s="452" t="s">
        <v>360</v>
      </c>
      <c r="H242" s="453">
        <f>VLOOKUP(G242,'CP FACTORS'!$A$26:$B$38,2,FALSE)</f>
        <v>4.4398300000000001E-4</v>
      </c>
      <c r="I242" s="470">
        <f>ROUND(H242*F242,6)</f>
        <v>0.52434800000000004</v>
      </c>
      <c r="J242" s="488">
        <v>15</v>
      </c>
      <c r="K242" s="1774">
        <f>300*1+(1500/J255)</f>
        <v>360</v>
      </c>
      <c r="L242" s="498" t="s">
        <v>357</v>
      </c>
      <c r="V242" s="1343" t="str">
        <f>V241</f>
        <v>kWh Annual Savings (per HP)</v>
      </c>
      <c r="W242" s="1577">
        <v>1696.5749462365593</v>
      </c>
      <c r="X242" s="1577">
        <v>1696.5749462365593</v>
      </c>
      <c r="Y242" s="1577">
        <v>1696.5749462365593</v>
      </c>
      <c r="Z242" s="1577">
        <v>1696.5749462365593</v>
      </c>
      <c r="AA242" s="1694">
        <v>1696.5749462365593</v>
      </c>
      <c r="AB242" s="1694">
        <v>1696.57</v>
      </c>
      <c r="AC242" s="735">
        <v>1696.57</v>
      </c>
      <c r="AD242" s="735">
        <v>1696.57</v>
      </c>
      <c r="AE242" s="735">
        <v>1696.57</v>
      </c>
      <c r="AF242" s="258">
        <f>IF(F242&lt;&gt;"",F242,"")</f>
        <v>1181.01</v>
      </c>
      <c r="AG242" s="1694"/>
      <c r="AH242" s="1382"/>
      <c r="AI242" s="1343" t="s">
        <v>49</v>
      </c>
      <c r="AJ242" s="1400">
        <v>15</v>
      </c>
      <c r="AK242" s="1400">
        <v>15</v>
      </c>
      <c r="AL242" s="1400">
        <v>15</v>
      </c>
      <c r="AM242" s="1400">
        <v>15</v>
      </c>
      <c r="AN242" s="1711">
        <v>15</v>
      </c>
      <c r="AO242" s="16">
        <v>15</v>
      </c>
      <c r="AP242" s="16">
        <v>15</v>
      </c>
      <c r="AQ242" s="16">
        <v>15</v>
      </c>
      <c r="AR242" s="628">
        <v>15</v>
      </c>
      <c r="AS242" s="628">
        <v>15</v>
      </c>
      <c r="AU242" s="1343" t="str">
        <f>AU241</f>
        <v>Inc. Cost (per HP)</v>
      </c>
      <c r="AV242" s="655">
        <f>AV241</f>
        <v>179</v>
      </c>
      <c r="AW242" s="655">
        <f>AW241</f>
        <v>179</v>
      </c>
      <c r="AX242" s="655">
        <v>179</v>
      </c>
      <c r="AY242" s="655">
        <v>179</v>
      </c>
      <c r="AZ242" s="1712">
        <v>179</v>
      </c>
      <c r="BA242" s="669">
        <v>179</v>
      </c>
      <c r="BB242" s="669">
        <v>179</v>
      </c>
      <c r="BC242" s="669">
        <v>179</v>
      </c>
      <c r="BD242" s="669">
        <v>179</v>
      </c>
      <c r="BE242" s="739">
        <f t="shared" ref="BE242:BE244" si="76">K242</f>
        <v>360</v>
      </c>
      <c r="DG242" s="1022">
        <f>(DI242)/(DJ242)</f>
        <v>4.0001669388996595</v>
      </c>
      <c r="DH242" s="653" t="str">
        <f>CONCATENATE(G242," ",J242," Year EUL")</f>
        <v>HVAC BUS 15 Year EUL</v>
      </c>
      <c r="DI242" s="1024">
        <f>(INDEX('Avoided Cost Benefits'!$B$4:$B$865,MATCH(DH242,'Avoided Cost Benefits'!$A$4:$A$865,0)))*F242</f>
        <v>1440.0600980038776</v>
      </c>
      <c r="DJ242" s="1936">
        <f>IFERROR(K242/((1+DiscountRate)^(CurrentYear-DiscountYear)),0)</f>
        <v>360</v>
      </c>
    </row>
    <row r="243" spans="1:114" x14ac:dyDescent="0.25">
      <c r="B243" s="252">
        <f t="shared" si="75"/>
        <v>803155</v>
      </c>
      <c r="C243" s="668" t="s">
        <v>361</v>
      </c>
      <c r="D243" s="452" t="s">
        <v>111</v>
      </c>
      <c r="E243" s="496" t="s">
        <v>362</v>
      </c>
      <c r="F243" s="19">
        <f>ROUND((F256/G256)*H256*I256,2)</f>
        <v>1362.32</v>
      </c>
      <c r="G243" s="452" t="s">
        <v>331</v>
      </c>
      <c r="H243" s="453">
        <f>VLOOKUP(G243,'CP FACTORS'!$A$26:$B$38,2,FALSE)</f>
        <v>9.1068400000000004E-4</v>
      </c>
      <c r="I243" s="470">
        <f>ROUND(H243*F243,6)</f>
        <v>1.2406429999999999</v>
      </c>
      <c r="J243" s="488">
        <v>15</v>
      </c>
      <c r="K243" s="1774">
        <f t="shared" ref="K243:K244" si="77">300*1+(1500/J256)</f>
        <v>360</v>
      </c>
      <c r="L243" s="498" t="s">
        <v>357</v>
      </c>
      <c r="V243" s="1343" t="str">
        <f>V242</f>
        <v>kWh Annual Savings (per HP)</v>
      </c>
      <c r="W243" s="1577"/>
      <c r="X243" s="1577"/>
      <c r="Y243" s="1577"/>
      <c r="Z243" s="1694"/>
      <c r="AA243" s="1694">
        <v>1289.6400000000001</v>
      </c>
      <c r="AB243" s="1694">
        <v>1289.6400000000001</v>
      </c>
      <c r="AC243" s="735">
        <v>1289.6400000000001</v>
      </c>
      <c r="AD243" s="735">
        <v>1289.6400000000001</v>
      </c>
      <c r="AE243" s="735">
        <v>1289.6400000000001</v>
      </c>
      <c r="AF243" s="258">
        <f>IF(F243&lt;&gt;"",F243,"")</f>
        <v>1362.32</v>
      </c>
      <c r="AG243" s="1694"/>
      <c r="AH243" s="1382"/>
      <c r="AI243" s="1343" t="s">
        <v>49</v>
      </c>
      <c r="AJ243" s="1400"/>
      <c r="AK243" s="1400"/>
      <c r="AL243" s="1400"/>
      <c r="AM243" s="52"/>
      <c r="AN243" s="1711">
        <v>15</v>
      </c>
      <c r="AO243" s="16">
        <v>15</v>
      </c>
      <c r="AP243" s="16">
        <v>15</v>
      </c>
      <c r="AQ243" s="16">
        <v>15</v>
      </c>
      <c r="AR243" s="628">
        <v>15</v>
      </c>
      <c r="AS243" s="628">
        <v>15</v>
      </c>
      <c r="AU243" s="1343" t="str">
        <f>AU242</f>
        <v>Inc. Cost (per HP)</v>
      </c>
      <c r="AV243" s="655"/>
      <c r="AW243" s="655"/>
      <c r="AX243" s="655"/>
      <c r="AY243" s="68"/>
      <c r="AZ243" s="1712">
        <v>179</v>
      </c>
      <c r="BA243" s="669">
        <v>179</v>
      </c>
      <c r="BB243" s="669">
        <v>179</v>
      </c>
      <c r="BC243" s="669">
        <v>179</v>
      </c>
      <c r="BD243" s="669">
        <v>179</v>
      </c>
      <c r="BE243" s="739">
        <f t="shared" si="76"/>
        <v>360</v>
      </c>
      <c r="DG243" s="1020">
        <f>(DI243)/(DJ243)</f>
        <v>7.3182991924593015</v>
      </c>
      <c r="DH243" s="1330" t="str">
        <f>CONCATENATE(G243," ",J243," Year EUL")</f>
        <v>Cooling BUS 15 Year EUL</v>
      </c>
      <c r="DI243" s="185">
        <f>(INDEX('Avoided Cost Benefits'!$B$4:$B$865,MATCH(DH243,'Avoided Cost Benefits'!$A$4:$A$865,0)))*F243</f>
        <v>2634.5877092853484</v>
      </c>
      <c r="DJ243" s="1936">
        <f>IFERROR(K243/((1+DiscountRate)^(CurrentYear-DiscountYear)),0)</f>
        <v>360</v>
      </c>
    </row>
    <row r="244" spans="1:114" x14ac:dyDescent="0.25">
      <c r="B244" s="252">
        <f t="shared" si="75"/>
        <v>803160</v>
      </c>
      <c r="C244" s="668" t="s">
        <v>363</v>
      </c>
      <c r="D244" s="452" t="s">
        <v>111</v>
      </c>
      <c r="E244" s="496" t="s">
        <v>364</v>
      </c>
      <c r="F244" s="19">
        <f>ROUND((F257/G257)*H257*I257,2)</f>
        <v>1910.3</v>
      </c>
      <c r="G244" s="452" t="s">
        <v>360</v>
      </c>
      <c r="H244" s="453">
        <f>VLOOKUP(G244,'CP FACTORS'!$A$26:$B$38,2,FALSE)</f>
        <v>4.4398300000000001E-4</v>
      </c>
      <c r="I244" s="470">
        <f>ROUND(H244*F244,6)</f>
        <v>0.84814100000000003</v>
      </c>
      <c r="J244" s="488">
        <v>15</v>
      </c>
      <c r="K244" s="1774">
        <f t="shared" si="77"/>
        <v>360</v>
      </c>
      <c r="L244" s="498" t="s">
        <v>357</v>
      </c>
      <c r="V244" s="1343" t="str">
        <f>V243</f>
        <v>kWh Annual Savings (per HP)</v>
      </c>
      <c r="W244" s="1577"/>
      <c r="X244" s="1577"/>
      <c r="Y244" s="1577"/>
      <c r="Z244" s="1694"/>
      <c r="AA244" s="1694">
        <v>479.48</v>
      </c>
      <c r="AB244" s="1694">
        <v>479.48</v>
      </c>
      <c r="AC244" s="735">
        <v>479.48</v>
      </c>
      <c r="AD244" s="735">
        <v>479.48</v>
      </c>
      <c r="AE244" s="735">
        <v>479.48</v>
      </c>
      <c r="AF244" s="258">
        <f>IF(F244&lt;&gt;"",F244,"")</f>
        <v>1910.3</v>
      </c>
      <c r="AG244" s="1694"/>
      <c r="AH244" s="1382"/>
      <c r="AI244" s="1343" t="s">
        <v>49</v>
      </c>
      <c r="AJ244" s="1400"/>
      <c r="AK244" s="1400"/>
      <c r="AL244" s="1400"/>
      <c r="AM244" s="52"/>
      <c r="AN244" s="1711">
        <v>15</v>
      </c>
      <c r="AO244" s="16">
        <v>15</v>
      </c>
      <c r="AP244" s="16">
        <v>15</v>
      </c>
      <c r="AQ244" s="16">
        <v>15</v>
      </c>
      <c r="AR244" s="628">
        <v>15</v>
      </c>
      <c r="AS244" s="628">
        <v>15</v>
      </c>
      <c r="AU244" s="1343" t="str">
        <f>AU243</f>
        <v>Inc. Cost (per HP)</v>
      </c>
      <c r="AV244" s="655"/>
      <c r="AW244" s="655"/>
      <c r="AX244" s="655"/>
      <c r="AY244" s="68"/>
      <c r="AZ244" s="1712">
        <v>179</v>
      </c>
      <c r="BA244" s="669">
        <v>179</v>
      </c>
      <c r="BB244" s="669">
        <v>179</v>
      </c>
      <c r="BC244" s="669">
        <v>179</v>
      </c>
      <c r="BD244" s="669">
        <v>179</v>
      </c>
      <c r="BE244" s="739">
        <f t="shared" si="76"/>
        <v>360</v>
      </c>
      <c r="DG244" s="1022">
        <f>(DI244)/(DJ244)</f>
        <v>6.4703253176349218</v>
      </c>
      <c r="DH244" s="653" t="str">
        <f>CONCATENATE(G244," ",J244," Year EUL")</f>
        <v>HVAC BUS 15 Year EUL</v>
      </c>
      <c r="DI244" s="1024">
        <f>(INDEX('Avoided Cost Benefits'!$B$4:$B$865,MATCH(DH244,'Avoided Cost Benefits'!$A$4:$A$865,0)))*F244</f>
        <v>2329.317114348572</v>
      </c>
      <c r="DJ244" s="1937">
        <f>IFERROR(K244/((1+DiscountRate)^(CurrentYear-DiscountYear)),0)</f>
        <v>360</v>
      </c>
    </row>
    <row r="245" spans="1:114" hidden="1" outlineLevel="1" x14ac:dyDescent="0.25">
      <c r="D245" s="74" t="s">
        <v>94</v>
      </c>
      <c r="E245" s="108" t="s">
        <v>365</v>
      </c>
      <c r="F245" s="7"/>
      <c r="G245" s="7"/>
      <c r="H245" s="460"/>
      <c r="I245" s="7"/>
      <c r="J245" s="7"/>
      <c r="K245" s="7"/>
      <c r="L245" s="7"/>
      <c r="W245" s="1710"/>
      <c r="X245" s="1710"/>
      <c r="Y245" s="1710"/>
      <c r="Z245" s="1710"/>
      <c r="AA245" s="1710"/>
      <c r="AB245" s="1710"/>
      <c r="AC245" s="1710"/>
      <c r="AD245" s="1710"/>
      <c r="AE245" s="1710"/>
      <c r="AF245" s="1710"/>
      <c r="AG245" s="1710"/>
      <c r="AH245" s="1710"/>
      <c r="BE245" s="2" t="s">
        <v>366</v>
      </c>
    </row>
    <row r="246" spans="1:114" hidden="1" outlineLevel="1" x14ac:dyDescent="0.25">
      <c r="D246" s="7" t="s">
        <v>96</v>
      </c>
      <c r="E246" s="7"/>
      <c r="F246" s="7"/>
      <c r="G246" s="7"/>
      <c r="H246" s="460"/>
      <c r="I246" s="7"/>
      <c r="J246" s="7"/>
      <c r="K246" s="499"/>
      <c r="L246" s="7"/>
      <c r="W246" s="1710"/>
      <c r="X246" s="1710"/>
      <c r="Y246" s="1710"/>
      <c r="Z246" s="1710"/>
      <c r="AA246" s="1710"/>
      <c r="AB246" s="1710"/>
      <c r="AC246" s="1710"/>
      <c r="AD246" s="1710"/>
      <c r="AE246" s="1710"/>
      <c r="AF246" s="1710"/>
      <c r="AG246" s="1710"/>
      <c r="AH246" s="1710"/>
    </row>
    <row r="247" spans="1:114" hidden="1" outlineLevel="1" x14ac:dyDescent="0.25">
      <c r="D247" s="461"/>
      <c r="G247" s="252"/>
      <c r="H247" s="462"/>
      <c r="L247" s="7"/>
    </row>
    <row r="248" spans="1:114" hidden="1" outlineLevel="1" x14ac:dyDescent="0.25">
      <c r="D248" s="461"/>
      <c r="G248" s="252"/>
      <c r="H248" s="462"/>
      <c r="L248" s="7"/>
    </row>
    <row r="249" spans="1:114" hidden="1" outlineLevel="1" x14ac:dyDescent="0.25">
      <c r="D249" s="461"/>
      <c r="G249" s="252"/>
      <c r="H249" s="462"/>
      <c r="L249" s="7"/>
      <c r="M249" s="7"/>
    </row>
    <row r="250" spans="1:114" hidden="1" outlineLevel="1" x14ac:dyDescent="0.25">
      <c r="D250" s="461"/>
      <c r="G250" s="252"/>
      <c r="H250" s="462"/>
      <c r="L250" s="7"/>
      <c r="M250" s="7"/>
    </row>
    <row r="251" spans="1:114" hidden="1" outlineLevel="1" x14ac:dyDescent="0.25">
      <c r="D251" s="461"/>
      <c r="G251" s="252"/>
      <c r="H251" s="462"/>
      <c r="L251" s="7"/>
      <c r="M251" s="7"/>
    </row>
    <row r="252" spans="1:114" hidden="1" outlineLevel="1" x14ac:dyDescent="0.25">
      <c r="D252" s="461"/>
      <c r="G252" s="252"/>
      <c r="H252" s="462"/>
      <c r="L252" s="7"/>
    </row>
    <row r="253" spans="1:114" s="8" customFormat="1" ht="45" hidden="1" outlineLevel="1" x14ac:dyDescent="0.25">
      <c r="A253" s="252"/>
      <c r="B253" s="116"/>
      <c r="C253" s="64"/>
      <c r="D253" s="1294" t="s">
        <v>42</v>
      </c>
      <c r="E253" s="1294" t="s">
        <v>172</v>
      </c>
      <c r="F253" s="1294" t="s">
        <v>367</v>
      </c>
      <c r="G253" s="1294" t="s">
        <v>368</v>
      </c>
      <c r="H253" s="1294" t="s">
        <v>140</v>
      </c>
      <c r="I253" s="1294" t="s">
        <v>141</v>
      </c>
      <c r="J253" s="1294" t="s">
        <v>369</v>
      </c>
      <c r="K253" s="116"/>
      <c r="L253" s="7"/>
      <c r="M253" s="116"/>
      <c r="N253" s="116"/>
      <c r="O253" s="116"/>
      <c r="P253" s="116"/>
      <c r="Q253" s="116"/>
      <c r="R253" s="116"/>
      <c r="S253" s="116"/>
      <c r="T253" s="116"/>
      <c r="U253" s="116"/>
      <c r="V253" s="648" t="s">
        <v>52</v>
      </c>
      <c r="W253" s="649">
        <f>$W$8</f>
        <v>43252</v>
      </c>
      <c r="X253" s="649">
        <f>$X$8</f>
        <v>43465</v>
      </c>
      <c r="Y253" s="649">
        <f>$Y$8</f>
        <v>43800</v>
      </c>
      <c r="Z253" s="649">
        <f>$Z$8</f>
        <v>43862</v>
      </c>
      <c r="AA253" s="649">
        <f>$AA$8</f>
        <v>44013</v>
      </c>
      <c r="AB253" s="649">
        <v>44166</v>
      </c>
      <c r="AC253" s="649">
        <f>$AC$8</f>
        <v>44531</v>
      </c>
      <c r="AD253" s="649">
        <f>$AD$8</f>
        <v>44774</v>
      </c>
      <c r="AE253" s="649">
        <f>$AE$8</f>
        <v>45142</v>
      </c>
      <c r="AF253" s="649">
        <f>$AF$8</f>
        <v>45672</v>
      </c>
      <c r="AG253" s="649" t="str">
        <f>$AG$8</f>
        <v>-</v>
      </c>
      <c r="AI253" s="648" t="s">
        <v>52</v>
      </c>
      <c r="AJ253" s="649">
        <f>$W$8</f>
        <v>43252</v>
      </c>
      <c r="AK253" s="649">
        <f>$X$8</f>
        <v>43465</v>
      </c>
      <c r="AL253" s="649">
        <f>$Y$8</f>
        <v>43800</v>
      </c>
      <c r="AM253" s="649">
        <f>$Z$8</f>
        <v>43862</v>
      </c>
      <c r="AN253" s="649">
        <f>$AA$8</f>
        <v>44013</v>
      </c>
      <c r="AO253" s="649">
        <v>44166</v>
      </c>
      <c r="AP253" s="649">
        <f>$AC$8</f>
        <v>44531</v>
      </c>
      <c r="AQ253" s="649">
        <f>$AD$8</f>
        <v>44774</v>
      </c>
      <c r="AR253" s="649">
        <f>$AE$8</f>
        <v>45142</v>
      </c>
      <c r="AS253" s="649">
        <f>$AF$8</f>
        <v>45672</v>
      </c>
      <c r="AT253" s="649" t="str">
        <f>$AG$8</f>
        <v>-</v>
      </c>
      <c r="DE253" s="2"/>
      <c r="DF253" s="2"/>
      <c r="DG253" s="1023"/>
      <c r="DH253" s="116"/>
      <c r="DI253" s="116"/>
      <c r="DJ253" s="1116"/>
    </row>
    <row r="254" spans="1:114" hidden="1" outlineLevel="1" x14ac:dyDescent="0.25">
      <c r="D254" s="659" t="str">
        <f>C241</f>
        <v>803100_2024_12_</v>
      </c>
      <c r="E254" s="659" t="str">
        <f>E241</f>
        <v>VFD on Chilled Water Pump &gt;= 1HP, per Hp</v>
      </c>
      <c r="F254" s="1777">
        <v>1</v>
      </c>
      <c r="G254" s="1785">
        <v>0.93</v>
      </c>
      <c r="H254" s="1778">
        <v>3539</v>
      </c>
      <c r="I254" s="1784">
        <v>0.35799999999999998</v>
      </c>
      <c r="J254" s="1778">
        <f>$M$287</f>
        <v>25</v>
      </c>
      <c r="L254" s="7"/>
      <c r="V254" s="1343" t="s">
        <v>141</v>
      </c>
      <c r="W254" s="617">
        <v>0.33889999999999998</v>
      </c>
      <c r="X254" s="617">
        <v>0.33889999999999998</v>
      </c>
      <c r="Y254" s="617">
        <v>0.33889999999999998</v>
      </c>
      <c r="Z254" s="617">
        <v>0.33889999999999998</v>
      </c>
      <c r="AA254" s="617">
        <v>0.33889999999999998</v>
      </c>
      <c r="AB254" s="1745">
        <v>0.33889999999999998</v>
      </c>
      <c r="AC254" s="1744">
        <v>0.33889999999999998</v>
      </c>
      <c r="AD254" s="1744">
        <v>0.33889999999999998</v>
      </c>
      <c r="AE254" s="1744">
        <v>0.33889999999999998</v>
      </c>
      <c r="AF254" s="1744">
        <v>0.35799999999999998</v>
      </c>
      <c r="AG254" s="1694"/>
      <c r="AI254" s="1343" t="s">
        <v>369</v>
      </c>
      <c r="AJ254" s="617"/>
      <c r="AK254" s="617"/>
      <c r="AL254" s="617"/>
      <c r="AM254" s="617"/>
      <c r="AN254" s="617"/>
      <c r="AO254" s="1745"/>
      <c r="AP254" s="1744"/>
      <c r="AQ254" s="1744"/>
      <c r="AR254" s="1744"/>
      <c r="AS254" s="630">
        <v>25</v>
      </c>
      <c r="AT254" s="1694"/>
    </row>
    <row r="255" spans="1:114" hidden="1" outlineLevel="1" x14ac:dyDescent="0.25">
      <c r="D255" s="659" t="str">
        <f>C242</f>
        <v>803150_2024_12_</v>
      </c>
      <c r="E255" s="659" t="str">
        <f>E242</f>
        <v>VFD on Hot Water Pump &gt;= 1HP</v>
      </c>
      <c r="F255" s="1777">
        <v>1</v>
      </c>
      <c r="G255" s="1785">
        <v>0.93</v>
      </c>
      <c r="H255" s="1778">
        <v>4411</v>
      </c>
      <c r="I255" s="1784">
        <v>0.249</v>
      </c>
      <c r="J255" s="1778">
        <f t="shared" ref="J255:J257" si="78">$M$287</f>
        <v>25</v>
      </c>
      <c r="L255" s="7"/>
      <c r="V255" s="1343" t="str">
        <f>V254</f>
        <v>ESF</v>
      </c>
      <c r="W255" s="617">
        <v>0.35770000000000002</v>
      </c>
      <c r="X255" s="617">
        <v>0.35770000000000002</v>
      </c>
      <c r="Y255" s="617">
        <v>0.35770000000000002</v>
      </c>
      <c r="Z255" s="617">
        <v>0.35770000000000002</v>
      </c>
      <c r="AA255" s="1745">
        <v>0.35770000000000002</v>
      </c>
      <c r="AB255" s="1745">
        <v>0.35770000000000002</v>
      </c>
      <c r="AC255" s="1744">
        <v>0.35770000000000002</v>
      </c>
      <c r="AD255" s="1744">
        <v>0.35770000000000002</v>
      </c>
      <c r="AE255" s="1744">
        <v>0.35770000000000002</v>
      </c>
      <c r="AF255" s="1744">
        <v>0.249</v>
      </c>
      <c r="AG255" s="1694"/>
      <c r="AI255" s="1343" t="str">
        <f>AI254</f>
        <v>Typical size for incremental cost</v>
      </c>
      <c r="AJ255" s="617"/>
      <c r="AK255" s="617"/>
      <c r="AL255" s="617"/>
      <c r="AM255" s="617"/>
      <c r="AN255" s="1745"/>
      <c r="AO255" s="1745"/>
      <c r="AP255" s="1744"/>
      <c r="AQ255" s="1744"/>
      <c r="AR255" s="1744"/>
      <c r="AS255" s="630">
        <v>25</v>
      </c>
      <c r="AT255" s="1694"/>
    </row>
    <row r="256" spans="1:114" hidden="1" outlineLevel="1" x14ac:dyDescent="0.25">
      <c r="D256" s="659" t="str">
        <f>C243</f>
        <v>803155_2024_12_</v>
      </c>
      <c r="E256" s="659" t="str">
        <f>E243</f>
        <v>VFD on Condenser Water Pump &gt;= 1HP</v>
      </c>
      <c r="F256" s="1777">
        <v>1</v>
      </c>
      <c r="G256" s="1785">
        <v>0.93</v>
      </c>
      <c r="H256" s="1778">
        <v>3539</v>
      </c>
      <c r="I256" s="1784">
        <v>0.35799999999999998</v>
      </c>
      <c r="J256" s="1778">
        <f t="shared" si="78"/>
        <v>25</v>
      </c>
      <c r="L256" s="7"/>
      <c r="V256" s="1343" t="str">
        <f>V255</f>
        <v>ESF</v>
      </c>
      <c r="W256" s="617">
        <v>0.33889999999999998</v>
      </c>
      <c r="X256" s="617">
        <v>0.33889999999999998</v>
      </c>
      <c r="Y256" s="617">
        <v>0.33889999999999998</v>
      </c>
      <c r="Z256" s="1745">
        <v>0.33889999999999998</v>
      </c>
      <c r="AA256" s="1745">
        <v>0.33889999999999998</v>
      </c>
      <c r="AB256" s="1745">
        <v>0.33889999999999998</v>
      </c>
      <c r="AC256" s="1744">
        <v>0.33889999999999998</v>
      </c>
      <c r="AD256" s="1744">
        <v>0.33889999999999998</v>
      </c>
      <c r="AE256" s="1744">
        <v>0.33889999999999998</v>
      </c>
      <c r="AF256" s="1744">
        <v>0.35799999999999998</v>
      </c>
      <c r="AG256" s="1694"/>
      <c r="AI256" s="1343" t="str">
        <f>AI255</f>
        <v>Typical size for incremental cost</v>
      </c>
      <c r="AJ256" s="617"/>
      <c r="AK256" s="617"/>
      <c r="AL256" s="617"/>
      <c r="AM256" s="1745"/>
      <c r="AN256" s="1745"/>
      <c r="AO256" s="1745"/>
      <c r="AP256" s="1744"/>
      <c r="AQ256" s="1744"/>
      <c r="AR256" s="1744"/>
      <c r="AS256" s="630">
        <v>25</v>
      </c>
      <c r="AT256" s="1694"/>
    </row>
    <row r="257" spans="1:114" hidden="1" outlineLevel="1" x14ac:dyDescent="0.25">
      <c r="D257" s="659" t="str">
        <f>C244</f>
        <v>803160_2024_12_</v>
      </c>
      <c r="E257" s="659" t="str">
        <f>E244</f>
        <v>VFD on Cooling Tower Fan &gt;= 1HP</v>
      </c>
      <c r="F257" s="1777">
        <v>1</v>
      </c>
      <c r="G257" s="1785">
        <v>0.93</v>
      </c>
      <c r="H257" s="1778">
        <v>3539</v>
      </c>
      <c r="I257" s="1784">
        <v>0.502</v>
      </c>
      <c r="J257" s="1778">
        <f t="shared" si="78"/>
        <v>25</v>
      </c>
      <c r="L257" s="7"/>
      <c r="V257" s="1343" t="str">
        <f>V256</f>
        <v>ESF</v>
      </c>
      <c r="W257" s="617">
        <v>0.126</v>
      </c>
      <c r="X257" s="617">
        <v>0.126</v>
      </c>
      <c r="Y257" s="617">
        <v>0.126</v>
      </c>
      <c r="Z257" s="1745">
        <v>0.126</v>
      </c>
      <c r="AA257" s="1745">
        <v>0.126</v>
      </c>
      <c r="AB257" s="1745">
        <v>0.126</v>
      </c>
      <c r="AC257" s="1744">
        <v>0.126</v>
      </c>
      <c r="AD257" s="1744">
        <v>0.126</v>
      </c>
      <c r="AE257" s="1744">
        <v>0.126</v>
      </c>
      <c r="AF257" s="1744">
        <v>0.502</v>
      </c>
      <c r="AG257" s="1694"/>
      <c r="AI257" s="1343" t="str">
        <f>AI256</f>
        <v>Typical size for incremental cost</v>
      </c>
      <c r="AJ257" s="617"/>
      <c r="AK257" s="617"/>
      <c r="AL257" s="617"/>
      <c r="AM257" s="1745"/>
      <c r="AN257" s="1745"/>
      <c r="AO257" s="1745"/>
      <c r="AP257" s="1744"/>
      <c r="AQ257" s="1744"/>
      <c r="AR257" s="1744"/>
      <c r="AS257" s="630">
        <v>25</v>
      </c>
      <c r="AT257" s="1694"/>
    </row>
    <row r="258" spans="1:114" collapsed="1" x14ac:dyDescent="0.25">
      <c r="G258" s="1709"/>
      <c r="H258" s="1705" t="s">
        <v>370</v>
      </c>
      <c r="I258" s="1709" t="s">
        <v>371</v>
      </c>
      <c r="J258" s="1709" t="s">
        <v>372</v>
      </c>
    </row>
    <row r="260" spans="1:114" s="8" customFormat="1" ht="30" x14ac:dyDescent="0.25">
      <c r="A260" s="252"/>
      <c r="B260" s="64"/>
      <c r="C260" s="9" t="s">
        <v>42</v>
      </c>
      <c r="D260" s="9" t="s">
        <v>43</v>
      </c>
      <c r="E260" s="1361" t="s">
        <v>44</v>
      </c>
      <c r="F260" s="1361" t="s">
        <v>260</v>
      </c>
      <c r="G260" s="1361" t="s">
        <v>46</v>
      </c>
      <c r="H260" s="1361" t="s">
        <v>47</v>
      </c>
      <c r="I260" s="1361" t="s">
        <v>48</v>
      </c>
      <c r="J260" s="1361" t="s">
        <v>49</v>
      </c>
      <c r="K260" s="1361" t="s">
        <v>354</v>
      </c>
      <c r="L260" s="9" t="s">
        <v>51</v>
      </c>
      <c r="M260" s="252"/>
      <c r="N260" s="252"/>
      <c r="O260" s="252"/>
      <c r="P260" s="116"/>
      <c r="Q260" s="116"/>
      <c r="R260" s="116"/>
      <c r="S260" s="116"/>
      <c r="T260" s="116"/>
      <c r="U260" s="116"/>
      <c r="V260" s="648" t="s">
        <v>52</v>
      </c>
      <c r="W260" s="649">
        <f>$W$8</f>
        <v>43252</v>
      </c>
      <c r="X260" s="649">
        <f>$X$8</f>
        <v>43465</v>
      </c>
      <c r="Y260" s="649">
        <f>$Y$8</f>
        <v>43800</v>
      </c>
      <c r="Z260" s="649">
        <f>$Z$8</f>
        <v>43862</v>
      </c>
      <c r="AA260" s="649">
        <f>$AA$8</f>
        <v>44013</v>
      </c>
      <c r="AB260" s="649">
        <v>44166</v>
      </c>
      <c r="AC260" s="649">
        <f>$AC$8</f>
        <v>44531</v>
      </c>
      <c r="AD260" s="649">
        <f>$AD$8</f>
        <v>44774</v>
      </c>
      <c r="AE260" s="649">
        <f>$AE$8</f>
        <v>45142</v>
      </c>
      <c r="AF260" s="649">
        <f>$AF$8</f>
        <v>45672</v>
      </c>
      <c r="AG260" s="649" t="str">
        <f>$AG$8</f>
        <v>-</v>
      </c>
      <c r="AH260"/>
      <c r="AI260" s="648" t="s">
        <v>52</v>
      </c>
      <c r="AJ260" s="649">
        <v>43252</v>
      </c>
      <c r="AK260" s="649">
        <f>$X$8</f>
        <v>43465</v>
      </c>
      <c r="AL260" s="649">
        <f>$Y$8</f>
        <v>43800</v>
      </c>
      <c r="AM260" s="649">
        <f>$Z$8</f>
        <v>43862</v>
      </c>
      <c r="AN260" s="649">
        <f>$AA$8</f>
        <v>44013</v>
      </c>
      <c r="AO260" s="649">
        <f>$AB$8</f>
        <v>44166</v>
      </c>
      <c r="AP260" s="649">
        <f>$AC$8</f>
        <v>44531</v>
      </c>
      <c r="AQ260" s="649">
        <f>$AD$8</f>
        <v>44774</v>
      </c>
      <c r="AR260" s="649">
        <f>$AE$8</f>
        <v>45142</v>
      </c>
      <c r="AS260" s="649">
        <f>$AF$8</f>
        <v>45672</v>
      </c>
      <c r="AT260" s="2"/>
      <c r="AU260" s="648" t="s">
        <v>52</v>
      </c>
      <c r="AV260" s="649">
        <v>43252</v>
      </c>
      <c r="AW260" s="649">
        <f>$X$8</f>
        <v>43465</v>
      </c>
      <c r="AX260" s="649">
        <f>$Y$8</f>
        <v>43800</v>
      </c>
      <c r="AY260" s="649">
        <f>$Z$8</f>
        <v>43862</v>
      </c>
      <c r="AZ260" s="649">
        <f>$AA$8</f>
        <v>44013</v>
      </c>
      <c r="BA260" s="649">
        <v>44166</v>
      </c>
      <c r="BB260" s="649">
        <f>$AC$8</f>
        <v>44531</v>
      </c>
      <c r="BC260" s="649">
        <f>$AD$8</f>
        <v>44774</v>
      </c>
      <c r="BD260" s="649">
        <f>$AE$8</f>
        <v>45142</v>
      </c>
      <c r="BE260" s="649">
        <f>$AF$8</f>
        <v>45672</v>
      </c>
      <c r="DE260" s="2"/>
      <c r="DF260" s="2"/>
      <c r="DG260" s="1018" t="str">
        <f>$DG$8</f>
        <v>TRC (2025)</v>
      </c>
      <c r="DH260" s="776" t="str">
        <f>$DH$8</f>
        <v>Benefit Lookup</v>
      </c>
      <c r="DI260" s="776" t="str">
        <f>$DI$8</f>
        <v>Benefits (2025 $)</v>
      </c>
      <c r="DJ260" s="1118" t="str">
        <f>$DJ$8</f>
        <v>Incremental Cost (2025 $)</v>
      </c>
    </row>
    <row r="261" spans="1:114" x14ac:dyDescent="0.25">
      <c r="B261" s="252">
        <f t="shared" ref="B261" si="79">VALUE(LEFT(C261,6))</f>
        <v>803200</v>
      </c>
      <c r="C261" s="668" t="s">
        <v>373</v>
      </c>
      <c r="D261" s="452" t="s">
        <v>329</v>
      </c>
      <c r="E261" s="496" t="s">
        <v>374</v>
      </c>
      <c r="F261" s="404">
        <f>ROUND((((0.746*F287*(G287/H287))*I287*J287)-((0.746*F287*(G287/H287))*I287*K287))*(1+L287),2)</f>
        <v>939.75</v>
      </c>
      <c r="G261" s="452" t="s">
        <v>360</v>
      </c>
      <c r="H261" s="453">
        <f>VLOOKUP(G261,'CP FACTORS'!$A$26:$B$38,2,FALSE)</f>
        <v>4.4398300000000001E-4</v>
      </c>
      <c r="I261" s="470">
        <f>ROUND(H261*F261,6)</f>
        <v>0.41723300000000002</v>
      </c>
      <c r="J261" s="488">
        <v>15</v>
      </c>
      <c r="K261" s="1774">
        <f>300*1+(1500/M287)</f>
        <v>360</v>
      </c>
      <c r="L261" s="498" t="s">
        <v>357</v>
      </c>
      <c r="V261" s="1343" t="str">
        <f>F260</f>
        <v>kWh Annual Savings (per HP)</v>
      </c>
      <c r="W261" s="29">
        <v>939.74820779247341</v>
      </c>
      <c r="X261" s="29">
        <v>939.74820779247341</v>
      </c>
      <c r="Y261" s="29">
        <v>939.74820779247341</v>
      </c>
      <c r="Z261" s="29">
        <v>939.74820779247341</v>
      </c>
      <c r="AA261" s="29">
        <v>939.74820779247341</v>
      </c>
      <c r="AB261" s="52">
        <v>939.75</v>
      </c>
      <c r="AC261" s="705">
        <v>939.75</v>
      </c>
      <c r="AD261" s="705">
        <v>939.75</v>
      </c>
      <c r="AE261" s="705">
        <v>939.75</v>
      </c>
      <c r="AF261" s="705">
        <f>F261</f>
        <v>939.75</v>
      </c>
      <c r="AG261" s="68"/>
      <c r="AH261"/>
      <c r="AI261" s="1343" t="s">
        <v>49</v>
      </c>
      <c r="AJ261" s="651">
        <v>15</v>
      </c>
      <c r="AK261" s="651">
        <v>15</v>
      </c>
      <c r="AL261" s="651">
        <v>15</v>
      </c>
      <c r="AM261" s="651">
        <v>15</v>
      </c>
      <c r="AN261" s="651">
        <v>15</v>
      </c>
      <c r="AO261" s="630">
        <v>15</v>
      </c>
      <c r="AP261" s="52">
        <v>15</v>
      </c>
      <c r="AQ261" s="52">
        <v>15</v>
      </c>
      <c r="AR261" s="628">
        <v>15</v>
      </c>
      <c r="AS261" s="628">
        <v>15</v>
      </c>
      <c r="AU261" s="1343" t="str">
        <f>K260</f>
        <v>Inc. Cost (per HP)</v>
      </c>
      <c r="AV261" s="652">
        <v>168</v>
      </c>
      <c r="AW261" s="652">
        <v>168</v>
      </c>
      <c r="AX261" s="652">
        <v>168</v>
      </c>
      <c r="AY261" s="652">
        <v>168</v>
      </c>
      <c r="AZ261" s="652">
        <v>168</v>
      </c>
      <c r="BA261" s="669">
        <v>168</v>
      </c>
      <c r="BB261" s="669">
        <v>168</v>
      </c>
      <c r="BC261" s="669">
        <v>168</v>
      </c>
      <c r="BD261" s="669">
        <v>168</v>
      </c>
      <c r="BE261" s="739">
        <v>360</v>
      </c>
      <c r="DG261" s="1025">
        <f>(DI261)/(DJ261)</f>
        <v>3.1830017365060037</v>
      </c>
      <c r="DH261" s="1330" t="str">
        <f>CONCATENATE(G261," ",J261," Year EUL")</f>
        <v>HVAC BUS 15 Year EUL</v>
      </c>
      <c r="DI261" s="1026">
        <f>(INDEX('Avoided Cost Benefits'!$B$4:$B$865,MATCH(DH261,'Avoided Cost Benefits'!$A$4:$A$865,0)))*F261</f>
        <v>1145.8806251421613</v>
      </c>
      <c r="DJ261" s="1119">
        <f>IFERROR(K261/((1+DiscountRate)^(CurrentYear-DiscountYear)),0)</f>
        <v>360</v>
      </c>
    </row>
    <row r="262" spans="1:114" hidden="1" outlineLevel="1" x14ac:dyDescent="0.25">
      <c r="D262" s="74" t="s">
        <v>94</v>
      </c>
      <c r="E262" s="108" t="s">
        <v>375</v>
      </c>
      <c r="F262" s="7"/>
      <c r="G262" s="7"/>
      <c r="H262" s="460"/>
      <c r="I262" s="7"/>
      <c r="J262" s="7"/>
      <c r="K262" s="1709" t="s">
        <v>376</v>
      </c>
      <c r="M262" s="816"/>
      <c r="N262" s="816"/>
      <c r="O262" s="816"/>
      <c r="P262" s="816"/>
    </row>
    <row r="263" spans="1:114" hidden="1" outlineLevel="1" x14ac:dyDescent="0.25">
      <c r="D263" s="7" t="s">
        <v>96</v>
      </c>
      <c r="E263" s="7"/>
      <c r="F263" s="7"/>
      <c r="G263" s="7"/>
      <c r="H263" s="460"/>
      <c r="I263" s="7"/>
      <c r="J263" s="7"/>
      <c r="K263" s="7"/>
      <c r="M263" s="816"/>
      <c r="N263" s="816"/>
      <c r="O263" s="816"/>
      <c r="P263" s="816"/>
    </row>
    <row r="264" spans="1:114" hidden="1" outlineLevel="1" x14ac:dyDescent="0.25">
      <c r="D264" s="461"/>
      <c r="G264" s="252"/>
      <c r="H264" s="462"/>
      <c r="M264" s="816"/>
      <c r="N264" s="816"/>
      <c r="O264" s="816"/>
      <c r="P264" s="816"/>
    </row>
    <row r="265" spans="1:114" hidden="1" outlineLevel="1" x14ac:dyDescent="0.25">
      <c r="D265" s="461"/>
      <c r="G265" s="252"/>
      <c r="H265" s="462"/>
      <c r="M265" s="816"/>
      <c r="N265" s="816"/>
      <c r="O265" s="816"/>
      <c r="P265" s="816"/>
    </row>
    <row r="266" spans="1:114" hidden="1" outlineLevel="1" x14ac:dyDescent="0.25">
      <c r="D266" s="461"/>
      <c r="G266" s="252"/>
      <c r="H266" s="462"/>
      <c r="M266" s="816"/>
      <c r="N266" s="816"/>
      <c r="O266" s="816"/>
      <c r="P266" s="816"/>
    </row>
    <row r="267" spans="1:114" hidden="1" outlineLevel="1" x14ac:dyDescent="0.25">
      <c r="D267" s="461"/>
      <c r="G267" s="252"/>
      <c r="H267" s="462"/>
      <c r="M267" s="7"/>
    </row>
    <row r="268" spans="1:114" hidden="1" outlineLevel="1" x14ac:dyDescent="0.25">
      <c r="D268" s="461"/>
      <c r="G268" s="252"/>
      <c r="H268" s="462"/>
      <c r="M268" s="7"/>
    </row>
    <row r="269" spans="1:114" ht="15.75" hidden="1" outlineLevel="1" thickBot="1" x14ac:dyDescent="0.3">
      <c r="D269" s="461"/>
      <c r="G269" s="252"/>
      <c r="H269" s="462"/>
      <c r="M269" s="7"/>
    </row>
    <row r="270" spans="1:114" hidden="1" outlineLevel="1" x14ac:dyDescent="0.25">
      <c r="D270" s="461"/>
      <c r="E270" s="500" t="s">
        <v>377</v>
      </c>
      <c r="F270" s="501"/>
      <c r="G270" s="252"/>
      <c r="H270" s="462"/>
      <c r="M270" s="7"/>
    </row>
    <row r="271" spans="1:114" hidden="1" outlineLevel="1" x14ac:dyDescent="0.25">
      <c r="D271" s="461"/>
      <c r="E271" s="502"/>
      <c r="F271" s="503"/>
      <c r="G271" s="252"/>
      <c r="H271" s="462"/>
      <c r="M271" s="7"/>
    </row>
    <row r="272" spans="1:114" hidden="1" outlineLevel="1" x14ac:dyDescent="0.25">
      <c r="D272" s="461"/>
      <c r="E272" s="504" t="s">
        <v>378</v>
      </c>
      <c r="F272" s="503">
        <v>1</v>
      </c>
      <c r="G272" s="252"/>
      <c r="H272" s="462"/>
      <c r="M272" s="7"/>
    </row>
    <row r="273" spans="1:114" hidden="1" outlineLevel="1" x14ac:dyDescent="0.25">
      <c r="D273" s="461"/>
      <c r="E273" s="504" t="s">
        <v>379</v>
      </c>
      <c r="F273" s="503">
        <v>0.8</v>
      </c>
      <c r="G273" s="252"/>
      <c r="H273" s="462"/>
      <c r="M273" s="7"/>
    </row>
    <row r="274" spans="1:114" hidden="1" outlineLevel="1" x14ac:dyDescent="0.25">
      <c r="D274" s="461"/>
      <c r="E274" s="504" t="s">
        <v>380</v>
      </c>
      <c r="F274" s="503">
        <v>0.78</v>
      </c>
      <c r="G274" s="252"/>
      <c r="H274" s="462"/>
      <c r="M274" s="7"/>
    </row>
    <row r="275" spans="1:114" hidden="1" outlineLevel="1" x14ac:dyDescent="0.25">
      <c r="D275" s="461"/>
      <c r="E275" s="504" t="s">
        <v>381</v>
      </c>
      <c r="F275" s="503">
        <v>0.69</v>
      </c>
      <c r="G275" s="252"/>
      <c r="H275" s="462"/>
      <c r="M275" s="7"/>
    </row>
    <row r="276" spans="1:114" hidden="1" outlineLevel="1" x14ac:dyDescent="0.25">
      <c r="D276" s="461"/>
      <c r="E276" s="504" t="s">
        <v>382</v>
      </c>
      <c r="F276" s="503">
        <v>0.63</v>
      </c>
      <c r="G276" s="252"/>
      <c r="H276" s="462"/>
      <c r="M276" s="7"/>
    </row>
    <row r="277" spans="1:114" hidden="1" outlineLevel="1" x14ac:dyDescent="0.25">
      <c r="D277" s="461"/>
      <c r="E277" s="504" t="s">
        <v>383</v>
      </c>
      <c r="F277" s="503">
        <v>0.53</v>
      </c>
      <c r="G277" s="252"/>
      <c r="H277" s="462"/>
      <c r="M277" s="7"/>
    </row>
    <row r="278" spans="1:114" hidden="1" outlineLevel="1" x14ac:dyDescent="0.25">
      <c r="D278" s="461"/>
      <c r="E278" s="504" t="s">
        <v>384</v>
      </c>
      <c r="F278" s="503">
        <v>0.53</v>
      </c>
      <c r="G278" s="252"/>
      <c r="H278" s="462"/>
      <c r="M278" s="7"/>
    </row>
    <row r="279" spans="1:114" hidden="1" outlineLevel="1" x14ac:dyDescent="0.25">
      <c r="D279" s="461"/>
      <c r="E279" s="504" t="s">
        <v>385</v>
      </c>
      <c r="F279" s="503">
        <v>0.49</v>
      </c>
      <c r="G279" s="252"/>
      <c r="H279" s="462"/>
      <c r="M279" s="7"/>
    </row>
    <row r="280" spans="1:114" hidden="1" outlineLevel="1" x14ac:dyDescent="0.25">
      <c r="D280" s="461"/>
      <c r="E280" s="504" t="s">
        <v>386</v>
      </c>
      <c r="F280" s="503">
        <v>0.39</v>
      </c>
      <c r="G280" s="252"/>
      <c r="H280" s="462"/>
      <c r="M280" s="7"/>
    </row>
    <row r="281" spans="1:114" hidden="1" outlineLevel="1" x14ac:dyDescent="0.25">
      <c r="D281" s="461"/>
      <c r="E281" s="504" t="s">
        <v>387</v>
      </c>
      <c r="F281" s="503">
        <v>0.3</v>
      </c>
      <c r="G281" s="252"/>
      <c r="H281" s="462"/>
      <c r="M281" s="7"/>
    </row>
    <row r="282" spans="1:114" ht="15.75" hidden="1" outlineLevel="1" thickBot="1" x14ac:dyDescent="0.3">
      <c r="D282" s="461"/>
      <c r="E282" s="505" t="s">
        <v>388</v>
      </c>
      <c r="F282" s="506">
        <v>0.27</v>
      </c>
      <c r="G282" s="252"/>
      <c r="H282" s="462"/>
      <c r="M282" s="7"/>
    </row>
    <row r="283" spans="1:114" hidden="1" outlineLevel="1" x14ac:dyDescent="0.25">
      <c r="D283" s="461"/>
      <c r="G283" s="252"/>
      <c r="H283" s="462"/>
      <c r="M283" s="7"/>
    </row>
    <row r="284" spans="1:114" hidden="1" outlineLevel="1" x14ac:dyDescent="0.25">
      <c r="D284" s="461"/>
      <c r="G284" s="252"/>
      <c r="H284" s="462"/>
      <c r="M284" s="7"/>
    </row>
    <row r="285" spans="1:114" hidden="1" outlineLevel="1" x14ac:dyDescent="0.25">
      <c r="D285" s="461"/>
      <c r="G285" s="252"/>
      <c r="H285" s="462"/>
    </row>
    <row r="286" spans="1:114" s="8" customFormat="1" ht="30" hidden="1" outlineLevel="1" x14ac:dyDescent="0.25">
      <c r="A286" s="252"/>
      <c r="B286" s="116"/>
      <c r="C286" s="64"/>
      <c r="D286" s="1294" t="s">
        <v>42</v>
      </c>
      <c r="E286" s="1294" t="s">
        <v>172</v>
      </c>
      <c r="F286" s="1294" t="s">
        <v>389</v>
      </c>
      <c r="G286" s="1294" t="s">
        <v>390</v>
      </c>
      <c r="H286" s="1294" t="s">
        <v>391</v>
      </c>
      <c r="I286" s="1294" t="s">
        <v>392</v>
      </c>
      <c r="J286" s="1294" t="s">
        <v>393</v>
      </c>
      <c r="K286" s="1294" t="s">
        <v>394</v>
      </c>
      <c r="L286" s="1294" t="s">
        <v>395</v>
      </c>
      <c r="M286" s="1294" t="s">
        <v>369</v>
      </c>
      <c r="N286" s="116"/>
      <c r="O286" s="116"/>
      <c r="P286" s="116"/>
      <c r="Q286" s="116"/>
      <c r="R286" s="116"/>
      <c r="S286" s="116"/>
      <c r="T286" s="116"/>
      <c r="U286" s="116"/>
      <c r="DE286" s="2"/>
      <c r="DF286" s="2"/>
      <c r="DG286" s="1023"/>
      <c r="DH286" s="116"/>
      <c r="DI286" s="116"/>
      <c r="DJ286" s="1116"/>
    </row>
    <row r="287" spans="1:114" hidden="1" outlineLevel="1" x14ac:dyDescent="0.25">
      <c r="D287" s="659" t="str">
        <f>C261</f>
        <v>803200_2024_12_</v>
      </c>
      <c r="E287" s="659" t="str">
        <f>E261</f>
        <v xml:space="preserve"> VFD on HVAC Fans &gt;= 1HP </v>
      </c>
      <c r="F287" s="1777">
        <v>1</v>
      </c>
      <c r="G287" s="36">
        <v>0.65</v>
      </c>
      <c r="H287" s="1777">
        <v>0.93</v>
      </c>
      <c r="I287" s="1777">
        <v>6773</v>
      </c>
      <c r="J287" s="1777">
        <v>0.53</v>
      </c>
      <c r="K287" s="1777">
        <v>0.3</v>
      </c>
      <c r="L287" s="507">
        <v>0.157</v>
      </c>
      <c r="M287" s="1778">
        <v>25</v>
      </c>
    </row>
    <row r="288" spans="1:114" collapsed="1" x14ac:dyDescent="0.25">
      <c r="M288" s="1709" t="s">
        <v>372</v>
      </c>
    </row>
    <row r="290" spans="1:114" s="8" customFormat="1" ht="30" x14ac:dyDescent="0.25">
      <c r="A290" s="252"/>
      <c r="B290" s="64"/>
      <c r="C290" s="9" t="s">
        <v>42</v>
      </c>
      <c r="D290" s="9" t="s">
        <v>43</v>
      </c>
      <c r="E290" s="1361" t="s">
        <v>44</v>
      </c>
      <c r="F290" s="1361" t="s">
        <v>396</v>
      </c>
      <c r="G290" s="1361" t="s">
        <v>46</v>
      </c>
      <c r="H290" s="1361" t="s">
        <v>47</v>
      </c>
      <c r="I290" s="1361" t="s">
        <v>48</v>
      </c>
      <c r="J290" s="1361" t="s">
        <v>49</v>
      </c>
      <c r="K290" s="1361" t="s">
        <v>50</v>
      </c>
      <c r="L290" s="9" t="s">
        <v>51</v>
      </c>
      <c r="M290" s="252"/>
      <c r="N290" s="252"/>
      <c r="O290" s="252"/>
      <c r="P290" s="116"/>
      <c r="Q290" s="116"/>
      <c r="R290" s="116"/>
      <c r="S290" s="116"/>
      <c r="T290" s="116"/>
      <c r="U290" s="116"/>
      <c r="V290" s="648" t="s">
        <v>52</v>
      </c>
      <c r="W290" s="649">
        <f>$W$8</f>
        <v>43252</v>
      </c>
      <c r="X290" s="649">
        <f>$X$8</f>
        <v>43465</v>
      </c>
      <c r="Y290" s="649">
        <f>$Y$8</f>
        <v>43800</v>
      </c>
      <c r="Z290" s="649">
        <f>$Z$8</f>
        <v>43862</v>
      </c>
      <c r="AA290" s="649">
        <f>$AA$8</f>
        <v>44013</v>
      </c>
      <c r="AB290" s="649">
        <v>44166</v>
      </c>
      <c r="AC290" s="649">
        <f>$AC$8</f>
        <v>44531</v>
      </c>
      <c r="AD290" s="649">
        <f>$AD$8</f>
        <v>44774</v>
      </c>
      <c r="AE290" s="649">
        <f>$AE$8</f>
        <v>45142</v>
      </c>
      <c r="AF290" s="649">
        <f>$AF$8</f>
        <v>45672</v>
      </c>
      <c r="AG290" s="649" t="str">
        <f>$AG$8</f>
        <v>-</v>
      </c>
      <c r="AH290"/>
      <c r="AI290" s="648" t="s">
        <v>52</v>
      </c>
      <c r="AJ290" s="649">
        <v>43252</v>
      </c>
      <c r="AK290" s="649">
        <f>$X$8</f>
        <v>43465</v>
      </c>
      <c r="AL290" s="649">
        <f>$Y$8</f>
        <v>43800</v>
      </c>
      <c r="AM290" s="649">
        <f>$Z$8</f>
        <v>43862</v>
      </c>
      <c r="AN290" s="649">
        <f>$AA$8</f>
        <v>44013</v>
      </c>
      <c r="AO290" s="649">
        <v>44166</v>
      </c>
      <c r="AP290" s="649">
        <f>$AC$8</f>
        <v>44531</v>
      </c>
      <c r="AQ290" s="649">
        <f>$AD$8</f>
        <v>44774</v>
      </c>
      <c r="AR290" s="649">
        <f>$AE$8</f>
        <v>45142</v>
      </c>
      <c r="AS290" s="649">
        <f>$AF$8</f>
        <v>45672</v>
      </c>
      <c r="AT290" s="2"/>
      <c r="AU290" s="648" t="s">
        <v>52</v>
      </c>
      <c r="AV290" s="649">
        <v>43252</v>
      </c>
      <c r="AW290" s="649">
        <f>$X$8</f>
        <v>43465</v>
      </c>
      <c r="AX290" s="649">
        <f>$Y$8</f>
        <v>43800</v>
      </c>
      <c r="AY290" s="649">
        <f>$Z$8</f>
        <v>43862</v>
      </c>
      <c r="AZ290" s="649">
        <f>$AA$8</f>
        <v>44013</v>
      </c>
      <c r="BA290" s="649">
        <v>44166</v>
      </c>
      <c r="BB290" s="649">
        <f>$AC$8</f>
        <v>44531</v>
      </c>
      <c r="BC290" s="649">
        <f>$AD$8</f>
        <v>44774</v>
      </c>
      <c r="BD290" s="649">
        <f>$AE$8</f>
        <v>45142</v>
      </c>
      <c r="BE290" s="649">
        <f>$AF$8</f>
        <v>45672</v>
      </c>
      <c r="DE290" s="2"/>
      <c r="DF290" s="2"/>
      <c r="DG290" s="1018" t="str">
        <f>$DG$8</f>
        <v>TRC (2025)</v>
      </c>
      <c r="DH290" s="776" t="str">
        <f>$DH$8</f>
        <v>Benefit Lookup</v>
      </c>
      <c r="DI290" s="776" t="str">
        <f>$DI$8</f>
        <v>Benefits (2025 $)</v>
      </c>
      <c r="DJ290" s="1118" t="str">
        <f>$DJ$8</f>
        <v>Incremental Cost (2025 $)</v>
      </c>
    </row>
    <row r="291" spans="1:114" x14ac:dyDescent="0.25">
      <c r="B291" s="252">
        <f t="shared" ref="B291:B295" si="80">VALUE(LEFT(C291,6))</f>
        <v>803250</v>
      </c>
      <c r="C291" s="668" t="s">
        <v>397</v>
      </c>
      <c r="D291" s="452" t="s">
        <v>329</v>
      </c>
      <c r="E291" s="469" t="s">
        <v>398</v>
      </c>
      <c r="F291" s="667">
        <f>ROUND(F305*((1/G305)-(1/H305))*I305,2)</f>
        <v>117.73</v>
      </c>
      <c r="G291" s="452" t="s">
        <v>331</v>
      </c>
      <c r="H291" s="453">
        <f>VLOOKUP(G291,'CP FACTORS'!$A$26:$B$38,2,FALSE)</f>
        <v>9.1068400000000004E-4</v>
      </c>
      <c r="I291" s="470">
        <f>ROUND(H291*F291,6)</f>
        <v>0.107215</v>
      </c>
      <c r="J291" s="489">
        <v>15</v>
      </c>
      <c r="K291" s="1774">
        <f>104*J305</f>
        <v>218.40000000000015</v>
      </c>
      <c r="L291" s="498" t="s">
        <v>333</v>
      </c>
      <c r="V291" s="1343" t="str">
        <f>F290</f>
        <v>kWh Annual Savings per ton</v>
      </c>
      <c r="W291" s="53">
        <v>153.95313964386136</v>
      </c>
      <c r="X291" s="53">
        <v>153.95313964386136</v>
      </c>
      <c r="Y291" s="53">
        <v>153.95313964386136</v>
      </c>
      <c r="Z291" s="53">
        <v>153.95313964386136</v>
      </c>
      <c r="AA291" s="68">
        <v>153.77000000000001</v>
      </c>
      <c r="AB291" s="628">
        <v>153.77000000000001</v>
      </c>
      <c r="AC291" s="705">
        <v>153.77000000000001</v>
      </c>
      <c r="AD291" s="705">
        <v>153.77000000000001</v>
      </c>
      <c r="AE291" s="1713">
        <v>133.16999999999999</v>
      </c>
      <c r="AF291" s="258">
        <f>IF(F291&lt;&gt;"",F291,"")</f>
        <v>117.73</v>
      </c>
      <c r="AG291" s="68"/>
      <c r="AH291"/>
      <c r="AI291" s="1343" t="s">
        <v>49</v>
      </c>
      <c r="AJ291" s="651">
        <v>15</v>
      </c>
      <c r="AK291" s="651">
        <v>15</v>
      </c>
      <c r="AL291" s="651">
        <v>15</v>
      </c>
      <c r="AM291" s="651">
        <v>15</v>
      </c>
      <c r="AN291" s="651">
        <v>15</v>
      </c>
      <c r="AO291" s="628">
        <v>15</v>
      </c>
      <c r="AP291" s="628">
        <v>15</v>
      </c>
      <c r="AQ291" s="628">
        <v>15</v>
      </c>
      <c r="AR291" s="628">
        <v>15</v>
      </c>
      <c r="AS291" s="628">
        <v>15</v>
      </c>
      <c r="AU291" s="1343" t="s">
        <v>50</v>
      </c>
      <c r="AV291" s="652">
        <v>100</v>
      </c>
      <c r="AW291" s="652">
        <v>100</v>
      </c>
      <c r="AX291" s="652">
        <v>100</v>
      </c>
      <c r="AY291" s="652">
        <v>100</v>
      </c>
      <c r="AZ291" s="652">
        <v>100</v>
      </c>
      <c r="BA291" s="669">
        <v>100</v>
      </c>
      <c r="BB291" s="669">
        <v>100</v>
      </c>
      <c r="BC291" s="669">
        <v>100</v>
      </c>
      <c r="BD291" s="669">
        <v>100</v>
      </c>
      <c r="BE291" s="669">
        <f>K291</f>
        <v>218.40000000000015</v>
      </c>
      <c r="DG291" s="1020">
        <f>(DI291)/(DJ291)</f>
        <v>1.0424807373623386</v>
      </c>
      <c r="DH291" s="1330" t="str">
        <f>CONCATENATE(G291," ",J291," Year EUL")</f>
        <v>Cooling BUS 15 Year EUL</v>
      </c>
      <c r="DI291" s="185">
        <f>(INDEX('Avoided Cost Benefits'!$B$4:$B$865,MATCH(DH291,'Avoided Cost Benefits'!$A$4:$A$865,0)))*F291</f>
        <v>227.6777930399349</v>
      </c>
      <c r="DJ291" s="1935">
        <f>IFERROR(K291/((1+DiscountRate)^(CurrentYear-DiscountYear)),0)</f>
        <v>218.40000000000015</v>
      </c>
    </row>
    <row r="292" spans="1:114" x14ac:dyDescent="0.25">
      <c r="B292" s="252">
        <f t="shared" si="80"/>
        <v>803300</v>
      </c>
      <c r="C292" s="668" t="s">
        <v>399</v>
      </c>
      <c r="D292" s="452" t="s">
        <v>329</v>
      </c>
      <c r="E292" s="469" t="s">
        <v>400</v>
      </c>
      <c r="F292" s="667">
        <f t="shared" ref="F292:F295" si="81">ROUND(F306*((1/G306)-(1/H306))*I306,2)</f>
        <v>179.28</v>
      </c>
      <c r="G292" s="452" t="s">
        <v>331</v>
      </c>
      <c r="H292" s="453">
        <f>VLOOKUP(G292,'CP FACTORS'!$A$26:$B$38,2,FALSE)</f>
        <v>9.1068400000000004E-4</v>
      </c>
      <c r="I292" s="470">
        <f>ROUND(H292*F292,6)</f>
        <v>0.163267</v>
      </c>
      <c r="J292" s="476">
        <v>15</v>
      </c>
      <c r="K292" s="1774">
        <f t="shared" ref="K292:K295" si="82">104*J306</f>
        <v>305.75999999999993</v>
      </c>
      <c r="L292" s="498" t="s">
        <v>333</v>
      </c>
      <c r="V292" s="1343" t="str">
        <f>V291</f>
        <v>kWh Annual Savings per ton</v>
      </c>
      <c r="W292" s="53">
        <v>66.505263157894589</v>
      </c>
      <c r="X292" s="53">
        <v>66.505263157894589</v>
      </c>
      <c r="Y292" s="53">
        <v>66.505263157894589</v>
      </c>
      <c r="Z292" s="53">
        <v>66.505263157894589</v>
      </c>
      <c r="AA292" s="68">
        <v>167.94</v>
      </c>
      <c r="AB292" s="628">
        <v>167.94</v>
      </c>
      <c r="AC292" s="705">
        <v>167.94</v>
      </c>
      <c r="AD292" s="705">
        <v>167.94</v>
      </c>
      <c r="AE292" s="1713">
        <v>143.84</v>
      </c>
      <c r="AF292" s="258">
        <f>IF(F292&lt;&gt;"",F292,"")</f>
        <v>179.28</v>
      </c>
      <c r="AG292" s="68"/>
      <c r="AH292"/>
      <c r="AI292" s="1343" t="s">
        <v>49</v>
      </c>
      <c r="AJ292" s="651">
        <v>15</v>
      </c>
      <c r="AK292" s="651">
        <v>15</v>
      </c>
      <c r="AL292" s="651">
        <v>15</v>
      </c>
      <c r="AM292" s="651">
        <v>15</v>
      </c>
      <c r="AN292" s="651">
        <v>15</v>
      </c>
      <c r="AO292" s="628">
        <v>15</v>
      </c>
      <c r="AP292" s="628">
        <v>15</v>
      </c>
      <c r="AQ292" s="628">
        <v>15</v>
      </c>
      <c r="AR292" s="628">
        <v>15</v>
      </c>
      <c r="AS292" s="628">
        <v>15</v>
      </c>
      <c r="AU292" s="1343" t="s">
        <v>50</v>
      </c>
      <c r="AV292" s="652">
        <v>100</v>
      </c>
      <c r="AW292" s="652">
        <v>100</v>
      </c>
      <c r="AX292" s="652">
        <v>100</v>
      </c>
      <c r="AY292" s="652">
        <v>100</v>
      </c>
      <c r="AZ292" s="652">
        <v>100</v>
      </c>
      <c r="BA292" s="669">
        <v>100</v>
      </c>
      <c r="BB292" s="669">
        <v>100</v>
      </c>
      <c r="BC292" s="669">
        <v>100</v>
      </c>
      <c r="BD292" s="669">
        <v>100</v>
      </c>
      <c r="BE292" s="669">
        <f t="shared" ref="BE292:BE295" si="83">K292</f>
        <v>305.75999999999993</v>
      </c>
      <c r="DG292" s="1021">
        <f>(DI292)/(DJ292)</f>
        <v>1.1339259722265245</v>
      </c>
      <c r="DH292" s="653" t="str">
        <f>CONCATENATE(G292," ",J292," Year EUL")</f>
        <v>Cooling BUS 15 Year EUL</v>
      </c>
      <c r="DI292" s="635">
        <f>(INDEX('Avoided Cost Benefits'!$B$4:$B$865,MATCH(DH292,'Avoided Cost Benefits'!$A$4:$A$865,0)))*F292</f>
        <v>346.70920526798204</v>
      </c>
      <c r="DJ292" s="1936">
        <f>IFERROR(K292/((1+DiscountRate)^(CurrentYear-DiscountYear)),0)</f>
        <v>305.75999999999993</v>
      </c>
    </row>
    <row r="293" spans="1:114" x14ac:dyDescent="0.25">
      <c r="B293" s="252">
        <f t="shared" si="80"/>
        <v>803350</v>
      </c>
      <c r="C293" s="668" t="s">
        <v>401</v>
      </c>
      <c r="D293" s="452" t="s">
        <v>329</v>
      </c>
      <c r="E293" s="469" t="s">
        <v>402</v>
      </c>
      <c r="F293" s="667">
        <f>ROUND(F307*((1/G307)-(1/H307))*I307,2)</f>
        <v>102.44</v>
      </c>
      <c r="G293" s="452" t="s">
        <v>331</v>
      </c>
      <c r="H293" s="453">
        <f>VLOOKUP(G293,'CP FACTORS'!$A$26:$B$38,2,FALSE)</f>
        <v>9.1068400000000004E-4</v>
      </c>
      <c r="I293" s="497">
        <f>ROUND(H293*F293,6)</f>
        <v>9.3289999999999998E-2</v>
      </c>
      <c r="J293" s="476">
        <v>15</v>
      </c>
      <c r="K293" s="1774">
        <f t="shared" si="82"/>
        <v>203.83999999999992</v>
      </c>
      <c r="L293" s="498" t="s">
        <v>333</v>
      </c>
      <c r="M293" s="1667"/>
      <c r="N293" s="1667"/>
      <c r="O293" s="1667"/>
      <c r="P293" s="1667"/>
      <c r="V293" s="1343" t="str">
        <f>V292</f>
        <v>kWh Annual Savings per ton</v>
      </c>
      <c r="W293" s="53">
        <v>98.581830790568617</v>
      </c>
      <c r="X293" s="53">
        <v>98.581830790568617</v>
      </c>
      <c r="Y293" s="53">
        <v>98.581830790568617</v>
      </c>
      <c r="Z293" s="53">
        <v>98.581830790568617</v>
      </c>
      <c r="AA293" s="68">
        <v>148.68</v>
      </c>
      <c r="AB293" s="628">
        <v>148.68</v>
      </c>
      <c r="AC293" s="705">
        <v>148.68</v>
      </c>
      <c r="AD293" s="705">
        <v>148.68</v>
      </c>
      <c r="AE293" s="1713">
        <v>131.41</v>
      </c>
      <c r="AF293" s="258">
        <f>IF(F293&lt;&gt;"",F293,"")</f>
        <v>102.44</v>
      </c>
      <c r="AG293" s="68"/>
      <c r="AH293"/>
      <c r="AI293" s="1343" t="s">
        <v>49</v>
      </c>
      <c r="AJ293" s="651">
        <v>15</v>
      </c>
      <c r="AK293" s="651">
        <v>15</v>
      </c>
      <c r="AL293" s="651">
        <v>15</v>
      </c>
      <c r="AM293" s="651">
        <v>15</v>
      </c>
      <c r="AN293" s="651">
        <v>15</v>
      </c>
      <c r="AO293" s="628">
        <v>15</v>
      </c>
      <c r="AP293" s="628">
        <v>15</v>
      </c>
      <c r="AQ293" s="628">
        <v>15</v>
      </c>
      <c r="AR293" s="628">
        <v>15</v>
      </c>
      <c r="AS293" s="628">
        <v>15</v>
      </c>
      <c r="AU293" s="1343" t="s">
        <v>50</v>
      </c>
      <c r="AV293" s="652">
        <v>100</v>
      </c>
      <c r="AW293" s="652">
        <v>100</v>
      </c>
      <c r="AX293" s="652">
        <v>100</v>
      </c>
      <c r="AY293" s="652">
        <v>100</v>
      </c>
      <c r="AZ293" s="652">
        <v>100</v>
      </c>
      <c r="BA293" s="669">
        <v>100</v>
      </c>
      <c r="BB293" s="669">
        <v>100</v>
      </c>
      <c r="BC293" s="669">
        <v>100</v>
      </c>
      <c r="BD293" s="669">
        <v>100</v>
      </c>
      <c r="BE293" s="669">
        <f t="shared" si="83"/>
        <v>203.83999999999992</v>
      </c>
      <c r="DG293" s="1021">
        <f>(DI293)/(DJ293)</f>
        <v>0.97188233429455484</v>
      </c>
      <c r="DH293" s="653" t="str">
        <f>CONCATENATE(G293," ",J293," Year EUL")</f>
        <v>Cooling BUS 15 Year EUL</v>
      </c>
      <c r="DI293" s="635">
        <f>(INDEX('Avoided Cost Benefits'!$B$4:$B$865,MATCH(DH293,'Avoided Cost Benefits'!$A$4:$A$865,0)))*F293</f>
        <v>198.10849502260197</v>
      </c>
      <c r="DJ293" s="1936">
        <f>IFERROR(K293/((1+DiscountRate)^(CurrentYear-DiscountYear)),0)</f>
        <v>203.83999999999992</v>
      </c>
    </row>
    <row r="294" spans="1:114" ht="37.5" customHeight="1" x14ac:dyDescent="0.25">
      <c r="B294" s="252">
        <f t="shared" si="80"/>
        <v>803400</v>
      </c>
      <c r="C294" s="668" t="s">
        <v>403</v>
      </c>
      <c r="D294" s="452" t="s">
        <v>329</v>
      </c>
      <c r="E294" s="469" t="s">
        <v>404</v>
      </c>
      <c r="F294" s="667">
        <f t="shared" si="81"/>
        <v>10.35</v>
      </c>
      <c r="G294" s="452" t="s">
        <v>331</v>
      </c>
      <c r="H294" s="453">
        <f>VLOOKUP(G294,'CP FACTORS'!$A$26:$B$38,2,FALSE)</f>
        <v>9.1068400000000004E-4</v>
      </c>
      <c r="I294" s="470">
        <f>ROUND(H294*F294,6)</f>
        <v>9.4260000000000004E-3</v>
      </c>
      <c r="J294" s="476">
        <v>15</v>
      </c>
      <c r="K294" s="1774">
        <f t="shared" si="82"/>
        <v>10.399999999999963</v>
      </c>
      <c r="L294" s="498" t="s">
        <v>333</v>
      </c>
      <c r="M294" s="1667"/>
      <c r="N294" s="1667"/>
      <c r="O294" s="1667"/>
      <c r="P294" s="1667"/>
      <c r="V294" s="1343" t="str">
        <f>V293</f>
        <v>kWh Annual Savings per ton</v>
      </c>
      <c r="W294" s="53">
        <v>70.797848498431222</v>
      </c>
      <c r="X294" s="53">
        <v>70.797848498431222</v>
      </c>
      <c r="Y294" s="53">
        <v>70.797848498431222</v>
      </c>
      <c r="Z294" s="53">
        <v>70.797848498431222</v>
      </c>
      <c r="AA294" s="68">
        <v>167.52</v>
      </c>
      <c r="AB294" s="628">
        <v>167.52</v>
      </c>
      <c r="AC294" s="705">
        <v>167.52</v>
      </c>
      <c r="AD294" s="705">
        <v>167.52</v>
      </c>
      <c r="AE294" s="1713">
        <v>153.77000000000001</v>
      </c>
      <c r="AF294" s="258">
        <f>IF(F294&lt;&gt;"",F294,"")</f>
        <v>10.35</v>
      </c>
      <c r="AG294" s="68"/>
      <c r="AH294"/>
      <c r="AI294" s="1343" t="s">
        <v>49</v>
      </c>
      <c r="AJ294" s="651">
        <v>15</v>
      </c>
      <c r="AK294" s="651">
        <v>15</v>
      </c>
      <c r="AL294" s="651">
        <v>15</v>
      </c>
      <c r="AM294" s="651">
        <v>15</v>
      </c>
      <c r="AN294" s="651">
        <v>15</v>
      </c>
      <c r="AO294" s="628">
        <v>15</v>
      </c>
      <c r="AP294" s="628">
        <v>15</v>
      </c>
      <c r="AQ294" s="628">
        <v>15</v>
      </c>
      <c r="AR294" s="628">
        <v>15</v>
      </c>
      <c r="AS294" s="628">
        <v>15</v>
      </c>
      <c r="AU294" s="1343" t="s">
        <v>50</v>
      </c>
      <c r="AV294" s="652">
        <v>100</v>
      </c>
      <c r="AW294" s="652">
        <v>100</v>
      </c>
      <c r="AX294" s="652">
        <v>100</v>
      </c>
      <c r="AY294" s="652">
        <v>100</v>
      </c>
      <c r="AZ294" s="652">
        <v>100</v>
      </c>
      <c r="BA294" s="669">
        <v>100</v>
      </c>
      <c r="BB294" s="669">
        <v>100</v>
      </c>
      <c r="BC294" s="669">
        <v>100</v>
      </c>
      <c r="BD294" s="669">
        <v>100</v>
      </c>
      <c r="BE294" s="669">
        <f t="shared" si="83"/>
        <v>10.399999999999963</v>
      </c>
      <c r="DG294" s="1021">
        <f>(DI294)/(DJ294)</f>
        <v>1.9246002570772549</v>
      </c>
      <c r="DH294" s="653" t="str">
        <f>CONCATENATE(G294," ",J294," Year EUL")</f>
        <v>Cooling BUS 15 Year EUL</v>
      </c>
      <c r="DI294" s="635">
        <f>(INDEX('Avoided Cost Benefits'!$B$4:$B$865,MATCH(DH294,'Avoided Cost Benefits'!$A$4:$A$865,0)))*F294</f>
        <v>20.01584267360338</v>
      </c>
      <c r="DJ294" s="1936">
        <f>IFERROR(K294/((1+DiscountRate)^(CurrentYear-DiscountYear)),0)</f>
        <v>10.399999999999963</v>
      </c>
    </row>
    <row r="295" spans="1:114" x14ac:dyDescent="0.25">
      <c r="B295" s="252">
        <f t="shared" si="80"/>
        <v>803450</v>
      </c>
      <c r="C295" s="668" t="s">
        <v>405</v>
      </c>
      <c r="D295" s="452" t="s">
        <v>329</v>
      </c>
      <c r="E295" s="469" t="s">
        <v>406</v>
      </c>
      <c r="F295" s="667">
        <f t="shared" si="81"/>
        <v>149.76</v>
      </c>
      <c r="G295" s="452" t="s">
        <v>331</v>
      </c>
      <c r="H295" s="453">
        <f>VLOOKUP(G295,'CP FACTORS'!$A$26:$B$38,2,FALSE)</f>
        <v>9.1068400000000004E-4</v>
      </c>
      <c r="I295" s="470">
        <f>ROUND(H295*F295,6)</f>
        <v>0.13638400000000001</v>
      </c>
      <c r="J295" s="476">
        <v>15</v>
      </c>
      <c r="K295" s="1774">
        <f t="shared" si="82"/>
        <v>263.11999999999995</v>
      </c>
      <c r="L295" s="498" t="s">
        <v>333</v>
      </c>
      <c r="M295" s="1667"/>
      <c r="N295" s="1667"/>
      <c r="O295" s="1667"/>
      <c r="P295" s="1667"/>
      <c r="V295" s="1343" t="str">
        <f>V294</f>
        <v>kWh Annual Savings per ton</v>
      </c>
      <c r="W295" s="53">
        <v>69.42857142857153</v>
      </c>
      <c r="X295" s="53">
        <v>69.42857142857153</v>
      </c>
      <c r="Y295" s="53">
        <v>69.42857142857153</v>
      </c>
      <c r="Z295" s="53">
        <v>69.42857142857153</v>
      </c>
      <c r="AA295" s="68">
        <v>129.6</v>
      </c>
      <c r="AB295" s="628">
        <v>129.6</v>
      </c>
      <c r="AC295" s="705">
        <v>129.6</v>
      </c>
      <c r="AD295" s="705">
        <v>129.6</v>
      </c>
      <c r="AE295" s="1713">
        <v>129.6</v>
      </c>
      <c r="AF295" s="258">
        <f>IF(F295&lt;&gt;"",F295,"")</f>
        <v>149.76</v>
      </c>
      <c r="AG295" s="68"/>
      <c r="AH295"/>
      <c r="AI295" s="1343" t="s">
        <v>49</v>
      </c>
      <c r="AJ295" s="651">
        <v>15</v>
      </c>
      <c r="AK295" s="651">
        <v>15</v>
      </c>
      <c r="AL295" s="651">
        <v>15</v>
      </c>
      <c r="AM295" s="651">
        <v>15</v>
      </c>
      <c r="AN295" s="651">
        <v>15</v>
      </c>
      <c r="AO295" s="628">
        <v>15</v>
      </c>
      <c r="AP295" s="628">
        <v>15</v>
      </c>
      <c r="AQ295" s="628">
        <v>15</v>
      </c>
      <c r="AR295" s="628">
        <v>15</v>
      </c>
      <c r="AS295" s="628">
        <v>15</v>
      </c>
      <c r="AU295" s="1343" t="s">
        <v>50</v>
      </c>
      <c r="AV295" s="652">
        <v>100</v>
      </c>
      <c r="AW295" s="652">
        <v>100</v>
      </c>
      <c r="AX295" s="652">
        <v>100</v>
      </c>
      <c r="AY295" s="652">
        <v>100</v>
      </c>
      <c r="AZ295" s="652">
        <v>100</v>
      </c>
      <c r="BA295" s="669">
        <v>100</v>
      </c>
      <c r="BB295" s="669">
        <v>100</v>
      </c>
      <c r="BC295" s="669">
        <v>100</v>
      </c>
      <c r="BD295" s="669">
        <v>100</v>
      </c>
      <c r="BE295" s="669">
        <f t="shared" si="83"/>
        <v>263.11999999999995</v>
      </c>
      <c r="DG295" s="1022">
        <f>(DI295)/(DJ295)</f>
        <v>1.1007165587821073</v>
      </c>
      <c r="DH295" s="653" t="str">
        <f>CONCATENATE(G295," ",J295," Year EUL")</f>
        <v>Cooling BUS 15 Year EUL</v>
      </c>
      <c r="DI295" s="1024">
        <f>(INDEX('Avoided Cost Benefits'!$B$4:$B$865,MATCH(DH295,'Avoided Cost Benefits'!$A$4:$A$865,0)))*F295</f>
        <v>289.62054094674801</v>
      </c>
      <c r="DJ295" s="1937">
        <f>IFERROR(K295/((1+DiscountRate)^(CurrentYear-DiscountYear)),0)</f>
        <v>263.11999999999995</v>
      </c>
    </row>
    <row r="296" spans="1:114" hidden="1" outlineLevel="1" x14ac:dyDescent="0.25">
      <c r="D296" s="74" t="s">
        <v>94</v>
      </c>
      <c r="E296" s="108" t="s">
        <v>407</v>
      </c>
      <c r="F296" s="7"/>
      <c r="G296" s="7"/>
      <c r="H296" s="460"/>
      <c r="I296" s="7"/>
      <c r="J296" s="7"/>
      <c r="K296" s="252" t="s">
        <v>408</v>
      </c>
      <c r="M296" s="1667"/>
      <c r="N296" s="1667"/>
      <c r="O296" s="1667"/>
      <c r="P296" s="1667"/>
      <c r="AF296" s="1690" t="s">
        <v>306</v>
      </c>
      <c r="BD296" s="1690"/>
      <c r="BE296" s="1690" t="s">
        <v>306</v>
      </c>
      <c r="BF296" s="1690"/>
    </row>
    <row r="297" spans="1:114" hidden="1" outlineLevel="1" x14ac:dyDescent="0.25">
      <c r="D297" s="7" t="s">
        <v>96</v>
      </c>
      <c r="E297" s="64"/>
      <c r="F297" s="7"/>
      <c r="G297" s="7"/>
      <c r="H297" s="460"/>
      <c r="I297" s="7"/>
      <c r="J297" s="7"/>
      <c r="K297" s="64"/>
      <c r="M297" s="1667"/>
      <c r="N297" s="1667"/>
      <c r="O297" s="1667"/>
      <c r="P297" s="1667"/>
      <c r="BD297" s="1690"/>
      <c r="BE297" s="1690"/>
      <c r="BF297" s="1690"/>
    </row>
    <row r="298" spans="1:114" hidden="1" outlineLevel="1" x14ac:dyDescent="0.25">
      <c r="D298" s="461" t="s">
        <v>409</v>
      </c>
      <c r="E298" s="64"/>
      <c r="F298" s="461" t="s">
        <v>410</v>
      </c>
      <c r="G298" s="252"/>
      <c r="H298" s="462"/>
    </row>
    <row r="299" spans="1:114" hidden="1" outlineLevel="1" x14ac:dyDescent="0.25">
      <c r="D299" s="461"/>
      <c r="G299" s="252"/>
      <c r="H299" s="462"/>
    </row>
    <row r="300" spans="1:114" hidden="1" outlineLevel="1" x14ac:dyDescent="0.25">
      <c r="D300" s="461"/>
      <c r="G300" s="252"/>
      <c r="H300" s="462"/>
      <c r="M300" s="7"/>
    </row>
    <row r="301" spans="1:114" hidden="1" outlineLevel="1" x14ac:dyDescent="0.25">
      <c r="D301" s="461"/>
      <c r="G301" s="252"/>
      <c r="H301" s="462"/>
      <c r="M301" s="7"/>
    </row>
    <row r="302" spans="1:114" hidden="1" outlineLevel="1" x14ac:dyDescent="0.25">
      <c r="D302" s="461"/>
      <c r="G302" s="252"/>
      <c r="H302" s="462"/>
      <c r="M302" s="7"/>
    </row>
    <row r="303" spans="1:114" hidden="1" outlineLevel="1" x14ac:dyDescent="0.25">
      <c r="D303" s="461"/>
      <c r="G303" s="1108" t="s">
        <v>411</v>
      </c>
      <c r="H303" s="462"/>
    </row>
    <row r="304" spans="1:114" s="8" customFormat="1" ht="30" hidden="1" outlineLevel="1" x14ac:dyDescent="0.25">
      <c r="A304" s="252"/>
      <c r="B304" s="116"/>
      <c r="C304" s="64"/>
      <c r="D304" s="1294" t="s">
        <v>42</v>
      </c>
      <c r="E304" s="1294" t="s">
        <v>172</v>
      </c>
      <c r="F304" s="31" t="s">
        <v>412</v>
      </c>
      <c r="G304" s="1294" t="s">
        <v>413</v>
      </c>
      <c r="H304" s="1294" t="s">
        <v>414</v>
      </c>
      <c r="I304" s="1361" t="s">
        <v>415</v>
      </c>
      <c r="J304" s="1872" t="s">
        <v>416</v>
      </c>
      <c r="K304" s="116"/>
      <c r="L304" s="116"/>
      <c r="M304" s="116"/>
      <c r="N304" s="116"/>
      <c r="O304" s="116"/>
      <c r="P304" s="116"/>
      <c r="Q304" s="116"/>
      <c r="R304" s="116"/>
      <c r="S304" s="116"/>
      <c r="T304" s="116"/>
      <c r="U304" s="116"/>
      <c r="V304" s="648" t="s">
        <v>52</v>
      </c>
      <c r="W304" s="649">
        <v>43252</v>
      </c>
      <c r="X304" s="649">
        <v>43465</v>
      </c>
      <c r="Y304" s="649">
        <v>43800</v>
      </c>
      <c r="Z304" s="649">
        <v>43862</v>
      </c>
      <c r="AA304" s="649">
        <v>44013</v>
      </c>
      <c r="AB304" s="649">
        <v>44166</v>
      </c>
      <c r="AC304" s="649">
        <v>44531</v>
      </c>
      <c r="AD304" s="649">
        <v>44774</v>
      </c>
      <c r="AE304" s="649">
        <v>45142</v>
      </c>
      <c r="AF304" s="649">
        <v>45536</v>
      </c>
      <c r="AG304" s="649" t="s">
        <v>53</v>
      </c>
      <c r="AH304"/>
      <c r="AI304" s="648" t="s">
        <v>52</v>
      </c>
      <c r="AJ304" s="649">
        <v>43252</v>
      </c>
      <c r="AK304" s="649">
        <v>43465</v>
      </c>
      <c r="AL304" s="649">
        <v>43800</v>
      </c>
      <c r="AM304" s="649">
        <v>43862</v>
      </c>
      <c r="AN304" s="649">
        <v>44013</v>
      </c>
      <c r="AO304" s="649">
        <v>44166</v>
      </c>
      <c r="AP304" s="649">
        <v>44531</v>
      </c>
      <c r="AQ304" s="649">
        <v>44774</v>
      </c>
      <c r="AR304" s="649">
        <v>45142</v>
      </c>
      <c r="AS304" s="649">
        <v>45536</v>
      </c>
      <c r="AT304" s="2"/>
      <c r="AU304" s="648" t="s">
        <v>52</v>
      </c>
      <c r="AV304" s="649">
        <v>43252</v>
      </c>
      <c r="AW304" s="649">
        <v>43465</v>
      </c>
      <c r="AX304" s="649">
        <v>43800</v>
      </c>
      <c r="AY304" s="649">
        <v>43862</v>
      </c>
      <c r="AZ304" s="649">
        <v>44013</v>
      </c>
      <c r="BA304" s="649">
        <v>44166</v>
      </c>
      <c r="BB304" s="649">
        <v>44531</v>
      </c>
      <c r="BC304" s="649">
        <v>44774</v>
      </c>
      <c r="BD304" s="649">
        <v>45142</v>
      </c>
      <c r="BE304" s="649">
        <v>45536</v>
      </c>
      <c r="DE304" s="2"/>
      <c r="DF304" s="2"/>
      <c r="DG304" s="1023"/>
      <c r="DH304" s="116"/>
      <c r="DI304" s="116"/>
      <c r="DJ304" s="1116"/>
    </row>
    <row r="305" spans="1:116" hidden="1" outlineLevel="1" x14ac:dyDescent="0.25">
      <c r="D305" s="659" t="str">
        <f>C291</f>
        <v>803250_2024_12_</v>
      </c>
      <c r="E305" s="463" t="str">
        <f>E291</f>
        <v>Single Package or Split Sytem Unitary AC_DX 135 - 240kbtu</v>
      </c>
      <c r="F305" s="483">
        <v>12</v>
      </c>
      <c r="G305" s="1779">
        <v>14</v>
      </c>
      <c r="H305" s="1779">
        <v>16.100000000000001</v>
      </c>
      <c r="I305" s="1772">
        <v>1053</v>
      </c>
      <c r="J305" s="1787">
        <f>ABS(H305-G305)</f>
        <v>2.1000000000000014</v>
      </c>
      <c r="V305" s="1343" t="s">
        <v>417</v>
      </c>
      <c r="W305" s="53">
        <v>12.2</v>
      </c>
      <c r="X305" s="53">
        <v>12.2</v>
      </c>
      <c r="Y305" s="53">
        <v>12.2</v>
      </c>
      <c r="Z305" s="53">
        <v>12.2</v>
      </c>
      <c r="AA305" s="68">
        <v>12.2</v>
      </c>
      <c r="AB305" s="628">
        <v>12.2</v>
      </c>
      <c r="AC305" s="705">
        <v>12.2</v>
      </c>
      <c r="AD305" s="705">
        <v>12.2</v>
      </c>
      <c r="AE305" s="1713">
        <v>12.2</v>
      </c>
      <c r="AF305" s="639">
        <v>14</v>
      </c>
      <c r="AG305" s="68"/>
      <c r="AH305"/>
      <c r="AI305" s="1343" t="s">
        <v>418</v>
      </c>
      <c r="AJ305" s="651">
        <v>14</v>
      </c>
      <c r="AK305" s="651">
        <v>14</v>
      </c>
      <c r="AL305" s="651">
        <v>14</v>
      </c>
      <c r="AM305" s="651">
        <v>14</v>
      </c>
      <c r="AN305" s="651">
        <v>14</v>
      </c>
      <c r="AO305" s="628">
        <v>14</v>
      </c>
      <c r="AP305" s="628">
        <v>14</v>
      </c>
      <c r="AQ305" s="628">
        <v>14</v>
      </c>
      <c r="AR305" s="628">
        <v>14</v>
      </c>
      <c r="AS305" s="628">
        <v>16.100000000000001</v>
      </c>
      <c r="AU305" s="1343"/>
      <c r="AV305" s="652"/>
      <c r="AW305" s="652"/>
      <c r="AX305" s="652"/>
      <c r="AY305" s="652"/>
      <c r="AZ305" s="652"/>
      <c r="BA305" s="669"/>
      <c r="BB305" s="669"/>
      <c r="BC305" s="669"/>
      <c r="BD305" s="669"/>
      <c r="BE305" s="669"/>
    </row>
    <row r="306" spans="1:116" hidden="1" outlineLevel="1" x14ac:dyDescent="0.25">
      <c r="D306" s="659" t="str">
        <f>C292</f>
        <v>803300_2024_12_</v>
      </c>
      <c r="E306" s="463" t="str">
        <f>E292</f>
        <v>Single Package or Split Sytem Unitary AC_DX 240 - 760kBTUh</v>
      </c>
      <c r="F306" s="483">
        <v>12</v>
      </c>
      <c r="G306" s="1779">
        <v>13</v>
      </c>
      <c r="H306" s="1779">
        <v>15.94</v>
      </c>
      <c r="I306" s="1772">
        <v>1053</v>
      </c>
      <c r="J306" s="1787">
        <f t="shared" ref="J306:J309" si="84">ABS(H306-G306)</f>
        <v>2.9399999999999995</v>
      </c>
      <c r="V306" s="1343" t="s">
        <v>417</v>
      </c>
      <c r="W306" s="53">
        <v>11.4</v>
      </c>
      <c r="X306" s="53">
        <v>11.4</v>
      </c>
      <c r="Y306" s="53">
        <v>11.4</v>
      </c>
      <c r="Z306" s="53">
        <v>11.4</v>
      </c>
      <c r="AA306" s="68">
        <v>11.4</v>
      </c>
      <c r="AB306" s="628">
        <v>11.4</v>
      </c>
      <c r="AC306" s="705">
        <v>11.4</v>
      </c>
      <c r="AD306" s="705">
        <v>11.4</v>
      </c>
      <c r="AE306" s="1713">
        <v>11.4</v>
      </c>
      <c r="AF306" s="639">
        <v>13</v>
      </c>
      <c r="AG306" s="68"/>
      <c r="AH306"/>
      <c r="AI306" s="1343" t="s">
        <v>418</v>
      </c>
      <c r="AJ306" s="651">
        <v>13.1</v>
      </c>
      <c r="AK306" s="651">
        <v>13.1</v>
      </c>
      <c r="AL306" s="651">
        <v>13.1</v>
      </c>
      <c r="AM306" s="651">
        <v>13.1</v>
      </c>
      <c r="AN306" s="651">
        <v>13.1</v>
      </c>
      <c r="AO306" s="628">
        <v>13.1</v>
      </c>
      <c r="AP306" s="628">
        <v>13.1</v>
      </c>
      <c r="AQ306" s="628">
        <v>13.1</v>
      </c>
      <c r="AR306" s="628">
        <v>13.1</v>
      </c>
      <c r="AS306" s="628">
        <v>15.94</v>
      </c>
      <c r="AU306" s="1343"/>
      <c r="AV306" s="652"/>
      <c r="AW306" s="652"/>
      <c r="AX306" s="652"/>
      <c r="AY306" s="652"/>
      <c r="AZ306" s="652"/>
      <c r="BA306" s="669"/>
      <c r="BB306" s="669"/>
      <c r="BC306" s="669"/>
      <c r="BD306" s="669"/>
      <c r="BE306" s="669"/>
    </row>
    <row r="307" spans="1:116" hidden="1" outlineLevel="1" x14ac:dyDescent="0.25">
      <c r="D307" s="659" t="str">
        <f>C293</f>
        <v>803350_2024_12_</v>
      </c>
      <c r="E307" s="463" t="str">
        <f>E293</f>
        <v>Single Package or Split Sytem Unitary AC_DX 65 -135kBTUh</v>
      </c>
      <c r="F307" s="483">
        <v>12</v>
      </c>
      <c r="G307" s="1779">
        <v>14.6</v>
      </c>
      <c r="H307" s="1779">
        <v>16.559999999999999</v>
      </c>
      <c r="I307" s="1772">
        <v>1053</v>
      </c>
      <c r="J307" s="1787">
        <f t="shared" si="84"/>
        <v>1.9599999999999991</v>
      </c>
      <c r="V307" s="1343" t="s">
        <v>417</v>
      </c>
      <c r="W307" s="53">
        <v>12.6</v>
      </c>
      <c r="X307" s="53">
        <v>12.6</v>
      </c>
      <c r="Y307" s="53">
        <v>12.6</v>
      </c>
      <c r="Z307" s="53">
        <v>12.6</v>
      </c>
      <c r="AA307" s="68">
        <v>12.6</v>
      </c>
      <c r="AB307" s="628">
        <v>12.6</v>
      </c>
      <c r="AC307" s="705">
        <v>12.6</v>
      </c>
      <c r="AD307" s="705">
        <v>12.6</v>
      </c>
      <c r="AE307" s="1713">
        <v>12.6</v>
      </c>
      <c r="AF307" s="639">
        <v>14.6</v>
      </c>
      <c r="AG307" s="68"/>
      <c r="AH307"/>
      <c r="AI307" s="1343" t="s">
        <v>418</v>
      </c>
      <c r="AJ307" s="651">
        <v>14.5</v>
      </c>
      <c r="AK307" s="651">
        <v>14.5</v>
      </c>
      <c r="AL307" s="651">
        <v>14.5</v>
      </c>
      <c r="AM307" s="651">
        <v>14.5</v>
      </c>
      <c r="AN307" s="651">
        <v>14.5</v>
      </c>
      <c r="AO307" s="628">
        <v>14.5</v>
      </c>
      <c r="AP307" s="628">
        <v>14.5</v>
      </c>
      <c r="AQ307" s="628">
        <v>14.5</v>
      </c>
      <c r="AR307" s="628">
        <v>14.5</v>
      </c>
      <c r="AS307" s="628">
        <v>16.559999999999999</v>
      </c>
      <c r="AU307" s="1343"/>
      <c r="AV307" s="652"/>
      <c r="AW307" s="652"/>
      <c r="AX307" s="652"/>
      <c r="AY307" s="652"/>
      <c r="AZ307" s="652"/>
      <c r="BA307" s="669"/>
      <c r="BB307" s="669"/>
      <c r="BC307" s="669"/>
      <c r="BD307" s="669"/>
      <c r="BE307" s="669"/>
    </row>
    <row r="308" spans="1:116" hidden="1" outlineLevel="1" x14ac:dyDescent="0.25">
      <c r="D308" s="659" t="str">
        <f>C294</f>
        <v>803400_2024_12_</v>
      </c>
      <c r="E308" s="463" t="str">
        <f>E294</f>
        <v>Single Package or Split Sytem Unitary AC_DX &gt;760kBTUh</v>
      </c>
      <c r="F308" s="483">
        <v>12</v>
      </c>
      <c r="G308" s="1779">
        <v>11</v>
      </c>
      <c r="H308" s="1779">
        <v>11.1</v>
      </c>
      <c r="I308" s="1772">
        <v>1053</v>
      </c>
      <c r="J308" s="1787">
        <f t="shared" si="84"/>
        <v>9.9999999999999645E-2</v>
      </c>
      <c r="K308" s="252" t="s">
        <v>419</v>
      </c>
      <c r="L308" s="252" t="s">
        <v>420</v>
      </c>
      <c r="V308" s="1343" t="s">
        <v>417</v>
      </c>
      <c r="W308" s="53">
        <v>11</v>
      </c>
      <c r="X308" s="53">
        <v>11</v>
      </c>
      <c r="Y308" s="53">
        <v>11</v>
      </c>
      <c r="Z308" s="53">
        <v>11</v>
      </c>
      <c r="AA308" s="68">
        <v>11</v>
      </c>
      <c r="AB308" s="628">
        <v>11</v>
      </c>
      <c r="AC308" s="705">
        <v>11</v>
      </c>
      <c r="AD308" s="705">
        <v>11</v>
      </c>
      <c r="AE308" s="1713">
        <v>11</v>
      </c>
      <c r="AF308" s="849">
        <v>11</v>
      </c>
      <c r="AG308" s="68"/>
      <c r="AH308"/>
      <c r="AI308" s="1343" t="s">
        <v>418</v>
      </c>
      <c r="AJ308" s="651">
        <v>12.7</v>
      </c>
      <c r="AK308" s="651">
        <v>12.7</v>
      </c>
      <c r="AL308" s="651">
        <v>12.7</v>
      </c>
      <c r="AM308" s="651">
        <v>12.7</v>
      </c>
      <c r="AN308" s="651">
        <v>12.7</v>
      </c>
      <c r="AO308" s="628">
        <v>12.7</v>
      </c>
      <c r="AP308" s="628">
        <v>12.7</v>
      </c>
      <c r="AQ308" s="628">
        <v>12.7</v>
      </c>
      <c r="AR308" s="628">
        <v>12.7</v>
      </c>
      <c r="AS308" s="628">
        <v>11.1</v>
      </c>
      <c r="AU308" s="1343"/>
      <c r="AV308" s="652"/>
      <c r="AW308" s="652"/>
      <c r="AX308" s="652"/>
      <c r="AY308" s="652"/>
      <c r="AZ308" s="652"/>
      <c r="BA308" s="669"/>
      <c r="BB308" s="669"/>
      <c r="BC308" s="669"/>
      <c r="BD308" s="669"/>
      <c r="BE308" s="669"/>
    </row>
    <row r="309" spans="1:116" hidden="1" outlineLevel="1" x14ac:dyDescent="0.25">
      <c r="D309" s="659" t="str">
        <f>C295</f>
        <v>803450_2024_12_</v>
      </c>
      <c r="E309" s="463" t="str">
        <f>E295</f>
        <v>Single Package or Split Sytem Unitary AC_DX &lt;65kBTUh</v>
      </c>
      <c r="F309" s="483">
        <v>12</v>
      </c>
      <c r="G309" s="1779">
        <v>13.4</v>
      </c>
      <c r="H309" s="1779">
        <v>15.93</v>
      </c>
      <c r="I309" s="1772">
        <v>1053</v>
      </c>
      <c r="J309" s="1787">
        <f t="shared" si="84"/>
        <v>2.5299999999999994</v>
      </c>
      <c r="V309" s="1343" t="s">
        <v>417</v>
      </c>
      <c r="W309" s="53">
        <v>13</v>
      </c>
      <c r="X309" s="53">
        <v>13</v>
      </c>
      <c r="Y309" s="53">
        <v>13</v>
      </c>
      <c r="Z309" s="53">
        <v>13</v>
      </c>
      <c r="AA309" s="68">
        <v>13</v>
      </c>
      <c r="AB309" s="628">
        <v>13</v>
      </c>
      <c r="AC309" s="705">
        <v>13</v>
      </c>
      <c r="AD309" s="705">
        <v>13</v>
      </c>
      <c r="AE309" s="1713">
        <v>13</v>
      </c>
      <c r="AF309" s="639">
        <v>13.4</v>
      </c>
      <c r="AG309" s="68"/>
      <c r="AH309"/>
      <c r="AI309" s="1343" t="s">
        <v>418</v>
      </c>
      <c r="AJ309" s="651">
        <v>15</v>
      </c>
      <c r="AK309" s="651">
        <v>15</v>
      </c>
      <c r="AL309" s="651">
        <v>15</v>
      </c>
      <c r="AM309" s="651">
        <v>15</v>
      </c>
      <c r="AN309" s="651">
        <v>15</v>
      </c>
      <c r="AO309" s="628">
        <v>15</v>
      </c>
      <c r="AP309" s="628">
        <v>15</v>
      </c>
      <c r="AQ309" s="628">
        <v>15</v>
      </c>
      <c r="AR309" s="628">
        <v>15</v>
      </c>
      <c r="AS309" s="628">
        <v>15.93</v>
      </c>
      <c r="AU309" s="1343"/>
      <c r="AV309" s="652"/>
      <c r="AW309" s="652"/>
      <c r="AX309" s="652"/>
      <c r="AY309" s="652"/>
      <c r="AZ309" s="652"/>
      <c r="BA309" s="669"/>
      <c r="BB309" s="669"/>
      <c r="BC309" s="669"/>
      <c r="BD309" s="669"/>
      <c r="BE309" s="669"/>
    </row>
    <row r="310" spans="1:116" ht="15.75" collapsed="1" thickBot="1" x14ac:dyDescent="0.3">
      <c r="G310" s="1786" t="s">
        <v>421</v>
      </c>
      <c r="H310" s="1786" t="s">
        <v>422</v>
      </c>
      <c r="I310" s="1786"/>
    </row>
    <row r="311" spans="1:116" ht="15.75" thickBot="1" x14ac:dyDescent="0.3">
      <c r="DI311" s="2063" t="s">
        <v>423</v>
      </c>
      <c r="DJ311" s="2064"/>
      <c r="DK311" s="2063" t="s">
        <v>424</v>
      </c>
      <c r="DL311" s="2065" t="s">
        <v>424</v>
      </c>
    </row>
    <row r="312" spans="1:116" s="8" customFormat="1" ht="30" x14ac:dyDescent="0.25">
      <c r="A312" s="252"/>
      <c r="B312" s="252"/>
      <c r="C312" s="9" t="s">
        <v>42</v>
      </c>
      <c r="D312" s="9" t="s">
        <v>43</v>
      </c>
      <c r="E312" s="1361" t="s">
        <v>425</v>
      </c>
      <c r="F312" s="1361" t="s">
        <v>426</v>
      </c>
      <c r="G312" s="1361" t="s">
        <v>427</v>
      </c>
      <c r="H312" s="1361" t="s">
        <v>327</v>
      </c>
      <c r="I312" s="1361" t="s">
        <v>46</v>
      </c>
      <c r="J312" s="1361" t="s">
        <v>46</v>
      </c>
      <c r="K312" s="10" t="s">
        <v>47</v>
      </c>
      <c r="L312" s="1361" t="s">
        <v>48</v>
      </c>
      <c r="M312" s="1361" t="s">
        <v>49</v>
      </c>
      <c r="N312" s="9" t="s">
        <v>428</v>
      </c>
      <c r="O312" s="9" t="s">
        <v>51</v>
      </c>
      <c r="P312" s="252"/>
      <c r="Q312" s="116"/>
      <c r="R312" s="116"/>
      <c r="S312" s="116"/>
      <c r="T312" s="116"/>
      <c r="U312" s="116"/>
      <c r="V312" s="648" t="s">
        <v>52</v>
      </c>
      <c r="W312" s="649">
        <f>$W$8</f>
        <v>43252</v>
      </c>
      <c r="X312" s="649">
        <f>$X$8</f>
        <v>43465</v>
      </c>
      <c r="Y312" s="649">
        <f>$Y$8</f>
        <v>43800</v>
      </c>
      <c r="Z312" s="649">
        <f>$Z$8</f>
        <v>43862</v>
      </c>
      <c r="AA312" s="649">
        <f>$AA$8</f>
        <v>44013</v>
      </c>
      <c r="AB312" s="649">
        <v>44166</v>
      </c>
      <c r="AC312" s="649">
        <f>$AC$8</f>
        <v>44531</v>
      </c>
      <c r="AD312" s="649">
        <f>$AD$8</f>
        <v>44774</v>
      </c>
      <c r="AE312" s="649">
        <f>$AE$8</f>
        <v>45142</v>
      </c>
      <c r="AF312" s="649">
        <f>$AF$8</f>
        <v>45672</v>
      </c>
      <c r="AG312" s="649" t="str">
        <f>$AG$8</f>
        <v>-</v>
      </c>
      <c r="AH312"/>
      <c r="AI312" s="648" t="s">
        <v>52</v>
      </c>
      <c r="AJ312" s="649">
        <v>43252</v>
      </c>
      <c r="AK312" s="649">
        <f>$X$8</f>
        <v>43465</v>
      </c>
      <c r="AL312" s="649">
        <f>$Y$8</f>
        <v>43800</v>
      </c>
      <c r="AM312" s="649">
        <f>$Z$8</f>
        <v>43862</v>
      </c>
      <c r="AN312" s="649">
        <f>$AA$8</f>
        <v>44013</v>
      </c>
      <c r="AO312" s="649">
        <v>44166</v>
      </c>
      <c r="AP312" s="649">
        <f>$AC$8</f>
        <v>44531</v>
      </c>
      <c r="AQ312" s="649">
        <f>$AD$8</f>
        <v>44774</v>
      </c>
      <c r="AR312" s="649">
        <f>$AE$8</f>
        <v>45142</v>
      </c>
      <c r="AS312" s="649">
        <f>$AF$8</f>
        <v>45672</v>
      </c>
      <c r="AT312"/>
      <c r="AU312" s="648" t="s">
        <v>52</v>
      </c>
      <c r="AV312" s="649">
        <v>43252</v>
      </c>
      <c r="AW312" s="649">
        <f>$X$8</f>
        <v>43465</v>
      </c>
      <c r="AX312" s="649">
        <f>$Y$8</f>
        <v>43800</v>
      </c>
      <c r="AY312" s="649">
        <f>$Z$8</f>
        <v>43862</v>
      </c>
      <c r="AZ312" s="649">
        <f>$AA$8</f>
        <v>44013</v>
      </c>
      <c r="BA312" s="649">
        <v>44166</v>
      </c>
      <c r="BB312" s="649">
        <f>$AC$8</f>
        <v>44531</v>
      </c>
      <c r="BC312" s="649">
        <f>$AD$8</f>
        <v>44774</v>
      </c>
      <c r="BD312" s="649">
        <f>$AE$8</f>
        <v>45142</v>
      </c>
      <c r="BE312" s="649">
        <f>$AF$8</f>
        <v>45672</v>
      </c>
      <c r="BF312"/>
      <c r="BG312" s="648" t="s">
        <v>52</v>
      </c>
      <c r="BH312" s="649">
        <v>43252</v>
      </c>
      <c r="BI312" s="649">
        <f>$X$8</f>
        <v>43465</v>
      </c>
      <c r="BJ312" s="649">
        <f>$Y$8</f>
        <v>43800</v>
      </c>
      <c r="BK312" s="649">
        <f>$Z$8</f>
        <v>43862</v>
      </c>
      <c r="BL312" s="649">
        <f>$AA$8</f>
        <v>44013</v>
      </c>
      <c r="BM312" s="649">
        <v>44166</v>
      </c>
      <c r="BN312" s="649">
        <f>$AC$8</f>
        <v>44531</v>
      </c>
      <c r="BO312" s="649">
        <f>$AD$8</f>
        <v>44774</v>
      </c>
      <c r="BP312" s="649">
        <f>$AE$8</f>
        <v>45142</v>
      </c>
      <c r="BQ312" s="649">
        <f>$AF$8</f>
        <v>45672</v>
      </c>
      <c r="BR312" s="2"/>
      <c r="BS312" s="2"/>
      <c r="BT312" s="648" t="s">
        <v>52</v>
      </c>
      <c r="BU312" s="649">
        <v>43252</v>
      </c>
      <c r="BV312" s="649">
        <f>$X$8</f>
        <v>43465</v>
      </c>
      <c r="BW312" s="649">
        <f>$Y$8</f>
        <v>43800</v>
      </c>
      <c r="BX312" s="649">
        <f>$Z$8</f>
        <v>43862</v>
      </c>
      <c r="BY312" s="649">
        <f>$AA$8</f>
        <v>44013</v>
      </c>
      <c r="BZ312" s="649">
        <v>44166</v>
      </c>
      <c r="CA312" s="649">
        <f>$AC$8</f>
        <v>44531</v>
      </c>
      <c r="CB312" s="649">
        <f>$AD$8</f>
        <v>44774</v>
      </c>
      <c r="CC312" s="649">
        <f>$AE$8</f>
        <v>45142</v>
      </c>
      <c r="CD312" s="649">
        <f>$AF$8</f>
        <v>45672</v>
      </c>
      <c r="DE312" s="2"/>
      <c r="DF312" s="2"/>
      <c r="DG312" s="775" t="str">
        <f>$DG$8</f>
        <v>TRC (2025)</v>
      </c>
      <c r="DH312" s="776" t="str">
        <f>$DH$8</f>
        <v>Benefit Lookup</v>
      </c>
      <c r="DI312" s="777" t="str">
        <f>$DI$8</f>
        <v>Benefits (2025 $)</v>
      </c>
      <c r="DJ312" s="1120" t="str">
        <f>$DJ$8</f>
        <v>Incremental Cost (2025 $)</v>
      </c>
      <c r="DK312" s="777" t="str">
        <f>$DH$8</f>
        <v>Benefit Lookup</v>
      </c>
      <c r="DL312" s="1121" t="str">
        <f>$DI$8</f>
        <v>Benefits (2025 $)</v>
      </c>
    </row>
    <row r="313" spans="1:116" s="8" customFormat="1" x14ac:dyDescent="0.25">
      <c r="A313" s="252"/>
      <c r="B313" s="252">
        <f>VALUE(LEFT(C313,6))</f>
        <v>803500</v>
      </c>
      <c r="C313" s="668" t="s">
        <v>429</v>
      </c>
      <c r="D313" s="452" t="s">
        <v>111</v>
      </c>
      <c r="E313" s="469" t="s">
        <v>430</v>
      </c>
      <c r="F313" s="404">
        <f>SUM(G313:H313)</f>
        <v>526.24</v>
      </c>
      <c r="G313" s="404">
        <f>ROUND(F331*((1/G331)-(1/H331))*K331,2)</f>
        <v>430.9</v>
      </c>
      <c r="H313" s="404">
        <f>ROUND((P331/3.412*((1/L331)-(1/M331))*Q331),2)</f>
        <v>95.34</v>
      </c>
      <c r="I313" s="452" t="s">
        <v>331</v>
      </c>
      <c r="J313" s="452" t="s">
        <v>332</v>
      </c>
      <c r="K313" s="453">
        <v>9.1068395835808389E-4</v>
      </c>
      <c r="L313" s="497">
        <f>ROUND(K313*G313,6)</f>
        <v>0.39241399999999999</v>
      </c>
      <c r="M313" s="99">
        <v>15</v>
      </c>
      <c r="N313" s="1774">
        <f>104*R331</f>
        <v>416</v>
      </c>
      <c r="O313" s="498" t="s">
        <v>431</v>
      </c>
      <c r="P313" s="252"/>
      <c r="Q313" s="116"/>
      <c r="R313" s="116"/>
      <c r="S313" s="116"/>
      <c r="T313" s="116"/>
      <c r="U313" s="116"/>
      <c r="V313" s="1343" t="str">
        <f t="shared" ref="V313:V320" si="85">F312</f>
        <v>Total kWh Annual Savings</v>
      </c>
      <c r="W313" s="1717">
        <v>64.694011161703301</v>
      </c>
      <c r="X313" s="1717">
        <v>64.694011161703301</v>
      </c>
      <c r="Y313" s="1717">
        <v>64.694011161703301</v>
      </c>
      <c r="Z313" s="808"/>
      <c r="AA313" s="808">
        <v>64.7</v>
      </c>
      <c r="AB313" s="808">
        <v>64.7</v>
      </c>
      <c r="AC313" s="808">
        <v>64.7</v>
      </c>
      <c r="AD313" s="808">
        <v>64.7</v>
      </c>
      <c r="AE313" s="1718">
        <v>226.93</v>
      </c>
      <c r="AF313" s="258">
        <f>IF(F313&lt;&gt;"",F313,"")</f>
        <v>526.24</v>
      </c>
      <c r="AG313" s="68"/>
      <c r="AH313"/>
      <c r="AI313" s="1343" t="str">
        <f t="shared" ref="AI313:AI320" si="86">G312</f>
        <v>Cooling kWh Annual Savings (per ton)</v>
      </c>
      <c r="AJ313" s="1717">
        <v>36.705882352941231</v>
      </c>
      <c r="AK313" s="1717">
        <v>36.705882352941231</v>
      </c>
      <c r="AL313" s="808">
        <v>36.705882352941231</v>
      </c>
      <c r="AM313" s="808">
        <v>36.705882352941231</v>
      </c>
      <c r="AN313" s="808">
        <v>36.71</v>
      </c>
      <c r="AO313" s="808">
        <v>36.71</v>
      </c>
      <c r="AP313" s="1719">
        <v>36.71</v>
      </c>
      <c r="AQ313" s="1719">
        <v>36.71</v>
      </c>
      <c r="AR313" s="1718">
        <v>31.92</v>
      </c>
      <c r="AS313" s="1700">
        <f>G313</f>
        <v>430.9</v>
      </c>
      <c r="AT313"/>
      <c r="AU313" s="1343" t="str">
        <f>H312</f>
        <v>Heating kWh Annual Savings (per ton)</v>
      </c>
      <c r="AV313" s="1694">
        <v>27.988128808762067</v>
      </c>
      <c r="AW313" s="1694">
        <v>27.988128808762067</v>
      </c>
      <c r="AX313" s="1694">
        <v>27.988128808762067</v>
      </c>
      <c r="AY313" s="1694">
        <v>27.988128808762067</v>
      </c>
      <c r="AZ313" s="1694">
        <v>27.99</v>
      </c>
      <c r="BA313" s="1694">
        <v>27.99</v>
      </c>
      <c r="BB313" s="1694">
        <v>27.99</v>
      </c>
      <c r="BC313" s="1694">
        <v>27.99</v>
      </c>
      <c r="BD313" s="1721">
        <v>195.01</v>
      </c>
      <c r="BE313" s="1720">
        <f>H313</f>
        <v>95.34</v>
      </c>
      <c r="BF313"/>
      <c r="BG313" s="1343" t="s">
        <v>49</v>
      </c>
      <c r="BH313" s="651">
        <v>15</v>
      </c>
      <c r="BI313" s="651">
        <v>15</v>
      </c>
      <c r="BJ313" s="630">
        <v>15</v>
      </c>
      <c r="BK313" s="630">
        <v>15</v>
      </c>
      <c r="BL313" s="630">
        <v>15</v>
      </c>
      <c r="BM313" s="628">
        <v>15</v>
      </c>
      <c r="BN313" s="628">
        <v>15</v>
      </c>
      <c r="BO313" s="628">
        <v>15</v>
      </c>
      <c r="BP313" s="628">
        <v>15</v>
      </c>
      <c r="BQ313" s="628">
        <v>15</v>
      </c>
      <c r="BR313" s="2"/>
      <c r="BS313" s="2"/>
      <c r="BT313" s="1343" t="str">
        <f>N312</f>
        <v>Inc. Cost     (per ton)</v>
      </c>
      <c r="BU313" s="2003">
        <v>180</v>
      </c>
      <c r="BV313" s="2003">
        <v>180</v>
      </c>
      <c r="BW313" s="2003">
        <v>180</v>
      </c>
      <c r="BX313" s="2003">
        <v>180</v>
      </c>
      <c r="BY313" s="2003">
        <v>180</v>
      </c>
      <c r="BZ313" s="669">
        <v>180</v>
      </c>
      <c r="CA313" s="669">
        <v>180</v>
      </c>
      <c r="CB313" s="669">
        <v>180</v>
      </c>
      <c r="CC313" s="669">
        <v>180</v>
      </c>
      <c r="CD313" s="669">
        <f>N313</f>
        <v>416</v>
      </c>
      <c r="DE313" s="2"/>
      <c r="DF313" s="2"/>
      <c r="DG313" s="590">
        <f>(DI313+DL313)/(DJ313)</f>
        <v>2.1226929220263142</v>
      </c>
      <c r="DH313" s="1330" t="str">
        <f>CONCATENATE(I313," ",M313," Year EUL")</f>
        <v>Cooling BUS 15 Year EUL</v>
      </c>
      <c r="DI313" s="195">
        <f>(INDEX('[1]Avoided Cost Benefits'!$B$4:$B$865,MATCH(DH313,'[1]Avoided Cost Benefits'!$A$4:$A$865,0)))*G313</f>
        <v>833.31658048847305</v>
      </c>
      <c r="DJ313" s="2004">
        <f>N313/(1.0686^(2025-2025))</f>
        <v>416</v>
      </c>
      <c r="DK313" s="1330" t="str">
        <f>CONCATENATE(J313," ",M313," Year EUL")</f>
        <v>Heating BUS 15 Year EUL</v>
      </c>
      <c r="DL313" s="1122">
        <f>(INDEX('[1]Avoided Cost Benefits'!$B$4:$B$865,MATCH(DK313,'[1]Avoided Cost Benefits'!$A$4:$A$865,0)))*H313</f>
        <v>49.723675074473576</v>
      </c>
    </row>
    <row r="314" spans="1:116" x14ac:dyDescent="0.25">
      <c r="B314" s="252">
        <f t="shared" ref="B314:B319" si="87">VALUE(LEFT(C314,6))</f>
        <v>803570</v>
      </c>
      <c r="C314" s="668" t="s">
        <v>432</v>
      </c>
      <c r="D314" s="452" t="s">
        <v>111</v>
      </c>
      <c r="E314" s="469" t="s">
        <v>433</v>
      </c>
      <c r="F314" s="404">
        <f t="shared" ref="F314:F320" si="88">SUM(G314:H314)</f>
        <v>291.85000000000002</v>
      </c>
      <c r="G314" s="404">
        <f>ROUND(F332*((1/G332)-(1/H332))*K332,2)</f>
        <v>253.32</v>
      </c>
      <c r="H314" s="404">
        <f t="shared" ref="H314:H319" si="89">ROUND((P332/3.412*((1/L332)-(1/M332))*Q332),2)</f>
        <v>38.53</v>
      </c>
      <c r="I314" s="452" t="s">
        <v>331</v>
      </c>
      <c r="J314" s="452" t="s">
        <v>332</v>
      </c>
      <c r="K314" s="453">
        <v>9.1068395835808389E-4</v>
      </c>
      <c r="L314" s="497">
        <f t="shared" ref="L314:L320" si="90">ROUND(K314*G314,6)</f>
        <v>0.23069400000000001</v>
      </c>
      <c r="M314" s="99">
        <v>15</v>
      </c>
      <c r="N314" s="1774">
        <f t="shared" ref="N314:N320" si="91">104*R332</f>
        <v>208</v>
      </c>
      <c r="O314" s="498" t="s">
        <v>431</v>
      </c>
      <c r="V314" s="1343">
        <f t="shared" si="85"/>
        <v>526.24</v>
      </c>
      <c r="W314" s="1717">
        <v>142.93549722981479</v>
      </c>
      <c r="X314" s="1717">
        <v>142.93549722981479</v>
      </c>
      <c r="Y314" s="1717">
        <v>142.93549722981479</v>
      </c>
      <c r="Z314" s="808"/>
      <c r="AA314" s="808">
        <v>142.94</v>
      </c>
      <c r="AB314" s="808">
        <v>142.94</v>
      </c>
      <c r="AC314" s="808">
        <v>142.94</v>
      </c>
      <c r="AD314" s="808">
        <v>142.94</v>
      </c>
      <c r="AE314" s="1718">
        <v>305.16999999999996</v>
      </c>
      <c r="AF314" s="258">
        <f t="shared" ref="AF314:AF320" si="92">IF(F314&lt;&gt;"",F314,"")</f>
        <v>291.85000000000002</v>
      </c>
      <c r="AG314" s="68"/>
      <c r="AH314"/>
      <c r="AI314" s="1343">
        <f t="shared" si="86"/>
        <v>430.9</v>
      </c>
      <c r="AJ314" s="1717">
        <v>114.94736842105272</v>
      </c>
      <c r="AK314" s="1717">
        <v>114.94736842105272</v>
      </c>
      <c r="AL314" s="808">
        <v>114.94736842105272</v>
      </c>
      <c r="AM314" s="808">
        <v>114.94736842105272</v>
      </c>
      <c r="AN314" s="808">
        <v>114.95</v>
      </c>
      <c r="AO314" s="808">
        <v>114.95</v>
      </c>
      <c r="AP314" s="1719">
        <v>114.95</v>
      </c>
      <c r="AQ314" s="1719">
        <v>114.95</v>
      </c>
      <c r="AR314" s="1718">
        <v>110.16</v>
      </c>
      <c r="AS314" s="1700">
        <f t="shared" ref="AS314:AS320" si="93">G314</f>
        <v>253.32</v>
      </c>
      <c r="AT314"/>
      <c r="AU314" s="1343" t="str">
        <f>AU313</f>
        <v>Heating kWh Annual Savings (per ton)</v>
      </c>
      <c r="AV314" s="1694">
        <v>27.988128808762067</v>
      </c>
      <c r="AW314" s="1694">
        <v>27.988128808762067</v>
      </c>
      <c r="AX314" s="1694">
        <v>27.988128808762067</v>
      </c>
      <c r="AY314" s="1694">
        <v>27.988128808762067</v>
      </c>
      <c r="AZ314" s="1694">
        <v>27.99</v>
      </c>
      <c r="BA314" s="1694">
        <v>27.99</v>
      </c>
      <c r="BB314" s="1694">
        <v>27.99</v>
      </c>
      <c r="BC314" s="1694">
        <v>27.99</v>
      </c>
      <c r="BD314" s="1721">
        <v>195.01</v>
      </c>
      <c r="BE314" s="1720">
        <f t="shared" ref="BE314:BE320" si="94">H314</f>
        <v>38.53</v>
      </c>
      <c r="BF314"/>
      <c r="BG314" s="1343" t="s">
        <v>49</v>
      </c>
      <c r="BH314" s="651">
        <v>15</v>
      </c>
      <c r="BI314" s="651">
        <v>15</v>
      </c>
      <c r="BJ314" s="630">
        <v>15</v>
      </c>
      <c r="BK314" s="630">
        <v>15</v>
      </c>
      <c r="BL314" s="630">
        <v>15</v>
      </c>
      <c r="BM314" s="628">
        <v>15</v>
      </c>
      <c r="BN314" s="628">
        <v>15</v>
      </c>
      <c r="BO314" s="628">
        <v>15</v>
      </c>
      <c r="BP314" s="628">
        <v>15</v>
      </c>
      <c r="BQ314" s="628">
        <v>15</v>
      </c>
      <c r="BT314" s="1343" t="str">
        <f>BT313</f>
        <v>Inc. Cost     (per ton)</v>
      </c>
      <c r="BU314" s="652">
        <v>180</v>
      </c>
      <c r="BV314" s="652">
        <v>180</v>
      </c>
      <c r="BW314" s="652">
        <v>180</v>
      </c>
      <c r="BX314" s="652">
        <v>180</v>
      </c>
      <c r="BY314" s="652">
        <v>180</v>
      </c>
      <c r="BZ314" s="669">
        <v>180</v>
      </c>
      <c r="CA314" s="669">
        <v>180</v>
      </c>
      <c r="CB314" s="669">
        <v>180</v>
      </c>
      <c r="CC314" s="669">
        <v>180</v>
      </c>
      <c r="CD314" s="669">
        <f t="shared" ref="CD314:CD320" si="95">N314</f>
        <v>208</v>
      </c>
      <c r="DG314" s="590">
        <f t="shared" ref="DG314:DG320" si="96">(DI314+DL314)/(DJ314)</f>
        <v>2.4518748007493518</v>
      </c>
      <c r="DH314" s="1330" t="str">
        <f t="shared" ref="DH314:DH320" si="97">CONCATENATE(I314," ",M314," Year EUL")</f>
        <v>Cooling BUS 15 Year EUL</v>
      </c>
      <c r="DI314" s="431">
        <f>(INDEX('Avoided Cost Benefits'!$B$4:$B$865,MATCH(DH314,'Avoided Cost Benefits'!$A$4:$A$865,0)))*G314</f>
        <v>489.89500155335344</v>
      </c>
      <c r="DJ314" s="1940">
        <f t="shared" ref="DJ314:DJ320" si="98">IFERROR(N314/((1+DiscountRate)^(CurrentYear-DiscountYear)),0)</f>
        <v>208</v>
      </c>
      <c r="DK314" s="1330" t="str">
        <f t="shared" ref="DK314:DK320" si="99">CONCATENATE(J314," ",M314," Year EUL")</f>
        <v>Heating BUS 15 Year EUL</v>
      </c>
      <c r="DL314" s="1122">
        <f>(INDEX('Avoided Cost Benefits'!$B$4:$B$865,MATCH(DK314,'Avoided Cost Benefits'!$A$4:$A$865,0)))*H314</f>
        <v>20.094957002511716</v>
      </c>
    </row>
    <row r="315" spans="1:116" x14ac:dyDescent="0.25">
      <c r="B315" s="252">
        <f t="shared" si="87"/>
        <v>803575</v>
      </c>
      <c r="C315" s="668" t="s">
        <v>434</v>
      </c>
      <c r="D315" s="452" t="s">
        <v>111</v>
      </c>
      <c r="E315" s="469" t="s">
        <v>435</v>
      </c>
      <c r="F315" s="404">
        <f>SUM(G315:H315)</f>
        <v>228.12</v>
      </c>
      <c r="G315" s="404">
        <f>ROUND(F333*((1/G333)-(1/H333))*K333,2)</f>
        <v>189.59</v>
      </c>
      <c r="H315" s="404">
        <f t="shared" si="89"/>
        <v>38.53</v>
      </c>
      <c r="I315" s="452" t="s">
        <v>331</v>
      </c>
      <c r="J315" s="452" t="s">
        <v>332</v>
      </c>
      <c r="K315" s="453">
        <v>9.1068395835808389E-4</v>
      </c>
      <c r="L315" s="497">
        <f>ROUND(K315*G315,6)</f>
        <v>0.172657</v>
      </c>
      <c r="M315" s="99">
        <v>15</v>
      </c>
      <c r="N315" s="1774">
        <f t="shared" si="91"/>
        <v>208</v>
      </c>
      <c r="O315" s="498" t="s">
        <v>431</v>
      </c>
      <c r="V315" s="1343">
        <f t="shared" si="85"/>
        <v>291.85000000000002</v>
      </c>
      <c r="W315" s="1717"/>
      <c r="X315" s="1717"/>
      <c r="Y315" s="1717"/>
      <c r="Z315" s="808"/>
      <c r="AA315" s="808"/>
      <c r="AB315" s="808"/>
      <c r="AC315" s="808"/>
      <c r="AD315" s="808"/>
      <c r="AE315" s="1718"/>
      <c r="AF315" s="258">
        <f t="shared" si="92"/>
        <v>228.12</v>
      </c>
      <c r="AG315" s="68"/>
      <c r="AH315"/>
      <c r="AI315" s="1343">
        <f t="shared" si="86"/>
        <v>253.32</v>
      </c>
      <c r="AJ315" s="1717"/>
      <c r="AK315" s="1717"/>
      <c r="AL315" s="808"/>
      <c r="AM315" s="808"/>
      <c r="AN315" s="808"/>
      <c r="AO315" s="808"/>
      <c r="AP315" s="1719"/>
      <c r="AQ315" s="1719"/>
      <c r="AR315" s="1718"/>
      <c r="AS315" s="1700">
        <f t="shared" si="93"/>
        <v>189.59</v>
      </c>
      <c r="AT315"/>
      <c r="AU315" s="1343" t="str">
        <f>AU314</f>
        <v>Heating kWh Annual Savings (per ton)</v>
      </c>
      <c r="AV315" s="1694"/>
      <c r="AW315" s="1694"/>
      <c r="AX315" s="1694"/>
      <c r="AY315" s="1694"/>
      <c r="AZ315" s="1694"/>
      <c r="BA315" s="1694"/>
      <c r="BB315" s="1694"/>
      <c r="BC315" s="1694"/>
      <c r="BD315" s="1721"/>
      <c r="BE315" s="1720">
        <f t="shared" si="94"/>
        <v>38.53</v>
      </c>
      <c r="BF315"/>
      <c r="BG315" s="1343" t="s">
        <v>49</v>
      </c>
      <c r="BH315" s="651"/>
      <c r="BI315" s="651"/>
      <c r="BJ315" s="630"/>
      <c r="BK315" s="630"/>
      <c r="BL315" s="630"/>
      <c r="BM315" s="628"/>
      <c r="BN315" s="628"/>
      <c r="BO315" s="628"/>
      <c r="BP315" s="628"/>
      <c r="BQ315" s="628"/>
      <c r="BT315" s="1343" t="str">
        <f>BT314</f>
        <v>Inc. Cost     (per ton)</v>
      </c>
      <c r="BU315" s="652"/>
      <c r="BV315" s="652"/>
      <c r="BW315" s="652"/>
      <c r="BX315" s="652"/>
      <c r="BY315" s="652"/>
      <c r="BZ315" s="669"/>
      <c r="CA315" s="669"/>
      <c r="CB315" s="669"/>
      <c r="CC315" s="669"/>
      <c r="CD315" s="669">
        <f t="shared" si="95"/>
        <v>208</v>
      </c>
      <c r="DG315" s="590">
        <f t="shared" ref="DG315:DG316" si="100">(DI315+DL315)/(DJ315)</f>
        <v>1.8593396587999169</v>
      </c>
      <c r="DH315" s="1330" t="str">
        <f t="shared" ref="DH315:DH316" si="101">CONCATENATE(I315," ",M315," Year EUL")</f>
        <v>Cooling BUS 15 Year EUL</v>
      </c>
      <c r="DI315" s="431">
        <f>(INDEX('Avoided Cost Benefits'!$B$4:$B$865,MATCH(DH315,'Avoided Cost Benefits'!$A$4:$A$865,0)))*G315</f>
        <v>366.64769202787102</v>
      </c>
      <c r="DJ315" s="1940">
        <f t="shared" si="98"/>
        <v>208</v>
      </c>
      <c r="DK315" s="1330" t="str">
        <f t="shared" ref="DK315:DK316" si="102">CONCATENATE(J315," ",M315," Year EUL")</f>
        <v>Heating BUS 15 Year EUL</v>
      </c>
      <c r="DL315" s="1122">
        <f>(INDEX('Avoided Cost Benefits'!$B$4:$B$865,MATCH(DK315,'Avoided Cost Benefits'!$A$4:$A$865,0)))*H315</f>
        <v>20.094957002511716</v>
      </c>
    </row>
    <row r="316" spans="1:116" x14ac:dyDescent="0.25">
      <c r="B316" s="252">
        <f t="shared" si="87"/>
        <v>803580</v>
      </c>
      <c r="C316" s="668" t="s">
        <v>436</v>
      </c>
      <c r="D316" s="452" t="s">
        <v>111</v>
      </c>
      <c r="E316" s="469" t="s">
        <v>437</v>
      </c>
      <c r="F316" s="404">
        <f>SUM(G316:H316)</f>
        <v>228.12</v>
      </c>
      <c r="G316" s="404">
        <f>ROUND(F334*((1/G334)-(1/H334))*K334,2)</f>
        <v>189.59</v>
      </c>
      <c r="H316" s="404">
        <f t="shared" si="89"/>
        <v>38.53</v>
      </c>
      <c r="I316" s="452" t="s">
        <v>331</v>
      </c>
      <c r="J316" s="452" t="s">
        <v>332</v>
      </c>
      <c r="K316" s="453">
        <v>9.1068395835808389E-4</v>
      </c>
      <c r="L316" s="497">
        <f>ROUND(K316*G316,6)</f>
        <v>0.172657</v>
      </c>
      <c r="M316" s="99">
        <v>15</v>
      </c>
      <c r="N316" s="1774">
        <f t="shared" si="91"/>
        <v>208</v>
      </c>
      <c r="O316" s="498" t="s">
        <v>431</v>
      </c>
      <c r="V316" s="1343">
        <f t="shared" si="85"/>
        <v>228.12</v>
      </c>
      <c r="W316" s="1717"/>
      <c r="X316" s="1717"/>
      <c r="Y316" s="1717"/>
      <c r="Z316" s="808"/>
      <c r="AA316" s="808"/>
      <c r="AB316" s="808"/>
      <c r="AC316" s="808"/>
      <c r="AD316" s="808"/>
      <c r="AE316" s="1718"/>
      <c r="AF316" s="258">
        <f t="shared" si="92"/>
        <v>228.12</v>
      </c>
      <c r="AG316" s="68"/>
      <c r="AH316"/>
      <c r="AI316" s="1343">
        <f t="shared" si="86"/>
        <v>189.59</v>
      </c>
      <c r="AJ316" s="1717"/>
      <c r="AK316" s="1717"/>
      <c r="AL316" s="808"/>
      <c r="AM316" s="808"/>
      <c r="AN316" s="808"/>
      <c r="AO316" s="808"/>
      <c r="AP316" s="1719"/>
      <c r="AQ316" s="1719"/>
      <c r="AR316" s="1718"/>
      <c r="AS316" s="1700">
        <f t="shared" si="93"/>
        <v>189.59</v>
      </c>
      <c r="AT316"/>
      <c r="AU316" s="1343" t="str">
        <f>AU315</f>
        <v>Heating kWh Annual Savings (per ton)</v>
      </c>
      <c r="AV316" s="1694"/>
      <c r="AW316" s="1694"/>
      <c r="AX316" s="1694"/>
      <c r="AY316" s="1694"/>
      <c r="AZ316" s="1694"/>
      <c r="BA316" s="1694"/>
      <c r="BB316" s="1694"/>
      <c r="BC316" s="1694"/>
      <c r="BD316" s="1721"/>
      <c r="BE316" s="1720">
        <f t="shared" si="94"/>
        <v>38.53</v>
      </c>
      <c r="BF316"/>
      <c r="BG316" s="1343" t="s">
        <v>49</v>
      </c>
      <c r="BH316" s="651"/>
      <c r="BI316" s="651"/>
      <c r="BJ316" s="630"/>
      <c r="BK316" s="630"/>
      <c r="BL316" s="630"/>
      <c r="BM316" s="628"/>
      <c r="BN316" s="628"/>
      <c r="BO316" s="628"/>
      <c r="BP316" s="628"/>
      <c r="BQ316" s="628"/>
      <c r="BT316" s="1343" t="str">
        <f>BT315</f>
        <v>Inc. Cost     (per ton)</v>
      </c>
      <c r="BU316" s="652"/>
      <c r="BV316" s="652"/>
      <c r="BW316" s="652"/>
      <c r="BX316" s="652"/>
      <c r="BY316" s="652"/>
      <c r="BZ316" s="669"/>
      <c r="CA316" s="669"/>
      <c r="CB316" s="669"/>
      <c r="CC316" s="669"/>
      <c r="CD316" s="669">
        <f t="shared" si="95"/>
        <v>208</v>
      </c>
      <c r="DG316" s="590">
        <f t="shared" si="100"/>
        <v>1.8593396587999169</v>
      </c>
      <c r="DH316" s="1330" t="str">
        <f t="shared" si="101"/>
        <v>Cooling BUS 15 Year EUL</v>
      </c>
      <c r="DI316" s="431">
        <f>(INDEX('Avoided Cost Benefits'!$B$4:$B$865,MATCH(DH316,'Avoided Cost Benefits'!$A$4:$A$865,0)))*G316</f>
        <v>366.64769202787102</v>
      </c>
      <c r="DJ316" s="1940">
        <f t="shared" si="98"/>
        <v>208</v>
      </c>
      <c r="DK316" s="1330" t="str">
        <f t="shared" si="102"/>
        <v>Heating BUS 15 Year EUL</v>
      </c>
      <c r="DL316" s="1122">
        <f>(INDEX('Avoided Cost Benefits'!$B$4:$B$865,MATCH(DK316,'Avoided Cost Benefits'!$A$4:$A$865,0)))*H316</f>
        <v>20.094957002511716</v>
      </c>
    </row>
    <row r="317" spans="1:116" x14ac:dyDescent="0.25">
      <c r="B317" s="252">
        <f t="shared" si="87"/>
        <v>803600</v>
      </c>
      <c r="C317" s="668" t="s">
        <v>438</v>
      </c>
      <c r="D317" s="452" t="s">
        <v>329</v>
      </c>
      <c r="E317" s="469" t="s">
        <v>439</v>
      </c>
      <c r="F317" s="404">
        <f t="shared" si="88"/>
        <v>169.55</v>
      </c>
      <c r="G317" s="404">
        <f>ROUND((F335*((1/I335)-(1/J335))*K335),2)</f>
        <v>117.34</v>
      </c>
      <c r="H317" s="404">
        <f t="shared" si="89"/>
        <v>52.21</v>
      </c>
      <c r="I317" s="452" t="s">
        <v>331</v>
      </c>
      <c r="J317" s="452" t="s">
        <v>332</v>
      </c>
      <c r="K317" s="453">
        <v>9.1068395835808389E-4</v>
      </c>
      <c r="L317" s="497">
        <f t="shared" si="90"/>
        <v>0.10686</v>
      </c>
      <c r="M317" s="99">
        <v>15</v>
      </c>
      <c r="N317" s="1774">
        <f t="shared" si="91"/>
        <v>214.24000000000007</v>
      </c>
      <c r="O317" s="498" t="s">
        <v>431</v>
      </c>
      <c r="V317" s="1343">
        <f t="shared" si="85"/>
        <v>228.12</v>
      </c>
      <c r="W317" s="1717">
        <v>160.28171008358601</v>
      </c>
      <c r="X317" s="1717">
        <v>160.28171008358601</v>
      </c>
      <c r="Y317" s="1717">
        <v>160.28171008358601</v>
      </c>
      <c r="Z317" s="808"/>
      <c r="AA317" s="808">
        <v>340.37</v>
      </c>
      <c r="AB317" s="808">
        <v>340.37</v>
      </c>
      <c r="AC317" s="808">
        <v>340.37</v>
      </c>
      <c r="AD317" s="808">
        <v>340.37</v>
      </c>
      <c r="AE317" s="1718">
        <v>333.05</v>
      </c>
      <c r="AF317" s="258">
        <f t="shared" si="92"/>
        <v>169.55</v>
      </c>
      <c r="AG317" s="68"/>
      <c r="AH317"/>
      <c r="AI317" s="1343">
        <f t="shared" si="86"/>
        <v>189.59</v>
      </c>
      <c r="AJ317" s="1717">
        <v>95.727272727272819</v>
      </c>
      <c r="AK317" s="1717">
        <v>95.727272727272819</v>
      </c>
      <c r="AL317" s="808">
        <v>95.727272727272819</v>
      </c>
      <c r="AM317" s="808">
        <v>95.727272727272819</v>
      </c>
      <c r="AN317" s="808">
        <v>117.33</v>
      </c>
      <c r="AO317" s="808">
        <v>117.33</v>
      </c>
      <c r="AP317" s="1719">
        <v>117.33</v>
      </c>
      <c r="AQ317" s="1719">
        <v>117.33</v>
      </c>
      <c r="AR317" s="1718">
        <v>110.01</v>
      </c>
      <c r="AS317" s="1700">
        <f t="shared" si="93"/>
        <v>117.34</v>
      </c>
      <c r="AT317"/>
      <c r="AU317" s="1343" t="str">
        <f>AU314</f>
        <v>Heating kWh Annual Savings (per ton)</v>
      </c>
      <c r="AV317" s="1694">
        <v>64.554437356313187</v>
      </c>
      <c r="AW317" s="1694">
        <v>64.554437356313187</v>
      </c>
      <c r="AX317" s="1694">
        <v>64.554437356313187</v>
      </c>
      <c r="AY317" s="1694">
        <v>64.554437356313187</v>
      </c>
      <c r="AZ317" s="1694">
        <v>223.04</v>
      </c>
      <c r="BA317" s="1694">
        <v>223.04</v>
      </c>
      <c r="BB317" s="1694">
        <v>223.04</v>
      </c>
      <c r="BC317" s="1694">
        <v>223.04</v>
      </c>
      <c r="BD317" s="1721">
        <v>223.04</v>
      </c>
      <c r="BE317" s="1720">
        <f t="shared" si="94"/>
        <v>52.21</v>
      </c>
      <c r="BF317"/>
      <c r="BG317" s="1343" t="s">
        <v>49</v>
      </c>
      <c r="BH317" s="651">
        <v>15</v>
      </c>
      <c r="BI317" s="651">
        <v>15</v>
      </c>
      <c r="BJ317" s="630">
        <v>15</v>
      </c>
      <c r="BK317" s="630">
        <v>15</v>
      </c>
      <c r="BL317" s="630">
        <v>15</v>
      </c>
      <c r="BM317" s="628">
        <v>15</v>
      </c>
      <c r="BN317" s="628">
        <v>15</v>
      </c>
      <c r="BO317" s="628">
        <v>15</v>
      </c>
      <c r="BP317" s="628">
        <v>15</v>
      </c>
      <c r="BQ317" s="628">
        <v>15</v>
      </c>
      <c r="BT317" s="1343" t="str">
        <f>BT314</f>
        <v>Inc. Cost     (per ton)</v>
      </c>
      <c r="BU317" s="652">
        <v>100</v>
      </c>
      <c r="BV317" s="652">
        <v>100</v>
      </c>
      <c r="BW317" s="652">
        <v>100</v>
      </c>
      <c r="BX317" s="652">
        <v>100</v>
      </c>
      <c r="BY317" s="652">
        <v>100</v>
      </c>
      <c r="BZ317" s="669">
        <v>100</v>
      </c>
      <c r="CA317" s="669">
        <v>100</v>
      </c>
      <c r="CB317" s="669">
        <v>100</v>
      </c>
      <c r="CC317" s="669">
        <v>100</v>
      </c>
      <c r="CD317" s="669">
        <f t="shared" si="95"/>
        <v>214.24000000000007</v>
      </c>
      <c r="DG317" s="590">
        <f t="shared" si="96"/>
        <v>1.1863013651494656</v>
      </c>
      <c r="DH317" s="1330" t="str">
        <f t="shared" si="97"/>
        <v>Cooling BUS 15 Year EUL</v>
      </c>
      <c r="DI317" s="431">
        <f>(INDEX('Avoided Cost Benefits'!$B$4:$B$865,MATCH(DH317,'Avoided Cost Benefits'!$A$4:$A$865,0)))*G317</f>
        <v>226.9235728812194</v>
      </c>
      <c r="DJ317" s="1940">
        <f t="shared" si="98"/>
        <v>214.24000000000007</v>
      </c>
      <c r="DK317" s="1330" t="str">
        <f t="shared" si="99"/>
        <v>Heating BUS 15 Year EUL</v>
      </c>
      <c r="DL317" s="1122">
        <f>(INDEX('Avoided Cost Benefits'!$B$4:$B$865,MATCH(DK317,'Avoided Cost Benefits'!$A$4:$A$865,0)))*H317</f>
        <v>27.229631588402196</v>
      </c>
    </row>
    <row r="318" spans="1:116" x14ac:dyDescent="0.25">
      <c r="B318" s="252">
        <f t="shared" si="87"/>
        <v>803650</v>
      </c>
      <c r="C318" s="668" t="s">
        <v>440</v>
      </c>
      <c r="D318" s="452" t="s">
        <v>111</v>
      </c>
      <c r="E318" s="469" t="s">
        <v>441</v>
      </c>
      <c r="F318" s="404">
        <f t="shared" si="88"/>
        <v>204.57999999999998</v>
      </c>
      <c r="G318" s="404">
        <f>ROUND((F336*((1/I336)-(1/J336))*K336),2)</f>
        <v>168.14</v>
      </c>
      <c r="H318" s="404">
        <f t="shared" si="89"/>
        <v>36.44</v>
      </c>
      <c r="I318" s="452" t="s">
        <v>331</v>
      </c>
      <c r="J318" s="452" t="s">
        <v>332</v>
      </c>
      <c r="K318" s="453">
        <v>9.1068395835808389E-4</v>
      </c>
      <c r="L318" s="497">
        <f t="shared" si="90"/>
        <v>0.15312200000000001</v>
      </c>
      <c r="M318" s="99">
        <v>15</v>
      </c>
      <c r="N318" s="1774">
        <f t="shared" si="91"/>
        <v>297.43999999999994</v>
      </c>
      <c r="O318" s="498" t="s">
        <v>431</v>
      </c>
      <c r="P318" s="508"/>
      <c r="Q318" s="508"/>
      <c r="V318" s="1343">
        <f t="shared" si="85"/>
        <v>169.55</v>
      </c>
      <c r="W318" s="1717">
        <v>227.29649291790051</v>
      </c>
      <c r="X318" s="1717">
        <v>227.29649291790051</v>
      </c>
      <c r="Y318" s="1717">
        <v>227.29649291790051</v>
      </c>
      <c r="Z318" s="808"/>
      <c r="AA318" s="808">
        <v>393.13</v>
      </c>
      <c r="AB318" s="808">
        <v>393.13</v>
      </c>
      <c r="AC318" s="808">
        <v>393.13</v>
      </c>
      <c r="AD318" s="808">
        <v>393.13</v>
      </c>
      <c r="AE318" s="1718">
        <v>382.51</v>
      </c>
      <c r="AF318" s="258">
        <f t="shared" si="92"/>
        <v>204.57999999999998</v>
      </c>
      <c r="AG318" s="68"/>
      <c r="AH318"/>
      <c r="AI318" s="1343">
        <f t="shared" si="86"/>
        <v>117.34</v>
      </c>
      <c r="AJ318" s="1717">
        <v>43.348198970840535</v>
      </c>
      <c r="AK318" s="1717">
        <v>43.348198970840535</v>
      </c>
      <c r="AL318" s="808">
        <v>43.348198970840535</v>
      </c>
      <c r="AM318" s="808">
        <v>43.348198970840535</v>
      </c>
      <c r="AN318" s="808">
        <v>127.93</v>
      </c>
      <c r="AO318" s="808">
        <v>127.93</v>
      </c>
      <c r="AP318" s="1719">
        <v>127.93</v>
      </c>
      <c r="AQ318" s="1719">
        <v>127.93</v>
      </c>
      <c r="AR318" s="1718">
        <v>117.31</v>
      </c>
      <c r="AS318" s="1700">
        <f t="shared" si="93"/>
        <v>168.14</v>
      </c>
      <c r="AT318"/>
      <c r="AU318" s="1343" t="str">
        <f>AU317</f>
        <v>Heating kWh Annual Savings (per ton)</v>
      </c>
      <c r="AV318" s="1694">
        <v>183.94829394705997</v>
      </c>
      <c r="AW318" s="1694">
        <v>183.94829394705997</v>
      </c>
      <c r="AX318" s="1694">
        <v>183.94829394705997</v>
      </c>
      <c r="AY318" s="1694">
        <v>183.94829394705997</v>
      </c>
      <c r="AZ318" s="1694">
        <v>265.2</v>
      </c>
      <c r="BA318" s="1694">
        <v>265.2</v>
      </c>
      <c r="BB318" s="1694">
        <v>265.2</v>
      </c>
      <c r="BC318" s="1694">
        <v>265.2</v>
      </c>
      <c r="BD318" s="1721">
        <v>265.2</v>
      </c>
      <c r="BE318" s="1720">
        <f t="shared" si="94"/>
        <v>36.44</v>
      </c>
      <c r="BF318"/>
      <c r="BG318" s="1343" t="s">
        <v>49</v>
      </c>
      <c r="BH318" s="651">
        <v>15</v>
      </c>
      <c r="BI318" s="651">
        <v>15</v>
      </c>
      <c r="BJ318" s="630">
        <v>15</v>
      </c>
      <c r="BK318" s="630">
        <v>15</v>
      </c>
      <c r="BL318" s="630">
        <v>15</v>
      </c>
      <c r="BM318" s="628">
        <v>15</v>
      </c>
      <c r="BN318" s="628">
        <v>15</v>
      </c>
      <c r="BO318" s="628">
        <v>15</v>
      </c>
      <c r="BP318" s="628">
        <v>15</v>
      </c>
      <c r="BQ318" s="628">
        <v>15</v>
      </c>
      <c r="BT318" s="1343" t="str">
        <f>BT317</f>
        <v>Inc. Cost     (per ton)</v>
      </c>
      <c r="BU318" s="652">
        <v>100</v>
      </c>
      <c r="BV318" s="652">
        <v>100</v>
      </c>
      <c r="BW318" s="652">
        <v>100</v>
      </c>
      <c r="BX318" s="652">
        <v>100</v>
      </c>
      <c r="BY318" s="652">
        <v>100</v>
      </c>
      <c r="BZ318" s="669">
        <v>100</v>
      </c>
      <c r="CA318" s="669">
        <v>100</v>
      </c>
      <c r="CB318" s="669">
        <v>100</v>
      </c>
      <c r="CC318" s="669">
        <v>100</v>
      </c>
      <c r="CD318" s="669">
        <f t="shared" si="95"/>
        <v>297.43999999999994</v>
      </c>
      <c r="DG318" s="590">
        <f t="shared" si="96"/>
        <v>1.1571090659381082</v>
      </c>
      <c r="DH318" s="1330" t="str">
        <f t="shared" si="97"/>
        <v>Cooling BUS 15 Year EUL</v>
      </c>
      <c r="DI318" s="431">
        <f>(INDEX('Avoided Cost Benefits'!$B$4:$B$865,MATCH(DH318,'Avoided Cost Benefits'!$A$4:$A$865,0)))*G318</f>
        <v>325.16558329851904</v>
      </c>
      <c r="DJ318" s="1940">
        <f t="shared" si="98"/>
        <v>297.43999999999994</v>
      </c>
      <c r="DK318" s="1330" t="str">
        <f t="shared" si="99"/>
        <v>Heating BUS 15 Year EUL</v>
      </c>
      <c r="DL318" s="1122">
        <f>(INDEX('Avoided Cost Benefits'!$B$4:$B$865,MATCH(DK318,'Avoided Cost Benefits'!$A$4:$A$865,0)))*H318</f>
        <v>19.004937274111779</v>
      </c>
    </row>
    <row r="319" spans="1:116" x14ac:dyDescent="0.25">
      <c r="B319" s="252">
        <f t="shared" si="87"/>
        <v>803700</v>
      </c>
      <c r="C319" s="668" t="s">
        <v>442</v>
      </c>
      <c r="D319" s="452" t="s">
        <v>329</v>
      </c>
      <c r="E319" s="469" t="s">
        <v>443</v>
      </c>
      <c r="F319" s="404">
        <f t="shared" si="88"/>
        <v>386.41999999999996</v>
      </c>
      <c r="G319" s="404">
        <f>ROUND((F337*((1/I337)-(1/J337))*K337),2)</f>
        <v>327.64999999999998</v>
      </c>
      <c r="H319" s="404">
        <f t="shared" si="89"/>
        <v>58.77</v>
      </c>
      <c r="I319" s="452" t="s">
        <v>331</v>
      </c>
      <c r="J319" s="452" t="s">
        <v>332</v>
      </c>
      <c r="K319" s="453">
        <v>9.1068395835808389E-4</v>
      </c>
      <c r="L319" s="497">
        <f t="shared" si="90"/>
        <v>0.29838599999999998</v>
      </c>
      <c r="M319" s="99">
        <v>15</v>
      </c>
      <c r="N319" s="1774">
        <f t="shared" si="91"/>
        <v>416</v>
      </c>
      <c r="O319" s="498" t="s">
        <v>431</v>
      </c>
      <c r="P319" s="508"/>
      <c r="Q319" s="508"/>
      <c r="V319" s="1343">
        <f t="shared" si="85"/>
        <v>204.57999999999998</v>
      </c>
      <c r="W319" s="1717">
        <v>267.47488720030498</v>
      </c>
      <c r="X319" s="1717">
        <v>267.47488720030498</v>
      </c>
      <c r="Y319" s="1717">
        <v>267.47488720030498</v>
      </c>
      <c r="Z319" s="808"/>
      <c r="AA319" s="808">
        <v>411.45</v>
      </c>
      <c r="AB319" s="808">
        <v>411.45</v>
      </c>
      <c r="AC319" s="808">
        <v>411.45</v>
      </c>
      <c r="AD319" s="808">
        <v>411.45</v>
      </c>
      <c r="AE319" s="1718">
        <v>395.42999999999995</v>
      </c>
      <c r="AF319" s="258">
        <f t="shared" si="92"/>
        <v>386.41999999999996</v>
      </c>
      <c r="AG319" s="68"/>
      <c r="AH319"/>
      <c r="AI319" s="1343">
        <f t="shared" si="86"/>
        <v>168.14</v>
      </c>
      <c r="AJ319" s="1717">
        <v>138.02979145978136</v>
      </c>
      <c r="AK319" s="1717">
        <v>138.02979145978136</v>
      </c>
      <c r="AL319" s="808">
        <v>138.02979145978136</v>
      </c>
      <c r="AM319" s="808">
        <v>138.02979145978136</v>
      </c>
      <c r="AN319" s="808">
        <v>146.25</v>
      </c>
      <c r="AO319" s="808">
        <v>146.25</v>
      </c>
      <c r="AP319" s="1719">
        <v>146.25</v>
      </c>
      <c r="AQ319" s="1719">
        <v>146.25</v>
      </c>
      <c r="AR319" s="1718">
        <v>130.22999999999999</v>
      </c>
      <c r="AS319" s="1700">
        <f t="shared" si="93"/>
        <v>327.64999999999998</v>
      </c>
      <c r="AT319"/>
      <c r="AU319" s="1343" t="str">
        <f>AU318</f>
        <v>Heating kWh Annual Savings (per ton)</v>
      </c>
      <c r="AV319" s="1694">
        <v>129.44509574052361</v>
      </c>
      <c r="AW319" s="1694">
        <v>129.44509574052361</v>
      </c>
      <c r="AX319" s="1694">
        <v>129.44509574052361</v>
      </c>
      <c r="AY319" s="1694">
        <v>129.44509574052361</v>
      </c>
      <c r="AZ319" s="1694">
        <v>265.2</v>
      </c>
      <c r="BA319" s="1694">
        <v>265.2</v>
      </c>
      <c r="BB319" s="1694">
        <v>265.2</v>
      </c>
      <c r="BC319" s="1694">
        <v>265.2</v>
      </c>
      <c r="BD319" s="1721">
        <v>265.2</v>
      </c>
      <c r="BE319" s="1720">
        <f t="shared" si="94"/>
        <v>58.77</v>
      </c>
      <c r="BF319"/>
      <c r="BG319" s="1343" t="s">
        <v>49</v>
      </c>
      <c r="BH319" s="651">
        <v>15</v>
      </c>
      <c r="BI319" s="651">
        <v>15</v>
      </c>
      <c r="BJ319" s="630">
        <v>15</v>
      </c>
      <c r="BK319" s="630">
        <v>15</v>
      </c>
      <c r="BL319" s="630">
        <v>15</v>
      </c>
      <c r="BM319" s="628">
        <v>15</v>
      </c>
      <c r="BN319" s="628">
        <v>15</v>
      </c>
      <c r="BO319" s="628">
        <v>15</v>
      </c>
      <c r="BP319" s="628">
        <v>15</v>
      </c>
      <c r="BQ319" s="628">
        <v>15</v>
      </c>
      <c r="BT319" s="1343" t="str">
        <f>BT318</f>
        <v>Inc. Cost     (per ton)</v>
      </c>
      <c r="BU319" s="652">
        <v>100</v>
      </c>
      <c r="BV319" s="652">
        <v>100</v>
      </c>
      <c r="BW319" s="652">
        <v>100</v>
      </c>
      <c r="BX319" s="652">
        <v>100</v>
      </c>
      <c r="BY319" s="652">
        <v>100</v>
      </c>
      <c r="BZ319" s="669">
        <v>100</v>
      </c>
      <c r="CA319" s="669">
        <v>100</v>
      </c>
      <c r="CB319" s="669">
        <v>100</v>
      </c>
      <c r="CC319" s="669">
        <v>100</v>
      </c>
      <c r="CD319" s="669">
        <f t="shared" si="95"/>
        <v>416</v>
      </c>
      <c r="DG319" s="590">
        <f t="shared" si="96"/>
        <v>1.5968571291906939</v>
      </c>
      <c r="DH319" s="1330" t="str">
        <f t="shared" si="97"/>
        <v>Cooling BUS 15 Year EUL</v>
      </c>
      <c r="DI319" s="431">
        <f>(INDEX('Avoided Cost Benefits'!$B$4:$B$865,MATCH(DH319,'Avoided Cost Benefits'!$A$4:$A$865,0)))*G319</f>
        <v>633.64162821315438</v>
      </c>
      <c r="DJ319" s="1940">
        <f t="shared" si="98"/>
        <v>416</v>
      </c>
      <c r="DK319" s="1330" t="str">
        <f t="shared" si="99"/>
        <v>Heating BUS 15 Year EUL</v>
      </c>
      <c r="DL319" s="1122">
        <f>(INDEX('Avoided Cost Benefits'!$B$4:$B$865,MATCH(DK319,'Avoided Cost Benefits'!$A$4:$A$865,0)))*H319</f>
        <v>30.650937530174239</v>
      </c>
    </row>
    <row r="320" spans="1:116" x14ac:dyDescent="0.25">
      <c r="B320" s="252">
        <f>VALUE(LEFT(C320,6))</f>
        <v>803750</v>
      </c>
      <c r="C320" s="668" t="s">
        <v>444</v>
      </c>
      <c r="D320" s="452" t="s">
        <v>329</v>
      </c>
      <c r="E320" s="469" t="s">
        <v>445</v>
      </c>
      <c r="F320" s="404">
        <f t="shared" si="88"/>
        <v>223.37</v>
      </c>
      <c r="G320" s="404">
        <f>ROUND((F338*((1/I338)-(1/J338))*K338),2)</f>
        <v>158.13999999999999</v>
      </c>
      <c r="H320" s="404">
        <f>ROUND((P338*((1/N338)-(1/O338))*Q338),2)</f>
        <v>65.23</v>
      </c>
      <c r="I320" s="452" t="s">
        <v>331</v>
      </c>
      <c r="J320" s="452" t="s">
        <v>332</v>
      </c>
      <c r="K320" s="453">
        <v>9.1068395835808389E-4</v>
      </c>
      <c r="L320" s="497">
        <f t="shared" si="90"/>
        <v>0.14401600000000001</v>
      </c>
      <c r="M320" s="99">
        <v>15</v>
      </c>
      <c r="N320" s="1774">
        <f t="shared" si="91"/>
        <v>280.80000000000013</v>
      </c>
      <c r="O320" s="498" t="s">
        <v>431</v>
      </c>
      <c r="P320" s="508"/>
      <c r="Q320" s="508"/>
      <c r="V320" s="1343">
        <f t="shared" si="85"/>
        <v>386.41999999999996</v>
      </c>
      <c r="W320" s="1717">
        <v>131.37662337662331</v>
      </c>
      <c r="X320" s="1717">
        <v>131.37662337662331</v>
      </c>
      <c r="Y320" s="1717">
        <v>131.37662337662331</v>
      </c>
      <c r="Z320" s="808"/>
      <c r="AA320" s="808">
        <v>329.25</v>
      </c>
      <c r="AB320" s="808">
        <v>329.25</v>
      </c>
      <c r="AC320" s="808">
        <v>329.25</v>
      </c>
      <c r="AD320" s="808">
        <v>329.25</v>
      </c>
      <c r="AE320" s="1718">
        <v>219.74</v>
      </c>
      <c r="AF320" s="258">
        <f t="shared" si="92"/>
        <v>223.37</v>
      </c>
      <c r="AG320" s="68"/>
      <c r="AH320"/>
      <c r="AI320" s="1343">
        <f t="shared" si="86"/>
        <v>327.64999999999998</v>
      </c>
      <c r="AJ320" s="1717">
        <v>69.42857142857153</v>
      </c>
      <c r="AK320" s="1717">
        <v>69.42857142857153</v>
      </c>
      <c r="AL320" s="808">
        <v>69.42857142857153</v>
      </c>
      <c r="AM320" s="808">
        <v>69.42857142857153</v>
      </c>
      <c r="AN320" s="808">
        <v>106.52</v>
      </c>
      <c r="AO320" s="808">
        <v>106.52</v>
      </c>
      <c r="AP320" s="1719">
        <v>106.52</v>
      </c>
      <c r="AQ320" s="1719">
        <v>106.52</v>
      </c>
      <c r="AR320" s="1718">
        <v>97.73</v>
      </c>
      <c r="AS320" s="1700">
        <f t="shared" si="93"/>
        <v>158.13999999999999</v>
      </c>
      <c r="AT320"/>
      <c r="AU320" s="1343" t="str">
        <f>AU319</f>
        <v>Heating kWh Annual Savings (per ton)</v>
      </c>
      <c r="AV320" s="1694">
        <v>61.948051948051791</v>
      </c>
      <c r="AW320" s="1694">
        <v>61.948051948051791</v>
      </c>
      <c r="AX320" s="1694">
        <v>61.948051948051791</v>
      </c>
      <c r="AY320" s="1694">
        <v>61.948051948051791</v>
      </c>
      <c r="AZ320" s="1694">
        <v>222.73</v>
      </c>
      <c r="BA320" s="1694">
        <v>222.73</v>
      </c>
      <c r="BB320" s="1694">
        <v>222.73</v>
      </c>
      <c r="BC320" s="1694">
        <v>222.73</v>
      </c>
      <c r="BD320" s="1721">
        <v>122.01</v>
      </c>
      <c r="BE320" s="1720">
        <f t="shared" si="94"/>
        <v>65.23</v>
      </c>
      <c r="BF320"/>
      <c r="BG320" s="1343" t="s">
        <v>49</v>
      </c>
      <c r="BH320" s="651">
        <v>15</v>
      </c>
      <c r="BI320" s="651">
        <v>15</v>
      </c>
      <c r="BJ320" s="630">
        <v>15</v>
      </c>
      <c r="BK320" s="630">
        <v>15</v>
      </c>
      <c r="BL320" s="630">
        <v>15</v>
      </c>
      <c r="BM320" s="628">
        <v>15</v>
      </c>
      <c r="BN320" s="628">
        <v>15</v>
      </c>
      <c r="BO320" s="628">
        <v>15</v>
      </c>
      <c r="BP320" s="628">
        <v>15</v>
      </c>
      <c r="BQ320" s="628">
        <v>15</v>
      </c>
      <c r="BT320" s="1343" t="str">
        <f>BT319</f>
        <v>Inc. Cost     (per ton)</v>
      </c>
      <c r="BU320" s="652">
        <v>100</v>
      </c>
      <c r="BV320" s="652">
        <v>100</v>
      </c>
      <c r="BW320" s="652">
        <v>100</v>
      </c>
      <c r="BX320" s="652">
        <v>100</v>
      </c>
      <c r="BY320" s="652">
        <v>100</v>
      </c>
      <c r="BZ320" s="669">
        <v>100</v>
      </c>
      <c r="CA320" s="669">
        <v>100</v>
      </c>
      <c r="CB320" s="669">
        <v>100</v>
      </c>
      <c r="CC320" s="669">
        <v>100</v>
      </c>
      <c r="CD320" s="669">
        <f t="shared" si="95"/>
        <v>280.80000000000013</v>
      </c>
      <c r="DG320" s="590">
        <f t="shared" si="96"/>
        <v>1.2102802503129362</v>
      </c>
      <c r="DH320" s="1330" t="str">
        <f t="shared" si="97"/>
        <v>Cooling BUS 15 Year EUL</v>
      </c>
      <c r="DI320" s="431">
        <f>(INDEX('Avoided Cost Benefits'!$B$4:$B$865,MATCH(DH320,'Avoided Cost Benefits'!$A$4:$A$865,0)))*G320</f>
        <v>305.82660486991676</v>
      </c>
      <c r="DJ320" s="1939">
        <f t="shared" si="98"/>
        <v>280.80000000000013</v>
      </c>
      <c r="DK320" s="1330" t="str">
        <f t="shared" si="99"/>
        <v>Heating BUS 15 Year EUL</v>
      </c>
      <c r="DL320" s="1122">
        <f>(INDEX('Avoided Cost Benefits'!$B$4:$B$865,MATCH(DK320,'Avoided Cost Benefits'!$A$4:$A$865,0)))*H320</f>
        <v>34.020089417955859</v>
      </c>
    </row>
    <row r="321" spans="1:118" hidden="1" outlineLevel="1" x14ac:dyDescent="0.25">
      <c r="D321" s="74" t="s">
        <v>94</v>
      </c>
      <c r="E321" s="108" t="s">
        <v>446</v>
      </c>
      <c r="F321" s="7"/>
      <c r="G321" s="7"/>
      <c r="H321" s="460"/>
      <c r="I321" s="7"/>
      <c r="J321" s="7"/>
      <c r="K321" s="7"/>
      <c r="M321" s="508"/>
      <c r="N321" s="508"/>
      <c r="O321" s="508"/>
      <c r="P321" s="508"/>
      <c r="AT321"/>
      <c r="AV321" s="1710"/>
      <c r="AW321" s="1710"/>
      <c r="AX321" s="1710"/>
      <c r="AY321" s="1710"/>
      <c r="AZ321" s="1710"/>
      <c r="BA321" s="1710"/>
      <c r="BB321" s="1710"/>
      <c r="BC321" s="1710"/>
      <c r="BD321" s="1710"/>
      <c r="BE321" s="1710"/>
      <c r="BF321"/>
    </row>
    <row r="322" spans="1:118" hidden="1" outlineLevel="1" x14ac:dyDescent="0.25">
      <c r="D322" s="7" t="s">
        <v>96</v>
      </c>
      <c r="E322" s="64"/>
      <c r="F322" s="7"/>
      <c r="G322" s="7"/>
      <c r="H322" s="460"/>
      <c r="I322" s="7"/>
      <c r="J322" s="7"/>
      <c r="K322" s="64"/>
      <c r="M322" s="508"/>
      <c r="N322" s="508"/>
      <c r="O322" s="508"/>
      <c r="P322" s="508"/>
      <c r="AT322"/>
      <c r="AV322" s="1710"/>
      <c r="AW322" s="1710"/>
      <c r="AX322" s="1710"/>
      <c r="AY322" s="1710"/>
      <c r="AZ322" s="1710"/>
      <c r="BA322" s="1710"/>
      <c r="BB322" s="1710"/>
      <c r="BC322" s="1710"/>
      <c r="BD322" s="1710"/>
      <c r="BE322" s="1710"/>
      <c r="BF322"/>
    </row>
    <row r="323" spans="1:118" hidden="1" outlineLevel="1" x14ac:dyDescent="0.25">
      <c r="E323" s="64"/>
      <c r="F323" s="487" t="s">
        <v>409</v>
      </c>
      <c r="G323" s="252"/>
      <c r="H323" s="462"/>
      <c r="J323" s="487" t="s">
        <v>447</v>
      </c>
      <c r="AT323"/>
      <c r="AV323" s="1710"/>
      <c r="AW323" s="1710"/>
      <c r="AX323" s="1710"/>
      <c r="AY323" s="1710"/>
      <c r="AZ323" s="1710"/>
      <c r="BA323" s="1710"/>
      <c r="BB323" s="1710"/>
      <c r="BC323" s="1710"/>
      <c r="BD323" s="1710"/>
      <c r="BE323" s="1710"/>
      <c r="BF323"/>
    </row>
    <row r="324" spans="1:118" hidden="1" outlineLevel="1" x14ac:dyDescent="0.25">
      <c r="D324" s="461"/>
      <c r="G324" s="252"/>
      <c r="H324" s="462"/>
    </row>
    <row r="325" spans="1:118" hidden="1" outlineLevel="1" x14ac:dyDescent="0.25">
      <c r="D325" s="461"/>
      <c r="G325" s="252"/>
      <c r="H325" s="462"/>
      <c r="M325" s="7"/>
    </row>
    <row r="326" spans="1:118" hidden="1" outlineLevel="1" x14ac:dyDescent="0.25">
      <c r="D326" s="461"/>
      <c r="G326" s="252"/>
      <c r="H326" s="462"/>
      <c r="M326" s="7"/>
    </row>
    <row r="327" spans="1:118" hidden="1" outlineLevel="1" x14ac:dyDescent="0.25">
      <c r="D327" s="461"/>
      <c r="G327" s="252"/>
      <c r="H327" s="462"/>
      <c r="M327" s="7"/>
    </row>
    <row r="328" spans="1:118" hidden="1" outlineLevel="1" x14ac:dyDescent="0.25">
      <c r="D328" s="461"/>
      <c r="G328" s="252"/>
      <c r="H328" s="462"/>
    </row>
    <row r="329" spans="1:118" hidden="1" outlineLevel="1" x14ac:dyDescent="0.25">
      <c r="D329" s="461"/>
      <c r="G329" s="1108" t="s">
        <v>411</v>
      </c>
      <c r="H329" s="462"/>
      <c r="I329" s="1108" t="s">
        <v>411</v>
      </c>
    </row>
    <row r="330" spans="1:118" s="8" customFormat="1" ht="30" hidden="1" outlineLevel="1" x14ac:dyDescent="0.25">
      <c r="A330" s="252"/>
      <c r="B330" s="116"/>
      <c r="C330" s="64"/>
      <c r="D330" s="1294" t="s">
        <v>42</v>
      </c>
      <c r="E330" s="1294" t="s">
        <v>172</v>
      </c>
      <c r="F330" s="31" t="s">
        <v>412</v>
      </c>
      <c r="G330" s="1294" t="s">
        <v>448</v>
      </c>
      <c r="H330" s="1294" t="s">
        <v>449</v>
      </c>
      <c r="I330" s="1294" t="s">
        <v>450</v>
      </c>
      <c r="J330" s="1289" t="s">
        <v>414</v>
      </c>
      <c r="K330" s="1289" t="s">
        <v>341</v>
      </c>
      <c r="L330" s="1289" t="s">
        <v>451</v>
      </c>
      <c r="M330" s="1289" t="s">
        <v>452</v>
      </c>
      <c r="N330" s="1289" t="s">
        <v>453</v>
      </c>
      <c r="O330" s="1289" t="s">
        <v>454</v>
      </c>
      <c r="P330" s="31" t="s">
        <v>455</v>
      </c>
      <c r="Q330" s="1289" t="s">
        <v>456</v>
      </c>
      <c r="R330" s="1872" t="s">
        <v>416</v>
      </c>
      <c r="S330" s="252" t="s">
        <v>306</v>
      </c>
      <c r="T330" s="116"/>
      <c r="U330" s="116"/>
      <c r="V330" s="648" t="s">
        <v>52</v>
      </c>
      <c r="W330" s="649">
        <f>$W$8</f>
        <v>43252</v>
      </c>
      <c r="X330" s="649">
        <f>$X$8</f>
        <v>43465</v>
      </c>
      <c r="Y330" s="649">
        <f>$Y$8</f>
        <v>43800</v>
      </c>
      <c r="Z330" s="649">
        <f>$Z$8</f>
        <v>43862</v>
      </c>
      <c r="AA330" s="649">
        <f>$AA$8</f>
        <v>44013</v>
      </c>
      <c r="AB330" s="649">
        <v>44166</v>
      </c>
      <c r="AC330" s="649">
        <f>$AC$8</f>
        <v>44531</v>
      </c>
      <c r="AD330" s="649">
        <f>$AD$8</f>
        <v>44774</v>
      </c>
      <c r="AE330" s="649">
        <f>$AE$8</f>
        <v>45142</v>
      </c>
      <c r="AF330" s="649">
        <f>$AF$8</f>
        <v>45672</v>
      </c>
      <c r="AG330" s="649" t="str">
        <f>$AG$8</f>
        <v>-</v>
      </c>
      <c r="AH330"/>
      <c r="AI330" s="648" t="s">
        <v>52</v>
      </c>
      <c r="AJ330" s="649">
        <v>43252</v>
      </c>
      <c r="AK330" s="649">
        <f>$X$8</f>
        <v>43465</v>
      </c>
      <c r="AL330" s="649">
        <f>$Y$8</f>
        <v>43800</v>
      </c>
      <c r="AM330" s="649">
        <f>$Z$8</f>
        <v>43862</v>
      </c>
      <c r="AN330" s="649">
        <f>$AA$8</f>
        <v>44013</v>
      </c>
      <c r="AO330" s="649">
        <v>44166</v>
      </c>
      <c r="AP330" s="649">
        <f>$AC$8</f>
        <v>44531</v>
      </c>
      <c r="AQ330" s="649">
        <f>$AD$8</f>
        <v>44774</v>
      </c>
      <c r="AR330" s="649">
        <f>$AE$8</f>
        <v>45142</v>
      </c>
      <c r="AS330" s="649">
        <f>$AF$8</f>
        <v>45672</v>
      </c>
      <c r="AT330"/>
      <c r="AU330" s="648" t="s">
        <v>52</v>
      </c>
      <c r="AV330" s="649">
        <v>43252</v>
      </c>
      <c r="AW330" s="649">
        <f>$X$8</f>
        <v>43465</v>
      </c>
      <c r="AX330" s="649">
        <f>$Y$8</f>
        <v>43800</v>
      </c>
      <c r="AY330" s="649">
        <f>$Z$8</f>
        <v>43862</v>
      </c>
      <c r="AZ330" s="649">
        <f>$AA$8</f>
        <v>44013</v>
      </c>
      <c r="BA330" s="649">
        <v>44166</v>
      </c>
      <c r="BB330" s="649">
        <f>$AC$8</f>
        <v>44531</v>
      </c>
      <c r="BC330" s="649">
        <f>$AD$8</f>
        <v>44774</v>
      </c>
      <c r="BD330" s="649">
        <f>$AE$8</f>
        <v>45142</v>
      </c>
      <c r="BE330" s="649">
        <f>$AF$8</f>
        <v>45672</v>
      </c>
      <c r="BF330"/>
      <c r="BG330" s="648" t="s">
        <v>52</v>
      </c>
      <c r="BH330" s="649">
        <v>43252</v>
      </c>
      <c r="BI330" s="649">
        <f>$X$8</f>
        <v>43465</v>
      </c>
      <c r="BJ330" s="649">
        <f>$Y$8</f>
        <v>43800</v>
      </c>
      <c r="BK330" s="649">
        <f>$Z$8</f>
        <v>43862</v>
      </c>
      <c r="BL330" s="649">
        <f>$AA$8</f>
        <v>44013</v>
      </c>
      <c r="BM330" s="649">
        <v>44166</v>
      </c>
      <c r="BN330" s="649">
        <f>$AC$8</f>
        <v>44531</v>
      </c>
      <c r="BO330" s="649">
        <f>$AD$8</f>
        <v>44774</v>
      </c>
      <c r="BP330" s="649">
        <f>$AE$8</f>
        <v>45142</v>
      </c>
      <c r="BQ330" s="649">
        <f>$AF$8</f>
        <v>45672</v>
      </c>
      <c r="BR330" s="2"/>
      <c r="BS330" s="2"/>
      <c r="BT330" s="648" t="s">
        <v>52</v>
      </c>
      <c r="BU330" s="649">
        <v>43252</v>
      </c>
      <c r="BV330" s="649">
        <f>$X$8</f>
        <v>43465</v>
      </c>
      <c r="BW330" s="649">
        <f>$Y$8</f>
        <v>43800</v>
      </c>
      <c r="BX330" s="649">
        <f>$Z$8</f>
        <v>43862</v>
      </c>
      <c r="BY330" s="649">
        <f>$AA$8</f>
        <v>44013</v>
      </c>
      <c r="BZ330" s="649">
        <v>44166</v>
      </c>
      <c r="CA330" s="649">
        <f>$AC$8</f>
        <v>44531</v>
      </c>
      <c r="CB330" s="649">
        <f>$AD$8</f>
        <v>44774</v>
      </c>
      <c r="CC330" s="649">
        <f>$AE$8</f>
        <v>45142</v>
      </c>
      <c r="CD330" s="649">
        <f>$AF$8</f>
        <v>45672</v>
      </c>
      <c r="CF330" s="648" t="s">
        <v>52</v>
      </c>
      <c r="CG330" s="649">
        <v>43252</v>
      </c>
      <c r="CH330" s="649">
        <f>$X$8</f>
        <v>43465</v>
      </c>
      <c r="CI330" s="649">
        <f>$Y$8</f>
        <v>43800</v>
      </c>
      <c r="CJ330" s="649">
        <f>$Z$8</f>
        <v>43862</v>
      </c>
      <c r="CK330" s="649">
        <f>$AA$8</f>
        <v>44013</v>
      </c>
      <c r="CL330" s="649">
        <v>44166</v>
      </c>
      <c r="CM330" s="649">
        <f>$AC$8</f>
        <v>44531</v>
      </c>
      <c r="CN330" s="649">
        <f>$AD$8</f>
        <v>44774</v>
      </c>
      <c r="CO330" s="649">
        <f>$AE$8</f>
        <v>45142</v>
      </c>
      <c r="CP330" s="649">
        <f>$AF$8</f>
        <v>45672</v>
      </c>
      <c r="CR330" s="648" t="s">
        <v>52</v>
      </c>
      <c r="CS330" s="649">
        <v>43252</v>
      </c>
      <c r="CT330" s="649">
        <f>$X$8</f>
        <v>43465</v>
      </c>
      <c r="CU330" s="649">
        <f>$Y$8</f>
        <v>43800</v>
      </c>
      <c r="CV330" s="649">
        <f>$Z$8</f>
        <v>43862</v>
      </c>
      <c r="CW330" s="649">
        <f>$AA$8</f>
        <v>44013</v>
      </c>
      <c r="CX330" s="649">
        <v>44166</v>
      </c>
      <c r="CY330" s="649">
        <f>$AC$8</f>
        <v>44531</v>
      </c>
      <c r="CZ330" s="649">
        <f>$AD$8</f>
        <v>44774</v>
      </c>
      <c r="DA330" s="649">
        <f>$AE$8</f>
        <v>45142</v>
      </c>
      <c r="DB330" s="649">
        <f>$AF$8</f>
        <v>45672</v>
      </c>
      <c r="DD330" s="648" t="s">
        <v>52</v>
      </c>
      <c r="DE330" s="649">
        <v>43252</v>
      </c>
      <c r="DF330" s="649">
        <f>$X$8</f>
        <v>43465</v>
      </c>
      <c r="DG330" s="649">
        <f>$Y$8</f>
        <v>43800</v>
      </c>
      <c r="DH330" s="649">
        <f>$Z$8</f>
        <v>43862</v>
      </c>
      <c r="DI330" s="649">
        <f>$AA$8</f>
        <v>44013</v>
      </c>
      <c r="DJ330" s="649">
        <v>44166</v>
      </c>
      <c r="DK330" s="649">
        <f>$AC$8</f>
        <v>44531</v>
      </c>
      <c r="DL330" s="649">
        <f>$AD$8</f>
        <v>44774</v>
      </c>
      <c r="DM330" s="649">
        <f>$AE$8</f>
        <v>45142</v>
      </c>
      <c r="DN330" s="649">
        <f>$AF$8</f>
        <v>45672</v>
      </c>
    </row>
    <row r="331" spans="1:118" s="8" customFormat="1" hidden="1" outlineLevel="1" x14ac:dyDescent="0.25">
      <c r="A331" s="252"/>
      <c r="B331" s="116"/>
      <c r="C331" s="64"/>
      <c r="D331" s="659" t="str">
        <f>C313</f>
        <v>803500_2024_12_</v>
      </c>
      <c r="E331" s="659" t="str">
        <f t="shared" ref="E331:E338" si="103">E313</f>
        <v xml:space="preserve">GSHP  </v>
      </c>
      <c r="F331" s="483">
        <v>12</v>
      </c>
      <c r="G331" s="1998">
        <v>12.1</v>
      </c>
      <c r="H331" s="1999">
        <v>20.6</v>
      </c>
      <c r="I331" s="1999"/>
      <c r="J331" s="1999" t="s">
        <v>306</v>
      </c>
      <c r="K331" s="1772">
        <v>1053</v>
      </c>
      <c r="L331" s="1780">
        <f>12.1/3.412</f>
        <v>3.5463071512309496</v>
      </c>
      <c r="M331" s="1787">
        <v>3.9</v>
      </c>
      <c r="N331" s="1780">
        <f>L331*3.412</f>
        <v>12.1</v>
      </c>
      <c r="O331" s="1787">
        <f>M331*3.412</f>
        <v>13.306799999999999</v>
      </c>
      <c r="P331" s="2000">
        <v>12</v>
      </c>
      <c r="Q331" s="1772">
        <v>1060</v>
      </c>
      <c r="R331" s="1787">
        <v>4</v>
      </c>
      <c r="S331" s="252" t="s">
        <v>457</v>
      </c>
      <c r="T331" s="116"/>
      <c r="U331" s="116"/>
      <c r="V331" s="1343" t="s">
        <v>448</v>
      </c>
      <c r="W331" s="849">
        <v>16.3</v>
      </c>
      <c r="X331" s="849">
        <v>16.3</v>
      </c>
      <c r="Y331" s="849">
        <v>16.3</v>
      </c>
      <c r="Z331" s="849">
        <v>16.3</v>
      </c>
      <c r="AA331" s="849">
        <v>16.3</v>
      </c>
      <c r="AB331" s="849">
        <v>16.3</v>
      </c>
      <c r="AC331" s="849">
        <v>16.3</v>
      </c>
      <c r="AD331" s="849">
        <v>16.3</v>
      </c>
      <c r="AE331" s="849">
        <v>16.3</v>
      </c>
      <c r="AF331" s="56">
        <v>12.1</v>
      </c>
      <c r="AG331" s="68"/>
      <c r="AH331"/>
      <c r="AI331" s="1343" t="s">
        <v>449</v>
      </c>
      <c r="AJ331" s="1717">
        <v>17</v>
      </c>
      <c r="AK331" s="1717">
        <v>17</v>
      </c>
      <c r="AL331" s="808">
        <v>17</v>
      </c>
      <c r="AM331" s="808">
        <v>17</v>
      </c>
      <c r="AN331" s="808">
        <v>17</v>
      </c>
      <c r="AO331" s="808">
        <v>17</v>
      </c>
      <c r="AP331" s="1719">
        <v>17</v>
      </c>
      <c r="AQ331" s="1719">
        <v>17</v>
      </c>
      <c r="AR331" s="1718">
        <v>17</v>
      </c>
      <c r="AS331" s="56">
        <v>20.6</v>
      </c>
      <c r="AT331"/>
      <c r="AU331" s="1343" t="s">
        <v>458</v>
      </c>
      <c r="AV331" s="1694"/>
      <c r="AW331" s="1694"/>
      <c r="AX331" s="1694"/>
      <c r="AY331" s="1694"/>
      <c r="AZ331" s="1694"/>
      <c r="BA331" s="1694"/>
      <c r="BB331" s="1694"/>
      <c r="BC331" s="1694"/>
      <c r="BD331" s="1721"/>
      <c r="BE331" s="1720"/>
      <c r="BF331"/>
      <c r="BG331" s="1343" t="s">
        <v>418</v>
      </c>
      <c r="BH331" s="1400"/>
      <c r="BI331" s="1400"/>
      <c r="BJ331" s="16"/>
      <c r="BK331" s="16"/>
      <c r="BL331" s="16"/>
      <c r="BM331" s="16"/>
      <c r="BN331" s="16"/>
      <c r="BO331" s="16"/>
      <c r="BP331" s="16"/>
      <c r="BQ331" s="16"/>
      <c r="BR331" s="2"/>
      <c r="BS331" s="2"/>
      <c r="BT331" s="1343" t="s">
        <v>451</v>
      </c>
      <c r="BU331" s="2001">
        <v>3.1</v>
      </c>
      <c r="BV331" s="2001">
        <v>3.1</v>
      </c>
      <c r="BW331" s="2001">
        <v>3.1</v>
      </c>
      <c r="BX331" s="2001">
        <v>3.1</v>
      </c>
      <c r="BY331" s="2001">
        <v>3.1</v>
      </c>
      <c r="BZ331" s="2001">
        <v>3.1</v>
      </c>
      <c r="CA331" s="2001">
        <v>3.1</v>
      </c>
      <c r="CB331" s="2001">
        <v>3.1</v>
      </c>
      <c r="CC331" s="2001">
        <v>3.1</v>
      </c>
      <c r="CD331" s="1748">
        <v>3.5463071512309496</v>
      </c>
      <c r="CE331" s="2"/>
      <c r="CF331" s="1343" t="s">
        <v>452</v>
      </c>
      <c r="CG331" s="2002">
        <v>3.7</v>
      </c>
      <c r="CH331" s="2002">
        <v>3.7</v>
      </c>
      <c r="CI331" s="2002">
        <v>3.7</v>
      </c>
      <c r="CJ331" s="2002">
        <v>3.7</v>
      </c>
      <c r="CK331" s="2002">
        <v>3.7</v>
      </c>
      <c r="CL331" s="2002">
        <v>3.7</v>
      </c>
      <c r="CM331" s="2002">
        <v>3.7</v>
      </c>
      <c r="CN331" s="2002">
        <v>3.7</v>
      </c>
      <c r="CO331" s="2002">
        <v>3.7</v>
      </c>
      <c r="CP331" s="1751">
        <v>3.9</v>
      </c>
      <c r="CQ331" s="2"/>
      <c r="CR331" s="1343" t="s">
        <v>453</v>
      </c>
      <c r="CS331" s="2002"/>
      <c r="CT331" s="2002"/>
      <c r="CU331" s="2002"/>
      <c r="CV331" s="2002"/>
      <c r="CW331" s="2002"/>
      <c r="CX331" s="2002"/>
      <c r="CY331" s="2002"/>
      <c r="CZ331" s="2002"/>
      <c r="DA331" s="2002"/>
      <c r="DB331" s="1751">
        <v>12.1</v>
      </c>
      <c r="DC331" s="2"/>
      <c r="DD331" s="1343" t="s">
        <v>454</v>
      </c>
      <c r="DE331" s="2002"/>
      <c r="DF331" s="2002"/>
      <c r="DG331" s="2002"/>
      <c r="DH331" s="2002"/>
      <c r="DI331" s="2002"/>
      <c r="DJ331" s="2002"/>
      <c r="DK331" s="2002"/>
      <c r="DL331" s="2002"/>
      <c r="DM331" s="2002"/>
      <c r="DN331" s="1751">
        <v>13.306799999999999</v>
      </c>
    </row>
    <row r="332" spans="1:118" hidden="1" outlineLevel="1" x14ac:dyDescent="0.25">
      <c r="C332" s="64"/>
      <c r="D332" s="659" t="str">
        <f>C314</f>
        <v>803570_2024_12_</v>
      </c>
      <c r="E332" s="659" t="str">
        <f t="shared" si="103"/>
        <v>WSHP &lt;17 kBTUh per ton</v>
      </c>
      <c r="F332" s="483">
        <v>12</v>
      </c>
      <c r="G332" s="1780">
        <v>12.2</v>
      </c>
      <c r="H332" s="1779">
        <v>16.149999999999999</v>
      </c>
      <c r="I332" s="1779"/>
      <c r="J332" s="1779"/>
      <c r="K332" s="1772">
        <v>1053</v>
      </c>
      <c r="L332" s="1780">
        <v>4.3</v>
      </c>
      <c r="M332" s="1787">
        <v>4.5</v>
      </c>
      <c r="N332" s="1780"/>
      <c r="O332" s="1787"/>
      <c r="P332" s="481">
        <v>12</v>
      </c>
      <c r="Q332" s="1772">
        <v>1060</v>
      </c>
      <c r="R332" s="1787">
        <v>2</v>
      </c>
      <c r="V332" s="1343" t="s">
        <v>448</v>
      </c>
      <c r="W332" s="849"/>
      <c r="X332" s="849"/>
      <c r="Y332" s="849"/>
      <c r="Z332" s="628"/>
      <c r="AA332" s="628"/>
      <c r="AB332" s="628"/>
      <c r="AC332" s="628"/>
      <c r="AD332" s="628"/>
      <c r="AE332" s="1713"/>
      <c r="AF332" s="56">
        <v>12.2</v>
      </c>
      <c r="AG332" s="68"/>
      <c r="AH332"/>
      <c r="AI332" s="1343" t="s">
        <v>449</v>
      </c>
      <c r="AJ332" s="1717">
        <v>19</v>
      </c>
      <c r="AK332" s="1717">
        <v>19</v>
      </c>
      <c r="AL332" s="808">
        <v>19</v>
      </c>
      <c r="AM332" s="808">
        <v>19</v>
      </c>
      <c r="AN332" s="808">
        <v>19</v>
      </c>
      <c r="AO332" s="808">
        <v>19</v>
      </c>
      <c r="AP332" s="1719">
        <v>19</v>
      </c>
      <c r="AQ332" s="1719">
        <v>19</v>
      </c>
      <c r="AR332" s="1718">
        <v>19</v>
      </c>
      <c r="AS332" s="56">
        <v>16.149999999999999</v>
      </c>
      <c r="AT332"/>
      <c r="AU332" s="1343" t="s">
        <v>458</v>
      </c>
      <c r="AV332" s="1694"/>
      <c r="AW332" s="1694"/>
      <c r="AX332" s="1694"/>
      <c r="AY332" s="1694"/>
      <c r="AZ332" s="1694"/>
      <c r="BA332" s="1694"/>
      <c r="BB332" s="1694"/>
      <c r="BC332" s="1694"/>
      <c r="BD332" s="1721"/>
      <c r="BE332" s="1720"/>
      <c r="BF332"/>
      <c r="BG332" s="1343" t="s">
        <v>418</v>
      </c>
      <c r="BH332" s="1400"/>
      <c r="BI332" s="1400"/>
      <c r="BJ332" s="16"/>
      <c r="BK332" s="16"/>
      <c r="BL332" s="16"/>
      <c r="BM332" s="16"/>
      <c r="BN332" s="16"/>
      <c r="BO332" s="16"/>
      <c r="BP332" s="16"/>
      <c r="BQ332" s="16"/>
      <c r="BT332" s="1343" t="s">
        <v>451</v>
      </c>
      <c r="BU332" s="1747"/>
      <c r="BV332" s="1747"/>
      <c r="BW332" s="1747"/>
      <c r="BX332" s="1747"/>
      <c r="BY332" s="1747"/>
      <c r="BZ332" s="1747"/>
      <c r="CA332" s="1747"/>
      <c r="CB332" s="1747"/>
      <c r="CC332" s="1747"/>
      <c r="CD332" s="1748">
        <v>4.3</v>
      </c>
      <c r="CF332" s="1343" t="s">
        <v>452</v>
      </c>
      <c r="CG332" s="1749"/>
      <c r="CH332" s="1749"/>
      <c r="CI332" s="1749"/>
      <c r="CJ332" s="1749"/>
      <c r="CK332" s="1749"/>
      <c r="CL332" s="1750"/>
      <c r="CM332" s="1750"/>
      <c r="CN332" s="1750"/>
      <c r="CO332" s="1750"/>
      <c r="CP332" s="1751">
        <v>4.5</v>
      </c>
      <c r="CR332" s="1343" t="s">
        <v>453</v>
      </c>
      <c r="CS332" s="1749"/>
      <c r="CT332" s="1749"/>
      <c r="CU332" s="1749"/>
      <c r="CV332" s="1749"/>
      <c r="CW332" s="1749"/>
      <c r="CX332" s="1750"/>
      <c r="CY332" s="1750"/>
      <c r="CZ332" s="1750"/>
      <c r="DA332" s="1750"/>
      <c r="DB332" s="1751"/>
      <c r="DD332" s="1343" t="s">
        <v>454</v>
      </c>
      <c r="DE332" s="1749"/>
      <c r="DF332" s="1749"/>
      <c r="DG332" s="1749"/>
      <c r="DH332" s="1749"/>
      <c r="DI332" s="1749"/>
      <c r="DJ332" s="1750"/>
      <c r="DK332" s="1750"/>
      <c r="DL332" s="1750"/>
      <c r="DM332" s="1750"/>
      <c r="DN332" s="1751"/>
    </row>
    <row r="333" spans="1:118" hidden="1" outlineLevel="1" x14ac:dyDescent="0.25">
      <c r="C333" s="64"/>
      <c r="D333" s="659" t="str">
        <f>C315</f>
        <v>803575_2024_12_</v>
      </c>
      <c r="E333" s="659" t="str">
        <f t="shared" si="103"/>
        <v>WSHP ≥17 kBTUh and &lt;65 kBTUh per ton</v>
      </c>
      <c r="F333" s="483">
        <v>12</v>
      </c>
      <c r="G333" s="1780">
        <v>13</v>
      </c>
      <c r="H333" s="1779">
        <v>16.149999999999999</v>
      </c>
      <c r="I333" s="1779"/>
      <c r="J333" s="1779"/>
      <c r="K333" s="1772">
        <v>1053</v>
      </c>
      <c r="L333" s="1780">
        <v>4.3</v>
      </c>
      <c r="M333" s="1787">
        <v>4.5</v>
      </c>
      <c r="N333" s="1780"/>
      <c r="O333" s="1787"/>
      <c r="P333" s="481">
        <v>12</v>
      </c>
      <c r="Q333" s="1772">
        <v>1060</v>
      </c>
      <c r="R333" s="1787">
        <v>2</v>
      </c>
      <c r="V333" s="1343" t="s">
        <v>448</v>
      </c>
      <c r="W333" s="849"/>
      <c r="X333" s="849"/>
      <c r="Y333" s="849"/>
      <c r="Z333" s="628"/>
      <c r="AA333" s="628"/>
      <c r="AB333" s="628"/>
      <c r="AC333" s="628"/>
      <c r="AD333" s="628"/>
      <c r="AE333" s="1713"/>
      <c r="AF333" s="56">
        <v>13</v>
      </c>
      <c r="AG333" s="68"/>
      <c r="AH333"/>
      <c r="AI333" s="1343" t="s">
        <v>449</v>
      </c>
      <c r="AJ333" s="1717"/>
      <c r="AK333" s="1717"/>
      <c r="AL333" s="808"/>
      <c r="AM333" s="808"/>
      <c r="AN333" s="808"/>
      <c r="AO333" s="808"/>
      <c r="AP333" s="1719"/>
      <c r="AQ333" s="1719"/>
      <c r="AR333" s="1718"/>
      <c r="AS333" s="56">
        <v>16.149999999999999</v>
      </c>
      <c r="AT333"/>
      <c r="AU333" s="1343" t="s">
        <v>458</v>
      </c>
      <c r="AV333" s="1694"/>
      <c r="AW333" s="1694"/>
      <c r="AX333" s="1694"/>
      <c r="AY333" s="1694"/>
      <c r="AZ333" s="1694"/>
      <c r="BA333" s="1694"/>
      <c r="BB333" s="1694"/>
      <c r="BC333" s="1694"/>
      <c r="BD333" s="1721"/>
      <c r="BE333" s="1720"/>
      <c r="BF333"/>
      <c r="BG333" s="1343" t="s">
        <v>418</v>
      </c>
      <c r="BH333" s="1400"/>
      <c r="BI333" s="1400"/>
      <c r="BJ333" s="16"/>
      <c r="BK333" s="16"/>
      <c r="BL333" s="16"/>
      <c r="BM333" s="16"/>
      <c r="BN333" s="16"/>
      <c r="BO333" s="16"/>
      <c r="BP333" s="16"/>
      <c r="BQ333" s="16"/>
      <c r="BT333" s="1343" t="s">
        <v>451</v>
      </c>
      <c r="BU333" s="1747"/>
      <c r="BV333" s="1747"/>
      <c r="BW333" s="1747"/>
      <c r="BX333" s="1747"/>
      <c r="BY333" s="1747"/>
      <c r="BZ333" s="1747"/>
      <c r="CA333" s="1747"/>
      <c r="CB333" s="1747"/>
      <c r="CC333" s="1747"/>
      <c r="CD333" s="1748">
        <v>4.3</v>
      </c>
      <c r="CF333" s="1343" t="s">
        <v>452</v>
      </c>
      <c r="CG333" s="1749"/>
      <c r="CH333" s="1749"/>
      <c r="CI333" s="1749"/>
      <c r="CJ333" s="1749"/>
      <c r="CK333" s="1749"/>
      <c r="CL333" s="1750"/>
      <c r="CM333" s="1750"/>
      <c r="CN333" s="1750"/>
      <c r="CO333" s="1750"/>
      <c r="CP333" s="1751">
        <v>4.5</v>
      </c>
      <c r="CR333" s="1343" t="s">
        <v>453</v>
      </c>
      <c r="CS333" s="1749"/>
      <c r="CT333" s="1749"/>
      <c r="CU333" s="1749"/>
      <c r="CV333" s="1749"/>
      <c r="CW333" s="1749"/>
      <c r="CX333" s="1750"/>
      <c r="CY333" s="1750"/>
      <c r="CZ333" s="1750"/>
      <c r="DA333" s="1750"/>
      <c r="DB333" s="1751"/>
      <c r="DD333" s="1343" t="s">
        <v>454</v>
      </c>
      <c r="DE333" s="1749"/>
      <c r="DF333" s="1749"/>
      <c r="DG333" s="1749"/>
      <c r="DH333" s="1749"/>
      <c r="DI333" s="1749"/>
      <c r="DJ333" s="1750"/>
      <c r="DK333" s="1750"/>
      <c r="DL333" s="1750"/>
      <c r="DM333" s="1750"/>
      <c r="DN333" s="1751"/>
    </row>
    <row r="334" spans="1:118" hidden="1" outlineLevel="1" x14ac:dyDescent="0.25">
      <c r="C334" s="64"/>
      <c r="D334" s="659" t="str">
        <f>C314</f>
        <v>803570_2024_12_</v>
      </c>
      <c r="E334" s="659" t="str">
        <f t="shared" si="103"/>
        <v xml:space="preserve">WSHP ≥65kBTUh and &lt;135 kBTUh per ton </v>
      </c>
      <c r="F334" s="483">
        <v>12</v>
      </c>
      <c r="G334" s="1780">
        <v>13</v>
      </c>
      <c r="H334" s="1779">
        <v>16.149999999999999</v>
      </c>
      <c r="I334" s="1779"/>
      <c r="J334" s="1779"/>
      <c r="K334" s="1772">
        <v>1053</v>
      </c>
      <c r="L334" s="1780">
        <v>4.3</v>
      </c>
      <c r="M334" s="1787">
        <v>4.5</v>
      </c>
      <c r="N334" s="1780"/>
      <c r="O334" s="1787"/>
      <c r="P334" s="481">
        <v>12</v>
      </c>
      <c r="Q334" s="1772">
        <v>1060</v>
      </c>
      <c r="R334" s="1787">
        <v>2</v>
      </c>
      <c r="V334" s="1343" t="s">
        <v>448</v>
      </c>
      <c r="W334" s="849"/>
      <c r="X334" s="849"/>
      <c r="Y334" s="849"/>
      <c r="Z334" s="628"/>
      <c r="AA334" s="628"/>
      <c r="AB334" s="628"/>
      <c r="AC334" s="628"/>
      <c r="AD334" s="628"/>
      <c r="AE334" s="1713"/>
      <c r="AF334" s="56">
        <v>13</v>
      </c>
      <c r="AG334" s="68"/>
      <c r="AH334"/>
      <c r="AI334" s="1343" t="s">
        <v>449</v>
      </c>
      <c r="AJ334" s="1717"/>
      <c r="AK334" s="1717"/>
      <c r="AL334" s="808"/>
      <c r="AM334" s="808"/>
      <c r="AN334" s="808"/>
      <c r="AO334" s="808"/>
      <c r="AP334" s="1719"/>
      <c r="AQ334" s="1719"/>
      <c r="AR334" s="1718"/>
      <c r="AS334" s="56">
        <v>16.149999999999999</v>
      </c>
      <c r="AT334"/>
      <c r="AU334" s="1343" t="s">
        <v>458</v>
      </c>
      <c r="AV334" s="1694"/>
      <c r="AW334" s="1694"/>
      <c r="AX334" s="1694"/>
      <c r="AY334" s="1694"/>
      <c r="AZ334" s="1694"/>
      <c r="BA334" s="1694"/>
      <c r="BB334" s="1694"/>
      <c r="BC334" s="1694"/>
      <c r="BD334" s="1721"/>
      <c r="BE334" s="1720"/>
      <c r="BF334"/>
      <c r="BG334" s="1343" t="s">
        <v>418</v>
      </c>
      <c r="BH334" s="1400"/>
      <c r="BI334" s="1400"/>
      <c r="BJ334" s="16"/>
      <c r="BK334" s="16"/>
      <c r="BL334" s="16"/>
      <c r="BM334" s="16"/>
      <c r="BN334" s="16"/>
      <c r="BO334" s="16"/>
      <c r="BP334" s="16"/>
      <c r="BQ334" s="16"/>
      <c r="BT334" s="1343" t="s">
        <v>451</v>
      </c>
      <c r="BU334" s="1747"/>
      <c r="BV334" s="1747"/>
      <c r="BW334" s="1747"/>
      <c r="BX334" s="1747"/>
      <c r="BY334" s="1747"/>
      <c r="BZ334" s="1747"/>
      <c r="CA334" s="1747"/>
      <c r="CB334" s="1747"/>
      <c r="CC334" s="1747"/>
      <c r="CD334" s="1748">
        <v>4.3</v>
      </c>
      <c r="CF334" s="1343" t="s">
        <v>452</v>
      </c>
      <c r="CG334" s="1749"/>
      <c r="CH334" s="1749"/>
      <c r="CI334" s="1749"/>
      <c r="CJ334" s="1749"/>
      <c r="CK334" s="1749"/>
      <c r="CL334" s="1750"/>
      <c r="CM334" s="1750"/>
      <c r="CN334" s="1750"/>
      <c r="CO334" s="1750"/>
      <c r="CP334" s="1751">
        <v>4.5</v>
      </c>
      <c r="CR334" s="1343" t="s">
        <v>453</v>
      </c>
      <c r="CS334" s="1749"/>
      <c r="CT334" s="1749"/>
      <c r="CU334" s="1749"/>
      <c r="CV334" s="1749"/>
      <c r="CW334" s="1749"/>
      <c r="CX334" s="1750"/>
      <c r="CY334" s="1750"/>
      <c r="CZ334" s="1750"/>
      <c r="DA334" s="1750"/>
      <c r="DB334" s="1751"/>
      <c r="DD334" s="1343" t="s">
        <v>454</v>
      </c>
      <c r="DE334" s="1749"/>
      <c r="DF334" s="1749"/>
      <c r="DG334" s="1749"/>
      <c r="DH334" s="1749"/>
      <c r="DI334" s="1749"/>
      <c r="DJ334" s="1750"/>
      <c r="DK334" s="1750"/>
      <c r="DL334" s="1750"/>
      <c r="DM334" s="1750"/>
      <c r="DN334" s="1751"/>
    </row>
    <row r="335" spans="1:118" hidden="1" outlineLevel="1" x14ac:dyDescent="0.25">
      <c r="C335" s="64"/>
      <c r="D335" s="659" t="str">
        <f>C317</f>
        <v>803600_2024_12_</v>
      </c>
      <c r="E335" s="659" t="str">
        <f t="shared" si="103"/>
        <v xml:space="preserve">ASHP ≥65kBTUh and &lt;135 kBTUh per ton </v>
      </c>
      <c r="F335" s="483">
        <v>12</v>
      </c>
      <c r="G335" s="1875"/>
      <c r="H335" s="1875"/>
      <c r="I335" s="1779">
        <v>13.9</v>
      </c>
      <c r="J335" s="1779">
        <v>15.96</v>
      </c>
      <c r="K335" s="1772">
        <v>1053</v>
      </c>
      <c r="L335" s="1787">
        <v>3.4</v>
      </c>
      <c r="M335" s="1787">
        <v>3.57</v>
      </c>
      <c r="N335" s="1780"/>
      <c r="O335" s="1787"/>
      <c r="P335" s="481">
        <v>12</v>
      </c>
      <c r="Q335" s="1772">
        <v>1060</v>
      </c>
      <c r="R335" s="1787">
        <f>J335-I335</f>
        <v>2.0600000000000005</v>
      </c>
      <c r="V335" s="1343" t="s">
        <v>448</v>
      </c>
      <c r="W335" s="1717"/>
      <c r="X335" s="1717"/>
      <c r="Y335" s="1717"/>
      <c r="Z335" s="808"/>
      <c r="AA335" s="808"/>
      <c r="AB335" s="808"/>
      <c r="AC335" s="808"/>
      <c r="AD335" s="808"/>
      <c r="AE335" s="1718"/>
      <c r="AF335" s="1700"/>
      <c r="AG335" s="68"/>
      <c r="AH335"/>
      <c r="AI335" s="1343" t="s">
        <v>449</v>
      </c>
      <c r="AJ335" s="849"/>
      <c r="AK335" s="849"/>
      <c r="AL335" s="628"/>
      <c r="AM335" s="628"/>
      <c r="AN335" s="628"/>
      <c r="AO335" s="628"/>
      <c r="AP335" s="705"/>
      <c r="AQ335" s="705"/>
      <c r="AR335" s="1713"/>
      <c r="AS335" s="1700"/>
      <c r="AT335"/>
      <c r="AU335" s="1343" t="s">
        <v>458</v>
      </c>
      <c r="AV335" s="1694">
        <v>12</v>
      </c>
      <c r="AW335" s="1694">
        <v>12</v>
      </c>
      <c r="AX335" s="1694">
        <v>12</v>
      </c>
      <c r="AY335" s="1694">
        <v>12</v>
      </c>
      <c r="AZ335" s="1694">
        <v>12</v>
      </c>
      <c r="BA335" s="1694">
        <v>12</v>
      </c>
      <c r="BB335" s="1694">
        <v>12</v>
      </c>
      <c r="BC335" s="1694">
        <v>12</v>
      </c>
      <c r="BD335" s="1721">
        <v>12</v>
      </c>
      <c r="BE335" s="1746">
        <v>13.9</v>
      </c>
      <c r="BF335"/>
      <c r="BG335" s="1343" t="s">
        <v>418</v>
      </c>
      <c r="BH335" s="1400">
        <v>13.4</v>
      </c>
      <c r="BI335" s="1400">
        <v>13.4</v>
      </c>
      <c r="BJ335" s="16">
        <v>13.4</v>
      </c>
      <c r="BK335" s="16">
        <v>13.4</v>
      </c>
      <c r="BL335" s="16">
        <v>13.4</v>
      </c>
      <c r="BM335" s="16">
        <v>13.4</v>
      </c>
      <c r="BN335" s="16">
        <v>13.4</v>
      </c>
      <c r="BO335" s="16">
        <v>13.4</v>
      </c>
      <c r="BP335" s="16">
        <v>13.4</v>
      </c>
      <c r="BQ335" s="16">
        <v>15.96</v>
      </c>
      <c r="BT335" s="1343" t="s">
        <v>451</v>
      </c>
      <c r="BU335" s="1747">
        <v>2.25</v>
      </c>
      <c r="BV335" s="1747">
        <v>2.25</v>
      </c>
      <c r="BW335" s="1747">
        <v>2.25</v>
      </c>
      <c r="BX335" s="1747">
        <v>2.25</v>
      </c>
      <c r="BY335" s="1747">
        <v>2.25</v>
      </c>
      <c r="BZ335" s="1747">
        <v>2.25</v>
      </c>
      <c r="CA335" s="1747">
        <v>2.25</v>
      </c>
      <c r="CB335" s="1747">
        <v>2.25</v>
      </c>
      <c r="CC335" s="1747">
        <v>2.25</v>
      </c>
      <c r="CD335" s="1748">
        <v>3.4</v>
      </c>
      <c r="CF335" s="1343" t="s">
        <v>452</v>
      </c>
      <c r="CG335" s="1749">
        <v>2.6</v>
      </c>
      <c r="CH335" s="1749">
        <v>2.6</v>
      </c>
      <c r="CI335" s="1749">
        <v>2.6</v>
      </c>
      <c r="CJ335" s="1749">
        <v>2.6</v>
      </c>
      <c r="CK335" s="1749">
        <v>2.6</v>
      </c>
      <c r="CL335" s="1750">
        <v>2.6</v>
      </c>
      <c r="CM335" s="1750">
        <v>2.6</v>
      </c>
      <c r="CN335" s="1750">
        <v>2.6</v>
      </c>
      <c r="CO335" s="1750">
        <v>2.6</v>
      </c>
      <c r="CP335" s="1751">
        <v>3.57</v>
      </c>
      <c r="CR335" s="1343" t="s">
        <v>453</v>
      </c>
      <c r="CS335" s="1749"/>
      <c r="CT335" s="1749"/>
      <c r="CU335" s="1749"/>
      <c r="CV335" s="1749"/>
      <c r="CW335" s="1749"/>
      <c r="CX335" s="1750"/>
      <c r="CY335" s="1750"/>
      <c r="CZ335" s="1750"/>
      <c r="DA335" s="1750"/>
      <c r="DB335" s="1751"/>
      <c r="DD335" s="1343" t="s">
        <v>454</v>
      </c>
      <c r="DE335" s="1749"/>
      <c r="DF335" s="1749"/>
      <c r="DG335" s="1749"/>
      <c r="DH335" s="1749"/>
      <c r="DI335" s="1749"/>
      <c r="DJ335" s="1750"/>
      <c r="DK335" s="1750"/>
      <c r="DL335" s="1750"/>
      <c r="DM335" s="1750"/>
      <c r="DN335" s="1751"/>
    </row>
    <row r="336" spans="1:118" hidden="1" outlineLevel="1" x14ac:dyDescent="0.25">
      <c r="D336" s="659" t="str">
        <f>C318</f>
        <v>803650_2024_12_</v>
      </c>
      <c r="E336" s="659" t="str">
        <f t="shared" si="103"/>
        <v xml:space="preserve">ASHP ≥135kBTUh and &lt;240 kBTUh per ton </v>
      </c>
      <c r="F336" s="483">
        <v>12</v>
      </c>
      <c r="G336" s="1875"/>
      <c r="H336" s="1875"/>
      <c r="I336" s="1779">
        <v>13.3</v>
      </c>
      <c r="J336" s="1779">
        <v>16.16</v>
      </c>
      <c r="K336" s="1772">
        <v>1053</v>
      </c>
      <c r="L336" s="1787">
        <v>3.3</v>
      </c>
      <c r="M336" s="1787">
        <v>3.41</v>
      </c>
      <c r="N336" s="1780"/>
      <c r="O336" s="1787"/>
      <c r="P336" s="481">
        <v>12</v>
      </c>
      <c r="Q336" s="1772">
        <v>1060</v>
      </c>
      <c r="R336" s="1787">
        <f>J336-I336</f>
        <v>2.8599999999999994</v>
      </c>
      <c r="V336" s="1343" t="s">
        <v>448</v>
      </c>
      <c r="W336" s="1717"/>
      <c r="X336" s="1717"/>
      <c r="Y336" s="1717"/>
      <c r="Z336" s="808"/>
      <c r="AA336" s="808"/>
      <c r="AB336" s="808"/>
      <c r="AC336" s="808"/>
      <c r="AD336" s="808"/>
      <c r="AE336" s="1718"/>
      <c r="AF336" s="1700"/>
      <c r="AG336" s="68"/>
      <c r="AH336"/>
      <c r="AI336" s="1343" t="s">
        <v>449</v>
      </c>
      <c r="AJ336" s="849"/>
      <c r="AK336" s="849"/>
      <c r="AL336" s="628"/>
      <c r="AM336" s="628"/>
      <c r="AN336" s="628"/>
      <c r="AO336" s="628"/>
      <c r="AP336" s="705"/>
      <c r="AQ336" s="705"/>
      <c r="AR336" s="1713"/>
      <c r="AS336" s="1700"/>
      <c r="AT336"/>
      <c r="AU336" s="1343" t="s">
        <v>458</v>
      </c>
      <c r="AV336" s="1694">
        <v>11.6</v>
      </c>
      <c r="AW336" s="1694">
        <v>11.6</v>
      </c>
      <c r="AX336" s="1694">
        <v>11.6</v>
      </c>
      <c r="AY336" s="1694">
        <v>11.6</v>
      </c>
      <c r="AZ336" s="1694">
        <v>11.6</v>
      </c>
      <c r="BA336" s="1694">
        <v>11.6</v>
      </c>
      <c r="BB336" s="1694">
        <v>11.6</v>
      </c>
      <c r="BC336" s="1694">
        <v>11.6</v>
      </c>
      <c r="BD336" s="1721">
        <v>11.6</v>
      </c>
      <c r="BE336" s="1746">
        <v>13.3</v>
      </c>
      <c r="BF336"/>
      <c r="BG336" s="1343" t="s">
        <v>418</v>
      </c>
      <c r="BH336" s="1400">
        <v>13</v>
      </c>
      <c r="BI336" s="1400">
        <v>13</v>
      </c>
      <c r="BJ336" s="16">
        <v>13</v>
      </c>
      <c r="BK336" s="16">
        <v>13</v>
      </c>
      <c r="BL336" s="16">
        <v>13</v>
      </c>
      <c r="BM336" s="16">
        <v>13</v>
      </c>
      <c r="BN336" s="16">
        <v>13</v>
      </c>
      <c r="BO336" s="16">
        <v>13</v>
      </c>
      <c r="BP336" s="16">
        <v>13</v>
      </c>
      <c r="BQ336" s="16">
        <v>16.16</v>
      </c>
      <c r="BT336" s="1343" t="s">
        <v>451</v>
      </c>
      <c r="BU336" s="1747">
        <v>2.0499999999999998</v>
      </c>
      <c r="BV336" s="1747">
        <v>2.0499999999999998</v>
      </c>
      <c r="BW336" s="1747">
        <v>2.0499999999999998</v>
      </c>
      <c r="BX336" s="1747">
        <v>2.0499999999999998</v>
      </c>
      <c r="BY336" s="1747">
        <v>2.0499999999999998</v>
      </c>
      <c r="BZ336" s="1747">
        <v>2.0499999999999998</v>
      </c>
      <c r="CA336" s="1747">
        <v>2.0499999999999998</v>
      </c>
      <c r="CB336" s="1747">
        <v>2.0499999999999998</v>
      </c>
      <c r="CC336" s="1747">
        <v>2.0499999999999998</v>
      </c>
      <c r="CD336" s="1748">
        <v>3.3</v>
      </c>
      <c r="CF336" s="1343" t="s">
        <v>452</v>
      </c>
      <c r="CG336" s="1749">
        <v>2.4</v>
      </c>
      <c r="CH336" s="1749">
        <v>2.4</v>
      </c>
      <c r="CI336" s="1749">
        <v>2.4</v>
      </c>
      <c r="CJ336" s="1749">
        <v>2.4</v>
      </c>
      <c r="CK336" s="1749">
        <v>2.4</v>
      </c>
      <c r="CL336" s="1750">
        <v>2.4</v>
      </c>
      <c r="CM336" s="1750">
        <v>2.4</v>
      </c>
      <c r="CN336" s="1750">
        <v>2.4</v>
      </c>
      <c r="CO336" s="1750">
        <v>2.4</v>
      </c>
      <c r="CP336" s="1751">
        <v>3.41</v>
      </c>
      <c r="CR336" s="1343" t="s">
        <v>453</v>
      </c>
      <c r="CS336" s="1749"/>
      <c r="CT336" s="1749"/>
      <c r="CU336" s="1749"/>
      <c r="CV336" s="1749"/>
      <c r="CW336" s="1749"/>
      <c r="CX336" s="1750"/>
      <c r="CY336" s="1750"/>
      <c r="CZ336" s="1750"/>
      <c r="DA336" s="1750"/>
      <c r="DB336" s="1751"/>
      <c r="DD336" s="1343" t="s">
        <v>454</v>
      </c>
      <c r="DE336" s="1749"/>
      <c r="DF336" s="1749"/>
      <c r="DG336" s="1749"/>
      <c r="DH336" s="1749"/>
      <c r="DI336" s="1749"/>
      <c r="DJ336" s="1750"/>
      <c r="DK336" s="1750"/>
      <c r="DL336" s="1750"/>
      <c r="DM336" s="1750"/>
      <c r="DN336" s="1751"/>
    </row>
    <row r="337" spans="1:118" hidden="1" outlineLevel="1" x14ac:dyDescent="0.25">
      <c r="D337" s="659" t="str">
        <f>C319</f>
        <v>803700_2024_12_</v>
      </c>
      <c r="E337" s="659" t="str">
        <f t="shared" si="103"/>
        <v>ASHP &gt;240kBTUh per ton</v>
      </c>
      <c r="F337" s="483">
        <v>12</v>
      </c>
      <c r="G337" s="1875"/>
      <c r="H337" s="1875"/>
      <c r="I337" s="1779">
        <v>12.3</v>
      </c>
      <c r="J337" s="1779">
        <v>18.059999999999999</v>
      </c>
      <c r="K337" s="1772">
        <v>1053</v>
      </c>
      <c r="L337" s="1787">
        <v>3.2</v>
      </c>
      <c r="M337" s="1787">
        <v>3.37</v>
      </c>
      <c r="N337" s="1780"/>
      <c r="O337" s="1787"/>
      <c r="P337" s="481">
        <v>12</v>
      </c>
      <c r="Q337" s="1772">
        <v>1060</v>
      </c>
      <c r="R337" s="1787">
        <v>4</v>
      </c>
      <c r="V337" s="1343" t="s">
        <v>448</v>
      </c>
      <c r="W337" s="1717"/>
      <c r="X337" s="1717"/>
      <c r="Y337" s="1717"/>
      <c r="Z337" s="808"/>
      <c r="AA337" s="808"/>
      <c r="AB337" s="808"/>
      <c r="AC337" s="808"/>
      <c r="AD337" s="808"/>
      <c r="AE337" s="1718"/>
      <c r="AF337" s="1700"/>
      <c r="AG337" s="68"/>
      <c r="AH337"/>
      <c r="AI337" s="1343" t="s">
        <v>449</v>
      </c>
      <c r="AJ337" s="849"/>
      <c r="AK337" s="849"/>
      <c r="AL337" s="628"/>
      <c r="AM337" s="628"/>
      <c r="AN337" s="628"/>
      <c r="AO337" s="628"/>
      <c r="AP337" s="705"/>
      <c r="AQ337" s="705"/>
      <c r="AR337" s="1713"/>
      <c r="AS337" s="1700"/>
      <c r="AT337"/>
      <c r="AU337" s="1343" t="s">
        <v>458</v>
      </c>
      <c r="AV337" s="1694">
        <v>10.6</v>
      </c>
      <c r="AW337" s="1694">
        <v>10.6</v>
      </c>
      <c r="AX337" s="1694">
        <v>10.6</v>
      </c>
      <c r="AY337" s="1694">
        <v>10.6</v>
      </c>
      <c r="AZ337" s="1694">
        <v>10.6</v>
      </c>
      <c r="BA337" s="1694">
        <v>10.6</v>
      </c>
      <c r="BB337" s="1694">
        <v>10.6</v>
      </c>
      <c r="BC337" s="1694">
        <v>10.6</v>
      </c>
      <c r="BD337" s="1721">
        <v>10.6</v>
      </c>
      <c r="BE337" s="1746">
        <v>12.3</v>
      </c>
      <c r="BF337"/>
      <c r="BG337" s="1343" t="s">
        <v>418</v>
      </c>
      <c r="BH337" s="1400">
        <v>11.9</v>
      </c>
      <c r="BI337" s="1400">
        <v>11.9</v>
      </c>
      <c r="BJ337" s="16">
        <v>11.9</v>
      </c>
      <c r="BK337" s="16">
        <v>11.9</v>
      </c>
      <c r="BL337" s="16">
        <v>11.9</v>
      </c>
      <c r="BM337" s="16">
        <v>11.9</v>
      </c>
      <c r="BN337" s="16">
        <v>11.9</v>
      </c>
      <c r="BO337" s="16">
        <v>11.9</v>
      </c>
      <c r="BP337" s="16">
        <v>11.9</v>
      </c>
      <c r="BQ337" s="16">
        <v>18.059999999999999</v>
      </c>
      <c r="BT337" s="1343" t="s">
        <v>451</v>
      </c>
      <c r="BU337" s="1747">
        <v>2.0499999999999998</v>
      </c>
      <c r="BV337" s="1747">
        <v>2.0499999999999998</v>
      </c>
      <c r="BW337" s="1747">
        <v>2.0499999999999998</v>
      </c>
      <c r="BX337" s="1747">
        <v>2.0499999999999998</v>
      </c>
      <c r="BY337" s="1747">
        <v>2.0499999999999998</v>
      </c>
      <c r="BZ337" s="1747">
        <v>2.0499999999999998</v>
      </c>
      <c r="CA337" s="1747">
        <v>2.0499999999999998</v>
      </c>
      <c r="CB337" s="1747">
        <v>2.0499999999999998</v>
      </c>
      <c r="CC337" s="1747">
        <v>2.0499999999999998</v>
      </c>
      <c r="CD337" s="1748">
        <v>3.2</v>
      </c>
      <c r="CF337" s="1343" t="s">
        <v>452</v>
      </c>
      <c r="CG337" s="1749">
        <v>2.4</v>
      </c>
      <c r="CH337" s="1749">
        <v>2.4</v>
      </c>
      <c r="CI337" s="1749">
        <v>2.4</v>
      </c>
      <c r="CJ337" s="1749">
        <v>2.4</v>
      </c>
      <c r="CK337" s="1749">
        <v>2.4</v>
      </c>
      <c r="CL337" s="1750">
        <v>2.4</v>
      </c>
      <c r="CM337" s="1750">
        <v>2.4</v>
      </c>
      <c r="CN337" s="1750">
        <v>2.4</v>
      </c>
      <c r="CO337" s="1750">
        <v>2.4</v>
      </c>
      <c r="CP337" s="1751">
        <v>3.37</v>
      </c>
      <c r="CR337" s="1343" t="s">
        <v>453</v>
      </c>
      <c r="CS337" s="1749"/>
      <c r="CT337" s="1749"/>
      <c r="CU337" s="1749"/>
      <c r="CV337" s="1749"/>
      <c r="CW337" s="1749"/>
      <c r="CX337" s="1750"/>
      <c r="CY337" s="1750"/>
      <c r="CZ337" s="1750"/>
      <c r="DA337" s="1750"/>
      <c r="DB337" s="1751"/>
      <c r="DD337" s="1343" t="s">
        <v>454</v>
      </c>
      <c r="DE337" s="1749"/>
      <c r="DF337" s="1749"/>
      <c r="DG337" s="1749"/>
      <c r="DH337" s="1749"/>
      <c r="DI337" s="1749"/>
      <c r="DJ337" s="1750"/>
      <c r="DK337" s="1750"/>
      <c r="DL337" s="1750"/>
      <c r="DM337" s="1750"/>
      <c r="DN337" s="1751"/>
    </row>
    <row r="338" spans="1:118" hidden="1" outlineLevel="1" x14ac:dyDescent="0.25">
      <c r="D338" s="659" t="str">
        <f>C320</f>
        <v>803750_2024_12_</v>
      </c>
      <c r="E338" s="659" t="str">
        <f t="shared" si="103"/>
        <v xml:space="preserve">ASHP &lt;65kBTUh per ton </v>
      </c>
      <c r="F338" s="483">
        <v>12</v>
      </c>
      <c r="G338" s="1779"/>
      <c r="H338" s="1779"/>
      <c r="I338" s="1779">
        <v>13.4</v>
      </c>
      <c r="J338" s="1779">
        <v>16.100000000000001</v>
      </c>
      <c r="K338" s="1772">
        <v>1053</v>
      </c>
      <c r="L338" s="1787">
        <f>7.5/3.412</f>
        <v>2.1981242672919108</v>
      </c>
      <c r="M338" s="1787">
        <f>7.8/3.412</f>
        <v>2.2860492379835873</v>
      </c>
      <c r="N338" s="1780">
        <f t="shared" ref="N338" si="104">L338*3.412</f>
        <v>7.4999999999999991</v>
      </c>
      <c r="O338" s="1787">
        <f t="shared" ref="O338" si="105">M338*3.412</f>
        <v>7.8</v>
      </c>
      <c r="P338" s="481">
        <v>12</v>
      </c>
      <c r="Q338" s="1772">
        <v>1060</v>
      </c>
      <c r="R338" s="1787">
        <f>J338-I338</f>
        <v>2.7000000000000011</v>
      </c>
      <c r="V338" s="1375" t="s">
        <v>448</v>
      </c>
      <c r="W338" s="1717"/>
      <c r="X338" s="1717"/>
      <c r="Y338" s="1717"/>
      <c r="Z338" s="808"/>
      <c r="AA338" s="808"/>
      <c r="AB338" s="808"/>
      <c r="AC338" s="808"/>
      <c r="AD338" s="808"/>
      <c r="AE338" s="1718"/>
      <c r="AF338" s="1700"/>
      <c r="AG338" s="68"/>
      <c r="AH338"/>
      <c r="AI338" s="1343" t="s">
        <v>449</v>
      </c>
      <c r="AJ338" s="849"/>
      <c r="AK338" s="849"/>
      <c r="AL338" s="628"/>
      <c r="AM338" s="628"/>
      <c r="AN338" s="628"/>
      <c r="AO338" s="628"/>
      <c r="AP338" s="705"/>
      <c r="AQ338" s="705"/>
      <c r="AR338" s="1713"/>
      <c r="AS338" s="1700"/>
      <c r="AT338"/>
      <c r="AU338" s="1343" t="s">
        <v>458</v>
      </c>
      <c r="AV338" s="1694">
        <v>14</v>
      </c>
      <c r="AW338" s="1694">
        <v>14</v>
      </c>
      <c r="AX338" s="1694">
        <v>14</v>
      </c>
      <c r="AY338" s="1694">
        <v>14</v>
      </c>
      <c r="AZ338" s="1694">
        <v>14</v>
      </c>
      <c r="BA338" s="1694">
        <v>14</v>
      </c>
      <c r="BB338" s="1694">
        <v>14</v>
      </c>
      <c r="BC338" s="1694">
        <v>14</v>
      </c>
      <c r="BD338" s="1721">
        <v>14</v>
      </c>
      <c r="BE338" s="1746">
        <v>13.4</v>
      </c>
      <c r="BF338"/>
      <c r="BG338" s="1343" t="s">
        <v>418</v>
      </c>
      <c r="BH338" s="1400">
        <v>15.7</v>
      </c>
      <c r="BI338" s="1400">
        <v>15.7</v>
      </c>
      <c r="BJ338" s="16">
        <v>15.7</v>
      </c>
      <c r="BK338" s="16">
        <v>15.7</v>
      </c>
      <c r="BL338" s="16">
        <v>15.7</v>
      </c>
      <c r="BM338" s="16">
        <v>15.7</v>
      </c>
      <c r="BN338" s="16">
        <v>15.7</v>
      </c>
      <c r="BO338" s="16">
        <v>15.7</v>
      </c>
      <c r="BP338" s="16">
        <v>15.7</v>
      </c>
      <c r="BQ338" s="16">
        <v>16.100000000000001</v>
      </c>
      <c r="BT338" s="1343" t="s">
        <v>451</v>
      </c>
      <c r="BU338" s="1747"/>
      <c r="BV338" s="1747"/>
      <c r="BW338" s="1747"/>
      <c r="BX338" s="1747"/>
      <c r="BY338" s="1747"/>
      <c r="BZ338" s="1748"/>
      <c r="CA338" s="1748"/>
      <c r="CB338" s="1748"/>
      <c r="CC338" s="1748"/>
      <c r="CD338" s="1748">
        <v>2.1981242672919108</v>
      </c>
      <c r="CF338" s="1343" t="s">
        <v>452</v>
      </c>
      <c r="CG338" s="1749"/>
      <c r="CH338" s="1749"/>
      <c r="CI338" s="1749"/>
      <c r="CJ338" s="1749"/>
      <c r="CK338" s="1749"/>
      <c r="CL338" s="1750"/>
      <c r="CM338" s="1750"/>
      <c r="CN338" s="1750"/>
      <c r="CO338" s="1750"/>
      <c r="CP338" s="1751">
        <v>2.2860492379835873</v>
      </c>
      <c r="CR338" s="1343" t="s">
        <v>453</v>
      </c>
      <c r="CS338" s="1749">
        <v>8.1999999999999993</v>
      </c>
      <c r="CT338" s="1749">
        <v>8.1999999999999993</v>
      </c>
      <c r="CU338" s="1749">
        <v>8.1999999999999993</v>
      </c>
      <c r="CV338" s="1749">
        <v>8.1999999999999993</v>
      </c>
      <c r="CW338" s="1749">
        <v>8.1999999999999993</v>
      </c>
      <c r="CX338" s="1750">
        <v>8.1999999999999993</v>
      </c>
      <c r="CY338" s="1750">
        <v>8.1999999999999993</v>
      </c>
      <c r="CZ338" s="1750">
        <v>8.1999999999999993</v>
      </c>
      <c r="DA338" s="1750">
        <v>8.1999999999999993</v>
      </c>
      <c r="DB338" s="1751">
        <v>7.4999999999999991</v>
      </c>
      <c r="DD338" s="1343" t="s">
        <v>454</v>
      </c>
      <c r="DE338" s="1749">
        <v>8.9</v>
      </c>
      <c r="DF338" s="1749">
        <v>8.9</v>
      </c>
      <c r="DG338" s="1749">
        <v>8.9</v>
      </c>
      <c r="DH338" s="1749">
        <v>8.9</v>
      </c>
      <c r="DI338" s="1749">
        <v>8.9</v>
      </c>
      <c r="DJ338" s="1750">
        <v>8.9</v>
      </c>
      <c r="DK338" s="1750">
        <v>8.9</v>
      </c>
      <c r="DL338" s="1750">
        <v>8.9</v>
      </c>
      <c r="DM338" s="1750">
        <v>8.9</v>
      </c>
      <c r="DN338" s="1751">
        <v>7.8</v>
      </c>
    </row>
    <row r="339" spans="1:118" ht="26.25" collapsed="1" x14ac:dyDescent="0.25">
      <c r="G339" s="478" t="s">
        <v>459</v>
      </c>
      <c r="I339" s="252" t="s">
        <v>459</v>
      </c>
      <c r="J339" s="252" t="s">
        <v>460</v>
      </c>
      <c r="L339" s="252" t="s">
        <v>459</v>
      </c>
      <c r="M339" s="252" t="s">
        <v>460</v>
      </c>
      <c r="N339" s="252" t="s">
        <v>459</v>
      </c>
      <c r="O339" s="252" t="s">
        <v>460</v>
      </c>
      <c r="Q339" s="1714"/>
    </row>
    <row r="341" spans="1:118" s="8" customFormat="1" ht="30" x14ac:dyDescent="0.25">
      <c r="A341" s="252"/>
      <c r="B341" s="64"/>
      <c r="C341" s="9" t="s">
        <v>42</v>
      </c>
      <c r="D341" s="9" t="s">
        <v>43</v>
      </c>
      <c r="E341" s="1361" t="s">
        <v>44</v>
      </c>
      <c r="F341" s="1361" t="s">
        <v>461</v>
      </c>
      <c r="G341" s="1361" t="s">
        <v>46</v>
      </c>
      <c r="H341" s="10" t="s">
        <v>47</v>
      </c>
      <c r="I341" s="1361" t="s">
        <v>48</v>
      </c>
      <c r="J341" s="1361" t="s">
        <v>49</v>
      </c>
      <c r="K341" s="9" t="s">
        <v>462</v>
      </c>
      <c r="L341" s="9" t="s">
        <v>51</v>
      </c>
      <c r="M341" s="252"/>
      <c r="N341" s="252"/>
      <c r="O341" s="252"/>
      <c r="P341" s="116"/>
      <c r="Q341" s="116"/>
      <c r="R341" s="116"/>
      <c r="S341" s="116"/>
      <c r="T341" s="116"/>
      <c r="U341" s="116"/>
      <c r="V341" s="648" t="s">
        <v>52</v>
      </c>
      <c r="W341" s="649">
        <f>$W$8</f>
        <v>43252</v>
      </c>
      <c r="X341" s="649">
        <f>$X$8</f>
        <v>43465</v>
      </c>
      <c r="Y341" s="649">
        <f>$Y$8</f>
        <v>43800</v>
      </c>
      <c r="Z341" s="649">
        <f>$Z$8</f>
        <v>43862</v>
      </c>
      <c r="AA341" s="649">
        <f>$AA$8</f>
        <v>44013</v>
      </c>
      <c r="AB341" s="649">
        <v>44166</v>
      </c>
      <c r="AC341" s="649">
        <f>$AC$8</f>
        <v>44531</v>
      </c>
      <c r="AD341" s="649">
        <f>$AD$8</f>
        <v>44774</v>
      </c>
      <c r="AE341" s="649">
        <f>$AE$8</f>
        <v>45142</v>
      </c>
      <c r="AF341" s="649">
        <f>$AF$8</f>
        <v>45672</v>
      </c>
      <c r="AG341" s="649" t="str">
        <f>$AG$8</f>
        <v>-</v>
      </c>
      <c r="AH341"/>
      <c r="AI341" s="648" t="s">
        <v>52</v>
      </c>
      <c r="AJ341" s="649">
        <v>43252</v>
      </c>
      <c r="AK341" s="649">
        <f>$X$8</f>
        <v>43465</v>
      </c>
      <c r="AL341" s="649">
        <f>$Y$8</f>
        <v>43800</v>
      </c>
      <c r="AM341" s="649">
        <f>$Z$8</f>
        <v>43862</v>
      </c>
      <c r="AN341" s="649">
        <f>$AA$8</f>
        <v>44013</v>
      </c>
      <c r="AO341" s="649">
        <f>$AB$8</f>
        <v>44166</v>
      </c>
      <c r="AP341" s="649">
        <f>$AC$8</f>
        <v>44531</v>
      </c>
      <c r="AQ341" s="649">
        <f>$AD$8</f>
        <v>44774</v>
      </c>
      <c r="AR341" s="649">
        <f>$AE$8</f>
        <v>45142</v>
      </c>
      <c r="AS341" s="649">
        <f>$AF$8</f>
        <v>45672</v>
      </c>
      <c r="AT341" s="2"/>
      <c r="AU341" s="648" t="s">
        <v>52</v>
      </c>
      <c r="AV341" s="649">
        <v>43252</v>
      </c>
      <c r="AW341" s="649">
        <f>$X$8</f>
        <v>43465</v>
      </c>
      <c r="AX341" s="649">
        <f>$Y$8</f>
        <v>43800</v>
      </c>
      <c r="AY341" s="649">
        <f>$Z$8</f>
        <v>43862</v>
      </c>
      <c r="AZ341" s="649">
        <f>$AA$8</f>
        <v>44013</v>
      </c>
      <c r="BA341" s="649">
        <v>44166</v>
      </c>
      <c r="BB341" s="649">
        <f>$AC$8</f>
        <v>44531</v>
      </c>
      <c r="BC341" s="649">
        <f>$AD$8</f>
        <v>44774</v>
      </c>
      <c r="BD341" s="649">
        <f>$AE$8</f>
        <v>45142</v>
      </c>
      <c r="BE341" s="649">
        <f>$AF$8</f>
        <v>45672</v>
      </c>
      <c r="DE341" s="2"/>
      <c r="DF341" s="2"/>
      <c r="DG341" s="1018" t="str">
        <f>$DG$8</f>
        <v>TRC (2025)</v>
      </c>
      <c r="DH341" s="776" t="str">
        <f>$DH$8</f>
        <v>Benefit Lookup</v>
      </c>
      <c r="DI341" s="776" t="str">
        <f>$DI$8</f>
        <v>Benefits (2025 $)</v>
      </c>
      <c r="DJ341" s="1118" t="str">
        <f>$DJ$8</f>
        <v>Incremental Cost (2025 $)</v>
      </c>
    </row>
    <row r="342" spans="1:118" x14ac:dyDescent="0.25">
      <c r="B342" s="252">
        <f>VALUE(LEFT(C342,6))</f>
        <v>803800</v>
      </c>
      <c r="C342" s="668" t="s">
        <v>463</v>
      </c>
      <c r="D342" s="452" t="s">
        <v>329</v>
      </c>
      <c r="E342" s="469" t="s">
        <v>464</v>
      </c>
      <c r="F342" s="404">
        <f>ROUND(F353*(G353-H353)*I353,2)</f>
        <v>321.48</v>
      </c>
      <c r="G342" s="452" t="s">
        <v>331</v>
      </c>
      <c r="H342" s="453">
        <f>VLOOKUP(G342,'CP FACTORS'!$A$26:$B$38,2,FALSE)</f>
        <v>9.1068400000000004E-4</v>
      </c>
      <c r="I342" s="470">
        <f>ROUND(H342*F342,6)</f>
        <v>0.292767</v>
      </c>
      <c r="J342" s="99">
        <v>23</v>
      </c>
      <c r="K342" s="1774">
        <f>K353*(J353/0.01)</f>
        <v>854.83204137359746</v>
      </c>
      <c r="L342" s="498" t="s">
        <v>333</v>
      </c>
      <c r="M342" s="2085"/>
      <c r="N342" s="2085"/>
      <c r="O342" s="2085"/>
      <c r="V342" s="1343" t="str">
        <f>F341</f>
        <v>kWh Annual Savings (per ton)</v>
      </c>
      <c r="W342" s="53">
        <v>411</v>
      </c>
      <c r="X342" s="53">
        <v>411</v>
      </c>
      <c r="Y342" s="53">
        <v>411</v>
      </c>
      <c r="Z342" s="53">
        <v>411</v>
      </c>
      <c r="AA342" s="53">
        <v>411</v>
      </c>
      <c r="AB342" s="628">
        <v>411</v>
      </c>
      <c r="AC342" s="705">
        <v>411</v>
      </c>
      <c r="AD342" s="705">
        <v>411</v>
      </c>
      <c r="AE342" s="1713">
        <v>321.48</v>
      </c>
      <c r="AF342" s="258">
        <f>IF(F342&lt;&gt;"",F342,"")</f>
        <v>321.48</v>
      </c>
      <c r="AG342" s="68"/>
      <c r="AH342"/>
      <c r="AI342" s="1375" t="s">
        <v>49</v>
      </c>
      <c r="AJ342" s="19">
        <v>20</v>
      </c>
      <c r="AK342" s="19">
        <v>20</v>
      </c>
      <c r="AL342" s="19">
        <v>20</v>
      </c>
      <c r="AM342" s="19">
        <v>20</v>
      </c>
      <c r="AN342" s="19">
        <v>20</v>
      </c>
      <c r="AO342" s="630">
        <v>20</v>
      </c>
      <c r="AP342" s="684">
        <v>20</v>
      </c>
      <c r="AQ342" s="688">
        <v>20</v>
      </c>
      <c r="AR342" s="688">
        <v>20</v>
      </c>
      <c r="AS342" s="688">
        <v>20</v>
      </c>
      <c r="AU342" s="1375" t="str">
        <f>K341</f>
        <v>Inc. Cost (per ton)</v>
      </c>
      <c r="AV342" s="685">
        <v>106.23</v>
      </c>
      <c r="AW342" s="685">
        <v>106.23</v>
      </c>
      <c r="AX342" s="685">
        <v>106.23</v>
      </c>
      <c r="AY342" s="685">
        <v>106.23</v>
      </c>
      <c r="AZ342" s="685">
        <v>106.23</v>
      </c>
      <c r="BA342" s="669">
        <v>106.23</v>
      </c>
      <c r="BB342" s="669">
        <v>106.23</v>
      </c>
      <c r="BC342" s="669">
        <v>106.23</v>
      </c>
      <c r="BD342" s="669">
        <v>106.23</v>
      </c>
      <c r="BE342" s="739">
        <f>K342</f>
        <v>854.83204137359746</v>
      </c>
      <c r="DG342" s="1025">
        <f>(DI342)/(DJ342)</f>
        <v>0.94937896665443189</v>
      </c>
      <c r="DH342" s="1330" t="str">
        <f>CONCATENATE(G342," ",J342," Year EUL")</f>
        <v>Cooling BUS 23 Year EUL</v>
      </c>
      <c r="DI342" s="1026">
        <f>(INDEX('Avoided Cost Benefits'!$B$4:$B$865,MATCH(DH342,'Avoided Cost Benefits'!$A$4:$A$865,0)))*F342</f>
        <v>811.55956010236457</v>
      </c>
      <c r="DJ342" s="1935">
        <f>IFERROR(K342/((1+DiscountRate)^(CurrentYear-DiscountYear)),0)</f>
        <v>854.83204137359746</v>
      </c>
    </row>
    <row r="343" spans="1:118" x14ac:dyDescent="0.25">
      <c r="B343" s="252">
        <f>VALUE(LEFT(C343,6))</f>
        <v>803810</v>
      </c>
      <c r="C343" s="668" t="s">
        <v>465</v>
      </c>
      <c r="D343" s="452" t="s">
        <v>111</v>
      </c>
      <c r="E343" s="469" t="s">
        <v>466</v>
      </c>
      <c r="F343" s="404">
        <f>ROUND(F354*(G354-H354)*I354,2)</f>
        <v>113.72</v>
      </c>
      <c r="G343" s="452" t="s">
        <v>331</v>
      </c>
      <c r="H343" s="453">
        <f>VLOOKUP(G343,'CP FACTORS'!$A$26:$B$38,2,FALSE)</f>
        <v>9.1068400000000004E-4</v>
      </c>
      <c r="I343" s="470">
        <f>ROUND(H343*F343,6)</f>
        <v>0.103563</v>
      </c>
      <c r="J343" s="99">
        <v>23</v>
      </c>
      <c r="K343" s="1774">
        <f>K354*(J354/0.01)</f>
        <v>377.99999999999994</v>
      </c>
      <c r="L343" s="498" t="s">
        <v>333</v>
      </c>
      <c r="M343" s="2085"/>
      <c r="N343" s="2085"/>
      <c r="O343" s="2085"/>
      <c r="V343" s="1343" t="str">
        <f>V342</f>
        <v>kWh Annual Savings (per ton)</v>
      </c>
      <c r="W343" s="801"/>
      <c r="X343" s="801"/>
      <c r="Y343" s="801"/>
      <c r="Z343" s="801"/>
      <c r="AA343" s="801"/>
      <c r="AB343" s="804"/>
      <c r="AC343" s="705">
        <v>122.15</v>
      </c>
      <c r="AD343" s="705">
        <v>122.15</v>
      </c>
      <c r="AE343" s="1713">
        <v>113.72</v>
      </c>
      <c r="AF343" s="258">
        <f>IF(F343&lt;&gt;"",F343,"")</f>
        <v>113.72</v>
      </c>
      <c r="AG343" s="68"/>
      <c r="AH343"/>
      <c r="AI343" s="1375" t="s">
        <v>49</v>
      </c>
      <c r="AJ343" s="801"/>
      <c r="AK343" s="801"/>
      <c r="AL343" s="801"/>
      <c r="AM343" s="801"/>
      <c r="AN343" s="801"/>
      <c r="AO343" s="804"/>
      <c r="AP343" s="684">
        <v>20</v>
      </c>
      <c r="AQ343" s="688">
        <v>20</v>
      </c>
      <c r="AR343" s="688">
        <v>20</v>
      </c>
      <c r="AS343" s="688">
        <v>20</v>
      </c>
      <c r="AU343" s="1375" t="str">
        <f>AU342</f>
        <v>Inc. Cost (per ton)</v>
      </c>
      <c r="AV343" s="801"/>
      <c r="AW343" s="801"/>
      <c r="AX343" s="801"/>
      <c r="AY343" s="801"/>
      <c r="AZ343" s="801"/>
      <c r="BA343" s="804"/>
      <c r="BB343" s="669">
        <v>106.23</v>
      </c>
      <c r="BC343" s="669">
        <v>106.23</v>
      </c>
      <c r="BD343" s="669">
        <v>106.23</v>
      </c>
      <c r="BE343" s="739">
        <f>K343</f>
        <v>377.99999999999994</v>
      </c>
      <c r="DG343" s="1025">
        <f>(DI343)/(DJ343)</f>
        <v>0.75947151480323571</v>
      </c>
      <c r="DH343" s="1330" t="str">
        <f>CONCATENATE(G343," ",J343," Year EUL")</f>
        <v>Cooling BUS 23 Year EUL</v>
      </c>
      <c r="DI343" s="1026">
        <f>(INDEX('Avoided Cost Benefits'!$B$4:$B$865,MATCH(DH343,'Avoided Cost Benefits'!$A$4:$A$865,0)))*F343</f>
        <v>287.08023259562304</v>
      </c>
      <c r="DJ343" s="1937">
        <f>IFERROR(K343/((1+DiscountRate)^(CurrentYear-DiscountYear)),0)</f>
        <v>377.99999999999994</v>
      </c>
    </row>
    <row r="344" spans="1:118" hidden="1" outlineLevel="1" x14ac:dyDescent="0.25">
      <c r="D344" s="74" t="s">
        <v>94</v>
      </c>
      <c r="E344" s="108" t="s">
        <v>467</v>
      </c>
      <c r="F344" s="7"/>
      <c r="G344" s="7"/>
      <c r="H344" s="460"/>
      <c r="I344" s="7"/>
      <c r="J344" s="7"/>
      <c r="K344" s="7"/>
      <c r="M344" s="2085"/>
      <c r="N344" s="2085"/>
      <c r="O344" s="2085"/>
    </row>
    <row r="345" spans="1:118" hidden="1" outlineLevel="1" x14ac:dyDescent="0.25">
      <c r="D345" s="7" t="s">
        <v>96</v>
      </c>
      <c r="E345" s="64"/>
      <c r="F345" s="7"/>
      <c r="G345" s="7"/>
      <c r="H345" s="460"/>
      <c r="I345" s="7"/>
      <c r="J345" s="7"/>
      <c r="K345" s="7"/>
      <c r="M345" s="2085"/>
      <c r="N345" s="2085"/>
      <c r="O345" s="2085"/>
    </row>
    <row r="346" spans="1:118" hidden="1" outlineLevel="1" x14ac:dyDescent="0.25">
      <c r="D346" s="461"/>
      <c r="E346" s="64"/>
      <c r="F346" s="487"/>
      <c r="G346" s="252"/>
      <c r="H346" s="462"/>
    </row>
    <row r="347" spans="1:118" hidden="1" outlineLevel="1" x14ac:dyDescent="0.25">
      <c r="D347" s="461"/>
      <c r="G347" s="252"/>
      <c r="H347" s="462"/>
    </row>
    <row r="348" spans="1:118" hidden="1" outlineLevel="1" x14ac:dyDescent="0.25">
      <c r="D348" s="461"/>
      <c r="G348" s="252"/>
      <c r="H348" s="462"/>
    </row>
    <row r="349" spans="1:118" hidden="1" outlineLevel="1" x14ac:dyDescent="0.25">
      <c r="D349" s="461"/>
      <c r="G349" s="252"/>
      <c r="H349" s="462"/>
    </row>
    <row r="350" spans="1:118" hidden="1" outlineLevel="1" x14ac:dyDescent="0.25">
      <c r="D350" s="461"/>
      <c r="G350" s="252"/>
      <c r="H350" s="462"/>
    </row>
    <row r="351" spans="1:118" hidden="1" outlineLevel="1" x14ac:dyDescent="0.25">
      <c r="D351" s="461"/>
      <c r="G351" s="1108" t="s">
        <v>411</v>
      </c>
      <c r="H351" s="462"/>
    </row>
    <row r="352" spans="1:118" s="8" customFormat="1" ht="30" hidden="1" outlineLevel="1" x14ac:dyDescent="0.25">
      <c r="A352" s="252"/>
      <c r="B352" s="116"/>
      <c r="C352" s="64"/>
      <c r="D352" s="1294" t="s">
        <v>42</v>
      </c>
      <c r="E352" s="1294" t="s">
        <v>172</v>
      </c>
      <c r="F352" s="31" t="s">
        <v>468</v>
      </c>
      <c r="G352" s="1294" t="s">
        <v>469</v>
      </c>
      <c r="H352" s="1294" t="s">
        <v>470</v>
      </c>
      <c r="I352" s="1294" t="s">
        <v>415</v>
      </c>
      <c r="J352" s="1872" t="s">
        <v>471</v>
      </c>
      <c r="K352" s="1294" t="s">
        <v>472</v>
      </c>
      <c r="L352" s="252"/>
      <c r="M352" s="116"/>
      <c r="N352" s="116"/>
      <c r="O352" s="116"/>
      <c r="P352" s="116"/>
      <c r="Q352" s="116"/>
      <c r="R352" s="116"/>
      <c r="S352" s="116"/>
      <c r="T352" s="116"/>
      <c r="U352" s="116"/>
      <c r="DE352" s="2"/>
      <c r="DF352" s="2"/>
      <c r="DG352" s="1023"/>
      <c r="DH352" s="116"/>
      <c r="DI352" s="116"/>
      <c r="DJ352" s="1116"/>
    </row>
    <row r="353" spans="1:114" hidden="1" outlineLevel="1" x14ac:dyDescent="0.25">
      <c r="D353" s="659" t="str">
        <f>C342</f>
        <v>803800_2024_12_</v>
      </c>
      <c r="E353" s="463" t="str">
        <f>E342</f>
        <v>Air Cooled Chiller</v>
      </c>
      <c r="F353" s="1788">
        <v>1</v>
      </c>
      <c r="G353" s="509">
        <f>12/((13.7/3.412)*3.412)</f>
        <v>0.87591240875912402</v>
      </c>
      <c r="H353" s="1779">
        <v>0.57061525112569633</v>
      </c>
      <c r="I353" s="1779">
        <v>1053</v>
      </c>
      <c r="J353" s="1779">
        <f>G353-H353</f>
        <v>0.30529715763342768</v>
      </c>
      <c r="K353" s="1779">
        <v>28</v>
      </c>
    </row>
    <row r="354" spans="1:114" hidden="1" outlineLevel="1" x14ac:dyDescent="0.25">
      <c r="D354" s="659" t="str">
        <f>C343</f>
        <v>803810_2024_12_</v>
      </c>
      <c r="E354" s="463" t="str">
        <f>E343</f>
        <v>Water Cooled Chiller</v>
      </c>
      <c r="F354" s="1788">
        <v>1</v>
      </c>
      <c r="G354" s="509">
        <v>0.54</v>
      </c>
      <c r="H354" s="1779">
        <f>G354*0.8</f>
        <v>0.43200000000000005</v>
      </c>
      <c r="I354" s="1779">
        <v>1053</v>
      </c>
      <c r="J354" s="1779">
        <f>G354-H354</f>
        <v>0.10799999999999998</v>
      </c>
      <c r="K354" s="1779">
        <v>35</v>
      </c>
    </row>
    <row r="355" spans="1:114" hidden="1" outlineLevel="1" x14ac:dyDescent="0.25">
      <c r="D355" s="7" t="s">
        <v>473</v>
      </c>
    </row>
    <row r="356" spans="1:114" hidden="1" outlineLevel="1" x14ac:dyDescent="0.25">
      <c r="D356" s="7" t="s">
        <v>474</v>
      </c>
    </row>
    <row r="357" spans="1:114" hidden="1" outlineLevel="1" x14ac:dyDescent="0.25"/>
    <row r="358" spans="1:114" collapsed="1" x14ac:dyDescent="0.25"/>
    <row r="359" spans="1:114" x14ac:dyDescent="0.25">
      <c r="BE359" s="252"/>
    </row>
    <row r="360" spans="1:114" s="7" customFormat="1" x14ac:dyDescent="0.25">
      <c r="A360" s="252"/>
      <c r="B360" s="2071" t="s">
        <v>475</v>
      </c>
      <c r="C360" s="2072"/>
      <c r="D360" s="2072"/>
      <c r="E360" s="2072"/>
      <c r="F360" s="2072"/>
      <c r="G360" s="2072"/>
      <c r="H360" s="2072"/>
      <c r="I360" s="2073"/>
      <c r="J360" s="2073"/>
      <c r="K360" s="2073"/>
      <c r="L360" s="2073"/>
      <c r="M360" s="2074"/>
      <c r="N360" s="2074"/>
      <c r="O360" s="2075"/>
      <c r="V360" s="1292" t="str">
        <f>B360</f>
        <v>Compressed Air</v>
      </c>
      <c r="W360" s="1293"/>
      <c r="X360" s="1293"/>
      <c r="Y360" s="1293"/>
      <c r="Z360" s="1293"/>
      <c r="AA360" s="1293"/>
      <c r="AB360" s="1293"/>
      <c r="AC360" s="1293"/>
      <c r="AD360" s="1293"/>
      <c r="AE360" s="1293"/>
      <c r="AF360" s="1293"/>
      <c r="AG360" s="1293"/>
      <c r="AH360" s="1293"/>
      <c r="AI360" s="1327"/>
      <c r="AJ360" s="2"/>
      <c r="AK360" s="2"/>
      <c r="AL360" s="2"/>
      <c r="AM360" s="2"/>
      <c r="AN360" s="2"/>
      <c r="AO360" s="2"/>
      <c r="AP360" s="2"/>
      <c r="AQ360" s="2"/>
      <c r="AR360" s="2"/>
      <c r="AS360" s="2"/>
      <c r="AT360" s="2"/>
      <c r="AU360" s="2"/>
      <c r="DE360" s="2"/>
      <c r="DF360" s="2"/>
      <c r="DG360" s="23"/>
      <c r="DJ360" s="1059"/>
    </row>
    <row r="361" spans="1:114" x14ac:dyDescent="0.25">
      <c r="D361" s="450"/>
      <c r="E361" s="7"/>
      <c r="F361" s="7"/>
      <c r="G361" s="7"/>
      <c r="H361" s="451"/>
      <c r="I361" s="7"/>
      <c r="J361" s="7"/>
      <c r="K361" s="7"/>
      <c r="L361" s="7"/>
      <c r="P361" s="7"/>
      <c r="Q361" s="7"/>
      <c r="R361" s="7"/>
      <c r="S361" s="7"/>
      <c r="T361" s="7"/>
      <c r="U361" s="7"/>
      <c r="V361"/>
      <c r="W361"/>
      <c r="X361"/>
      <c r="Y361"/>
      <c r="Z361"/>
      <c r="AA361"/>
      <c r="AB361"/>
      <c r="AC361"/>
      <c r="AD361"/>
      <c r="AE361"/>
      <c r="AF361"/>
      <c r="AG361"/>
      <c r="AH361"/>
      <c r="AI361"/>
      <c r="AJ361" s="6"/>
      <c r="AK361" s="6"/>
      <c r="AL361" s="6"/>
      <c r="AM361" s="6"/>
      <c r="AN361" s="6"/>
      <c r="AO361" s="6"/>
      <c r="AP361" s="6"/>
      <c r="AQ361" s="6"/>
      <c r="AR361" s="6"/>
      <c r="AS361" s="6"/>
      <c r="AT361" s="6"/>
      <c r="AU361" s="6"/>
    </row>
    <row r="362" spans="1:114" s="8" customFormat="1" ht="30" x14ac:dyDescent="0.25">
      <c r="A362" s="252"/>
      <c r="B362" s="64"/>
      <c r="C362" s="9" t="s">
        <v>42</v>
      </c>
      <c r="D362" s="9" t="s">
        <v>43</v>
      </c>
      <c r="E362" s="1361" t="s">
        <v>44</v>
      </c>
      <c r="F362" s="1361" t="s">
        <v>45</v>
      </c>
      <c r="G362" s="1361" t="s">
        <v>46</v>
      </c>
      <c r="H362" s="10" t="s">
        <v>47</v>
      </c>
      <c r="I362" s="1361" t="s">
        <v>48</v>
      </c>
      <c r="J362" s="1361" t="s">
        <v>49</v>
      </c>
      <c r="K362" s="9" t="s">
        <v>50</v>
      </c>
      <c r="L362" s="9" t="s">
        <v>51</v>
      </c>
      <c r="M362" s="252"/>
      <c r="N362" s="510"/>
      <c r="O362" s="494"/>
      <c r="P362" s="495"/>
      <c r="Q362" s="116"/>
      <c r="R362" s="116"/>
      <c r="S362" s="116"/>
      <c r="T362" s="116"/>
      <c r="U362" s="116"/>
      <c r="V362" s="648" t="s">
        <v>52</v>
      </c>
      <c r="W362" s="649">
        <f>$W$8</f>
        <v>43252</v>
      </c>
      <c r="X362" s="649">
        <f>$X$8</f>
        <v>43465</v>
      </c>
      <c r="Y362" s="649">
        <f>$Y$8</f>
        <v>43800</v>
      </c>
      <c r="Z362" s="649">
        <f>$Z$8</f>
        <v>43862</v>
      </c>
      <c r="AA362" s="649">
        <f>$AA$8</f>
        <v>44013</v>
      </c>
      <c r="AB362" s="649">
        <v>44166</v>
      </c>
      <c r="AC362" s="649">
        <f>$AC$8</f>
        <v>44531</v>
      </c>
      <c r="AD362" s="649">
        <f>$AD$8</f>
        <v>44774</v>
      </c>
      <c r="AE362" s="649">
        <f>$AE$8</f>
        <v>45142</v>
      </c>
      <c r="AF362" s="649">
        <f>$AF$8</f>
        <v>45672</v>
      </c>
      <c r="AG362" s="649" t="str">
        <f>$AG$8</f>
        <v>-</v>
      </c>
      <c r="AH362"/>
      <c r="AI362" s="648" t="s">
        <v>52</v>
      </c>
      <c r="AJ362" s="649">
        <v>43252</v>
      </c>
      <c r="AK362" s="649">
        <f>$X$8</f>
        <v>43465</v>
      </c>
      <c r="AL362" s="649">
        <f>$Y$8</f>
        <v>43800</v>
      </c>
      <c r="AM362" s="649">
        <f>$Z$8</f>
        <v>43862</v>
      </c>
      <c r="AN362" s="649">
        <f>$AA$8</f>
        <v>44013</v>
      </c>
      <c r="AO362" s="649">
        <f>$AB$8</f>
        <v>44166</v>
      </c>
      <c r="AP362" s="649">
        <f>$AC$8</f>
        <v>44531</v>
      </c>
      <c r="AQ362" s="649">
        <f>$AD$8</f>
        <v>44774</v>
      </c>
      <c r="AR362" s="649">
        <f>$AE$8</f>
        <v>45142</v>
      </c>
      <c r="AS362" s="649">
        <f>$AF$8</f>
        <v>45672</v>
      </c>
      <c r="AT362" s="2"/>
      <c r="AU362" s="648" t="s">
        <v>52</v>
      </c>
      <c r="AV362" s="649">
        <v>43252</v>
      </c>
      <c r="AW362" s="649">
        <f>$X$8</f>
        <v>43465</v>
      </c>
      <c r="AX362" s="649">
        <f>$Y$8</f>
        <v>43800</v>
      </c>
      <c r="AY362" s="649">
        <f>$Z$8</f>
        <v>43862</v>
      </c>
      <c r="AZ362" s="649">
        <f>$AA$8</f>
        <v>44013</v>
      </c>
      <c r="BA362" s="649">
        <v>44166</v>
      </c>
      <c r="BB362" s="649">
        <f>$AC$8</f>
        <v>44531</v>
      </c>
      <c r="BC362" s="649">
        <f>$AD$8</f>
        <v>44774</v>
      </c>
      <c r="BD362" s="649">
        <f>$AE$8</f>
        <v>45142</v>
      </c>
      <c r="BE362" s="649">
        <f>$AF$8</f>
        <v>45672</v>
      </c>
      <c r="DE362" s="2"/>
      <c r="DF362" s="2"/>
      <c r="DG362" s="1018" t="str">
        <f>$DG$8</f>
        <v>TRC (2025)</v>
      </c>
      <c r="DH362" s="776" t="str">
        <f>$DH$8</f>
        <v>Benefit Lookup</v>
      </c>
      <c r="DI362" s="776" t="str">
        <f>$DI$8</f>
        <v>Benefits (2025 $)</v>
      </c>
      <c r="DJ362" s="1118" t="str">
        <f>$DJ$8</f>
        <v>Incremental Cost (2025 $)</v>
      </c>
    </row>
    <row r="363" spans="1:114" x14ac:dyDescent="0.25">
      <c r="B363" s="252">
        <f t="shared" ref="B363:B417" si="106">VALUE(LEFT(C363,6))</f>
        <v>804300</v>
      </c>
      <c r="C363" s="668" t="s">
        <v>476</v>
      </c>
      <c r="D363" s="452" t="s">
        <v>111</v>
      </c>
      <c r="E363" s="469" t="s">
        <v>477</v>
      </c>
      <c r="F363" s="667">
        <f>ROUND(F379*G379*H379,2)</f>
        <v>3272.26</v>
      </c>
      <c r="G363" s="452" t="s">
        <v>478</v>
      </c>
      <c r="H363" s="453">
        <f>VLOOKUP(G363,'CP FACTORS'!$A$26:$B$38,2,FALSE)</f>
        <v>1.379439E-4</v>
      </c>
      <c r="I363" s="470">
        <f t="shared" ref="I363:I369" si="107">ROUND(H363*F363,6)</f>
        <v>0.45138800000000001</v>
      </c>
      <c r="J363" s="488">
        <v>13</v>
      </c>
      <c r="K363" s="1774">
        <v>778</v>
      </c>
      <c r="L363" s="498" t="s">
        <v>62</v>
      </c>
      <c r="N363" s="1715"/>
      <c r="O363" s="1715"/>
      <c r="V363" s="1375" t="s">
        <v>45</v>
      </c>
      <c r="W363" s="53">
        <v>3272.2560000000003</v>
      </c>
      <c r="X363" s="53">
        <v>3272.2560000000003</v>
      </c>
      <c r="Y363" s="53">
        <v>3272.2560000000003</v>
      </c>
      <c r="Z363" s="53">
        <v>3272.2560000000003</v>
      </c>
      <c r="AA363" s="53">
        <v>3272.2560000000003</v>
      </c>
      <c r="AB363" s="628">
        <v>3272.26</v>
      </c>
      <c r="AC363" s="705">
        <v>3272.26</v>
      </c>
      <c r="AD363" s="705">
        <v>3272.26</v>
      </c>
      <c r="AE363" s="705">
        <v>3272.26</v>
      </c>
      <c r="AF363" s="705">
        <f t="shared" ref="AF363:AF369" si="108">F363</f>
        <v>3272.26</v>
      </c>
      <c r="AG363" s="68"/>
      <c r="AH363"/>
      <c r="AI363" s="1375" t="s">
        <v>49</v>
      </c>
      <c r="AJ363" s="19">
        <v>13</v>
      </c>
      <c r="AK363" s="19">
        <v>13</v>
      </c>
      <c r="AL363" s="19">
        <v>13</v>
      </c>
      <c r="AM363" s="19">
        <v>13</v>
      </c>
      <c r="AN363" s="19">
        <v>13</v>
      </c>
      <c r="AO363" s="630">
        <v>13</v>
      </c>
      <c r="AP363" s="684">
        <v>13</v>
      </c>
      <c r="AQ363" s="684">
        <v>13</v>
      </c>
      <c r="AR363" s="684">
        <v>13</v>
      </c>
      <c r="AS363" s="684">
        <v>13</v>
      </c>
      <c r="AU363" s="1375" t="s">
        <v>50</v>
      </c>
      <c r="AV363" s="685">
        <v>700</v>
      </c>
      <c r="AW363" s="685">
        <v>700</v>
      </c>
      <c r="AX363" s="685">
        <v>700</v>
      </c>
      <c r="AY363" s="685">
        <v>700</v>
      </c>
      <c r="AZ363" s="685">
        <v>700</v>
      </c>
      <c r="BA363" s="669">
        <v>700</v>
      </c>
      <c r="BB363" s="669">
        <v>700</v>
      </c>
      <c r="BC363" s="669">
        <v>700</v>
      </c>
      <c r="BD363" s="669">
        <v>700</v>
      </c>
      <c r="BE363" s="739">
        <v>778</v>
      </c>
      <c r="DG363" s="1020">
        <f t="shared" ref="DG363:DG369" si="109">(DI363)/(DJ363)</f>
        <v>2.718076455610043</v>
      </c>
      <c r="DH363" s="1330" t="str">
        <f t="shared" ref="DH363:DH369" si="110">CONCATENATE(G363," ",J363," Year EUL")</f>
        <v>Air Comp BUS 13 Year EUL</v>
      </c>
      <c r="DI363" s="185">
        <f>(INDEX('Avoided Cost Benefits'!$B$4:$B$865,MATCH(DH363,'Avoided Cost Benefits'!$A$4:$A$865,0)))*F363</f>
        <v>2114.6634824646135</v>
      </c>
      <c r="DJ363" s="1935">
        <f t="shared" ref="DJ363:DJ369" si="111">IFERROR(K363/((1+DiscountRate)^(CurrentYear-DiscountYear)),0)</f>
        <v>778</v>
      </c>
    </row>
    <row r="364" spans="1:114" x14ac:dyDescent="0.25">
      <c r="B364" s="252">
        <f t="shared" si="106"/>
        <v>804350</v>
      </c>
      <c r="C364" s="668" t="s">
        <v>479</v>
      </c>
      <c r="D364" s="452" t="s">
        <v>111</v>
      </c>
      <c r="E364" s="469" t="s">
        <v>480</v>
      </c>
      <c r="F364" s="667">
        <f t="shared" ref="F364:F369" si="112">ROUND(F380*G380*H380,2)</f>
        <v>2418.62</v>
      </c>
      <c r="G364" s="452" t="s">
        <v>478</v>
      </c>
      <c r="H364" s="453">
        <f>VLOOKUP(G364,'CP FACTORS'!$A$26:$B$38,2,FALSE)</f>
        <v>1.379439E-4</v>
      </c>
      <c r="I364" s="470">
        <f t="shared" si="107"/>
        <v>0.33363399999999999</v>
      </c>
      <c r="J364" s="488">
        <v>13</v>
      </c>
      <c r="K364" s="1774">
        <v>778</v>
      </c>
      <c r="L364" s="498" t="s">
        <v>62</v>
      </c>
      <c r="N364" s="1715"/>
      <c r="O364" s="1715"/>
      <c r="V364" s="1375" t="s">
        <v>45</v>
      </c>
      <c r="W364" s="53">
        <v>2418.6240000000003</v>
      </c>
      <c r="X364" s="53">
        <v>2418.6240000000003</v>
      </c>
      <c r="Y364" s="53">
        <v>2418.6240000000003</v>
      </c>
      <c r="Z364" s="53">
        <v>2418.6240000000003</v>
      </c>
      <c r="AA364" s="53">
        <v>2418.6240000000003</v>
      </c>
      <c r="AB364" s="628">
        <v>2418.62</v>
      </c>
      <c r="AC364" s="705">
        <v>2418.62</v>
      </c>
      <c r="AD364" s="705">
        <v>2418.62</v>
      </c>
      <c r="AE364" s="705">
        <v>2418.62</v>
      </c>
      <c r="AF364" s="705">
        <f t="shared" si="108"/>
        <v>2418.62</v>
      </c>
      <c r="AG364" s="68"/>
      <c r="AH364"/>
      <c r="AI364" s="1375" t="s">
        <v>49</v>
      </c>
      <c r="AJ364" s="19">
        <v>13</v>
      </c>
      <c r="AK364" s="19">
        <v>13</v>
      </c>
      <c r="AL364" s="19">
        <v>13</v>
      </c>
      <c r="AM364" s="19">
        <v>13</v>
      </c>
      <c r="AN364" s="19">
        <v>13</v>
      </c>
      <c r="AO364" s="630">
        <v>13</v>
      </c>
      <c r="AP364" s="684">
        <v>13</v>
      </c>
      <c r="AQ364" s="684">
        <v>13</v>
      </c>
      <c r="AR364" s="684">
        <v>13</v>
      </c>
      <c r="AS364" s="684">
        <v>13</v>
      </c>
      <c r="AU364" s="1375" t="s">
        <v>50</v>
      </c>
      <c r="AV364" s="685">
        <v>700</v>
      </c>
      <c r="AW364" s="685">
        <v>700</v>
      </c>
      <c r="AX364" s="685">
        <v>700</v>
      </c>
      <c r="AY364" s="685">
        <v>700</v>
      </c>
      <c r="AZ364" s="685">
        <v>700</v>
      </c>
      <c r="BA364" s="669">
        <v>700</v>
      </c>
      <c r="BB364" s="669">
        <v>700</v>
      </c>
      <c r="BC364" s="669">
        <v>700</v>
      </c>
      <c r="BD364" s="669">
        <v>700</v>
      </c>
      <c r="BE364" s="739">
        <v>778</v>
      </c>
      <c r="DG364" s="1021">
        <f t="shared" si="109"/>
        <v>2.0090072540285804</v>
      </c>
      <c r="DH364" s="653" t="str">
        <f t="shared" si="110"/>
        <v>Air Comp BUS 13 Year EUL</v>
      </c>
      <c r="DI364" s="635">
        <f>(INDEX('Avoided Cost Benefits'!$B$4:$B$865,MATCH(DH364,'Avoided Cost Benefits'!$A$4:$A$865,0)))*F364</f>
        <v>1563.0076436342354</v>
      </c>
      <c r="DJ364" s="1936">
        <f t="shared" si="111"/>
        <v>778</v>
      </c>
    </row>
    <row r="365" spans="1:114" x14ac:dyDescent="0.25">
      <c r="B365" s="252">
        <f t="shared" si="106"/>
        <v>804400</v>
      </c>
      <c r="C365" s="668" t="s">
        <v>481</v>
      </c>
      <c r="D365" s="452" t="s">
        <v>111</v>
      </c>
      <c r="E365" s="469" t="s">
        <v>482</v>
      </c>
      <c r="F365" s="667">
        <f t="shared" si="112"/>
        <v>2703.17</v>
      </c>
      <c r="G365" s="452" t="s">
        <v>478</v>
      </c>
      <c r="H365" s="453">
        <f>VLOOKUP(G365,'CP FACTORS'!$A$26:$B$38,2,FALSE)</f>
        <v>1.379439E-4</v>
      </c>
      <c r="I365" s="470">
        <f t="shared" si="107"/>
        <v>0.372886</v>
      </c>
      <c r="J365" s="488">
        <v>13</v>
      </c>
      <c r="K365" s="1774">
        <v>778</v>
      </c>
      <c r="L365" s="498" t="s">
        <v>62</v>
      </c>
      <c r="N365" s="1715"/>
      <c r="O365" s="1715"/>
      <c r="V365" s="1375" t="s">
        <v>45</v>
      </c>
      <c r="W365" s="53">
        <v>2703.1679999999997</v>
      </c>
      <c r="X365" s="53">
        <v>2703.1679999999997</v>
      </c>
      <c r="Y365" s="53">
        <v>2703.1679999999997</v>
      </c>
      <c r="Z365" s="53">
        <v>2703.1679999999997</v>
      </c>
      <c r="AA365" s="53">
        <v>2703.1679999999997</v>
      </c>
      <c r="AB365" s="628">
        <v>2703.17</v>
      </c>
      <c r="AC365" s="705">
        <v>2703.17</v>
      </c>
      <c r="AD365" s="705">
        <v>2703.17</v>
      </c>
      <c r="AE365" s="705">
        <v>2703.17</v>
      </c>
      <c r="AF365" s="705">
        <f t="shared" si="108"/>
        <v>2703.17</v>
      </c>
      <c r="AG365" s="68"/>
      <c r="AH365"/>
      <c r="AI365" s="1375" t="s">
        <v>49</v>
      </c>
      <c r="AJ365" s="19">
        <v>13</v>
      </c>
      <c r="AK365" s="19">
        <v>13</v>
      </c>
      <c r="AL365" s="19">
        <v>13</v>
      </c>
      <c r="AM365" s="19">
        <v>13</v>
      </c>
      <c r="AN365" s="19">
        <v>13</v>
      </c>
      <c r="AO365" s="630">
        <v>13</v>
      </c>
      <c r="AP365" s="684">
        <v>13</v>
      </c>
      <c r="AQ365" s="684">
        <v>13</v>
      </c>
      <c r="AR365" s="684">
        <v>13</v>
      </c>
      <c r="AS365" s="684">
        <v>13</v>
      </c>
      <c r="AU365" s="1375" t="s">
        <v>50</v>
      </c>
      <c r="AV365" s="685">
        <v>700</v>
      </c>
      <c r="AW365" s="685">
        <v>700</v>
      </c>
      <c r="AX365" s="685">
        <v>700</v>
      </c>
      <c r="AY365" s="685">
        <v>700</v>
      </c>
      <c r="AZ365" s="685">
        <v>700</v>
      </c>
      <c r="BA365" s="669">
        <v>700</v>
      </c>
      <c r="BB365" s="669">
        <v>700</v>
      </c>
      <c r="BC365" s="669">
        <v>700</v>
      </c>
      <c r="BD365" s="669">
        <v>700</v>
      </c>
      <c r="BE365" s="739">
        <v>778</v>
      </c>
      <c r="DG365" s="1021">
        <f t="shared" si="109"/>
        <v>2.2453664233622632</v>
      </c>
      <c r="DH365" s="653" t="str">
        <f t="shared" si="110"/>
        <v>Air Comp BUS 13 Year EUL</v>
      </c>
      <c r="DI365" s="635">
        <f>(INDEX('Avoided Cost Benefits'!$B$4:$B$865,MATCH(DH365,'Avoided Cost Benefits'!$A$4:$A$865,0)))*F365</f>
        <v>1746.8950773758409</v>
      </c>
      <c r="DJ365" s="1936">
        <f t="shared" si="111"/>
        <v>778</v>
      </c>
    </row>
    <row r="366" spans="1:114" x14ac:dyDescent="0.25">
      <c r="B366" s="252">
        <f t="shared" si="106"/>
        <v>804450</v>
      </c>
      <c r="C366" s="668" t="s">
        <v>483</v>
      </c>
      <c r="D366" s="452" t="s">
        <v>111</v>
      </c>
      <c r="E366" s="469" t="s">
        <v>484</v>
      </c>
      <c r="F366" s="667">
        <f t="shared" si="112"/>
        <v>978.12</v>
      </c>
      <c r="G366" s="452" t="s">
        <v>478</v>
      </c>
      <c r="H366" s="453">
        <f>VLOOKUP(G366,'CP FACTORS'!$A$26:$B$38,2,FALSE)</f>
        <v>1.379439E-4</v>
      </c>
      <c r="I366" s="470">
        <f t="shared" si="107"/>
        <v>0.13492599999999999</v>
      </c>
      <c r="J366" s="488">
        <v>13</v>
      </c>
      <c r="K366" s="1774">
        <v>778</v>
      </c>
      <c r="L366" s="498" t="s">
        <v>62</v>
      </c>
      <c r="N366" s="1715"/>
      <c r="O366" s="1715"/>
      <c r="V366" s="1375" t="s">
        <v>45</v>
      </c>
      <c r="W366" s="53">
        <v>978.12</v>
      </c>
      <c r="X366" s="53">
        <v>978.12</v>
      </c>
      <c r="Y366" s="53">
        <v>978.12</v>
      </c>
      <c r="Z366" s="53">
        <v>978.12</v>
      </c>
      <c r="AA366" s="53">
        <v>978.12</v>
      </c>
      <c r="AB366" s="628">
        <v>978.12</v>
      </c>
      <c r="AC366" s="705">
        <v>978.12</v>
      </c>
      <c r="AD366" s="705">
        <v>978.12</v>
      </c>
      <c r="AE366" s="705">
        <v>978.12</v>
      </c>
      <c r="AF366" s="705">
        <f t="shared" si="108"/>
        <v>978.12</v>
      </c>
      <c r="AG366" s="68"/>
      <c r="AH366"/>
      <c r="AI366" s="1375" t="s">
        <v>49</v>
      </c>
      <c r="AJ366" s="19">
        <v>13</v>
      </c>
      <c r="AK366" s="19">
        <v>13</v>
      </c>
      <c r="AL366" s="19">
        <v>13</v>
      </c>
      <c r="AM366" s="19">
        <v>13</v>
      </c>
      <c r="AN366" s="19">
        <v>13</v>
      </c>
      <c r="AO366" s="630">
        <v>13</v>
      </c>
      <c r="AP366" s="684">
        <v>13</v>
      </c>
      <c r="AQ366" s="684">
        <v>13</v>
      </c>
      <c r="AR366" s="684">
        <v>13</v>
      </c>
      <c r="AS366" s="684">
        <v>13</v>
      </c>
      <c r="AU366" s="1375" t="s">
        <v>50</v>
      </c>
      <c r="AV366" s="685">
        <v>700</v>
      </c>
      <c r="AW366" s="685">
        <v>700</v>
      </c>
      <c r="AX366" s="685">
        <v>700</v>
      </c>
      <c r="AY366" s="685">
        <v>700</v>
      </c>
      <c r="AZ366" s="685">
        <v>700</v>
      </c>
      <c r="BA366" s="669">
        <v>700</v>
      </c>
      <c r="BB366" s="669">
        <v>700</v>
      </c>
      <c r="BC366" s="669">
        <v>700</v>
      </c>
      <c r="BD366" s="669">
        <v>700</v>
      </c>
      <c r="BE366" s="739">
        <v>778</v>
      </c>
      <c r="DG366" s="1021">
        <f t="shared" si="109"/>
        <v>0.81246751259413841</v>
      </c>
      <c r="DH366" s="653" t="str">
        <f t="shared" si="110"/>
        <v>Air Comp BUS 13 Year EUL</v>
      </c>
      <c r="DI366" s="635">
        <f>(INDEX('Avoided Cost Benefits'!$B$4:$B$865,MATCH(DH366,'Avoided Cost Benefits'!$A$4:$A$865,0)))*F366</f>
        <v>632.09972479823966</v>
      </c>
      <c r="DJ366" s="1936">
        <f t="shared" si="111"/>
        <v>778</v>
      </c>
    </row>
    <row r="367" spans="1:114" x14ac:dyDescent="0.25">
      <c r="B367" s="252">
        <f t="shared" si="106"/>
        <v>804500</v>
      </c>
      <c r="C367" s="668" t="s">
        <v>485</v>
      </c>
      <c r="D367" s="452" t="s">
        <v>111</v>
      </c>
      <c r="E367" s="469" t="s">
        <v>486</v>
      </c>
      <c r="F367" s="667">
        <f t="shared" si="112"/>
        <v>978.12</v>
      </c>
      <c r="G367" s="452" t="s">
        <v>478</v>
      </c>
      <c r="H367" s="453">
        <f>VLOOKUP(G367,'CP FACTORS'!$A$26:$B$38,2,FALSE)</f>
        <v>1.379439E-4</v>
      </c>
      <c r="I367" s="470">
        <f t="shared" si="107"/>
        <v>0.13492599999999999</v>
      </c>
      <c r="J367" s="488">
        <v>13</v>
      </c>
      <c r="K367" s="1774">
        <v>778</v>
      </c>
      <c r="L367" s="498" t="s">
        <v>62</v>
      </c>
      <c r="N367" s="1715"/>
      <c r="O367" s="1715"/>
      <c r="V367" s="1375" t="s">
        <v>45</v>
      </c>
      <c r="W367" s="53">
        <v>978.12</v>
      </c>
      <c r="X367" s="53">
        <v>978.12</v>
      </c>
      <c r="Y367" s="53">
        <v>978.12</v>
      </c>
      <c r="Z367" s="53">
        <v>978.12</v>
      </c>
      <c r="AA367" s="53">
        <v>978.12</v>
      </c>
      <c r="AB367" s="628">
        <v>978.12</v>
      </c>
      <c r="AC367" s="705">
        <v>978.12</v>
      </c>
      <c r="AD367" s="705">
        <v>978.12</v>
      </c>
      <c r="AE367" s="705">
        <v>978.12</v>
      </c>
      <c r="AF367" s="705">
        <f t="shared" si="108"/>
        <v>978.12</v>
      </c>
      <c r="AG367" s="68"/>
      <c r="AH367"/>
      <c r="AI367" s="1375" t="s">
        <v>49</v>
      </c>
      <c r="AJ367" s="19">
        <v>13</v>
      </c>
      <c r="AK367" s="19">
        <v>13</v>
      </c>
      <c r="AL367" s="19">
        <v>13</v>
      </c>
      <c r="AM367" s="19">
        <v>13</v>
      </c>
      <c r="AN367" s="19">
        <v>13</v>
      </c>
      <c r="AO367" s="630">
        <v>13</v>
      </c>
      <c r="AP367" s="684">
        <v>13</v>
      </c>
      <c r="AQ367" s="684">
        <v>13</v>
      </c>
      <c r="AR367" s="684">
        <v>13</v>
      </c>
      <c r="AS367" s="684">
        <v>13</v>
      </c>
      <c r="AU367" s="1375" t="s">
        <v>50</v>
      </c>
      <c r="AV367" s="685">
        <v>700</v>
      </c>
      <c r="AW367" s="685">
        <v>700</v>
      </c>
      <c r="AX367" s="685">
        <v>700</v>
      </c>
      <c r="AY367" s="685">
        <v>700</v>
      </c>
      <c r="AZ367" s="685">
        <v>700</v>
      </c>
      <c r="BA367" s="669">
        <v>700</v>
      </c>
      <c r="BB367" s="669">
        <v>700</v>
      </c>
      <c r="BC367" s="669">
        <v>700</v>
      </c>
      <c r="BD367" s="669">
        <v>700</v>
      </c>
      <c r="BE367" s="739">
        <v>778</v>
      </c>
      <c r="DG367" s="1021">
        <f t="shared" si="109"/>
        <v>0.81246751259413841</v>
      </c>
      <c r="DH367" s="653" t="str">
        <f t="shared" si="110"/>
        <v>Air Comp BUS 13 Year EUL</v>
      </c>
      <c r="DI367" s="635">
        <f>(INDEX('Avoided Cost Benefits'!$B$4:$B$865,MATCH(DH367,'Avoided Cost Benefits'!$A$4:$A$865,0)))*F367</f>
        <v>632.09972479823966</v>
      </c>
      <c r="DJ367" s="1936">
        <f t="shared" si="111"/>
        <v>778</v>
      </c>
    </row>
    <row r="368" spans="1:114" x14ac:dyDescent="0.25">
      <c r="B368" s="252">
        <f t="shared" si="106"/>
        <v>804550</v>
      </c>
      <c r="C368" s="668" t="s">
        <v>487</v>
      </c>
      <c r="D368" s="452" t="s">
        <v>111</v>
      </c>
      <c r="E368" s="469" t="s">
        <v>488</v>
      </c>
      <c r="F368" s="667">
        <f t="shared" si="112"/>
        <v>2720.95</v>
      </c>
      <c r="G368" s="452" t="s">
        <v>478</v>
      </c>
      <c r="H368" s="453">
        <f>VLOOKUP(G368,'CP FACTORS'!$A$26:$B$38,2,FALSE)</f>
        <v>1.379439E-4</v>
      </c>
      <c r="I368" s="470">
        <f t="shared" si="107"/>
        <v>0.375338</v>
      </c>
      <c r="J368" s="488">
        <v>13</v>
      </c>
      <c r="K368" s="1774">
        <v>778</v>
      </c>
      <c r="L368" s="498" t="s">
        <v>62</v>
      </c>
      <c r="N368" s="1715"/>
      <c r="O368" s="1715"/>
      <c r="V368" s="1375" t="s">
        <v>45</v>
      </c>
      <c r="W368" s="53">
        <v>2720.9519999999998</v>
      </c>
      <c r="X368" s="53">
        <v>2720.9519999999998</v>
      </c>
      <c r="Y368" s="53">
        <v>2720.9519999999998</v>
      </c>
      <c r="Z368" s="53">
        <v>2720.9519999999998</v>
      </c>
      <c r="AA368" s="53">
        <v>2720.9519999999998</v>
      </c>
      <c r="AB368" s="628">
        <v>2720.95</v>
      </c>
      <c r="AC368" s="705">
        <v>2720.95</v>
      </c>
      <c r="AD368" s="705">
        <v>2720.95</v>
      </c>
      <c r="AE368" s="705">
        <v>2720.95</v>
      </c>
      <c r="AF368" s="705">
        <f t="shared" si="108"/>
        <v>2720.95</v>
      </c>
      <c r="AG368" s="68"/>
      <c r="AH368"/>
      <c r="AI368" s="1375" t="s">
        <v>49</v>
      </c>
      <c r="AJ368" s="19">
        <v>13</v>
      </c>
      <c r="AK368" s="19">
        <v>13</v>
      </c>
      <c r="AL368" s="19">
        <v>13</v>
      </c>
      <c r="AM368" s="19">
        <v>13</v>
      </c>
      <c r="AN368" s="19">
        <v>13</v>
      </c>
      <c r="AO368" s="630">
        <v>13</v>
      </c>
      <c r="AP368" s="684">
        <v>13</v>
      </c>
      <c r="AQ368" s="684">
        <v>13</v>
      </c>
      <c r="AR368" s="684">
        <v>13</v>
      </c>
      <c r="AS368" s="684">
        <v>13</v>
      </c>
      <c r="AU368" s="1375" t="s">
        <v>50</v>
      </c>
      <c r="AV368" s="685">
        <v>700</v>
      </c>
      <c r="AW368" s="685">
        <v>700</v>
      </c>
      <c r="AX368" s="685">
        <v>700</v>
      </c>
      <c r="AY368" s="685">
        <v>700</v>
      </c>
      <c r="AZ368" s="685">
        <v>700</v>
      </c>
      <c r="BA368" s="669">
        <v>700</v>
      </c>
      <c r="BB368" s="669">
        <v>700</v>
      </c>
      <c r="BC368" s="669">
        <v>700</v>
      </c>
      <c r="BD368" s="669">
        <v>700</v>
      </c>
      <c r="BE368" s="739">
        <v>778</v>
      </c>
      <c r="DG368" s="1021">
        <f t="shared" si="109"/>
        <v>2.2601352373870491</v>
      </c>
      <c r="DH368" s="653" t="str">
        <f t="shared" si="110"/>
        <v>Air Comp BUS 13 Year EUL</v>
      </c>
      <c r="DI368" s="635">
        <f>(INDEX('Avoided Cost Benefits'!$B$4:$B$865,MATCH(DH368,'Avoided Cost Benefits'!$A$4:$A$865,0)))*F368</f>
        <v>1758.3852146871243</v>
      </c>
      <c r="DJ368" s="1936">
        <f t="shared" si="111"/>
        <v>778</v>
      </c>
    </row>
    <row r="369" spans="1:114" x14ac:dyDescent="0.25">
      <c r="B369" s="252">
        <f t="shared" si="106"/>
        <v>804600</v>
      </c>
      <c r="C369" s="668" t="s">
        <v>489</v>
      </c>
      <c r="D369" s="452" t="s">
        <v>111</v>
      </c>
      <c r="E369" s="469" t="s">
        <v>490</v>
      </c>
      <c r="F369" s="667">
        <f t="shared" si="112"/>
        <v>3165.55</v>
      </c>
      <c r="G369" s="452" t="s">
        <v>478</v>
      </c>
      <c r="H369" s="453">
        <f>VLOOKUP(G369,'CP FACTORS'!$A$26:$B$38,2,FALSE)</f>
        <v>1.379439E-4</v>
      </c>
      <c r="I369" s="470">
        <f t="shared" si="107"/>
        <v>0.436668</v>
      </c>
      <c r="J369" s="488">
        <v>13</v>
      </c>
      <c r="K369" s="1774">
        <v>778</v>
      </c>
      <c r="L369" s="498" t="s">
        <v>62</v>
      </c>
      <c r="N369" s="1715"/>
      <c r="O369" s="1715"/>
      <c r="V369" s="1375" t="s">
        <v>45</v>
      </c>
      <c r="W369" s="53">
        <v>3165.5520000000001</v>
      </c>
      <c r="X369" s="53">
        <v>3165.5520000000001</v>
      </c>
      <c r="Y369" s="53">
        <v>3165.5520000000001</v>
      </c>
      <c r="Z369" s="53">
        <v>3165.5520000000001</v>
      </c>
      <c r="AA369" s="53">
        <v>3165.5520000000001</v>
      </c>
      <c r="AB369" s="628">
        <v>3165.55</v>
      </c>
      <c r="AC369" s="705">
        <v>3165.55</v>
      </c>
      <c r="AD369" s="705">
        <v>3165.55</v>
      </c>
      <c r="AE369" s="705">
        <v>3165.55</v>
      </c>
      <c r="AF369" s="705">
        <f t="shared" si="108"/>
        <v>3165.55</v>
      </c>
      <c r="AG369" s="68"/>
      <c r="AH369"/>
      <c r="AI369" s="1375" t="s">
        <v>49</v>
      </c>
      <c r="AJ369" s="19">
        <v>13</v>
      </c>
      <c r="AK369" s="19">
        <v>13</v>
      </c>
      <c r="AL369" s="19">
        <v>13</v>
      </c>
      <c r="AM369" s="19">
        <v>13</v>
      </c>
      <c r="AN369" s="19">
        <v>13</v>
      </c>
      <c r="AO369" s="630">
        <v>13</v>
      </c>
      <c r="AP369" s="684">
        <v>13</v>
      </c>
      <c r="AQ369" s="684">
        <v>13</v>
      </c>
      <c r="AR369" s="684">
        <v>13</v>
      </c>
      <c r="AS369" s="684">
        <v>13</v>
      </c>
      <c r="AU369" s="1375" t="s">
        <v>50</v>
      </c>
      <c r="AV369" s="685">
        <v>700</v>
      </c>
      <c r="AW369" s="685">
        <v>700</v>
      </c>
      <c r="AX369" s="685">
        <v>700</v>
      </c>
      <c r="AY369" s="685">
        <v>700</v>
      </c>
      <c r="AZ369" s="685">
        <v>700</v>
      </c>
      <c r="BA369" s="669">
        <v>700</v>
      </c>
      <c r="BB369" s="669">
        <v>700</v>
      </c>
      <c r="BC369" s="669">
        <v>700</v>
      </c>
      <c r="BD369" s="669">
        <v>700</v>
      </c>
      <c r="BE369" s="739">
        <v>778</v>
      </c>
      <c r="DG369" s="1022">
        <f t="shared" si="109"/>
        <v>2.629438652202567</v>
      </c>
      <c r="DH369" s="653" t="str">
        <f t="shared" si="110"/>
        <v>Air Comp BUS 13 Year EUL</v>
      </c>
      <c r="DI369" s="1024">
        <f>(INDEX('Avoided Cost Benefits'!$B$4:$B$865,MATCH(DH369,'Avoided Cost Benefits'!$A$4:$A$865,0)))*F369</f>
        <v>2045.7032714135971</v>
      </c>
      <c r="DJ369" s="1937">
        <f t="shared" si="111"/>
        <v>778</v>
      </c>
    </row>
    <row r="370" spans="1:114" hidden="1" outlineLevel="1" x14ac:dyDescent="0.25">
      <c r="D370" s="74" t="s">
        <v>94</v>
      </c>
      <c r="E370" s="108" t="s">
        <v>491</v>
      </c>
      <c r="F370" s="1701"/>
      <c r="G370" s="7"/>
      <c r="H370" s="460"/>
      <c r="I370" s="7"/>
      <c r="J370" s="7"/>
      <c r="K370" s="7"/>
    </row>
    <row r="371" spans="1:114" hidden="1" outlineLevel="1" x14ac:dyDescent="0.25">
      <c r="D371" s="7" t="s">
        <v>96</v>
      </c>
      <c r="E371" s="7"/>
      <c r="F371" s="7"/>
      <c r="G371" s="7"/>
      <c r="H371" s="460"/>
      <c r="I371" s="7"/>
      <c r="J371" s="7"/>
      <c r="K371" s="7"/>
    </row>
    <row r="372" spans="1:114" hidden="1" outlineLevel="1" x14ac:dyDescent="0.25">
      <c r="D372" s="461"/>
      <c r="G372" s="252"/>
      <c r="H372" s="462"/>
    </row>
    <row r="373" spans="1:114" hidden="1" outlineLevel="1" x14ac:dyDescent="0.25">
      <c r="D373" s="461"/>
      <c r="G373" s="252"/>
      <c r="H373" s="462"/>
    </row>
    <row r="374" spans="1:114" hidden="1" outlineLevel="1" x14ac:dyDescent="0.25">
      <c r="D374" s="461"/>
      <c r="G374" s="252"/>
      <c r="H374" s="462"/>
      <c r="M374" s="7"/>
    </row>
    <row r="375" spans="1:114" hidden="1" outlineLevel="1" x14ac:dyDescent="0.25">
      <c r="D375" s="461"/>
      <c r="G375" s="252"/>
      <c r="H375" s="462"/>
      <c r="M375" s="7"/>
    </row>
    <row r="376" spans="1:114" hidden="1" outlineLevel="1" x14ac:dyDescent="0.25">
      <c r="D376" s="461"/>
      <c r="G376" s="252"/>
      <c r="H376" s="462"/>
      <c r="M376" s="7"/>
    </row>
    <row r="377" spans="1:114" hidden="1" outlineLevel="1" x14ac:dyDescent="0.25">
      <c r="D377" s="461"/>
      <c r="G377" s="252"/>
      <c r="H377" s="462"/>
    </row>
    <row r="378" spans="1:114" s="8" customFormat="1" hidden="1" outlineLevel="1" x14ac:dyDescent="0.25">
      <c r="A378" s="252"/>
      <c r="B378" s="252"/>
      <c r="C378" s="64"/>
      <c r="D378" s="1294" t="s">
        <v>42</v>
      </c>
      <c r="E378" s="1294" t="s">
        <v>172</v>
      </c>
      <c r="F378" s="32" t="s">
        <v>492</v>
      </c>
      <c r="G378" s="1294" t="s">
        <v>493</v>
      </c>
      <c r="H378" s="1294" t="s">
        <v>140</v>
      </c>
      <c r="I378" s="252"/>
      <c r="J378" s="116"/>
      <c r="K378" s="116"/>
      <c r="L378" s="116"/>
      <c r="M378" s="116"/>
      <c r="N378" s="116"/>
      <c r="O378" s="116"/>
      <c r="P378" s="116"/>
      <c r="Q378" s="116"/>
      <c r="R378" s="116"/>
      <c r="S378" s="116"/>
      <c r="T378" s="116"/>
      <c r="U378" s="116"/>
      <c r="DE378" s="2"/>
      <c r="DF378" s="2"/>
      <c r="DG378" s="1023"/>
      <c r="DH378" s="116"/>
      <c r="DI378" s="116"/>
      <c r="DJ378" s="1116"/>
    </row>
    <row r="379" spans="1:114" hidden="1" outlineLevel="1" x14ac:dyDescent="0.25">
      <c r="D379" s="659" t="str">
        <f>C363</f>
        <v>804300_2024_12_</v>
      </c>
      <c r="E379" s="659" t="str">
        <f t="shared" ref="E379:E385" si="113">E363</f>
        <v>No Loss Condensate Drain (Reciprocating - On/off Control)</v>
      </c>
      <c r="F379" s="34">
        <v>3</v>
      </c>
      <c r="G379" s="35">
        <v>0.184</v>
      </c>
      <c r="H379" s="1790">
        <v>5928</v>
      </c>
    </row>
    <row r="380" spans="1:114" hidden="1" outlineLevel="1" x14ac:dyDescent="0.25">
      <c r="D380" s="659" t="str">
        <f t="shared" ref="D380:D385" si="114">C364</f>
        <v>804350_2024_12_</v>
      </c>
      <c r="E380" s="659" t="str">
        <f t="shared" si="113"/>
        <v>No Loss Condensate Drain (Reciprocating - Load/Unload)</v>
      </c>
      <c r="F380" s="34">
        <v>3</v>
      </c>
      <c r="G380" s="35">
        <v>0.13600000000000001</v>
      </c>
      <c r="H380" s="1790">
        <v>5928</v>
      </c>
    </row>
    <row r="381" spans="1:114" hidden="1" outlineLevel="1" x14ac:dyDescent="0.25">
      <c r="D381" s="659" t="str">
        <f t="shared" si="114"/>
        <v>804400_2024_12_</v>
      </c>
      <c r="E381" s="659" t="str">
        <f t="shared" si="113"/>
        <v>No Loss Condensate Drain (Screw - Load/Unload)</v>
      </c>
      <c r="F381" s="34">
        <v>3</v>
      </c>
      <c r="G381" s="35">
        <v>0.152</v>
      </c>
      <c r="H381" s="1790">
        <v>5928</v>
      </c>
    </row>
    <row r="382" spans="1:114" hidden="1" outlineLevel="1" x14ac:dyDescent="0.25">
      <c r="D382" s="659" t="str">
        <f t="shared" si="114"/>
        <v>804450_2024_12_</v>
      </c>
      <c r="E382" s="659" t="str">
        <f t="shared" si="113"/>
        <v>No Loss Condensate Drain (Screw - Inlet Modulation)</v>
      </c>
      <c r="F382" s="34">
        <v>3</v>
      </c>
      <c r="G382" s="35">
        <v>5.5E-2</v>
      </c>
      <c r="H382" s="1790">
        <v>5928</v>
      </c>
    </row>
    <row r="383" spans="1:114" hidden="1" outlineLevel="1" x14ac:dyDescent="0.25">
      <c r="D383" s="659" t="str">
        <f t="shared" si="114"/>
        <v>804500_2024_12_</v>
      </c>
      <c r="E383" s="659" t="str">
        <f t="shared" si="113"/>
        <v>No Loss Condensate Drain (Screw - Inlet Modulation w/ Unloading)</v>
      </c>
      <c r="F383" s="34">
        <v>3</v>
      </c>
      <c r="G383" s="35">
        <v>5.5E-2</v>
      </c>
      <c r="H383" s="1790">
        <v>5928</v>
      </c>
    </row>
    <row r="384" spans="1:114" hidden="1" outlineLevel="1" x14ac:dyDescent="0.25">
      <c r="D384" s="659" t="str">
        <f t="shared" si="114"/>
        <v>804550_2024_12_</v>
      </c>
      <c r="E384" s="659" t="str">
        <f t="shared" si="113"/>
        <v>No Loss Condensate Drain (Screw - Variable Displacement)</v>
      </c>
      <c r="F384" s="34">
        <v>3</v>
      </c>
      <c r="G384" s="35">
        <v>0.153</v>
      </c>
      <c r="H384" s="1790">
        <v>5928</v>
      </c>
    </row>
    <row r="385" spans="1:114" hidden="1" outlineLevel="1" x14ac:dyDescent="0.25">
      <c r="D385" s="659" t="str">
        <f t="shared" si="114"/>
        <v>804600_2024_12_</v>
      </c>
      <c r="E385" s="659" t="str">
        <f t="shared" si="113"/>
        <v>No Loss Condensate Drain (Screw - VFD)</v>
      </c>
      <c r="F385" s="34">
        <v>3</v>
      </c>
      <c r="G385" s="35">
        <v>0.17799999999999999</v>
      </c>
      <c r="H385" s="1790">
        <v>5928</v>
      </c>
    </row>
    <row r="386" spans="1:114" collapsed="1" x14ac:dyDescent="0.25"/>
    <row r="388" spans="1:114" s="8" customFormat="1" ht="30" x14ac:dyDescent="0.25">
      <c r="A388" s="252"/>
      <c r="B388" s="252"/>
      <c r="C388" s="9" t="s">
        <v>42</v>
      </c>
      <c r="D388" s="9" t="s">
        <v>43</v>
      </c>
      <c r="E388" s="1361" t="s">
        <v>44</v>
      </c>
      <c r="F388" s="1361" t="s">
        <v>45</v>
      </c>
      <c r="G388" s="1361" t="s">
        <v>46</v>
      </c>
      <c r="H388" s="10" t="s">
        <v>47</v>
      </c>
      <c r="I388" s="1361" t="s">
        <v>48</v>
      </c>
      <c r="J388" s="1361" t="s">
        <v>49</v>
      </c>
      <c r="K388" s="9" t="s">
        <v>50</v>
      </c>
      <c r="L388" s="9" t="s">
        <v>51</v>
      </c>
      <c r="M388" s="252"/>
      <c r="N388" s="510"/>
      <c r="O388" s="494"/>
      <c r="P388" s="495"/>
      <c r="Q388" s="116"/>
      <c r="R388" s="116"/>
      <c r="S388" s="116"/>
      <c r="T388" s="116"/>
      <c r="U388" s="116"/>
      <c r="V388" s="648" t="s">
        <v>52</v>
      </c>
      <c r="W388" s="649">
        <f>$W$8</f>
        <v>43252</v>
      </c>
      <c r="X388" s="649">
        <f>$X$8</f>
        <v>43465</v>
      </c>
      <c r="Y388" s="649">
        <f>$Y$8</f>
        <v>43800</v>
      </c>
      <c r="Z388" s="649">
        <f>$Z$8</f>
        <v>43862</v>
      </c>
      <c r="AA388" s="649">
        <f>$AA$8</f>
        <v>44013</v>
      </c>
      <c r="AB388" s="649">
        <v>44166</v>
      </c>
      <c r="AC388" s="649">
        <f>$AC$8</f>
        <v>44531</v>
      </c>
      <c r="AD388" s="649">
        <f>$AD$8</f>
        <v>44774</v>
      </c>
      <c r="AE388" s="649">
        <f>$AE$8</f>
        <v>45142</v>
      </c>
      <c r="AF388" s="649">
        <f>$AF$8</f>
        <v>45672</v>
      </c>
      <c r="AG388" s="649" t="str">
        <f>$AG$8</f>
        <v>-</v>
      </c>
      <c r="AH388"/>
      <c r="AI388" s="648" t="s">
        <v>52</v>
      </c>
      <c r="AJ388" s="649">
        <v>43252</v>
      </c>
      <c r="AK388" s="649">
        <f>$X$8</f>
        <v>43465</v>
      </c>
      <c r="AL388" s="649">
        <f>$Y$8</f>
        <v>43800</v>
      </c>
      <c r="AM388" s="649">
        <f>$Z$8</f>
        <v>43862</v>
      </c>
      <c r="AN388" s="649">
        <f>$AA$8</f>
        <v>44013</v>
      </c>
      <c r="AO388" s="649">
        <f>$AB$8</f>
        <v>44166</v>
      </c>
      <c r="AP388" s="649">
        <f>$AC$8</f>
        <v>44531</v>
      </c>
      <c r="AQ388" s="649">
        <f>$AD$8</f>
        <v>44774</v>
      </c>
      <c r="AR388" s="649">
        <f>$AE$8</f>
        <v>45142</v>
      </c>
      <c r="AS388" s="649">
        <f>$AF$8</f>
        <v>45672</v>
      </c>
      <c r="AT388" s="2"/>
      <c r="AU388" s="648" t="s">
        <v>52</v>
      </c>
      <c r="AV388" s="649">
        <v>43252</v>
      </c>
      <c r="AW388" s="649">
        <f>$X$8</f>
        <v>43465</v>
      </c>
      <c r="AX388" s="649">
        <f>$Y$8</f>
        <v>43800</v>
      </c>
      <c r="AY388" s="649">
        <f>$Z$8</f>
        <v>43862</v>
      </c>
      <c r="AZ388" s="649">
        <f>$AA$8</f>
        <v>44013</v>
      </c>
      <c r="BA388" s="649">
        <v>44166</v>
      </c>
      <c r="BB388" s="649">
        <f>$AC$8</f>
        <v>44531</v>
      </c>
      <c r="BC388" s="649">
        <f>$AD$8</f>
        <v>44774</v>
      </c>
      <c r="BD388" s="649">
        <f>$AE$8</f>
        <v>45142</v>
      </c>
      <c r="BE388" s="649">
        <f>$AF$8</f>
        <v>45672</v>
      </c>
      <c r="DE388" s="2"/>
      <c r="DF388" s="2"/>
      <c r="DG388" s="1018" t="str">
        <f>$DG$8</f>
        <v>TRC (2025)</v>
      </c>
      <c r="DH388" s="776" t="str">
        <f>$DH$8</f>
        <v>Benefit Lookup</v>
      </c>
      <c r="DI388" s="776" t="str">
        <f>$DI$8</f>
        <v>Benefits (2025 $)</v>
      </c>
      <c r="DJ388" s="1118" t="str">
        <f>$DJ$8</f>
        <v>Incremental Cost (2025 $)</v>
      </c>
    </row>
    <row r="389" spans="1:114" x14ac:dyDescent="0.25">
      <c r="B389" s="252">
        <f t="shared" si="106"/>
        <v>804650</v>
      </c>
      <c r="C389" s="668" t="s">
        <v>494</v>
      </c>
      <c r="D389" s="452" t="s">
        <v>111</v>
      </c>
      <c r="E389" s="469" t="s">
        <v>495</v>
      </c>
      <c r="F389" s="667">
        <f>ROUND((F405*G405)*H405*I405*J405,2)</f>
        <v>1633.16</v>
      </c>
      <c r="G389" s="452" t="s">
        <v>478</v>
      </c>
      <c r="H389" s="453">
        <f>VLOOKUP(G389,'CP FACTORS'!$A$26:$B$38,2,FALSE)</f>
        <v>1.379439E-4</v>
      </c>
      <c r="I389" s="470">
        <f t="shared" ref="I389:I395" si="115">ROUND(H389*F389,6)</f>
        <v>0.22528400000000001</v>
      </c>
      <c r="J389" s="488">
        <v>15</v>
      </c>
      <c r="K389" s="1773">
        <v>59</v>
      </c>
      <c r="L389" s="498" t="s">
        <v>62</v>
      </c>
      <c r="V389" s="1375" t="s">
        <v>45</v>
      </c>
      <c r="W389" s="1726">
        <v>1547.2080000000001</v>
      </c>
      <c r="X389" s="1726">
        <v>1547.2080000000001</v>
      </c>
      <c r="Y389" s="1726">
        <v>1547.2080000000001</v>
      </c>
      <c r="Z389" s="1726">
        <v>1547.2080000000001</v>
      </c>
      <c r="AA389" s="1726">
        <v>1547.2080000000001</v>
      </c>
      <c r="AB389" s="1727">
        <v>1547.21</v>
      </c>
      <c r="AC389" s="1728">
        <v>1547.21</v>
      </c>
      <c r="AD389" s="1728">
        <v>1547.21</v>
      </c>
      <c r="AE389" s="1728">
        <v>1547.21</v>
      </c>
      <c r="AF389" s="1728">
        <f t="shared" ref="AF389:AF395" si="116">F389</f>
        <v>1633.16</v>
      </c>
      <c r="AG389" s="68"/>
      <c r="AH389"/>
      <c r="AI389" s="1375" t="s">
        <v>49</v>
      </c>
      <c r="AJ389" s="19">
        <v>15</v>
      </c>
      <c r="AK389" s="19">
        <v>15</v>
      </c>
      <c r="AL389" s="19">
        <v>15</v>
      </c>
      <c r="AM389" s="19">
        <v>15</v>
      </c>
      <c r="AN389" s="19">
        <v>15</v>
      </c>
      <c r="AO389" s="630">
        <v>15</v>
      </c>
      <c r="AP389" s="684">
        <v>15</v>
      </c>
      <c r="AQ389" s="684">
        <v>15</v>
      </c>
      <c r="AR389" s="684">
        <v>15</v>
      </c>
      <c r="AS389" s="684">
        <v>15</v>
      </c>
      <c r="AU389" s="1375" t="s">
        <v>50</v>
      </c>
      <c r="AV389" s="685">
        <v>77</v>
      </c>
      <c r="AW389" s="685">
        <v>77</v>
      </c>
      <c r="AX389" s="685">
        <v>77</v>
      </c>
      <c r="AY389" s="685">
        <v>77</v>
      </c>
      <c r="AZ389" s="685">
        <v>77</v>
      </c>
      <c r="BA389" s="669">
        <v>77</v>
      </c>
      <c r="BB389" s="669">
        <v>77</v>
      </c>
      <c r="BC389" s="669">
        <v>77</v>
      </c>
      <c r="BD389" s="669">
        <v>77</v>
      </c>
      <c r="BE389" s="739">
        <v>59</v>
      </c>
      <c r="DG389" s="1020">
        <f t="shared" ref="DG389:DG395" si="117">(DI389)/(DJ389)</f>
        <v>19.739175135871012</v>
      </c>
      <c r="DH389" s="1330" t="str">
        <f t="shared" ref="DH389:DH395" si="118">CONCATENATE(G389," ",J389," Year EUL")</f>
        <v>Air Comp BUS 15 Year EUL</v>
      </c>
      <c r="DI389" s="185">
        <f>(INDEX('Avoided Cost Benefits'!$B$4:$B$865,MATCH(DH389,'Avoided Cost Benefits'!$A$4:$A$865,0)))*F389</f>
        <v>1164.6113330163896</v>
      </c>
      <c r="DJ389" s="1935">
        <f t="shared" ref="DJ389:DJ395" si="119">IFERROR(K389/((1+DiscountRate)^(CurrentYear-DiscountYear)),0)</f>
        <v>59</v>
      </c>
    </row>
    <row r="390" spans="1:114" x14ac:dyDescent="0.25">
      <c r="B390" s="252">
        <f t="shared" si="106"/>
        <v>804700</v>
      </c>
      <c r="C390" s="668" t="s">
        <v>496</v>
      </c>
      <c r="D390" s="452" t="s">
        <v>111</v>
      </c>
      <c r="E390" s="469" t="s">
        <v>497</v>
      </c>
      <c r="F390" s="667">
        <f t="shared" ref="F390:F395" si="120">ROUND((F406*G406)*H406*I406*J406,2)</f>
        <v>1208.54</v>
      </c>
      <c r="G390" s="452" t="s">
        <v>478</v>
      </c>
      <c r="H390" s="453">
        <f>VLOOKUP(G390,'CP FACTORS'!$A$26:$B$38,2,FALSE)</f>
        <v>1.379439E-4</v>
      </c>
      <c r="I390" s="470">
        <f t="shared" si="115"/>
        <v>0.166711</v>
      </c>
      <c r="J390" s="488">
        <v>15</v>
      </c>
      <c r="K390" s="1773">
        <v>59</v>
      </c>
      <c r="L390" s="498" t="s">
        <v>62</v>
      </c>
      <c r="V390" s="1375" t="s">
        <v>45</v>
      </c>
      <c r="W390" s="1726">
        <v>1203.3840000000002</v>
      </c>
      <c r="X390" s="1726">
        <v>1203.3840000000002</v>
      </c>
      <c r="Y390" s="1726">
        <v>1203.3840000000002</v>
      </c>
      <c r="Z390" s="1726">
        <v>1203.3840000000002</v>
      </c>
      <c r="AA390" s="1726">
        <v>1203.3840000000002</v>
      </c>
      <c r="AB390" s="1727">
        <v>1203.3800000000001</v>
      </c>
      <c r="AC390" s="1728">
        <v>1203.3800000000001</v>
      </c>
      <c r="AD390" s="1728">
        <v>1203.3800000000001</v>
      </c>
      <c r="AE390" s="1728">
        <v>1203.3800000000001</v>
      </c>
      <c r="AF390" s="1728">
        <f t="shared" si="116"/>
        <v>1208.54</v>
      </c>
      <c r="AG390" s="68"/>
      <c r="AH390"/>
      <c r="AI390" s="1375" t="s">
        <v>49</v>
      </c>
      <c r="AJ390" s="19">
        <v>15</v>
      </c>
      <c r="AK390" s="19">
        <v>15</v>
      </c>
      <c r="AL390" s="19">
        <v>15</v>
      </c>
      <c r="AM390" s="19">
        <v>15</v>
      </c>
      <c r="AN390" s="19">
        <v>15</v>
      </c>
      <c r="AO390" s="630">
        <v>15</v>
      </c>
      <c r="AP390" s="684">
        <v>15</v>
      </c>
      <c r="AQ390" s="684">
        <v>15</v>
      </c>
      <c r="AR390" s="684">
        <v>15</v>
      </c>
      <c r="AS390" s="684">
        <v>15</v>
      </c>
      <c r="AU390" s="1375" t="s">
        <v>50</v>
      </c>
      <c r="AV390" s="685">
        <v>77</v>
      </c>
      <c r="AW390" s="685">
        <v>77</v>
      </c>
      <c r="AX390" s="685">
        <v>77</v>
      </c>
      <c r="AY390" s="685">
        <v>77</v>
      </c>
      <c r="AZ390" s="685">
        <v>77</v>
      </c>
      <c r="BA390" s="669">
        <v>77</v>
      </c>
      <c r="BB390" s="669">
        <v>77</v>
      </c>
      <c r="BC390" s="669">
        <v>77</v>
      </c>
      <c r="BD390" s="669">
        <v>77</v>
      </c>
      <c r="BE390" s="739">
        <v>59</v>
      </c>
      <c r="DG390" s="1021">
        <f t="shared" si="117"/>
        <v>14.607008938931608</v>
      </c>
      <c r="DH390" s="653" t="str">
        <f t="shared" si="118"/>
        <v>Air Comp BUS 15 Year EUL</v>
      </c>
      <c r="DI390" s="635">
        <f>(INDEX('Avoided Cost Benefits'!$B$4:$B$865,MATCH(DH390,'Avoided Cost Benefits'!$A$4:$A$865,0)))*F390</f>
        <v>861.8135273969649</v>
      </c>
      <c r="DJ390" s="1936">
        <f t="shared" si="119"/>
        <v>59</v>
      </c>
    </row>
    <row r="391" spans="1:114" x14ac:dyDescent="0.25">
      <c r="B391" s="252">
        <f t="shared" si="106"/>
        <v>804750</v>
      </c>
      <c r="C391" s="668" t="s">
        <v>498</v>
      </c>
      <c r="D391" s="452" t="s">
        <v>111</v>
      </c>
      <c r="E391" s="469" t="s">
        <v>499</v>
      </c>
      <c r="F391" s="667">
        <f t="shared" si="120"/>
        <v>1192.21</v>
      </c>
      <c r="G391" s="452" t="s">
        <v>478</v>
      </c>
      <c r="H391" s="453">
        <f>VLOOKUP(G391,'CP FACTORS'!$A$26:$B$38,2,FALSE)</f>
        <v>1.379439E-4</v>
      </c>
      <c r="I391" s="470">
        <f t="shared" si="115"/>
        <v>0.16445799999999999</v>
      </c>
      <c r="J391" s="488">
        <v>15</v>
      </c>
      <c r="K391" s="1773">
        <v>59</v>
      </c>
      <c r="L391" s="498" t="s">
        <v>62</v>
      </c>
      <c r="V391" s="1375" t="s">
        <v>45</v>
      </c>
      <c r="W391" s="1726">
        <v>1289.3399999999999</v>
      </c>
      <c r="X391" s="1726">
        <v>1289.3399999999999</v>
      </c>
      <c r="Y391" s="1726">
        <v>1289.3399999999999</v>
      </c>
      <c r="Z391" s="1726">
        <v>1289.3399999999999</v>
      </c>
      <c r="AA391" s="1726">
        <v>1289.3399999999999</v>
      </c>
      <c r="AB391" s="1727">
        <v>1289.3399999999999</v>
      </c>
      <c r="AC391" s="1728">
        <v>1289.3399999999999</v>
      </c>
      <c r="AD391" s="1728">
        <v>1289.3399999999999</v>
      </c>
      <c r="AE391" s="1728">
        <v>1289.3399999999999</v>
      </c>
      <c r="AF391" s="1728">
        <f t="shared" si="116"/>
        <v>1192.21</v>
      </c>
      <c r="AG391" s="68"/>
      <c r="AH391"/>
      <c r="AI391" s="1375" t="s">
        <v>49</v>
      </c>
      <c r="AJ391" s="19">
        <v>15</v>
      </c>
      <c r="AK391" s="19">
        <v>15</v>
      </c>
      <c r="AL391" s="19">
        <v>15</v>
      </c>
      <c r="AM391" s="19">
        <v>15</v>
      </c>
      <c r="AN391" s="19">
        <v>15</v>
      </c>
      <c r="AO391" s="630">
        <v>15</v>
      </c>
      <c r="AP391" s="684">
        <v>15</v>
      </c>
      <c r="AQ391" s="684">
        <v>15</v>
      </c>
      <c r="AR391" s="684">
        <v>15</v>
      </c>
      <c r="AS391" s="684">
        <v>15</v>
      </c>
      <c r="AU391" s="1375" t="s">
        <v>50</v>
      </c>
      <c r="AV391" s="685">
        <v>77</v>
      </c>
      <c r="AW391" s="685">
        <v>77</v>
      </c>
      <c r="AX391" s="685">
        <v>77</v>
      </c>
      <c r="AY391" s="685">
        <v>77</v>
      </c>
      <c r="AZ391" s="685">
        <v>77</v>
      </c>
      <c r="BA391" s="669">
        <v>77</v>
      </c>
      <c r="BB391" s="669">
        <v>77</v>
      </c>
      <c r="BC391" s="669">
        <v>77</v>
      </c>
      <c r="BD391" s="669">
        <v>77</v>
      </c>
      <c r="BE391" s="739">
        <v>59</v>
      </c>
      <c r="DG391" s="1021">
        <f t="shared" si="117"/>
        <v>14.409636525959964</v>
      </c>
      <c r="DH391" s="653" t="str">
        <f t="shared" si="118"/>
        <v>Air Comp BUS 15 Year EUL</v>
      </c>
      <c r="DI391" s="635">
        <f>(INDEX('Avoided Cost Benefits'!$B$4:$B$865,MATCH(DH391,'Avoided Cost Benefits'!$A$4:$A$865,0)))*F391</f>
        <v>850.16855503163788</v>
      </c>
      <c r="DJ391" s="1936">
        <f t="shared" si="119"/>
        <v>59</v>
      </c>
    </row>
    <row r="392" spans="1:114" x14ac:dyDescent="0.25">
      <c r="B392" s="252">
        <f t="shared" si="106"/>
        <v>804800</v>
      </c>
      <c r="C392" s="668" t="s">
        <v>500</v>
      </c>
      <c r="D392" s="452" t="s">
        <v>111</v>
      </c>
      <c r="E392" s="469" t="s">
        <v>501</v>
      </c>
      <c r="F392" s="667">
        <f t="shared" si="120"/>
        <v>473.62</v>
      </c>
      <c r="G392" s="452" t="s">
        <v>478</v>
      </c>
      <c r="H392" s="453">
        <f>VLOOKUP(G392,'CP FACTORS'!$A$26:$B$38,2,FALSE)</f>
        <v>1.379439E-4</v>
      </c>
      <c r="I392" s="470">
        <f t="shared" si="115"/>
        <v>6.5333000000000002E-2</v>
      </c>
      <c r="J392" s="488">
        <v>15</v>
      </c>
      <c r="K392" s="1773">
        <v>59</v>
      </c>
      <c r="L392" s="498" t="s">
        <v>62</v>
      </c>
      <c r="V392" s="1375" t="s">
        <v>45</v>
      </c>
      <c r="W392" s="1726">
        <v>515.73599999999999</v>
      </c>
      <c r="X392" s="1726">
        <v>515.73599999999999</v>
      </c>
      <c r="Y392" s="1726">
        <v>515.73599999999999</v>
      </c>
      <c r="Z392" s="1726">
        <v>515.73599999999999</v>
      </c>
      <c r="AA392" s="1726">
        <v>515.73599999999999</v>
      </c>
      <c r="AB392" s="1727">
        <v>515.74</v>
      </c>
      <c r="AC392" s="1728">
        <v>515.74</v>
      </c>
      <c r="AD392" s="1728">
        <v>515.74</v>
      </c>
      <c r="AE392" s="1728">
        <v>515.74</v>
      </c>
      <c r="AF392" s="1728">
        <f t="shared" si="116"/>
        <v>473.62</v>
      </c>
      <c r="AG392" s="68"/>
      <c r="AH392"/>
      <c r="AI392" s="1375" t="s">
        <v>49</v>
      </c>
      <c r="AJ392" s="19">
        <v>15</v>
      </c>
      <c r="AK392" s="19">
        <v>15</v>
      </c>
      <c r="AL392" s="19">
        <v>15</v>
      </c>
      <c r="AM392" s="19">
        <v>15</v>
      </c>
      <c r="AN392" s="19">
        <v>15</v>
      </c>
      <c r="AO392" s="630">
        <v>15</v>
      </c>
      <c r="AP392" s="684">
        <v>15</v>
      </c>
      <c r="AQ392" s="684">
        <v>15</v>
      </c>
      <c r="AR392" s="684">
        <v>15</v>
      </c>
      <c r="AS392" s="684">
        <v>15</v>
      </c>
      <c r="AU392" s="1375" t="s">
        <v>50</v>
      </c>
      <c r="AV392" s="685">
        <v>77</v>
      </c>
      <c r="AW392" s="685">
        <v>77</v>
      </c>
      <c r="AX392" s="685">
        <v>77</v>
      </c>
      <c r="AY392" s="685">
        <v>77</v>
      </c>
      <c r="AZ392" s="685">
        <v>77</v>
      </c>
      <c r="BA392" s="669">
        <v>77</v>
      </c>
      <c r="BB392" s="669">
        <v>77</v>
      </c>
      <c r="BC392" s="669">
        <v>77</v>
      </c>
      <c r="BD392" s="669">
        <v>77</v>
      </c>
      <c r="BE392" s="739">
        <v>59</v>
      </c>
      <c r="DG392" s="1021">
        <f t="shared" si="117"/>
        <v>5.7244043007734859</v>
      </c>
      <c r="DH392" s="653" t="str">
        <f t="shared" si="118"/>
        <v>Air Comp BUS 15 Year EUL</v>
      </c>
      <c r="DI392" s="635">
        <f>(INDEX('Avoided Cost Benefits'!$B$4:$B$865,MATCH(DH392,'Avoided Cost Benefits'!$A$4:$A$865,0)))*F392</f>
        <v>337.73985374563568</v>
      </c>
      <c r="DJ392" s="1936">
        <f t="shared" si="119"/>
        <v>59</v>
      </c>
    </row>
    <row r="393" spans="1:114" x14ac:dyDescent="0.25">
      <c r="B393" s="252">
        <f t="shared" si="106"/>
        <v>804850</v>
      </c>
      <c r="C393" s="668" t="s">
        <v>502</v>
      </c>
      <c r="D393" s="452" t="s">
        <v>111</v>
      </c>
      <c r="E393" s="469" t="s">
        <v>503</v>
      </c>
      <c r="F393" s="667">
        <f t="shared" si="120"/>
        <v>1208.54</v>
      </c>
      <c r="G393" s="452" t="s">
        <v>478</v>
      </c>
      <c r="H393" s="453">
        <f>VLOOKUP(G393,'CP FACTORS'!$A$26:$B$38,2,FALSE)</f>
        <v>1.379439E-4</v>
      </c>
      <c r="I393" s="470">
        <f t="shared" si="115"/>
        <v>0.166711</v>
      </c>
      <c r="J393" s="488">
        <v>15</v>
      </c>
      <c r="K393" s="1773">
        <v>59</v>
      </c>
      <c r="L393" s="498" t="s">
        <v>62</v>
      </c>
      <c r="V393" s="1375" t="s">
        <v>45</v>
      </c>
      <c r="W393" s="1726">
        <v>515.73599999999999</v>
      </c>
      <c r="X393" s="1726">
        <v>515.73599999999999</v>
      </c>
      <c r="Y393" s="1726">
        <v>515.73599999999999</v>
      </c>
      <c r="Z393" s="1726">
        <v>515.73599999999999</v>
      </c>
      <c r="AA393" s="1726">
        <v>515.73599999999999</v>
      </c>
      <c r="AB393" s="1727">
        <v>515.74</v>
      </c>
      <c r="AC393" s="1728">
        <v>515.74</v>
      </c>
      <c r="AD393" s="1728">
        <v>515.74</v>
      </c>
      <c r="AE393" s="1728">
        <v>515.74</v>
      </c>
      <c r="AF393" s="1728">
        <f t="shared" si="116"/>
        <v>1208.54</v>
      </c>
      <c r="AG393" s="68"/>
      <c r="AH393"/>
      <c r="AI393" s="1375" t="s">
        <v>49</v>
      </c>
      <c r="AJ393" s="19">
        <v>15</v>
      </c>
      <c r="AK393" s="19">
        <v>15</v>
      </c>
      <c r="AL393" s="19">
        <v>15</v>
      </c>
      <c r="AM393" s="19">
        <v>15</v>
      </c>
      <c r="AN393" s="19">
        <v>15</v>
      </c>
      <c r="AO393" s="630">
        <v>15</v>
      </c>
      <c r="AP393" s="684">
        <v>15</v>
      </c>
      <c r="AQ393" s="684">
        <v>15</v>
      </c>
      <c r="AR393" s="684">
        <v>15</v>
      </c>
      <c r="AS393" s="684">
        <v>15</v>
      </c>
      <c r="AU393" s="1375" t="s">
        <v>50</v>
      </c>
      <c r="AV393" s="685">
        <v>77</v>
      </c>
      <c r="AW393" s="685">
        <v>77</v>
      </c>
      <c r="AX393" s="685">
        <v>77</v>
      </c>
      <c r="AY393" s="685">
        <v>77</v>
      </c>
      <c r="AZ393" s="685">
        <v>77</v>
      </c>
      <c r="BA393" s="669">
        <v>77</v>
      </c>
      <c r="BB393" s="669">
        <v>77</v>
      </c>
      <c r="BC393" s="669">
        <v>77</v>
      </c>
      <c r="BD393" s="669">
        <v>77</v>
      </c>
      <c r="BE393" s="739">
        <v>59</v>
      </c>
      <c r="DG393" s="1021">
        <f t="shared" si="117"/>
        <v>14.607008938931608</v>
      </c>
      <c r="DH393" s="653" t="str">
        <f t="shared" si="118"/>
        <v>Air Comp BUS 15 Year EUL</v>
      </c>
      <c r="DI393" s="635">
        <f>(INDEX('Avoided Cost Benefits'!$B$4:$B$865,MATCH(DH393,'Avoided Cost Benefits'!$A$4:$A$865,0)))*F393</f>
        <v>861.8135273969649</v>
      </c>
      <c r="DJ393" s="1936">
        <f t="shared" si="119"/>
        <v>59</v>
      </c>
    </row>
    <row r="394" spans="1:114" x14ac:dyDescent="0.25">
      <c r="B394" s="252">
        <f t="shared" si="106"/>
        <v>804900</v>
      </c>
      <c r="C394" s="668" t="s">
        <v>504</v>
      </c>
      <c r="D394" s="452" t="s">
        <v>111</v>
      </c>
      <c r="E394" s="469" t="s">
        <v>505</v>
      </c>
      <c r="F394" s="667">
        <f t="shared" si="120"/>
        <v>979.9</v>
      </c>
      <c r="G394" s="452" t="s">
        <v>478</v>
      </c>
      <c r="H394" s="453">
        <f>VLOOKUP(G394,'CP FACTORS'!$A$26:$B$38,2,FALSE)</f>
        <v>1.379439E-4</v>
      </c>
      <c r="I394" s="470">
        <f t="shared" si="115"/>
        <v>0.13517100000000001</v>
      </c>
      <c r="J394" s="488">
        <v>15</v>
      </c>
      <c r="K394" s="1773">
        <v>59</v>
      </c>
      <c r="L394" s="498" t="s">
        <v>62</v>
      </c>
      <c r="V394" s="1375" t="s">
        <v>45</v>
      </c>
      <c r="W394" s="1726">
        <v>1289.3399999999999</v>
      </c>
      <c r="X394" s="1726">
        <v>1289.3399999999999</v>
      </c>
      <c r="Y394" s="1726">
        <v>1289.3399999999999</v>
      </c>
      <c r="Z394" s="1726">
        <v>1289.3399999999999</v>
      </c>
      <c r="AA394" s="1726">
        <v>1289.3399999999999</v>
      </c>
      <c r="AB394" s="1727">
        <v>1289.3399999999999</v>
      </c>
      <c r="AC394" s="1728">
        <v>1289.3399999999999</v>
      </c>
      <c r="AD394" s="1728">
        <v>1289.3399999999999</v>
      </c>
      <c r="AE394" s="1728">
        <v>1289.3399999999999</v>
      </c>
      <c r="AF394" s="1728">
        <f t="shared" si="116"/>
        <v>979.9</v>
      </c>
      <c r="AG394" s="68"/>
      <c r="AH394"/>
      <c r="AI394" s="1375" t="s">
        <v>49</v>
      </c>
      <c r="AJ394" s="19">
        <v>15</v>
      </c>
      <c r="AK394" s="19">
        <v>15</v>
      </c>
      <c r="AL394" s="19">
        <v>15</v>
      </c>
      <c r="AM394" s="19">
        <v>15</v>
      </c>
      <c r="AN394" s="19">
        <v>15</v>
      </c>
      <c r="AO394" s="630">
        <v>15</v>
      </c>
      <c r="AP394" s="684">
        <v>15</v>
      </c>
      <c r="AQ394" s="684">
        <v>15</v>
      </c>
      <c r="AR394" s="684">
        <v>15</v>
      </c>
      <c r="AS394" s="684">
        <v>15</v>
      </c>
      <c r="AU394" s="1375" t="s">
        <v>50</v>
      </c>
      <c r="AV394" s="685">
        <v>77</v>
      </c>
      <c r="AW394" s="685">
        <v>77</v>
      </c>
      <c r="AX394" s="685">
        <v>77</v>
      </c>
      <c r="AY394" s="685">
        <v>77</v>
      </c>
      <c r="AZ394" s="685">
        <v>77</v>
      </c>
      <c r="BA394" s="669">
        <v>77</v>
      </c>
      <c r="BB394" s="669">
        <v>77</v>
      </c>
      <c r="BC394" s="669">
        <v>77</v>
      </c>
      <c r="BD394" s="669">
        <v>77</v>
      </c>
      <c r="BE394" s="739">
        <v>59</v>
      </c>
      <c r="DG394" s="1021">
        <f t="shared" si="117"/>
        <v>11.843553427490265</v>
      </c>
      <c r="DH394" s="653" t="str">
        <f t="shared" si="118"/>
        <v>Air Comp BUS 15 Year EUL</v>
      </c>
      <c r="DI394" s="635">
        <f>(INDEX('Avoided Cost Benefits'!$B$4:$B$865,MATCH(DH394,'Avoided Cost Benefits'!$A$4:$A$865,0)))*F394</f>
        <v>698.76965222192564</v>
      </c>
      <c r="DJ394" s="1936">
        <f t="shared" si="119"/>
        <v>59</v>
      </c>
    </row>
    <row r="395" spans="1:114" x14ac:dyDescent="0.25">
      <c r="B395" s="252">
        <f t="shared" si="106"/>
        <v>804950</v>
      </c>
      <c r="C395" s="668" t="s">
        <v>506</v>
      </c>
      <c r="D395" s="452" t="s">
        <v>111</v>
      </c>
      <c r="E395" s="469" t="s">
        <v>507</v>
      </c>
      <c r="F395" s="667">
        <f t="shared" si="120"/>
        <v>1584.17</v>
      </c>
      <c r="G395" s="452" t="s">
        <v>478</v>
      </c>
      <c r="H395" s="453">
        <f>VLOOKUP(G395,'CP FACTORS'!$A$26:$B$38,2,FALSE)</f>
        <v>1.379439E-4</v>
      </c>
      <c r="I395" s="470">
        <f t="shared" si="115"/>
        <v>0.218527</v>
      </c>
      <c r="J395" s="488">
        <v>15</v>
      </c>
      <c r="K395" s="1773">
        <v>59</v>
      </c>
      <c r="L395" s="498" t="s">
        <v>62</v>
      </c>
      <c r="V395" s="1375" t="s">
        <v>45</v>
      </c>
      <c r="W395" s="1726">
        <v>1547.2080000000001</v>
      </c>
      <c r="X395" s="1726">
        <v>1547.2080000000001</v>
      </c>
      <c r="Y395" s="1726">
        <v>1547.2080000000001</v>
      </c>
      <c r="Z395" s="1726">
        <v>1547.2080000000001</v>
      </c>
      <c r="AA395" s="1726">
        <v>1547.2080000000001</v>
      </c>
      <c r="AB395" s="1727">
        <v>1547.21</v>
      </c>
      <c r="AC395" s="1728">
        <v>1547.21</v>
      </c>
      <c r="AD395" s="1728">
        <v>1547.21</v>
      </c>
      <c r="AE395" s="1728">
        <v>1547.21</v>
      </c>
      <c r="AF395" s="1728">
        <f t="shared" si="116"/>
        <v>1584.17</v>
      </c>
      <c r="AG395" s="68"/>
      <c r="AH395"/>
      <c r="AI395" s="1375" t="s">
        <v>49</v>
      </c>
      <c r="AJ395" s="19">
        <v>15</v>
      </c>
      <c r="AK395" s="19">
        <v>15</v>
      </c>
      <c r="AL395" s="19">
        <v>15</v>
      </c>
      <c r="AM395" s="19">
        <v>15</v>
      </c>
      <c r="AN395" s="19">
        <v>15</v>
      </c>
      <c r="AO395" s="630">
        <v>15</v>
      </c>
      <c r="AP395" s="684">
        <v>15</v>
      </c>
      <c r="AQ395" s="684">
        <v>15</v>
      </c>
      <c r="AR395" s="684">
        <v>15</v>
      </c>
      <c r="AS395" s="684">
        <v>15</v>
      </c>
      <c r="AU395" s="1375" t="s">
        <v>50</v>
      </c>
      <c r="AV395" s="685">
        <v>77</v>
      </c>
      <c r="AW395" s="685">
        <v>77</v>
      </c>
      <c r="AX395" s="685">
        <v>77</v>
      </c>
      <c r="AY395" s="685">
        <v>77</v>
      </c>
      <c r="AZ395" s="685">
        <v>77</v>
      </c>
      <c r="BA395" s="669">
        <v>77</v>
      </c>
      <c r="BB395" s="669">
        <v>77</v>
      </c>
      <c r="BC395" s="669">
        <v>77</v>
      </c>
      <c r="BD395" s="669">
        <v>77</v>
      </c>
      <c r="BE395" s="739">
        <v>59</v>
      </c>
      <c r="DG395" s="1022">
        <f t="shared" si="117"/>
        <v>19.147057896956071</v>
      </c>
      <c r="DH395" s="653" t="str">
        <f t="shared" si="118"/>
        <v>Air Comp BUS 15 Year EUL</v>
      </c>
      <c r="DI395" s="1024">
        <f>(INDEX('Avoided Cost Benefits'!$B$4:$B$865,MATCH(DH395,'Avoided Cost Benefits'!$A$4:$A$865,0)))*F395</f>
        <v>1129.6764159204081</v>
      </c>
      <c r="DJ395" s="1937">
        <f t="shared" si="119"/>
        <v>59</v>
      </c>
    </row>
    <row r="396" spans="1:114" hidden="1" outlineLevel="1" x14ac:dyDescent="0.25">
      <c r="D396" s="74" t="s">
        <v>94</v>
      </c>
      <c r="E396" s="108" t="s">
        <v>508</v>
      </c>
      <c r="F396" s="1701"/>
      <c r="G396" s="7"/>
      <c r="H396" s="460"/>
      <c r="I396" s="7"/>
      <c r="J396" s="7"/>
      <c r="K396" s="1707" t="s">
        <v>509</v>
      </c>
    </row>
    <row r="397" spans="1:114" hidden="1" outlineLevel="1" x14ac:dyDescent="0.25">
      <c r="D397" s="7" t="s">
        <v>96</v>
      </c>
      <c r="E397" s="7"/>
      <c r="F397" s="7"/>
      <c r="G397" s="7"/>
      <c r="H397" s="460"/>
      <c r="I397" s="7"/>
      <c r="J397" s="7"/>
      <c r="K397" s="7"/>
    </row>
    <row r="398" spans="1:114" hidden="1" outlineLevel="1" x14ac:dyDescent="0.25">
      <c r="D398" s="461"/>
      <c r="G398" s="252"/>
      <c r="H398" s="462"/>
    </row>
    <row r="399" spans="1:114" hidden="1" outlineLevel="1" x14ac:dyDescent="0.25">
      <c r="D399" s="461"/>
      <c r="G399" s="252"/>
      <c r="H399" s="462"/>
    </row>
    <row r="400" spans="1:114" hidden="1" outlineLevel="1" x14ac:dyDescent="0.25">
      <c r="D400" s="461"/>
      <c r="G400" s="252"/>
      <c r="H400" s="462"/>
      <c r="M400" s="7"/>
    </row>
    <row r="401" spans="1:114" hidden="1" outlineLevel="1" x14ac:dyDescent="0.25">
      <c r="D401" s="461"/>
      <c r="G401" s="252"/>
      <c r="H401" s="462"/>
      <c r="M401" s="7"/>
    </row>
    <row r="402" spans="1:114" hidden="1" outlineLevel="1" x14ac:dyDescent="0.25">
      <c r="D402" s="461"/>
      <c r="G402" s="252"/>
      <c r="H402" s="462"/>
    </row>
    <row r="403" spans="1:114" hidden="1" outlineLevel="1" x14ac:dyDescent="0.25">
      <c r="D403" s="461"/>
      <c r="G403" s="252"/>
      <c r="H403" s="462"/>
    </row>
    <row r="404" spans="1:114" s="8" customFormat="1" hidden="1" outlineLevel="1" x14ac:dyDescent="0.25">
      <c r="A404" s="252"/>
      <c r="B404" s="252"/>
      <c r="C404" s="64"/>
      <c r="D404" s="1294" t="s">
        <v>42</v>
      </c>
      <c r="E404" s="1294" t="s">
        <v>172</v>
      </c>
      <c r="F404" s="32" t="s">
        <v>510</v>
      </c>
      <c r="G404" s="1294" t="s">
        <v>511</v>
      </c>
      <c r="H404" s="1294" t="s">
        <v>512</v>
      </c>
      <c r="I404" s="1294" t="s">
        <v>513</v>
      </c>
      <c r="J404" s="1294" t="s">
        <v>140</v>
      </c>
      <c r="K404" s="1294" t="s">
        <v>514</v>
      </c>
      <c r="L404" s="252"/>
      <c r="M404" s="252"/>
      <c r="N404" s="116"/>
      <c r="O404" s="116"/>
      <c r="P404" s="116"/>
      <c r="Q404" s="116"/>
      <c r="R404" s="116"/>
      <c r="S404" s="116"/>
      <c r="T404" s="116"/>
      <c r="U404" s="116"/>
      <c r="V404" s="648" t="s">
        <v>52</v>
      </c>
      <c r="W404" s="649">
        <f>$W$8</f>
        <v>43252</v>
      </c>
      <c r="X404" s="649">
        <f>$X$8</f>
        <v>43465</v>
      </c>
      <c r="Y404" s="649">
        <f>$Y$8</f>
        <v>43800</v>
      </c>
      <c r="Z404" s="649">
        <f>$Z$8</f>
        <v>43862</v>
      </c>
      <c r="AA404" s="649">
        <f>$AA$8</f>
        <v>44013</v>
      </c>
      <c r="AB404" s="649">
        <v>44166</v>
      </c>
      <c r="AC404" s="649">
        <f>$AC$8</f>
        <v>44531</v>
      </c>
      <c r="AD404" s="649">
        <f>$AD$8</f>
        <v>44774</v>
      </c>
      <c r="AE404" s="649">
        <f>$AE$8</f>
        <v>45142</v>
      </c>
      <c r="AF404" s="649">
        <f>$AF$8</f>
        <v>45672</v>
      </c>
      <c r="AG404" s="649" t="str">
        <f>$AG$8</f>
        <v>-</v>
      </c>
      <c r="AH404"/>
      <c r="AI404" s="648" t="s">
        <v>52</v>
      </c>
      <c r="AJ404" s="649">
        <v>43252</v>
      </c>
      <c r="AK404" s="649">
        <f>$X$8</f>
        <v>43465</v>
      </c>
      <c r="AL404" s="649">
        <f>$Y$8</f>
        <v>43800</v>
      </c>
      <c r="AM404" s="649">
        <f>$Z$8</f>
        <v>43862</v>
      </c>
      <c r="AN404" s="649">
        <f>$AA$8</f>
        <v>44013</v>
      </c>
      <c r="AO404" s="649">
        <f>$AB$8</f>
        <v>44166</v>
      </c>
      <c r="AP404" s="649">
        <f>$AC$8</f>
        <v>44531</v>
      </c>
      <c r="AQ404" s="649">
        <f>$AD$8</f>
        <v>44774</v>
      </c>
      <c r="AR404" s="649">
        <f>$AE$8</f>
        <v>45142</v>
      </c>
      <c r="AS404" s="649">
        <f>$AF$8</f>
        <v>45672</v>
      </c>
      <c r="AT404" s="2"/>
      <c r="AU404" s="648" t="s">
        <v>52</v>
      </c>
      <c r="AV404" s="649">
        <v>43252</v>
      </c>
      <c r="AW404" s="649">
        <f>$X$8</f>
        <v>43465</v>
      </c>
      <c r="AX404" s="649">
        <f>$Y$8</f>
        <v>43800</v>
      </c>
      <c r="AY404" s="649">
        <f>$Z$8</f>
        <v>43862</v>
      </c>
      <c r="AZ404" s="649">
        <f>$AA$8</f>
        <v>44013</v>
      </c>
      <c r="BA404" s="649">
        <v>44166</v>
      </c>
      <c r="BB404" s="649">
        <f>$AC$8</f>
        <v>44531</v>
      </c>
      <c r="BC404" s="649">
        <f>$AD$8</f>
        <v>44774</v>
      </c>
      <c r="BD404" s="649">
        <f>$AE$8</f>
        <v>45142</v>
      </c>
      <c r="BE404" s="649">
        <f>$AF$8</f>
        <v>45672</v>
      </c>
      <c r="DG404" s="1023"/>
      <c r="DH404" s="116"/>
      <c r="DI404" s="116"/>
      <c r="DJ404" s="1116"/>
    </row>
    <row r="405" spans="1:114" hidden="1" outlineLevel="1" x14ac:dyDescent="0.25">
      <c r="D405" s="659" t="str">
        <f>C389</f>
        <v>804650_2024_12_</v>
      </c>
      <c r="E405" s="659" t="str">
        <f t="shared" ref="E405:E411" si="121">E389</f>
        <v>Compressed Air Nozzle (Reciprocating - On/off Control)</v>
      </c>
      <c r="F405" s="1778">
        <v>58</v>
      </c>
      <c r="G405" s="36">
        <v>0.5</v>
      </c>
      <c r="H405" s="1876">
        <f t="shared" ref="H405:H411" si="122">0.19*K405</f>
        <v>0.19</v>
      </c>
      <c r="I405" s="1785">
        <v>0.05</v>
      </c>
      <c r="J405" s="1790">
        <v>5928</v>
      </c>
      <c r="K405" s="1877">
        <v>1</v>
      </c>
      <c r="V405" s="1375" t="s">
        <v>514</v>
      </c>
      <c r="W405" s="1726"/>
      <c r="X405" s="1726"/>
      <c r="Y405" s="1726"/>
      <c r="Z405" s="1726"/>
      <c r="AA405" s="1726"/>
      <c r="AB405" s="1727"/>
      <c r="AC405" s="1728"/>
      <c r="AD405" s="1728"/>
      <c r="AE405" s="1728"/>
      <c r="AF405" s="1752">
        <v>1</v>
      </c>
      <c r="AG405" s="68"/>
      <c r="AH405"/>
      <c r="AI405" s="1375"/>
      <c r="AJ405" s="19"/>
      <c r="AK405" s="19"/>
      <c r="AL405" s="19"/>
      <c r="AM405" s="19"/>
      <c r="AN405" s="19"/>
      <c r="AO405" s="630"/>
      <c r="AP405" s="684"/>
      <c r="AQ405" s="684"/>
      <c r="AR405" s="684"/>
      <c r="AS405" s="684"/>
      <c r="AU405" s="1375"/>
      <c r="AV405" s="685"/>
      <c r="AW405" s="685"/>
      <c r="AX405" s="685"/>
      <c r="AY405" s="685"/>
      <c r="AZ405" s="685"/>
      <c r="BA405" s="669"/>
      <c r="BB405" s="669"/>
      <c r="BC405" s="669"/>
      <c r="BD405" s="669"/>
      <c r="BE405" s="669"/>
    </row>
    <row r="406" spans="1:114" hidden="1" outlineLevel="1" x14ac:dyDescent="0.25">
      <c r="D406" s="659" t="str">
        <f t="shared" ref="D406:D411" si="123">C390</f>
        <v>804700_2024_12_</v>
      </c>
      <c r="E406" s="659" t="str">
        <f t="shared" si="121"/>
        <v>Compressed Air Nozzle (Reciprocating - Load/Unload)</v>
      </c>
      <c r="F406" s="1778">
        <v>58</v>
      </c>
      <c r="G406" s="36">
        <v>0.5</v>
      </c>
      <c r="H406" s="1876">
        <f t="shared" si="122"/>
        <v>0.1406</v>
      </c>
      <c r="I406" s="1785">
        <v>0.05</v>
      </c>
      <c r="J406" s="1790">
        <v>5928</v>
      </c>
      <c r="K406" s="1877">
        <v>0.74</v>
      </c>
      <c r="V406" s="1375" t="s">
        <v>514</v>
      </c>
      <c r="W406" s="1726"/>
      <c r="X406" s="1726"/>
      <c r="Y406" s="1726"/>
      <c r="Z406" s="1726"/>
      <c r="AA406" s="1726"/>
      <c r="AB406" s="1727"/>
      <c r="AC406" s="1728"/>
      <c r="AD406" s="1728"/>
      <c r="AE406" s="1728"/>
      <c r="AF406" s="1752">
        <v>0.74</v>
      </c>
      <c r="AG406" s="68"/>
      <c r="AH406"/>
      <c r="AI406" s="1375"/>
      <c r="AJ406" s="19"/>
      <c r="AK406" s="19"/>
      <c r="AL406" s="19"/>
      <c r="AM406" s="19"/>
      <c r="AN406" s="19"/>
      <c r="AO406" s="630"/>
      <c r="AP406" s="684"/>
      <c r="AQ406" s="684"/>
      <c r="AR406" s="684"/>
      <c r="AS406" s="684"/>
      <c r="AU406" s="1375"/>
      <c r="AV406" s="685"/>
      <c r="AW406" s="685"/>
      <c r="AX406" s="685"/>
      <c r="AY406" s="685"/>
      <c r="AZ406" s="685"/>
      <c r="BA406" s="669"/>
      <c r="BB406" s="669"/>
      <c r="BC406" s="669"/>
      <c r="BD406" s="669"/>
      <c r="BE406" s="669"/>
    </row>
    <row r="407" spans="1:114" hidden="1" outlineLevel="1" x14ac:dyDescent="0.25">
      <c r="D407" s="659" t="str">
        <f t="shared" si="123"/>
        <v>804750_2024_12_</v>
      </c>
      <c r="E407" s="659" t="str">
        <f t="shared" si="121"/>
        <v>Compressed Air Nozzle (Screw - Load/Unload)</v>
      </c>
      <c r="F407" s="1778">
        <v>58</v>
      </c>
      <c r="G407" s="36">
        <v>0.5</v>
      </c>
      <c r="H407" s="1876">
        <f t="shared" si="122"/>
        <v>0.13869999999999999</v>
      </c>
      <c r="I407" s="1785">
        <v>0.05</v>
      </c>
      <c r="J407" s="1790">
        <v>5928</v>
      </c>
      <c r="K407" s="1877">
        <v>0.73</v>
      </c>
      <c r="V407" s="1375" t="s">
        <v>514</v>
      </c>
      <c r="W407" s="1726"/>
      <c r="X407" s="1726"/>
      <c r="Y407" s="1726"/>
      <c r="Z407" s="1726"/>
      <c r="AA407" s="1726"/>
      <c r="AB407" s="1727"/>
      <c r="AC407" s="1728"/>
      <c r="AD407" s="1728"/>
      <c r="AE407" s="1728"/>
      <c r="AF407" s="1752">
        <v>0.73</v>
      </c>
      <c r="AG407" s="68"/>
      <c r="AH407"/>
      <c r="AI407" s="1375"/>
      <c r="AJ407" s="19"/>
      <c r="AK407" s="19"/>
      <c r="AL407" s="19"/>
      <c r="AM407" s="19"/>
      <c r="AN407" s="19"/>
      <c r="AO407" s="630"/>
      <c r="AP407" s="684"/>
      <c r="AQ407" s="684"/>
      <c r="AR407" s="684"/>
      <c r="AS407" s="684"/>
      <c r="AU407" s="1375"/>
      <c r="AV407" s="685"/>
      <c r="AW407" s="685"/>
      <c r="AX407" s="685"/>
      <c r="AY407" s="685"/>
      <c r="AZ407" s="685"/>
      <c r="BA407" s="669"/>
      <c r="BB407" s="669"/>
      <c r="BC407" s="669"/>
      <c r="BD407" s="669"/>
      <c r="BE407" s="669"/>
    </row>
    <row r="408" spans="1:114" hidden="1" outlineLevel="1" x14ac:dyDescent="0.25">
      <c r="D408" s="659" t="str">
        <f t="shared" si="123"/>
        <v>804800_2024_12_</v>
      </c>
      <c r="E408" s="659" t="str">
        <f t="shared" si="121"/>
        <v>Compressed Air Nozzle (Screw - Inlet Modulation)</v>
      </c>
      <c r="F408" s="1778">
        <v>58</v>
      </c>
      <c r="G408" s="36">
        <v>0.5</v>
      </c>
      <c r="H408" s="1876">
        <f t="shared" si="122"/>
        <v>5.5099999999999996E-2</v>
      </c>
      <c r="I408" s="1785">
        <v>0.05</v>
      </c>
      <c r="J408" s="1790">
        <v>5928</v>
      </c>
      <c r="K408" s="1877">
        <v>0.28999999999999998</v>
      </c>
      <c r="V408" s="1375" t="s">
        <v>514</v>
      </c>
      <c r="W408" s="1726"/>
      <c r="X408" s="1726"/>
      <c r="Y408" s="1726"/>
      <c r="Z408" s="1726"/>
      <c r="AA408" s="1726"/>
      <c r="AB408" s="1727"/>
      <c r="AC408" s="1728"/>
      <c r="AD408" s="1728"/>
      <c r="AE408" s="1728"/>
      <c r="AF408" s="1752">
        <v>0.28999999999999998</v>
      </c>
      <c r="AG408" s="68"/>
      <c r="AH408"/>
      <c r="AI408" s="1375"/>
      <c r="AJ408" s="19"/>
      <c r="AK408" s="19"/>
      <c r="AL408" s="19"/>
      <c r="AM408" s="19"/>
      <c r="AN408" s="19"/>
      <c r="AO408" s="630"/>
      <c r="AP408" s="684"/>
      <c r="AQ408" s="684"/>
      <c r="AR408" s="684"/>
      <c r="AS408" s="684"/>
      <c r="AU408" s="1375"/>
      <c r="AV408" s="685"/>
      <c r="AW408" s="685"/>
      <c r="AX408" s="685"/>
      <c r="AY408" s="685"/>
      <c r="AZ408" s="685"/>
      <c r="BA408" s="669"/>
      <c r="BB408" s="669"/>
      <c r="BC408" s="669"/>
      <c r="BD408" s="669"/>
      <c r="BE408" s="669"/>
    </row>
    <row r="409" spans="1:114" hidden="1" outlineLevel="1" x14ac:dyDescent="0.25">
      <c r="D409" s="659" t="str">
        <f t="shared" si="123"/>
        <v>804850_2024_12_</v>
      </c>
      <c r="E409" s="659" t="str">
        <f t="shared" si="121"/>
        <v>Compressed Air Nozzle (Screw - Inlet Modulation w/ blowdown)</v>
      </c>
      <c r="F409" s="1778">
        <v>58</v>
      </c>
      <c r="G409" s="36">
        <v>0.5</v>
      </c>
      <c r="H409" s="1876">
        <f t="shared" si="122"/>
        <v>0.1406</v>
      </c>
      <c r="I409" s="1785">
        <v>0.05</v>
      </c>
      <c r="J409" s="1790">
        <v>5928</v>
      </c>
      <c r="K409" s="1877">
        <v>0.74</v>
      </c>
      <c r="V409" s="1375" t="s">
        <v>514</v>
      </c>
      <c r="W409" s="1726"/>
      <c r="X409" s="1726"/>
      <c r="Y409" s="1726"/>
      <c r="Z409" s="1726"/>
      <c r="AA409" s="1726"/>
      <c r="AB409" s="1727"/>
      <c r="AC409" s="1728"/>
      <c r="AD409" s="1728"/>
      <c r="AE409" s="1728"/>
      <c r="AF409" s="1752">
        <v>0.74</v>
      </c>
      <c r="AG409" s="68"/>
      <c r="AH409"/>
      <c r="AI409" s="1375"/>
      <c r="AJ409" s="19"/>
      <c r="AK409" s="19"/>
      <c r="AL409" s="19"/>
      <c r="AM409" s="19"/>
      <c r="AN409" s="19"/>
      <c r="AO409" s="630"/>
      <c r="AP409" s="684"/>
      <c r="AQ409" s="684"/>
      <c r="AR409" s="684"/>
      <c r="AS409" s="684"/>
      <c r="AU409" s="1375"/>
      <c r="AV409" s="685"/>
      <c r="AW409" s="685"/>
      <c r="AX409" s="685"/>
      <c r="AY409" s="685"/>
      <c r="AZ409" s="685"/>
      <c r="BA409" s="669"/>
      <c r="BB409" s="669"/>
      <c r="BC409" s="669"/>
      <c r="BD409" s="669"/>
      <c r="BE409" s="669"/>
    </row>
    <row r="410" spans="1:114" hidden="1" outlineLevel="1" x14ac:dyDescent="0.25">
      <c r="D410" s="659" t="str">
        <f t="shared" si="123"/>
        <v>804900_2024_12_</v>
      </c>
      <c r="E410" s="659" t="str">
        <f t="shared" si="121"/>
        <v>Compressed Air Nozzle (Screw - Variable Displacement)</v>
      </c>
      <c r="F410" s="1778">
        <v>58</v>
      </c>
      <c r="G410" s="36">
        <v>0.5</v>
      </c>
      <c r="H410" s="1876">
        <f t="shared" si="122"/>
        <v>0.11399999999999999</v>
      </c>
      <c r="I410" s="1785">
        <v>0.05</v>
      </c>
      <c r="J410" s="1790">
        <v>5928</v>
      </c>
      <c r="K410" s="1877">
        <v>0.6</v>
      </c>
      <c r="V410" s="1375" t="s">
        <v>514</v>
      </c>
      <c r="W410" s="1726"/>
      <c r="X410" s="1726"/>
      <c r="Y410" s="1726"/>
      <c r="Z410" s="1726"/>
      <c r="AA410" s="1726"/>
      <c r="AB410" s="1727"/>
      <c r="AC410" s="1728"/>
      <c r="AD410" s="1728"/>
      <c r="AE410" s="1728"/>
      <c r="AF410" s="1752">
        <v>0.6</v>
      </c>
      <c r="AG410" s="68"/>
      <c r="AH410"/>
      <c r="AI410" s="1375"/>
      <c r="AJ410" s="19"/>
      <c r="AK410" s="19"/>
      <c r="AL410" s="19"/>
      <c r="AM410" s="19"/>
      <c r="AN410" s="19"/>
      <c r="AO410" s="630"/>
      <c r="AP410" s="684"/>
      <c r="AQ410" s="684"/>
      <c r="AR410" s="684"/>
      <c r="AS410" s="684"/>
      <c r="AU410" s="1375"/>
      <c r="AV410" s="685"/>
      <c r="AW410" s="685"/>
      <c r="AX410" s="685"/>
      <c r="AY410" s="685"/>
      <c r="AZ410" s="685"/>
      <c r="BA410" s="669"/>
      <c r="BB410" s="669"/>
      <c r="BC410" s="669"/>
      <c r="BD410" s="669"/>
      <c r="BE410" s="669"/>
    </row>
    <row r="411" spans="1:114" hidden="1" outlineLevel="1" x14ac:dyDescent="0.25">
      <c r="D411" s="659" t="str">
        <f t="shared" si="123"/>
        <v>804950_2024_12_</v>
      </c>
      <c r="E411" s="659" t="str">
        <f t="shared" si="121"/>
        <v>Compressed Air Nozzle (Screw - VFD)</v>
      </c>
      <c r="F411" s="1778">
        <v>58</v>
      </c>
      <c r="G411" s="36">
        <v>0.5</v>
      </c>
      <c r="H411" s="1876">
        <f t="shared" si="122"/>
        <v>0.18429999999999999</v>
      </c>
      <c r="I411" s="1785">
        <v>0.05</v>
      </c>
      <c r="J411" s="1790">
        <v>5928</v>
      </c>
      <c r="K411" s="1877">
        <v>0.97</v>
      </c>
      <c r="V411" s="1375" t="s">
        <v>514</v>
      </c>
      <c r="W411" s="1726"/>
      <c r="X411" s="1726"/>
      <c r="Y411" s="1726"/>
      <c r="Z411" s="1726"/>
      <c r="AA411" s="1726"/>
      <c r="AB411" s="1727"/>
      <c r="AC411" s="1728"/>
      <c r="AD411" s="1728"/>
      <c r="AE411" s="1728"/>
      <c r="AF411" s="1752">
        <v>0.97</v>
      </c>
      <c r="AG411" s="68"/>
      <c r="AH411"/>
      <c r="AI411" s="1375"/>
      <c r="AJ411" s="19"/>
      <c r="AK411" s="19"/>
      <c r="AL411" s="19"/>
      <c r="AM411" s="19"/>
      <c r="AN411" s="19"/>
      <c r="AO411" s="630"/>
      <c r="AP411" s="684"/>
      <c r="AQ411" s="684"/>
      <c r="AR411" s="684"/>
      <c r="AS411" s="684"/>
      <c r="AU411" s="1375"/>
      <c r="AV411" s="685"/>
      <c r="AW411" s="685"/>
      <c r="AX411" s="685"/>
      <c r="AY411" s="685"/>
      <c r="AZ411" s="685"/>
      <c r="BA411" s="669"/>
      <c r="BB411" s="669"/>
      <c r="BC411" s="669"/>
      <c r="BD411" s="669"/>
      <c r="BE411" s="669"/>
    </row>
    <row r="412" spans="1:114" collapsed="1" x14ac:dyDescent="0.25"/>
    <row r="414" spans="1:114" s="8" customFormat="1" ht="30" x14ac:dyDescent="0.25">
      <c r="A414" s="252"/>
      <c r="B414" s="252"/>
      <c r="C414" s="9" t="s">
        <v>42</v>
      </c>
      <c r="D414" s="9" t="s">
        <v>43</v>
      </c>
      <c r="E414" s="1361" t="s">
        <v>44</v>
      </c>
      <c r="F414" s="1361" t="s">
        <v>260</v>
      </c>
      <c r="G414" s="1361" t="s">
        <v>46</v>
      </c>
      <c r="H414" s="10" t="s">
        <v>47</v>
      </c>
      <c r="I414" s="1361" t="s">
        <v>48</v>
      </c>
      <c r="J414" s="1361" t="s">
        <v>49</v>
      </c>
      <c r="K414" s="9" t="s">
        <v>515</v>
      </c>
      <c r="L414" s="9" t="s">
        <v>51</v>
      </c>
      <c r="M414" s="252"/>
      <c r="N414" s="510"/>
      <c r="O414" s="494"/>
      <c r="P414" s="495"/>
      <c r="Q414" s="116"/>
      <c r="R414" s="116"/>
      <c r="S414" s="116"/>
      <c r="T414" s="116"/>
      <c r="U414" s="116"/>
      <c r="V414" s="648" t="s">
        <v>52</v>
      </c>
      <c r="W414" s="649">
        <f>$W$8</f>
        <v>43252</v>
      </c>
      <c r="X414" s="649">
        <f>$X$8</f>
        <v>43465</v>
      </c>
      <c r="Y414" s="649">
        <f>$Y$8</f>
        <v>43800</v>
      </c>
      <c r="Z414" s="649">
        <f>$Z$8</f>
        <v>43862</v>
      </c>
      <c r="AA414" s="649">
        <f>$AA$8</f>
        <v>44013</v>
      </c>
      <c r="AB414" s="649">
        <v>44166</v>
      </c>
      <c r="AC414" s="649">
        <f>$AC$8</f>
        <v>44531</v>
      </c>
      <c r="AD414" s="649">
        <f>$AD$8</f>
        <v>44774</v>
      </c>
      <c r="AE414" s="649">
        <f>$AE$8</f>
        <v>45142</v>
      </c>
      <c r="AF414" s="649">
        <f>$AF$8</f>
        <v>45672</v>
      </c>
      <c r="AG414" s="649" t="str">
        <f>$AG$8</f>
        <v>-</v>
      </c>
      <c r="AH414"/>
      <c r="AI414" s="648" t="s">
        <v>52</v>
      </c>
      <c r="AJ414" s="649">
        <v>43252</v>
      </c>
      <c r="AK414" s="649">
        <f>$X$8</f>
        <v>43465</v>
      </c>
      <c r="AL414" s="649">
        <f>$Y$8</f>
        <v>43800</v>
      </c>
      <c r="AM414" s="649">
        <f>$Z$8</f>
        <v>43862</v>
      </c>
      <c r="AN414" s="649">
        <f>$AA$8</f>
        <v>44013</v>
      </c>
      <c r="AO414" s="649">
        <f>$AB$8</f>
        <v>44166</v>
      </c>
      <c r="AP414" s="649">
        <f>$AC$8</f>
        <v>44531</v>
      </c>
      <c r="AQ414" s="649">
        <f>$AD$8</f>
        <v>44774</v>
      </c>
      <c r="AR414" s="649">
        <f>$AE$8</f>
        <v>45142</v>
      </c>
      <c r="AS414" s="649">
        <f>$AF$8</f>
        <v>45672</v>
      </c>
      <c r="AT414" s="2"/>
      <c r="AU414" s="648" t="s">
        <v>52</v>
      </c>
      <c r="AV414" s="649">
        <v>43252</v>
      </c>
      <c r="AW414" s="649">
        <f>$X$8</f>
        <v>43465</v>
      </c>
      <c r="AX414" s="649">
        <f>$Y$8</f>
        <v>43800</v>
      </c>
      <c r="AY414" s="649">
        <f>$Z$8</f>
        <v>43862</v>
      </c>
      <c r="AZ414" s="649">
        <f>$AA$8</f>
        <v>44013</v>
      </c>
      <c r="BA414" s="649">
        <v>44166</v>
      </c>
      <c r="BB414" s="649">
        <f>$AC$8</f>
        <v>44531</v>
      </c>
      <c r="BC414" s="649">
        <f>$AD$8</f>
        <v>44774</v>
      </c>
      <c r="BD414" s="649">
        <f>$AE$8</f>
        <v>45142</v>
      </c>
      <c r="BE414" s="649">
        <f>$AF$8</f>
        <v>45672</v>
      </c>
      <c r="DG414" s="1018" t="str">
        <f>$DG$8</f>
        <v>TRC (2025)</v>
      </c>
      <c r="DH414" s="776" t="str">
        <f>$DH$8</f>
        <v>Benefit Lookup</v>
      </c>
      <c r="DI414" s="776" t="str">
        <f>$DI$8</f>
        <v>Benefits (2025 $)</v>
      </c>
      <c r="DJ414" s="1118" t="str">
        <f>$DJ$8</f>
        <v>Incremental Cost (2025 $)</v>
      </c>
    </row>
    <row r="415" spans="1:114" x14ac:dyDescent="0.25">
      <c r="B415" s="252">
        <f t="shared" si="106"/>
        <v>805000</v>
      </c>
      <c r="C415" s="668" t="s">
        <v>516</v>
      </c>
      <c r="D415" s="452" t="s">
        <v>111</v>
      </c>
      <c r="E415" s="469" t="s">
        <v>517</v>
      </c>
      <c r="F415" s="19">
        <f>ROUND(0.9*F427*G427*(H427-I427),2)</f>
        <v>949.38</v>
      </c>
      <c r="G415" s="452" t="s">
        <v>478</v>
      </c>
      <c r="H415" s="453">
        <f>VLOOKUP(G415,'CP FACTORS'!$A$26:$B$38,2,FALSE)</f>
        <v>1.379439E-4</v>
      </c>
      <c r="I415" s="497">
        <f>ROUND(H415*F415,6)</f>
        <v>0.13096099999999999</v>
      </c>
      <c r="J415" s="488">
        <v>10</v>
      </c>
      <c r="K415" s="1878">
        <f>L427/K427</f>
        <v>202.28779999999998</v>
      </c>
      <c r="L415" s="498" t="s">
        <v>264</v>
      </c>
      <c r="V415" s="1343" t="s">
        <v>260</v>
      </c>
      <c r="W415" s="53">
        <v>987.01200000000028</v>
      </c>
      <c r="X415" s="53">
        <v>3272.2560000000003</v>
      </c>
      <c r="Y415" s="53">
        <v>3272.2560000000003</v>
      </c>
      <c r="Z415" s="53">
        <v>3272.2560000000003</v>
      </c>
      <c r="AA415" s="53">
        <v>3272.2560000000003</v>
      </c>
      <c r="AB415" s="628">
        <v>987.01</v>
      </c>
      <c r="AC415" s="705">
        <v>987.01</v>
      </c>
      <c r="AD415" s="705">
        <v>987.01</v>
      </c>
      <c r="AE415" s="1716">
        <v>949.38</v>
      </c>
      <c r="AF415" s="705">
        <f>F415</f>
        <v>949.38</v>
      </c>
      <c r="AG415" s="68"/>
      <c r="AH415"/>
      <c r="AI415" s="1343" t="s">
        <v>49</v>
      </c>
      <c r="AJ415" s="651">
        <v>10</v>
      </c>
      <c r="AK415" s="651">
        <v>10</v>
      </c>
      <c r="AL415" s="651">
        <v>10</v>
      </c>
      <c r="AM415" s="651">
        <v>10</v>
      </c>
      <c r="AN415" s="651">
        <v>10</v>
      </c>
      <c r="AO415" s="52">
        <v>10</v>
      </c>
      <c r="AP415" s="684">
        <v>10</v>
      </c>
      <c r="AQ415" s="684">
        <v>10</v>
      </c>
      <c r="AR415" s="684">
        <v>10</v>
      </c>
      <c r="AS415" s="684">
        <v>10</v>
      </c>
      <c r="AU415" s="1343" t="str">
        <f>K414</f>
        <v>Inc. Cost per HP</v>
      </c>
      <c r="AV415" s="652">
        <v>1573</v>
      </c>
      <c r="AW415" s="652">
        <v>1573</v>
      </c>
      <c r="AX415" s="652">
        <v>1573</v>
      </c>
      <c r="AY415" s="652">
        <v>1573</v>
      </c>
      <c r="AZ415" s="669" t="s">
        <v>518</v>
      </c>
      <c r="BA415" s="669" t="s">
        <v>518</v>
      </c>
      <c r="BB415" s="669" t="s">
        <v>518</v>
      </c>
      <c r="BC415" s="669" t="s">
        <v>518</v>
      </c>
      <c r="BD415" s="1725" t="s">
        <v>519</v>
      </c>
      <c r="BE415" s="1724">
        <f>K415</f>
        <v>202.28779999999998</v>
      </c>
      <c r="DG415" s="1025">
        <f>(DI415)/(DJ415)</f>
        <v>1.3755919890352668</v>
      </c>
      <c r="DH415" s="1330" t="str">
        <f>CONCATENATE(G415," ",J415," Year EUL")</f>
        <v>Air Comp BUS 10 Year EUL</v>
      </c>
      <c r="DI415" s="778">
        <f>(INDEX('Avoided Cost Benefits'!$B$4:$B$865,MATCH(DH415,'Avoided Cost Benefits'!$A$4:$A$865,0)))*F415*DJ418</f>
        <v>3037.3071117898689</v>
      </c>
      <c r="DJ415" s="1941">
        <f>IFERROR((127*$DJ$418+1446)/((1+DiscountRate)^(CurrentYear-DiscountYear)),0)</f>
        <v>2208</v>
      </c>
    </row>
    <row r="416" spans="1:114" x14ac:dyDescent="0.25">
      <c r="B416" s="252">
        <f t="shared" si="106"/>
        <v>805001</v>
      </c>
      <c r="C416" s="668" t="s">
        <v>520</v>
      </c>
      <c r="D416" s="452" t="s">
        <v>111</v>
      </c>
      <c r="E416" s="469" t="s">
        <v>521</v>
      </c>
      <c r="F416" s="19">
        <f>ROUND(0.9*F428*G428*(H428-I428),2)</f>
        <v>949.38</v>
      </c>
      <c r="G416" s="452" t="s">
        <v>478</v>
      </c>
      <c r="H416" s="453">
        <f>VLOOKUP(G416,'CP FACTORS'!$A$26:$B$38,2,FALSE)</f>
        <v>1.379439E-4</v>
      </c>
      <c r="I416" s="497">
        <f>ROUND(H416*F416,6)</f>
        <v>0.13096099999999999</v>
      </c>
      <c r="J416" s="488">
        <v>10</v>
      </c>
      <c r="K416" s="1878">
        <f>L428/K428</f>
        <v>202.28779999999998</v>
      </c>
      <c r="L416" s="498" t="s">
        <v>264</v>
      </c>
      <c r="V416" s="1343" t="s">
        <v>260</v>
      </c>
      <c r="W416" s="53"/>
      <c r="X416" s="53"/>
      <c r="Y416" s="53"/>
      <c r="Z416" s="53"/>
      <c r="AA416" s="53"/>
      <c r="AB416" s="53"/>
      <c r="AC416" s="53"/>
      <c r="AD416" s="53"/>
      <c r="AE416" s="1716">
        <v>949.38</v>
      </c>
      <c r="AF416" s="705">
        <f>F416</f>
        <v>949.38</v>
      </c>
      <c r="AG416" s="68"/>
      <c r="AH416"/>
      <c r="AI416" s="1343" t="s">
        <v>49</v>
      </c>
      <c r="AJ416" s="651"/>
      <c r="AK416" s="651"/>
      <c r="AL416" s="651"/>
      <c r="AM416" s="651"/>
      <c r="AN416" s="651"/>
      <c r="AO416" s="52"/>
      <c r="AP416" s="684"/>
      <c r="AQ416" s="684"/>
      <c r="AR416" s="684">
        <v>10</v>
      </c>
      <c r="AS416" s="684">
        <v>10</v>
      </c>
      <c r="AU416" s="1343">
        <f>K415</f>
        <v>202.28779999999998</v>
      </c>
      <c r="AV416" s="652"/>
      <c r="AW416" s="652"/>
      <c r="AX416" s="652"/>
      <c r="AY416" s="652"/>
      <c r="AZ416" s="669"/>
      <c r="BA416" s="669"/>
      <c r="BB416" s="669"/>
      <c r="BC416" s="669"/>
      <c r="BD416" s="1725" t="s">
        <v>519</v>
      </c>
      <c r="BE416" s="1724">
        <f t="shared" ref="BE416:BE417" si="124">K416</f>
        <v>202.28779999999998</v>
      </c>
      <c r="DG416" s="1025">
        <f>(DI416)/(DJ416)</f>
        <v>1.3755919890352668</v>
      </c>
      <c r="DH416" s="1330" t="str">
        <f>CONCATENATE(G416," ",J416," Year EUL")</f>
        <v>Air Comp BUS 10 Year EUL</v>
      </c>
      <c r="DI416" s="778">
        <f>(INDEX('Avoided Cost Benefits'!$B$4:$B$865,MATCH(DH416,'Avoided Cost Benefits'!$A$4:$A$865,0)))*F416*DJ418</f>
        <v>3037.3071117898689</v>
      </c>
      <c r="DJ416" s="1942">
        <f>IFERROR((127*$DJ$418+1446)/((1+DiscountRate)^(CurrentYear-DiscountYear)),0)</f>
        <v>2208</v>
      </c>
    </row>
    <row r="417" spans="1:117" x14ac:dyDescent="0.25">
      <c r="B417" s="252">
        <f t="shared" si="106"/>
        <v>805002</v>
      </c>
      <c r="C417" s="668" t="s">
        <v>522</v>
      </c>
      <c r="D417" s="452" t="s">
        <v>111</v>
      </c>
      <c r="E417" s="469" t="s">
        <v>523</v>
      </c>
      <c r="F417" s="19">
        <f>ROUND(0.9*F429*G429*(H429-I429),2)</f>
        <v>1052.02</v>
      </c>
      <c r="G417" s="452" t="s">
        <v>478</v>
      </c>
      <c r="H417" s="453">
        <f>VLOOKUP(G417,'CP FACTORS'!$A$26:$B$38,2,FALSE)</f>
        <v>1.379439E-4</v>
      </c>
      <c r="I417" s="497">
        <f>ROUND(H417*F417,6)</f>
        <v>0.14512</v>
      </c>
      <c r="J417" s="488">
        <v>10</v>
      </c>
      <c r="K417" s="1878">
        <f>L429/K429</f>
        <v>202.28779999999998</v>
      </c>
      <c r="L417" s="498" t="s">
        <v>264</v>
      </c>
      <c r="V417" s="1343" t="s">
        <v>260</v>
      </c>
      <c r="W417" s="53"/>
      <c r="X417" s="53"/>
      <c r="Y417" s="53"/>
      <c r="Z417" s="53"/>
      <c r="AA417" s="53"/>
      <c r="AB417" s="53"/>
      <c r="AC417" s="53"/>
      <c r="AD417" s="53"/>
      <c r="AE417" s="1716">
        <v>1052.02</v>
      </c>
      <c r="AF417" s="705">
        <f>F417</f>
        <v>1052.02</v>
      </c>
      <c r="AG417" s="68"/>
      <c r="AH417"/>
      <c r="AI417" s="1343" t="s">
        <v>49</v>
      </c>
      <c r="AJ417" s="651"/>
      <c r="AK417" s="651"/>
      <c r="AL417" s="651"/>
      <c r="AM417" s="651"/>
      <c r="AN417" s="651"/>
      <c r="AO417" s="52"/>
      <c r="AP417" s="684"/>
      <c r="AQ417" s="684"/>
      <c r="AR417" s="684">
        <v>10</v>
      </c>
      <c r="AS417" s="684">
        <v>10</v>
      </c>
      <c r="AU417" s="1343">
        <f>K416</f>
        <v>202.28779999999998</v>
      </c>
      <c r="AV417" s="652"/>
      <c r="AW417" s="652"/>
      <c r="AX417" s="652"/>
      <c r="AY417" s="652"/>
      <c r="AZ417" s="669"/>
      <c r="BA417" s="669"/>
      <c r="BB417" s="669"/>
      <c r="BC417" s="669"/>
      <c r="BD417" s="1725" t="s">
        <v>519</v>
      </c>
      <c r="BE417" s="1724">
        <f t="shared" si="124"/>
        <v>202.28779999999998</v>
      </c>
      <c r="DG417" s="1025">
        <f>(DI417)/(DJ417)</f>
        <v>1.5243109021728725</v>
      </c>
      <c r="DH417" s="1330" t="str">
        <f>CONCATENATE(G417," ",J417," Year EUL")</f>
        <v>Air Comp BUS 10 Year EUL</v>
      </c>
      <c r="DI417" s="778">
        <f>(INDEX('Avoided Cost Benefits'!$B$4:$B$865,MATCH(DH417,'Avoided Cost Benefits'!$A$4:$A$865,0)))*F417*DJ418</f>
        <v>3365.6784719977022</v>
      </c>
      <c r="DJ417" s="1943">
        <f>IFERROR((127*$DJ$418+1446)/((1+DiscountRate)^(CurrentYear-DiscountYear)),0)</f>
        <v>2208</v>
      </c>
    </row>
    <row r="418" spans="1:117" hidden="1" outlineLevel="1" x14ac:dyDescent="0.25">
      <c r="D418" s="74" t="s">
        <v>94</v>
      </c>
      <c r="E418" s="108" t="s">
        <v>524</v>
      </c>
      <c r="F418" s="7"/>
      <c r="G418" s="7"/>
      <c r="H418" s="460"/>
      <c r="I418" s="7"/>
      <c r="J418" s="7"/>
      <c r="K418" s="1723"/>
      <c r="DJ418" s="1116">
        <v>6</v>
      </c>
      <c r="DK418" s="252" t="s">
        <v>525</v>
      </c>
    </row>
    <row r="419" spans="1:117" hidden="1" outlineLevel="1" x14ac:dyDescent="0.25">
      <c r="D419" s="7" t="s">
        <v>96</v>
      </c>
      <c r="E419" s="7"/>
      <c r="F419" s="7"/>
      <c r="G419" s="7"/>
      <c r="H419" s="460"/>
      <c r="I419" s="7"/>
      <c r="J419" s="7"/>
      <c r="K419" s="7"/>
    </row>
    <row r="420" spans="1:117" hidden="1" outlineLevel="1" x14ac:dyDescent="0.25">
      <c r="D420" s="461"/>
      <c r="G420" s="252"/>
      <c r="H420" s="462"/>
    </row>
    <row r="421" spans="1:117" hidden="1" outlineLevel="1" x14ac:dyDescent="0.25">
      <c r="D421" s="461"/>
      <c r="G421" s="252"/>
      <c r="H421" s="462"/>
    </row>
    <row r="422" spans="1:117" hidden="1" outlineLevel="1" x14ac:dyDescent="0.25">
      <c r="D422" s="461"/>
      <c r="G422" s="252"/>
      <c r="H422" s="462"/>
      <c r="M422" s="7"/>
    </row>
    <row r="423" spans="1:117" hidden="1" outlineLevel="1" x14ac:dyDescent="0.25">
      <c r="D423" s="461"/>
      <c r="G423" s="252"/>
      <c r="H423" s="462"/>
      <c r="M423" s="7"/>
    </row>
    <row r="424" spans="1:117" hidden="1" outlineLevel="1" x14ac:dyDescent="0.25">
      <c r="D424" s="461"/>
      <c r="G424" s="252"/>
      <c r="H424" s="462"/>
      <c r="M424" s="7"/>
    </row>
    <row r="425" spans="1:117" hidden="1" outlineLevel="1" x14ac:dyDescent="0.25">
      <c r="D425" s="461"/>
      <c r="G425" s="252"/>
      <c r="H425" s="462"/>
    </row>
    <row r="426" spans="1:117" s="8" customFormat="1" ht="30" hidden="1" outlineLevel="1" x14ac:dyDescent="0.25">
      <c r="A426" s="252"/>
      <c r="B426" s="252"/>
      <c r="C426" s="64"/>
      <c r="D426" s="1294" t="s">
        <v>42</v>
      </c>
      <c r="E426" s="1294" t="s">
        <v>172</v>
      </c>
      <c r="F426" s="32" t="s">
        <v>526</v>
      </c>
      <c r="G426" s="1294" t="s">
        <v>140</v>
      </c>
      <c r="H426" s="1294" t="s">
        <v>527</v>
      </c>
      <c r="I426" s="1294" t="s">
        <v>528</v>
      </c>
      <c r="J426" s="1294" t="s">
        <v>389</v>
      </c>
      <c r="K426" s="1294" t="s">
        <v>529</v>
      </c>
      <c r="L426" s="1294" t="s">
        <v>530</v>
      </c>
      <c r="M426" s="116"/>
      <c r="N426" s="116"/>
      <c r="O426" s="116"/>
      <c r="P426" s="116"/>
      <c r="Q426" s="116"/>
      <c r="R426" s="116"/>
      <c r="S426" s="116"/>
      <c r="T426" s="116"/>
      <c r="U426" s="116"/>
      <c r="DG426" s="1023"/>
      <c r="DH426" s="116"/>
      <c r="DI426" s="116"/>
      <c r="DJ426" s="1116"/>
    </row>
    <row r="427" spans="1:117" hidden="1" outlineLevel="1" x14ac:dyDescent="0.25">
      <c r="D427" s="659" t="str">
        <f>C415</f>
        <v>805000_2024_12_</v>
      </c>
      <c r="E427" s="659" t="str">
        <f>E415</f>
        <v>VSD Air Compressor 5-40 HP</v>
      </c>
      <c r="F427" s="1778">
        <v>1</v>
      </c>
      <c r="G427" s="1791">
        <v>5702</v>
      </c>
      <c r="H427" s="512">
        <v>0.89</v>
      </c>
      <c r="I427" s="513">
        <v>0.70499999999999996</v>
      </c>
      <c r="J427" s="1879">
        <v>100</v>
      </c>
      <c r="K427" s="1879">
        <v>100</v>
      </c>
      <c r="L427" s="1880">
        <f>((127*K427)+1446)*1.43</f>
        <v>20228.78</v>
      </c>
      <c r="DL427" s="37"/>
      <c r="DM427" s="37"/>
    </row>
    <row r="428" spans="1:117" hidden="1" outlineLevel="1" x14ac:dyDescent="0.25">
      <c r="D428" s="659" t="str">
        <f>C416</f>
        <v>805001_2024_12_</v>
      </c>
      <c r="E428" s="659" t="str">
        <f>E416</f>
        <v>VSD Air Compressor &gt;40-&lt;50 HP</v>
      </c>
      <c r="F428" s="1778">
        <v>1</v>
      </c>
      <c r="G428" s="1791">
        <v>5702</v>
      </c>
      <c r="H428" s="512">
        <v>0.88600000000000001</v>
      </c>
      <c r="I428" s="513">
        <v>0.70099999999999996</v>
      </c>
      <c r="J428" s="1879">
        <v>100</v>
      </c>
      <c r="K428" s="1879">
        <v>100</v>
      </c>
      <c r="L428" s="1880">
        <f>((127*K428)+1446)*1.43</f>
        <v>20228.78</v>
      </c>
      <c r="DL428" s="37"/>
      <c r="DM428" s="37"/>
    </row>
    <row r="429" spans="1:117" hidden="1" outlineLevel="1" x14ac:dyDescent="0.25">
      <c r="D429" s="659" t="str">
        <f>C417</f>
        <v>805002_2024_12_</v>
      </c>
      <c r="E429" s="659" t="str">
        <f>E417</f>
        <v>VSD Air Compressor 50-200 HP</v>
      </c>
      <c r="F429" s="1778">
        <v>1</v>
      </c>
      <c r="G429" s="1791">
        <v>5702</v>
      </c>
      <c r="H429" s="512">
        <v>0.86299999999999999</v>
      </c>
      <c r="I429" s="513">
        <v>0.65800000000000003</v>
      </c>
      <c r="J429" s="1879">
        <v>100</v>
      </c>
      <c r="K429" s="1879">
        <v>100</v>
      </c>
      <c r="L429" s="1880">
        <f>((127*K429)+1446)*1.43</f>
        <v>20228.78</v>
      </c>
      <c r="DL429" s="37"/>
      <c r="DM429" s="37"/>
    </row>
    <row r="430" spans="1:117" ht="18.75" collapsed="1" x14ac:dyDescent="0.35">
      <c r="L430" s="1881" t="s">
        <v>531</v>
      </c>
    </row>
    <row r="431" spans="1:117" x14ac:dyDescent="0.25">
      <c r="DG431" s="1016" t="s">
        <v>532</v>
      </c>
    </row>
    <row r="432" spans="1:117" s="7" customFormat="1" x14ac:dyDescent="0.25">
      <c r="A432" s="252"/>
      <c r="B432" s="2071" t="s">
        <v>533</v>
      </c>
      <c r="C432" s="2072"/>
      <c r="D432" s="2072"/>
      <c r="E432" s="2072"/>
      <c r="F432" s="2072"/>
      <c r="G432" s="2072"/>
      <c r="H432" s="2072"/>
      <c r="I432" s="2073"/>
      <c r="J432" s="2073"/>
      <c r="K432" s="2073"/>
      <c r="L432" s="2073"/>
      <c r="M432" s="2074"/>
      <c r="N432" s="2074"/>
      <c r="O432" s="2075"/>
      <c r="V432" s="1292" t="str">
        <f>B432</f>
        <v>Kitchen Demand Ventilation Controls</v>
      </c>
      <c r="W432" s="1293"/>
      <c r="X432" s="1293"/>
      <c r="Y432" s="1293"/>
      <c r="Z432" s="1293"/>
      <c r="AA432" s="1293"/>
      <c r="AB432" s="1293"/>
      <c r="AC432" s="1293"/>
      <c r="AD432" s="1293"/>
      <c r="AE432" s="1293"/>
      <c r="AF432" s="1293"/>
      <c r="AG432" s="1293"/>
      <c r="AH432" s="1293"/>
      <c r="AI432" s="1327"/>
      <c r="AJ432" s="2"/>
      <c r="AK432" s="2"/>
      <c r="AL432" s="2"/>
      <c r="AM432" s="2"/>
      <c r="AN432" s="2"/>
      <c r="AO432" s="2"/>
      <c r="AP432" s="2"/>
      <c r="AQ432" s="2"/>
      <c r="AR432" s="2"/>
      <c r="AS432" s="2"/>
      <c r="AT432" s="2"/>
      <c r="AU432" s="2"/>
      <c r="DG432" s="23"/>
      <c r="DJ432" s="1059"/>
    </row>
    <row r="433" spans="1:114" x14ac:dyDescent="0.25">
      <c r="D433" s="450"/>
      <c r="E433" s="7"/>
      <c r="F433" s="7"/>
      <c r="G433" s="7"/>
      <c r="H433" s="451"/>
      <c r="I433" s="7"/>
      <c r="J433" s="7"/>
      <c r="K433" s="7"/>
      <c r="L433" s="7"/>
      <c r="P433" s="7"/>
      <c r="Q433" s="7"/>
      <c r="R433" s="7"/>
      <c r="S433" s="7"/>
      <c r="T433" s="7"/>
      <c r="U433" s="7"/>
      <c r="V433"/>
      <c r="W433"/>
      <c r="X433"/>
      <c r="Y433"/>
      <c r="Z433"/>
      <c r="AA433"/>
      <c r="AB433"/>
      <c r="AC433"/>
      <c r="AD433"/>
      <c r="AE433"/>
      <c r="AF433"/>
      <c r="AG433"/>
      <c r="AH433"/>
      <c r="AI433"/>
      <c r="AJ433" s="6"/>
      <c r="AK433" s="6"/>
      <c r="AL433" s="6"/>
      <c r="AM433" s="6"/>
      <c r="AN433" s="6"/>
      <c r="AO433" s="6"/>
      <c r="AP433" s="6"/>
      <c r="AQ433" s="6"/>
      <c r="AR433" s="6"/>
      <c r="AS433" s="6"/>
      <c r="AT433" s="6"/>
      <c r="AU433" s="6"/>
    </row>
    <row r="434" spans="1:114" s="8" customFormat="1" ht="30" x14ac:dyDescent="0.25">
      <c r="A434" s="252"/>
      <c r="B434" s="64"/>
      <c r="C434" s="9" t="s">
        <v>42</v>
      </c>
      <c r="D434" s="9" t="s">
        <v>43</v>
      </c>
      <c r="E434" s="1361" t="s">
        <v>44</v>
      </c>
      <c r="F434" s="1361" t="s">
        <v>260</v>
      </c>
      <c r="G434" s="1361" t="s">
        <v>46</v>
      </c>
      <c r="H434" s="10" t="s">
        <v>47</v>
      </c>
      <c r="I434" s="1361" t="s">
        <v>48</v>
      </c>
      <c r="J434" s="1361" t="s">
        <v>49</v>
      </c>
      <c r="K434" s="9" t="s">
        <v>534</v>
      </c>
      <c r="L434" s="9" t="s">
        <v>51</v>
      </c>
      <c r="M434" s="252"/>
      <c r="N434" s="252"/>
      <c r="O434" s="252"/>
      <c r="P434" s="116"/>
      <c r="Q434" s="116"/>
      <c r="R434" s="116"/>
      <c r="S434" s="116"/>
      <c r="T434" s="116"/>
      <c r="U434" s="116"/>
      <c r="V434" s="648" t="s">
        <v>52</v>
      </c>
      <c r="W434" s="649">
        <f>$W$8</f>
        <v>43252</v>
      </c>
      <c r="X434" s="649">
        <f>$X$8</f>
        <v>43465</v>
      </c>
      <c r="Y434" s="649">
        <f>$Y$8</f>
        <v>43800</v>
      </c>
      <c r="Z434" s="649">
        <f>$Z$8</f>
        <v>43862</v>
      </c>
      <c r="AA434" s="649">
        <f>$AA$8</f>
        <v>44013</v>
      </c>
      <c r="AB434" s="649">
        <v>44166</v>
      </c>
      <c r="AC434" s="649">
        <f>$AC$8</f>
        <v>44531</v>
      </c>
      <c r="AD434" s="649">
        <f>$AD$8</f>
        <v>44774</v>
      </c>
      <c r="AE434" s="649">
        <f>$AE$8</f>
        <v>45142</v>
      </c>
      <c r="AF434" s="649">
        <f>$AF$8</f>
        <v>45672</v>
      </c>
      <c r="AG434" s="649" t="str">
        <f>$AG$8</f>
        <v>-</v>
      </c>
      <c r="AH434"/>
      <c r="AI434" s="648" t="s">
        <v>52</v>
      </c>
      <c r="AJ434" s="649">
        <v>43252</v>
      </c>
      <c r="AK434" s="649">
        <f>$X$8</f>
        <v>43465</v>
      </c>
      <c r="AL434" s="649">
        <f>$Y$8</f>
        <v>43800</v>
      </c>
      <c r="AM434" s="649">
        <f>$Z$8</f>
        <v>43862</v>
      </c>
      <c r="AN434" s="649">
        <f>$AA$8</f>
        <v>44013</v>
      </c>
      <c r="AO434" s="649">
        <f>$AB$8</f>
        <v>44166</v>
      </c>
      <c r="AP434" s="649">
        <f>$AC$8</f>
        <v>44531</v>
      </c>
      <c r="AQ434" s="649">
        <f>$AD$8</f>
        <v>44774</v>
      </c>
      <c r="AR434" s="649">
        <f>$AE$8</f>
        <v>45142</v>
      </c>
      <c r="AS434" s="649">
        <f>$AF$8</f>
        <v>45672</v>
      </c>
      <c r="AT434" s="2"/>
      <c r="AU434" s="648" t="s">
        <v>52</v>
      </c>
      <c r="AV434" s="649">
        <v>43252</v>
      </c>
      <c r="AW434" s="649">
        <f>$X$8</f>
        <v>43465</v>
      </c>
      <c r="AX434" s="649">
        <f>$Y$8</f>
        <v>43800</v>
      </c>
      <c r="AY434" s="649">
        <f>$Z$8</f>
        <v>43862</v>
      </c>
      <c r="AZ434" s="649">
        <f>$AA$8</f>
        <v>44013</v>
      </c>
      <c r="BA434" s="649">
        <v>44166</v>
      </c>
      <c r="BB434" s="649">
        <f>$AC$8</f>
        <v>44531</v>
      </c>
      <c r="BC434" s="649">
        <f>$AD$8</f>
        <v>44774</v>
      </c>
      <c r="BD434" s="649">
        <f>$AE$8</f>
        <v>45142</v>
      </c>
      <c r="BE434" s="649">
        <f>$AF$8</f>
        <v>45672</v>
      </c>
      <c r="DG434" s="1018" t="str">
        <f>$DG$8</f>
        <v>TRC (2025)</v>
      </c>
      <c r="DH434" s="776" t="str">
        <f>$DH$8</f>
        <v>Benefit Lookup</v>
      </c>
      <c r="DI434" s="776" t="str">
        <f>$DI$8</f>
        <v>Benefits (2025 $)</v>
      </c>
      <c r="DJ434" s="1118" t="str">
        <f>$DJ$8</f>
        <v>Incremental Cost (2025 $)</v>
      </c>
    </row>
    <row r="435" spans="1:114" x14ac:dyDescent="0.25">
      <c r="B435" s="252">
        <f t="shared" ref="B435" si="125">VALUE(LEFT(C435,6))</f>
        <v>805405</v>
      </c>
      <c r="C435" s="668" t="s">
        <v>535</v>
      </c>
      <c r="D435" s="452" t="s">
        <v>111</v>
      </c>
      <c r="E435" s="665" t="s">
        <v>536</v>
      </c>
      <c r="F435" s="404">
        <f>ROUND(F445*G445,2)</f>
        <v>4197</v>
      </c>
      <c r="G435" s="452" t="s">
        <v>279</v>
      </c>
      <c r="H435" s="453">
        <f>VLOOKUP(G435,'CP FACTORS'!$A$26:$B$38,2,FALSE)</f>
        <v>1.998949E-4</v>
      </c>
      <c r="I435" s="666">
        <f>F435*H435</f>
        <v>0.83895889530000001</v>
      </c>
      <c r="J435" s="99">
        <v>15</v>
      </c>
      <c r="K435" s="1774">
        <v>1991</v>
      </c>
      <c r="L435" s="498" t="s">
        <v>264</v>
      </c>
      <c r="V435" s="1343" t="s">
        <v>45</v>
      </c>
      <c r="W435" s="53"/>
      <c r="X435" s="53"/>
      <c r="Y435" s="53"/>
      <c r="Z435" s="53"/>
      <c r="AA435" s="56">
        <v>4486</v>
      </c>
      <c r="AB435" s="628">
        <v>4197</v>
      </c>
      <c r="AC435" s="705">
        <v>4197</v>
      </c>
      <c r="AD435" s="705">
        <v>4197</v>
      </c>
      <c r="AE435" s="705">
        <v>4197</v>
      </c>
      <c r="AF435" s="705">
        <v>4197</v>
      </c>
      <c r="AG435" s="68"/>
      <c r="AH435"/>
      <c r="AI435" s="1343" t="s">
        <v>49</v>
      </c>
      <c r="AJ435" s="651"/>
      <c r="AK435" s="651"/>
      <c r="AL435" s="651"/>
      <c r="AM435" s="68"/>
      <c r="AN435" s="656">
        <v>15</v>
      </c>
      <c r="AO435" s="684">
        <v>15</v>
      </c>
      <c r="AP435" s="684">
        <v>15</v>
      </c>
      <c r="AQ435" s="684">
        <v>15</v>
      </c>
      <c r="AR435" s="684">
        <v>15</v>
      </c>
      <c r="AS435" s="684">
        <v>15</v>
      </c>
      <c r="AU435" s="1343" t="s">
        <v>50</v>
      </c>
      <c r="AV435" s="652"/>
      <c r="AW435" s="652"/>
      <c r="AX435" s="652"/>
      <c r="AY435" s="652"/>
      <c r="AZ435" s="40">
        <v>1991</v>
      </c>
      <c r="BA435" s="669">
        <v>1991</v>
      </c>
      <c r="BB435" s="669">
        <v>1991</v>
      </c>
      <c r="BC435" s="669">
        <v>1991</v>
      </c>
      <c r="BD435" s="669">
        <v>1991</v>
      </c>
      <c r="BE435" s="669">
        <v>1991</v>
      </c>
      <c r="DG435" s="1025">
        <f>(DI435)/(DJ435)</f>
        <v>1.7359796272251358</v>
      </c>
      <c r="DH435" s="1330" t="str">
        <f>CONCATENATE(G435," ",J435," Year EUL")</f>
        <v>Cooking BUS 15 Year EUL</v>
      </c>
      <c r="DI435" s="1026">
        <f>(INDEX('Avoided Cost Benefits'!$B$4:$B$865,MATCH(DH435,'Avoided Cost Benefits'!$A$4:$A$865,0)))*F435</f>
        <v>3456.3354378052454</v>
      </c>
      <c r="DJ435" s="1935">
        <f>IFERROR(K435/((1+DiscountRate)^(CurrentYear-DiscountYear)),0)</f>
        <v>1991</v>
      </c>
    </row>
    <row r="436" spans="1:114" hidden="1" outlineLevel="1" x14ac:dyDescent="0.25">
      <c r="D436" s="74" t="s">
        <v>94</v>
      </c>
      <c r="E436" s="108" t="s">
        <v>537</v>
      </c>
      <c r="F436" s="7"/>
      <c r="G436" s="7"/>
      <c r="H436" s="460"/>
      <c r="I436" s="7"/>
      <c r="J436" s="7"/>
    </row>
    <row r="437" spans="1:114" hidden="1" outlineLevel="1" x14ac:dyDescent="0.25">
      <c r="D437" s="7" t="s">
        <v>96</v>
      </c>
      <c r="E437" s="64"/>
      <c r="F437" s="7"/>
      <c r="G437" s="7"/>
      <c r="H437" s="460"/>
      <c r="I437" s="7"/>
      <c r="J437" s="7"/>
      <c r="K437" s="64"/>
    </row>
    <row r="438" spans="1:114" hidden="1" outlineLevel="1" x14ac:dyDescent="0.25">
      <c r="D438" s="461"/>
      <c r="E438" s="64"/>
      <c r="F438" s="64"/>
      <c r="G438" s="252"/>
      <c r="H438" s="462"/>
    </row>
    <row r="439" spans="1:114" hidden="1" outlineLevel="1" x14ac:dyDescent="0.25">
      <c r="D439" s="461"/>
      <c r="G439" s="252"/>
      <c r="H439" s="462"/>
      <c r="P439" s="2089"/>
      <c r="Q439" s="2089"/>
    </row>
    <row r="440" spans="1:114" hidden="1" outlineLevel="1" x14ac:dyDescent="0.25">
      <c r="D440" s="461"/>
      <c r="G440" s="252"/>
      <c r="H440" s="462"/>
      <c r="M440" s="7"/>
      <c r="P440" s="2089"/>
      <c r="Q440" s="2089"/>
    </row>
    <row r="441" spans="1:114" hidden="1" outlineLevel="1" x14ac:dyDescent="0.25">
      <c r="D441" s="461"/>
      <c r="G441" s="252"/>
      <c r="H441" s="462"/>
      <c r="M441" s="7"/>
      <c r="P441" s="2089"/>
      <c r="Q441" s="2089"/>
    </row>
    <row r="442" spans="1:114" hidden="1" outlineLevel="1" x14ac:dyDescent="0.25">
      <c r="D442" s="461"/>
      <c r="G442" s="252"/>
      <c r="H442" s="462"/>
      <c r="M442" s="7"/>
    </row>
    <row r="443" spans="1:114" hidden="1" outlineLevel="1" x14ac:dyDescent="0.25">
      <c r="D443" s="461"/>
      <c r="G443" s="252"/>
      <c r="H443" s="462"/>
    </row>
    <row r="444" spans="1:114" s="8" customFormat="1" hidden="1" outlineLevel="1" x14ac:dyDescent="0.25">
      <c r="A444" s="252"/>
      <c r="B444" s="116"/>
      <c r="C444" s="64"/>
      <c r="D444" s="1294" t="s">
        <v>42</v>
      </c>
      <c r="E444" s="1294" t="s">
        <v>172</v>
      </c>
      <c r="F444" s="31" t="s">
        <v>538</v>
      </c>
      <c r="G444" s="1294" t="s">
        <v>389</v>
      </c>
      <c r="H444" s="462"/>
      <c r="I444" s="252"/>
      <c r="J444" s="116"/>
      <c r="K444" s="116"/>
      <c r="L444" s="116"/>
      <c r="M444" s="116"/>
      <c r="N444" s="116"/>
      <c r="O444" s="116"/>
      <c r="P444" s="116"/>
      <c r="Q444" s="116"/>
      <c r="R444" s="116"/>
      <c r="S444" s="116"/>
      <c r="T444" s="116"/>
      <c r="U444" s="116"/>
      <c r="DG444" s="1023"/>
      <c r="DH444" s="116"/>
      <c r="DI444" s="116"/>
      <c r="DJ444" s="1116"/>
    </row>
    <row r="445" spans="1:114" hidden="1" outlineLevel="1" x14ac:dyDescent="0.25">
      <c r="D445" s="659" t="str">
        <f>C435</f>
        <v>805405_2020_07_</v>
      </c>
      <c r="E445" s="659" t="str">
        <f>E435</f>
        <v>Kitchen Demand Ventilation Controls, Retrofit</v>
      </c>
      <c r="F445" s="667">
        <v>4197</v>
      </c>
      <c r="G445" s="491">
        <v>1</v>
      </c>
      <c r="H445" s="462"/>
    </row>
    <row r="446" spans="1:114" collapsed="1" x14ac:dyDescent="0.25"/>
    <row r="448" spans="1:114" s="7" customFormat="1" x14ac:dyDescent="0.25">
      <c r="A448" s="252"/>
      <c r="B448" s="2071" t="s">
        <v>539</v>
      </c>
      <c r="C448" s="2072"/>
      <c r="D448" s="2072"/>
      <c r="E448" s="2072"/>
      <c r="F448" s="2072"/>
      <c r="G448" s="2072"/>
      <c r="H448" s="2072"/>
      <c r="I448" s="2073"/>
      <c r="J448" s="2073"/>
      <c r="K448" s="2073"/>
      <c r="L448" s="2073"/>
      <c r="M448" s="2074"/>
      <c r="N448" s="2074"/>
      <c r="O448" s="2075"/>
      <c r="V448" s="1292" t="str">
        <f>B448</f>
        <v>Demand Controlled Ventilation</v>
      </c>
      <c r="W448" s="1293"/>
      <c r="X448" s="1293"/>
      <c r="Y448" s="1293"/>
      <c r="Z448" s="1293"/>
      <c r="AA448" s="1293"/>
      <c r="AB448" s="1293"/>
      <c r="AC448" s="1293"/>
      <c r="AD448" s="1293"/>
      <c r="AE448" s="1293"/>
      <c r="AF448" s="1293"/>
      <c r="AG448" s="1293"/>
      <c r="AH448" s="1293"/>
      <c r="AI448" s="1327"/>
      <c r="AJ448" s="2"/>
      <c r="AK448" s="2"/>
      <c r="AL448" s="2"/>
      <c r="AM448" s="2"/>
      <c r="AN448" s="2"/>
      <c r="AO448" s="2"/>
      <c r="AP448" s="2"/>
      <c r="AQ448" s="2"/>
      <c r="AR448" s="2"/>
      <c r="AS448" s="2"/>
      <c r="AT448" s="2"/>
      <c r="AU448" s="2"/>
      <c r="DG448" s="23"/>
      <c r="DJ448" s="1059"/>
    </row>
    <row r="449" spans="1:114" x14ac:dyDescent="0.25">
      <c r="D449" s="450"/>
      <c r="E449" s="7"/>
      <c r="F449" s="7"/>
      <c r="G449" s="7"/>
      <c r="H449" s="451"/>
      <c r="I449" s="7"/>
      <c r="J449" s="7"/>
      <c r="K449" s="7"/>
      <c r="L449" s="7"/>
      <c r="P449" s="7"/>
      <c r="Q449" s="7"/>
      <c r="R449" s="7"/>
      <c r="S449" s="7"/>
      <c r="T449" s="7"/>
      <c r="U449" s="7"/>
      <c r="V449"/>
      <c r="W449"/>
      <c r="X449"/>
      <c r="Y449"/>
      <c r="Z449"/>
      <c r="AA449"/>
      <c r="AB449"/>
      <c r="AC449"/>
      <c r="AD449"/>
      <c r="AE449"/>
      <c r="AF449"/>
      <c r="AG449"/>
      <c r="AH449"/>
      <c r="AI449"/>
      <c r="AJ449" s="6"/>
      <c r="AK449" s="6"/>
      <c r="AL449" s="6"/>
      <c r="AM449" s="6"/>
      <c r="AN449" s="6"/>
      <c r="AO449" s="6"/>
      <c r="AP449" s="6"/>
      <c r="AQ449" s="6"/>
      <c r="AR449" s="6"/>
      <c r="AS449" s="6"/>
      <c r="AT449" s="6"/>
      <c r="AU449" s="6"/>
      <c r="DG449" s="1016" t="s">
        <v>532</v>
      </c>
    </row>
    <row r="450" spans="1:114" s="8" customFormat="1" ht="30" x14ac:dyDescent="0.25">
      <c r="A450" s="252"/>
      <c r="B450" s="64"/>
      <c r="C450" s="9" t="s">
        <v>42</v>
      </c>
      <c r="D450" s="9" t="s">
        <v>43</v>
      </c>
      <c r="E450" s="1361" t="s">
        <v>44</v>
      </c>
      <c r="F450" s="1361" t="s">
        <v>540</v>
      </c>
      <c r="G450" s="1361" t="s">
        <v>46</v>
      </c>
      <c r="H450" s="10" t="s">
        <v>47</v>
      </c>
      <c r="I450" s="1361" t="s">
        <v>48</v>
      </c>
      <c r="J450" s="1361" t="s">
        <v>49</v>
      </c>
      <c r="K450" s="9" t="s">
        <v>50</v>
      </c>
      <c r="L450" s="9" t="s">
        <v>51</v>
      </c>
      <c r="M450" s="252"/>
      <c r="N450" s="510"/>
      <c r="O450" s="494"/>
      <c r="P450" s="495"/>
      <c r="Q450" s="116"/>
      <c r="R450" s="116"/>
      <c r="S450" s="116"/>
      <c r="T450" s="116"/>
      <c r="U450" s="116"/>
      <c r="V450" s="648" t="s">
        <v>52</v>
      </c>
      <c r="W450" s="649">
        <f>$W$8</f>
        <v>43252</v>
      </c>
      <c r="X450" s="649">
        <f>$X$8</f>
        <v>43465</v>
      </c>
      <c r="Y450" s="649">
        <f>$Y$8</f>
        <v>43800</v>
      </c>
      <c r="Z450" s="649">
        <f>$Z$8</f>
        <v>43862</v>
      </c>
      <c r="AA450" s="649">
        <f>$AA$8</f>
        <v>44013</v>
      </c>
      <c r="AB450" s="649">
        <v>44166</v>
      </c>
      <c r="AC450" s="649">
        <f>$AC$8</f>
        <v>44531</v>
      </c>
      <c r="AD450" s="649">
        <f>$AD$8</f>
        <v>44774</v>
      </c>
      <c r="AE450" s="649">
        <f>$AE$8</f>
        <v>45142</v>
      </c>
      <c r="AF450" s="649">
        <f>$AF$8</f>
        <v>45672</v>
      </c>
      <c r="AG450" s="649" t="str">
        <f>$AG$8</f>
        <v>-</v>
      </c>
      <c r="AH450"/>
      <c r="AI450" s="648" t="s">
        <v>52</v>
      </c>
      <c r="AJ450" s="649">
        <v>43252</v>
      </c>
      <c r="AK450" s="649">
        <f>$X$8</f>
        <v>43465</v>
      </c>
      <c r="AL450" s="649">
        <f>$Y$8</f>
        <v>43800</v>
      </c>
      <c r="AM450" s="649">
        <f>$Z$8</f>
        <v>43862</v>
      </c>
      <c r="AN450" s="649">
        <f>$AA$8</f>
        <v>44013</v>
      </c>
      <c r="AO450" s="649">
        <f>$AB$8</f>
        <v>44166</v>
      </c>
      <c r="AP450" s="649">
        <f>$AC$8</f>
        <v>44531</v>
      </c>
      <c r="AQ450" s="649">
        <f>$AD$8</f>
        <v>44774</v>
      </c>
      <c r="AR450" s="649">
        <f>$AE$8</f>
        <v>45142</v>
      </c>
      <c r="AS450" s="649">
        <f>$AF$8</f>
        <v>45672</v>
      </c>
      <c r="AT450" s="2"/>
      <c r="AU450" s="648" t="s">
        <v>52</v>
      </c>
      <c r="AV450" s="649">
        <v>43252</v>
      </c>
      <c r="AW450" s="649">
        <f>$X$8</f>
        <v>43465</v>
      </c>
      <c r="AX450" s="649">
        <f>$Y$8</f>
        <v>43800</v>
      </c>
      <c r="AY450" s="649">
        <f>$Z$8</f>
        <v>43862</v>
      </c>
      <c r="AZ450" s="649">
        <f>$AA$8</f>
        <v>44013</v>
      </c>
      <c r="BA450" s="649">
        <v>44166</v>
      </c>
      <c r="BB450" s="649">
        <f>$AC$8</f>
        <v>44531</v>
      </c>
      <c r="BC450" s="649">
        <f>$AD$8</f>
        <v>44774</v>
      </c>
      <c r="BD450" s="649">
        <f>$AE$8</f>
        <v>45142</v>
      </c>
      <c r="BE450" s="649">
        <f>$AF$8</f>
        <v>45672</v>
      </c>
      <c r="DG450" s="1018" t="str">
        <f>$DG$8</f>
        <v>TRC (2025)</v>
      </c>
      <c r="DH450" s="776" t="str">
        <f>$DH$8</f>
        <v>Benefit Lookup</v>
      </c>
      <c r="DI450" s="776" t="str">
        <f>$DI$8</f>
        <v>Benefits (2025 $)</v>
      </c>
      <c r="DJ450" s="1118" t="str">
        <f>$DJ$8</f>
        <v>Incremental Cost (2025 $)</v>
      </c>
    </row>
    <row r="451" spans="1:114" x14ac:dyDescent="0.25">
      <c r="B451" s="252">
        <f t="shared" ref="B451:B453" si="126">VALUE(LEFT(C451,6))</f>
        <v>805650</v>
      </c>
      <c r="C451" s="668" t="s">
        <v>541</v>
      </c>
      <c r="D451" s="452" t="s">
        <v>111</v>
      </c>
      <c r="E451" s="469" t="s">
        <v>542</v>
      </c>
      <c r="F451" s="404">
        <f>ROUND((F463/1000)*G463+(F463/1000)*H463,2)</f>
        <v>0.67</v>
      </c>
      <c r="G451" s="452" t="s">
        <v>331</v>
      </c>
      <c r="H451" s="453">
        <f>VLOOKUP(G451,'CP FACTORS'!$A$26:$B$38,2,FALSE)</f>
        <v>9.1068400000000004E-4</v>
      </c>
      <c r="I451" s="470">
        <f>ROUND(H451*F451,6)</f>
        <v>6.0999999999999997E-4</v>
      </c>
      <c r="J451" s="488">
        <v>10</v>
      </c>
      <c r="K451" s="1774" t="s">
        <v>543</v>
      </c>
      <c r="L451" s="498" t="s">
        <v>544</v>
      </c>
      <c r="V451" s="1343" t="str">
        <f>F450</f>
        <v>kWh Annual Savings (per sqft)</v>
      </c>
      <c r="W451" s="53">
        <v>0.66500000000000004</v>
      </c>
      <c r="X451" s="53">
        <v>0.66500000000000004</v>
      </c>
      <c r="Y451" s="53">
        <v>0.66500000000000004</v>
      </c>
      <c r="Z451" s="53">
        <v>0.66500000000000004</v>
      </c>
      <c r="AA451" s="53">
        <v>0.66500000000000004</v>
      </c>
      <c r="AB451" s="628">
        <v>0.67</v>
      </c>
      <c r="AC451" s="705">
        <v>0.67</v>
      </c>
      <c r="AD451" s="705">
        <v>0.67</v>
      </c>
      <c r="AE451" s="705">
        <v>0.67</v>
      </c>
      <c r="AF451" s="705">
        <v>0.67</v>
      </c>
      <c r="AG451" s="68"/>
      <c r="AH451"/>
      <c r="AI451" s="1375" t="s">
        <v>49</v>
      </c>
      <c r="AJ451" s="19">
        <v>10</v>
      </c>
      <c r="AK451" s="19">
        <v>10</v>
      </c>
      <c r="AL451" s="19">
        <v>10</v>
      </c>
      <c r="AM451" s="19">
        <v>10</v>
      </c>
      <c r="AN451" s="19">
        <v>10</v>
      </c>
      <c r="AO451" s="52">
        <v>10</v>
      </c>
      <c r="AP451" s="52">
        <v>10</v>
      </c>
      <c r="AQ451" s="52">
        <v>10</v>
      </c>
      <c r="AR451" s="52">
        <v>10</v>
      </c>
      <c r="AS451" s="52">
        <v>10</v>
      </c>
      <c r="AU451" s="1375" t="s">
        <v>50</v>
      </c>
      <c r="AV451" s="685" t="s">
        <v>543</v>
      </c>
      <c r="AW451" s="685" t="s">
        <v>543</v>
      </c>
      <c r="AX451" s="685" t="s">
        <v>543</v>
      </c>
      <c r="AY451" s="685" t="s">
        <v>543</v>
      </c>
      <c r="AZ451" s="685" t="s">
        <v>543</v>
      </c>
      <c r="BA451" s="669" t="s">
        <v>543</v>
      </c>
      <c r="BB451" s="669" t="s">
        <v>543</v>
      </c>
      <c r="BC451" s="669" t="s">
        <v>543</v>
      </c>
      <c r="BD451" s="669" t="s">
        <v>543</v>
      </c>
      <c r="BE451" s="669" t="str">
        <f t="shared" ref="BE451:BE453" si="127">K451</f>
        <v>Actual</v>
      </c>
      <c r="DG451" s="1020" t="str">
        <f>IFERROR((DI451)/(DJ451),"n/a")</f>
        <v>n/a</v>
      </c>
      <c r="DH451" s="1330" t="str">
        <f>CONCATENATE(G451," ",J451," Year EUL")</f>
        <v>Cooling BUS 10 Year EUL</v>
      </c>
      <c r="DI451" s="185">
        <f>(INDEX('Avoided Cost Benefits'!$B$4:$B$864,MATCH(DH451,'Avoided Cost Benefits'!$A$4:$A$864,0)))*F451</f>
        <v>0.96382681093578204</v>
      </c>
      <c r="DJ451" s="1935">
        <f>IFERROR(K451/((1+DiscountRate)^(CurrentYear-DiscountYear)),0)</f>
        <v>0</v>
      </c>
    </row>
    <row r="452" spans="1:114" x14ac:dyDescent="0.25">
      <c r="B452" s="252">
        <f t="shared" si="126"/>
        <v>805700</v>
      </c>
      <c r="C452" s="668" t="s">
        <v>545</v>
      </c>
      <c r="D452" s="452" t="s">
        <v>111</v>
      </c>
      <c r="E452" s="469" t="s">
        <v>546</v>
      </c>
      <c r="F452" s="404">
        <f>ROUND((F464/1000)*G464+(F464/1000)*H464,2)</f>
        <v>1.9</v>
      </c>
      <c r="G452" s="452" t="s">
        <v>331</v>
      </c>
      <c r="H452" s="453">
        <f>VLOOKUP(G452,'CP FACTORS'!$A$26:$B$38,2,FALSE)</f>
        <v>9.1068400000000004E-4</v>
      </c>
      <c r="I452" s="470">
        <f>ROUND(H452*F452,6)</f>
        <v>1.73E-3</v>
      </c>
      <c r="J452" s="488">
        <v>10</v>
      </c>
      <c r="K452" s="1774" t="s">
        <v>543</v>
      </c>
      <c r="L452" s="498" t="s">
        <v>544</v>
      </c>
      <c r="V452" s="1343" t="str">
        <f>V451</f>
        <v>kWh Annual Savings (per sqft)</v>
      </c>
      <c r="W452" s="53">
        <v>1.895</v>
      </c>
      <c r="X452" s="53">
        <v>1.895</v>
      </c>
      <c r="Y452" s="53">
        <v>1.895</v>
      </c>
      <c r="Z452" s="53">
        <v>1.895</v>
      </c>
      <c r="AA452" s="53">
        <v>1.895</v>
      </c>
      <c r="AB452" s="628">
        <v>1.9</v>
      </c>
      <c r="AC452" s="705">
        <v>1.9</v>
      </c>
      <c r="AD452" s="705">
        <v>1.9</v>
      </c>
      <c r="AE452" s="705">
        <v>1.9</v>
      </c>
      <c r="AF452" s="705">
        <v>1.9</v>
      </c>
      <c r="AG452" s="68"/>
      <c r="AH452"/>
      <c r="AI452" s="1375" t="s">
        <v>49</v>
      </c>
      <c r="AJ452" s="19">
        <v>10</v>
      </c>
      <c r="AK452" s="19">
        <v>10</v>
      </c>
      <c r="AL452" s="19">
        <v>10</v>
      </c>
      <c r="AM452" s="19">
        <v>10</v>
      </c>
      <c r="AN452" s="19">
        <v>10</v>
      </c>
      <c r="AO452" s="52">
        <v>10</v>
      </c>
      <c r="AP452" s="52">
        <v>10</v>
      </c>
      <c r="AQ452" s="52">
        <v>10</v>
      </c>
      <c r="AR452" s="52">
        <v>10</v>
      </c>
      <c r="AS452" s="52">
        <v>10</v>
      </c>
      <c r="AU452" s="1375" t="s">
        <v>50</v>
      </c>
      <c r="AV452" s="685" t="s">
        <v>543</v>
      </c>
      <c r="AW452" s="685" t="s">
        <v>543</v>
      </c>
      <c r="AX452" s="685" t="s">
        <v>543</v>
      </c>
      <c r="AY452" s="685" t="s">
        <v>543</v>
      </c>
      <c r="AZ452" s="685" t="s">
        <v>543</v>
      </c>
      <c r="BA452" s="669" t="s">
        <v>543</v>
      </c>
      <c r="BB452" s="669" t="s">
        <v>543</v>
      </c>
      <c r="BC452" s="669" t="s">
        <v>543</v>
      </c>
      <c r="BD452" s="669" t="s">
        <v>543</v>
      </c>
      <c r="BE452" s="669" t="str">
        <f t="shared" si="127"/>
        <v>Actual</v>
      </c>
      <c r="DG452" s="1020" t="str">
        <f>IFERROR((DI452)/(DJ452),"n/a")</f>
        <v>n/a</v>
      </c>
      <c r="DH452" s="653" t="str">
        <f>CONCATENATE(G452," ",J452," Year EUL")</f>
        <v>Cooling BUS 10 Year EUL</v>
      </c>
      <c r="DI452" s="635">
        <f>(INDEX('Avoided Cost Benefits'!$B$4:$B$864,MATCH(DH452,'Avoided Cost Benefits'!$A$4:$A$864,0)))*F452</f>
        <v>2.7332402101163966</v>
      </c>
      <c r="DJ452" s="1936">
        <f>IFERROR(K452/((1+DiscountRate)^(CurrentYear-DiscountYear)),0)</f>
        <v>0</v>
      </c>
    </row>
    <row r="453" spans="1:114" x14ac:dyDescent="0.25">
      <c r="B453" s="252">
        <f t="shared" si="126"/>
        <v>805750</v>
      </c>
      <c r="C453" s="668" t="s">
        <v>547</v>
      </c>
      <c r="D453" s="452" t="s">
        <v>111</v>
      </c>
      <c r="E453" s="469" t="s">
        <v>548</v>
      </c>
      <c r="F453" s="404">
        <f>ROUND((F465/1000)*G465+(F465/1000)*H465,2)</f>
        <v>1.08</v>
      </c>
      <c r="G453" s="452" t="s">
        <v>331</v>
      </c>
      <c r="H453" s="453">
        <f>VLOOKUP(G453,'CP FACTORS'!$A$26:$B$38,2,FALSE)</f>
        <v>9.1068400000000004E-4</v>
      </c>
      <c r="I453" s="470">
        <f>ROUND(H453*F453,6)</f>
        <v>9.8400000000000007E-4</v>
      </c>
      <c r="J453" s="488">
        <v>10</v>
      </c>
      <c r="K453" s="1774" t="s">
        <v>543</v>
      </c>
      <c r="L453" s="498" t="s">
        <v>544</v>
      </c>
      <c r="V453" s="1343" t="str">
        <f>V452</f>
        <v>kWh Annual Savings (per sqft)</v>
      </c>
      <c r="W453" s="53">
        <v>1.0750000000000002</v>
      </c>
      <c r="X453" s="53">
        <v>1.0750000000000002</v>
      </c>
      <c r="Y453" s="53">
        <v>1.0750000000000002</v>
      </c>
      <c r="Z453" s="53">
        <v>1.0750000000000002</v>
      </c>
      <c r="AA453" s="53">
        <v>1.0750000000000002</v>
      </c>
      <c r="AB453" s="628">
        <v>1.08</v>
      </c>
      <c r="AC453" s="705">
        <v>1.08</v>
      </c>
      <c r="AD453" s="705">
        <v>1.08</v>
      </c>
      <c r="AE453" s="705">
        <v>1.08</v>
      </c>
      <c r="AF453" s="705">
        <v>1.08</v>
      </c>
      <c r="AG453" s="68"/>
      <c r="AH453"/>
      <c r="AI453" s="1375" t="s">
        <v>49</v>
      </c>
      <c r="AJ453" s="19">
        <v>10</v>
      </c>
      <c r="AK453" s="19">
        <v>10</v>
      </c>
      <c r="AL453" s="19">
        <v>10</v>
      </c>
      <c r="AM453" s="19">
        <v>10</v>
      </c>
      <c r="AN453" s="19">
        <v>10</v>
      </c>
      <c r="AO453" s="52">
        <v>10</v>
      </c>
      <c r="AP453" s="52">
        <v>10</v>
      </c>
      <c r="AQ453" s="52">
        <v>10</v>
      </c>
      <c r="AR453" s="52">
        <v>10</v>
      </c>
      <c r="AS453" s="52">
        <v>10</v>
      </c>
      <c r="AU453" s="1375" t="s">
        <v>50</v>
      </c>
      <c r="AV453" s="685" t="s">
        <v>543</v>
      </c>
      <c r="AW453" s="685" t="s">
        <v>543</v>
      </c>
      <c r="AX453" s="685" t="s">
        <v>543</v>
      </c>
      <c r="AY453" s="685" t="s">
        <v>543</v>
      </c>
      <c r="AZ453" s="685" t="s">
        <v>543</v>
      </c>
      <c r="BA453" s="669" t="s">
        <v>543</v>
      </c>
      <c r="BB453" s="669" t="s">
        <v>543</v>
      </c>
      <c r="BC453" s="669" t="s">
        <v>543</v>
      </c>
      <c r="BD453" s="669" t="s">
        <v>543</v>
      </c>
      <c r="BE453" s="669" t="str">
        <f t="shared" si="127"/>
        <v>Actual</v>
      </c>
      <c r="DG453" s="1020" t="str">
        <f>IFERROR((DI453)/(DJ453),"n/a")</f>
        <v>n/a</v>
      </c>
      <c r="DH453" s="653" t="str">
        <f>CONCATENATE(G453," ",J453," Year EUL")</f>
        <v>Cooling BUS 10 Year EUL</v>
      </c>
      <c r="DI453" s="1024">
        <f>(INDEX('Avoided Cost Benefits'!$B$4:$B$864,MATCH(DH453,'Avoided Cost Benefits'!$A$4:$A$864,0)))*F453</f>
        <v>1.5536312773293204</v>
      </c>
      <c r="DJ453" s="1937">
        <f>IFERROR(K453/((1+DiscountRate)^(CurrentYear-DiscountYear)),0)</f>
        <v>0</v>
      </c>
    </row>
    <row r="454" spans="1:114" hidden="1" outlineLevel="1" x14ac:dyDescent="0.25">
      <c r="D454" s="74" t="s">
        <v>94</v>
      </c>
      <c r="E454" s="108" t="s">
        <v>549</v>
      </c>
      <c r="F454" s="7"/>
      <c r="G454" s="7"/>
      <c r="H454" s="460"/>
      <c r="I454" s="7"/>
      <c r="J454" s="7"/>
      <c r="K454" s="7"/>
    </row>
    <row r="455" spans="1:114" hidden="1" outlineLevel="1" x14ac:dyDescent="0.25">
      <c r="D455" s="7" t="s">
        <v>96</v>
      </c>
      <c r="E455" s="7"/>
      <c r="F455" s="7"/>
      <c r="G455" s="7"/>
      <c r="H455" s="460"/>
      <c r="I455" s="7"/>
      <c r="J455" s="7"/>
      <c r="K455" s="7"/>
    </row>
    <row r="456" spans="1:114" hidden="1" outlineLevel="1" x14ac:dyDescent="0.25">
      <c r="D456" s="516"/>
      <c r="G456" s="252"/>
      <c r="H456" s="462"/>
    </row>
    <row r="457" spans="1:114" hidden="1" outlineLevel="1" x14ac:dyDescent="0.25">
      <c r="D457" s="516"/>
      <c r="G457" s="252"/>
      <c r="H457" s="462"/>
    </row>
    <row r="458" spans="1:114" hidden="1" outlineLevel="1" x14ac:dyDescent="0.25">
      <c r="D458" s="516"/>
      <c r="G458" s="252"/>
      <c r="H458" s="462"/>
      <c r="M458" s="7"/>
    </row>
    <row r="459" spans="1:114" hidden="1" outlineLevel="1" x14ac:dyDescent="0.25">
      <c r="D459" s="516"/>
      <c r="G459" s="252"/>
      <c r="H459" s="462"/>
      <c r="M459" s="7"/>
    </row>
    <row r="460" spans="1:114" hidden="1" outlineLevel="1" x14ac:dyDescent="0.25">
      <c r="D460" s="461"/>
      <c r="G460" s="252"/>
      <c r="H460" s="462"/>
      <c r="M460" s="7"/>
    </row>
    <row r="461" spans="1:114" hidden="1" outlineLevel="1" x14ac:dyDescent="0.25">
      <c r="D461" s="461"/>
      <c r="G461" s="252"/>
      <c r="H461" s="462"/>
    </row>
    <row r="462" spans="1:114" s="8" customFormat="1" hidden="1" outlineLevel="1" x14ac:dyDescent="0.25">
      <c r="A462" s="252"/>
      <c r="B462" s="116"/>
      <c r="C462" s="64"/>
      <c r="D462" s="1294" t="s">
        <v>42</v>
      </c>
      <c r="E462" s="1294" t="s">
        <v>172</v>
      </c>
      <c r="F462" s="32" t="s">
        <v>550</v>
      </c>
      <c r="G462" s="1294" t="s">
        <v>551</v>
      </c>
      <c r="H462" s="1294" t="s">
        <v>552</v>
      </c>
      <c r="I462" s="116"/>
      <c r="J462" s="116"/>
      <c r="K462" s="116"/>
      <c r="L462" s="116"/>
      <c r="M462" s="116"/>
      <c r="N462" s="116"/>
      <c r="O462" s="116"/>
      <c r="P462" s="116"/>
      <c r="Q462" s="116"/>
      <c r="R462" s="116"/>
      <c r="S462" s="116"/>
      <c r="T462" s="116"/>
      <c r="U462" s="116"/>
      <c r="DG462" s="1023"/>
      <c r="DH462" s="116"/>
      <c r="DI462" s="116"/>
      <c r="DJ462" s="1116"/>
    </row>
    <row r="463" spans="1:114" hidden="1" outlineLevel="1" x14ac:dyDescent="0.25">
      <c r="D463" s="659" t="str">
        <f>C451</f>
        <v>805650_2019_12_</v>
      </c>
      <c r="E463" s="659" t="str">
        <f>E451</f>
        <v>Demand Controlled Ventillation (Gas Heat)</v>
      </c>
      <c r="F463" s="1778">
        <v>1</v>
      </c>
      <c r="G463" s="34">
        <v>665</v>
      </c>
      <c r="H463" s="511">
        <v>0</v>
      </c>
    </row>
    <row r="464" spans="1:114" hidden="1" outlineLevel="1" x14ac:dyDescent="0.25">
      <c r="D464" s="659" t="str">
        <f>C452</f>
        <v>805700_2019_12_</v>
      </c>
      <c r="E464" s="659" t="str">
        <f>E452</f>
        <v>Demand Controlled Ventillation (Electric Heat)</v>
      </c>
      <c r="F464" s="1778">
        <v>1</v>
      </c>
      <c r="G464" s="34">
        <v>665</v>
      </c>
      <c r="H464" s="511">
        <v>1230</v>
      </c>
    </row>
    <row r="465" spans="1:114" hidden="1" outlineLevel="1" x14ac:dyDescent="0.25">
      <c r="D465" s="659" t="str">
        <f>C453</f>
        <v>805750_2019_12_</v>
      </c>
      <c r="E465" s="659" t="str">
        <f>E453</f>
        <v>Demand Controlled Ventillation (Heat Pump)</v>
      </c>
      <c r="F465" s="1778">
        <v>1</v>
      </c>
      <c r="G465" s="34">
        <v>665</v>
      </c>
      <c r="H465" s="511">
        <v>410</v>
      </c>
    </row>
    <row r="466" spans="1:114" collapsed="1" x14ac:dyDescent="0.25"/>
    <row r="468" spans="1:114" s="7" customFormat="1" x14ac:dyDescent="0.25">
      <c r="A468" s="252"/>
      <c r="B468" s="2071" t="s">
        <v>553</v>
      </c>
      <c r="C468" s="2072"/>
      <c r="D468" s="2072"/>
      <c r="E468" s="2072"/>
      <c r="F468" s="2072"/>
      <c r="G468" s="2072"/>
      <c r="H468" s="2072"/>
      <c r="I468" s="2073"/>
      <c r="J468" s="2073"/>
      <c r="K468" s="2073"/>
      <c r="L468" s="2073"/>
      <c r="M468" s="2074"/>
      <c r="N468" s="2074"/>
      <c r="O468" s="2075"/>
      <c r="V468" s="1292" t="str">
        <f>B468</f>
        <v>Advanced RTU Controls</v>
      </c>
      <c r="W468" s="1293"/>
      <c r="X468" s="1293"/>
      <c r="Y468" s="1293"/>
      <c r="Z468" s="1293"/>
      <c r="AA468" s="1293"/>
      <c r="AB468" s="1293"/>
      <c r="AC468" s="1293"/>
      <c r="AD468" s="1293"/>
      <c r="AE468" s="1293"/>
      <c r="AF468" s="1293"/>
      <c r="AG468" s="1293"/>
      <c r="AH468" s="1293"/>
      <c r="AI468" s="1327"/>
      <c r="AJ468" s="2"/>
      <c r="AK468" s="2"/>
      <c r="AL468" s="2"/>
      <c r="AM468" s="2"/>
      <c r="AN468" s="2"/>
      <c r="AO468" s="2"/>
      <c r="AP468" s="2"/>
      <c r="AQ468" s="2"/>
      <c r="AR468" s="2"/>
      <c r="AS468" s="2"/>
      <c r="AT468" s="2"/>
      <c r="AU468" s="2"/>
      <c r="DG468" s="23"/>
      <c r="DJ468" s="1059"/>
    </row>
    <row r="469" spans="1:114" x14ac:dyDescent="0.25">
      <c r="D469" s="450"/>
      <c r="E469" s="7"/>
      <c r="F469" s="7"/>
      <c r="G469" s="7"/>
      <c r="H469" s="451"/>
      <c r="I469" s="7"/>
      <c r="J469" s="7"/>
      <c r="K469" s="7"/>
      <c r="L469" s="7"/>
      <c r="P469" s="7"/>
      <c r="Q469" s="7"/>
      <c r="R469" s="7"/>
      <c r="S469" s="7"/>
      <c r="T469" s="7"/>
      <c r="U469" s="7"/>
      <c r="V469"/>
      <c r="W469"/>
      <c r="X469"/>
      <c r="Y469"/>
      <c r="Z469"/>
      <c r="AA469"/>
      <c r="AB469"/>
      <c r="AC469"/>
      <c r="AD469"/>
      <c r="AE469"/>
      <c r="AF469"/>
      <c r="AG469"/>
      <c r="AH469"/>
      <c r="AI469"/>
      <c r="AJ469" s="6"/>
      <c r="AK469" s="6"/>
      <c r="AL469" s="6"/>
      <c r="AM469" s="6"/>
      <c r="AN469" s="6"/>
      <c r="AO469" s="6"/>
      <c r="AP469" s="6"/>
      <c r="AQ469" s="6"/>
      <c r="AR469" s="6"/>
      <c r="AS469" s="6"/>
      <c r="AT469" s="6"/>
      <c r="AU469" s="6"/>
      <c r="DG469" s="1016" t="s">
        <v>259</v>
      </c>
    </row>
    <row r="470" spans="1:114" s="8" customFormat="1" ht="30" x14ac:dyDescent="0.25">
      <c r="A470" s="252"/>
      <c r="B470" s="64"/>
      <c r="C470" s="9" t="s">
        <v>42</v>
      </c>
      <c r="D470" s="9" t="s">
        <v>43</v>
      </c>
      <c r="E470" s="1361" t="s">
        <v>44</v>
      </c>
      <c r="F470" s="1361" t="s">
        <v>260</v>
      </c>
      <c r="G470" s="1361" t="s">
        <v>46</v>
      </c>
      <c r="H470" s="10" t="s">
        <v>47</v>
      </c>
      <c r="I470" s="1361" t="s">
        <v>48</v>
      </c>
      <c r="J470" s="1361" t="s">
        <v>49</v>
      </c>
      <c r="K470" s="9" t="s">
        <v>554</v>
      </c>
      <c r="L470" s="9" t="s">
        <v>51</v>
      </c>
      <c r="M470" s="252"/>
      <c r="N470" s="252"/>
      <c r="O470" s="252"/>
      <c r="P470" s="116"/>
      <c r="Q470" s="116"/>
      <c r="R470" s="116"/>
      <c r="S470" s="116"/>
      <c r="T470" s="116"/>
      <c r="U470" s="116"/>
      <c r="V470" s="648" t="s">
        <v>52</v>
      </c>
      <c r="W470" s="649">
        <f>$W$8</f>
        <v>43252</v>
      </c>
      <c r="X470" s="649">
        <f>$X$8</f>
        <v>43465</v>
      </c>
      <c r="Y470" s="649">
        <f>$Y$8</f>
        <v>43800</v>
      </c>
      <c r="Z470" s="649">
        <f>$Z$8</f>
        <v>43862</v>
      </c>
      <c r="AA470" s="649">
        <f>$AA$8</f>
        <v>44013</v>
      </c>
      <c r="AB470" s="649">
        <v>44166</v>
      </c>
      <c r="AC470" s="649">
        <f>$AC$8</f>
        <v>44531</v>
      </c>
      <c r="AD470" s="649">
        <f>$AD$8</f>
        <v>44774</v>
      </c>
      <c r="AE470" s="649">
        <f>$AE$8</f>
        <v>45142</v>
      </c>
      <c r="AF470" s="649">
        <f>$AF$8</f>
        <v>45672</v>
      </c>
      <c r="AG470" s="649" t="str">
        <f>$AG$8</f>
        <v>-</v>
      </c>
      <c r="AH470"/>
      <c r="AI470" s="648" t="s">
        <v>52</v>
      </c>
      <c r="AJ470" s="649">
        <v>43252</v>
      </c>
      <c r="AK470" s="649">
        <f>$X$8</f>
        <v>43465</v>
      </c>
      <c r="AL470" s="649">
        <f>$Y$8</f>
        <v>43800</v>
      </c>
      <c r="AM470" s="649">
        <f>$Z$8</f>
        <v>43862</v>
      </c>
      <c r="AN470" s="649">
        <f>$AA$8</f>
        <v>44013</v>
      </c>
      <c r="AO470" s="649">
        <f>$AB$8</f>
        <v>44166</v>
      </c>
      <c r="AP470" s="649">
        <f>$AC$8</f>
        <v>44531</v>
      </c>
      <c r="AQ470" s="649">
        <f>$AD$8</f>
        <v>44774</v>
      </c>
      <c r="AR470" s="649">
        <f>$AE$8</f>
        <v>45142</v>
      </c>
      <c r="AS470" s="649">
        <f>$AF$8</f>
        <v>45672</v>
      </c>
      <c r="AT470" s="2"/>
      <c r="AU470" s="648" t="s">
        <v>52</v>
      </c>
      <c r="AV470" s="649">
        <v>43252</v>
      </c>
      <c r="AW470" s="649">
        <f>$X$8</f>
        <v>43465</v>
      </c>
      <c r="AX470" s="649">
        <f>$Y$8</f>
        <v>43800</v>
      </c>
      <c r="AY470" s="649">
        <f>$Z$8</f>
        <v>43862</v>
      </c>
      <c r="AZ470" s="649">
        <f>$AA$8</f>
        <v>44013</v>
      </c>
      <c r="BA470" s="649">
        <v>44166</v>
      </c>
      <c r="BB470" s="649">
        <f>$AC$8</f>
        <v>44531</v>
      </c>
      <c r="BC470" s="649">
        <f>$AD$8</f>
        <v>44774</v>
      </c>
      <c r="BD470" s="649">
        <f>$AE$8</f>
        <v>45142</v>
      </c>
      <c r="BE470" s="649">
        <f>$AF$8</f>
        <v>45672</v>
      </c>
      <c r="DG470" s="1018" t="str">
        <f>$DG$8</f>
        <v>TRC (2025)</v>
      </c>
      <c r="DH470" s="776" t="str">
        <f>$DH$8</f>
        <v>Benefit Lookup</v>
      </c>
      <c r="DI470" s="776" t="str">
        <f>$DI$8</f>
        <v>Benefits (2025 $)</v>
      </c>
      <c r="DJ470" s="1118" t="str">
        <f>$DJ$8</f>
        <v>Incremental Cost (2025 $)</v>
      </c>
    </row>
    <row r="471" spans="1:114" x14ac:dyDescent="0.25">
      <c r="B471" s="252">
        <f t="shared" ref="B471" si="128">VALUE(LEFT(C471,6))</f>
        <v>805800</v>
      </c>
      <c r="C471" s="668" t="s">
        <v>555</v>
      </c>
      <c r="D471" s="452" t="s">
        <v>111</v>
      </c>
      <c r="E471" s="469" t="s">
        <v>553</v>
      </c>
      <c r="F471" s="404">
        <f>ROUND(F481*G481*H481,2)</f>
        <v>3779.33</v>
      </c>
      <c r="G471" s="452" t="s">
        <v>360</v>
      </c>
      <c r="H471" s="453">
        <f>VLOOKUP(G471,'CP FACTORS'!$A$26:$B$38,2,FALSE)</f>
        <v>4.4398300000000001E-4</v>
      </c>
      <c r="I471" s="470">
        <f>ROUND(H471*F471,6)</f>
        <v>1.6779580000000001</v>
      </c>
      <c r="J471" s="99">
        <v>15</v>
      </c>
      <c r="K471" s="1766">
        <v>4038</v>
      </c>
      <c r="L471" s="498" t="s">
        <v>62</v>
      </c>
      <c r="V471" s="1343" t="str">
        <f>F470</f>
        <v>kWh Annual Savings (per HP)</v>
      </c>
      <c r="W471" s="53">
        <v>3779.3340000000003</v>
      </c>
      <c r="X471" s="53">
        <v>3779.3340000000003</v>
      </c>
      <c r="Y471" s="53">
        <v>3779.3340000000003</v>
      </c>
      <c r="Z471" s="53">
        <v>3779.3340000000003</v>
      </c>
      <c r="AA471" s="53">
        <v>3779.3340000000003</v>
      </c>
      <c r="AB471" s="628">
        <v>3779.33</v>
      </c>
      <c r="AC471" s="705">
        <v>3779.33</v>
      </c>
      <c r="AD471" s="705">
        <v>3779.33</v>
      </c>
      <c r="AE471" s="705">
        <v>3779.33</v>
      </c>
      <c r="AF471" s="705">
        <v>3779.33</v>
      </c>
      <c r="AG471" s="68"/>
      <c r="AH471"/>
      <c r="AI471" s="1375" t="s">
        <v>49</v>
      </c>
      <c r="AJ471" s="19">
        <v>15</v>
      </c>
      <c r="AK471" s="19">
        <v>15</v>
      </c>
      <c r="AL471" s="19">
        <v>15</v>
      </c>
      <c r="AM471" s="19">
        <v>15</v>
      </c>
      <c r="AN471" s="19">
        <v>15</v>
      </c>
      <c r="AO471" s="52">
        <v>15</v>
      </c>
      <c r="AP471" s="684">
        <v>15</v>
      </c>
      <c r="AQ471" s="684">
        <v>15</v>
      </c>
      <c r="AR471" s="684">
        <v>15</v>
      </c>
      <c r="AS471" s="684">
        <v>15</v>
      </c>
      <c r="AU471" s="1375" t="s">
        <v>50</v>
      </c>
      <c r="AV471" s="685">
        <v>4038</v>
      </c>
      <c r="AW471" s="685">
        <v>4038</v>
      </c>
      <c r="AX471" s="685">
        <v>4038</v>
      </c>
      <c r="AY471" s="685">
        <v>4038</v>
      </c>
      <c r="AZ471" s="685">
        <v>4038</v>
      </c>
      <c r="BA471" s="669">
        <v>4038</v>
      </c>
      <c r="BB471" s="669">
        <v>4038</v>
      </c>
      <c r="BC471" s="669">
        <v>4038</v>
      </c>
      <c r="BD471" s="669">
        <v>4038</v>
      </c>
      <c r="BE471" s="669">
        <v>4038</v>
      </c>
      <c r="DG471" s="1025">
        <f>(DI471)/(DJ471)</f>
        <v>1.1412362084060232</v>
      </c>
      <c r="DH471" s="1330" t="str">
        <f>CONCATENATE(G471," ",J471," Year EUL")</f>
        <v>HVAC BUS 15 Year EUL</v>
      </c>
      <c r="DI471" s="1026">
        <f>(INDEX('Avoided Cost Benefits'!$B$4:$B$864,MATCH(DH471,'Avoided Cost Benefits'!$A$4:$A$864,0)))*F471</f>
        <v>4608.311809543522</v>
      </c>
      <c r="DJ471" s="1119">
        <f>IFERROR(K471/((1+DiscountRate)^(CurrentYear-DiscountYear)),0)</f>
        <v>4038</v>
      </c>
    </row>
    <row r="472" spans="1:114" hidden="1" outlineLevel="1" x14ac:dyDescent="0.25">
      <c r="D472" s="74" t="s">
        <v>94</v>
      </c>
      <c r="E472" s="108" t="s">
        <v>556</v>
      </c>
      <c r="F472" s="7"/>
      <c r="G472" s="7"/>
      <c r="H472" s="460"/>
      <c r="I472" s="7"/>
      <c r="J472" s="7"/>
      <c r="K472" s="7"/>
      <c r="V472" s="1343" t="str">
        <f>V471</f>
        <v>kWh Annual Savings (per HP)</v>
      </c>
      <c r="W472" s="53">
        <v>3779.3340000000003</v>
      </c>
      <c r="X472" s="53">
        <v>3779.3340000000003</v>
      </c>
      <c r="Y472" s="53">
        <v>3779.3340000000003</v>
      </c>
      <c r="Z472" s="53">
        <v>3779.3340000000003</v>
      </c>
      <c r="AA472" s="53">
        <v>3779.3340000000003</v>
      </c>
      <c r="AB472" s="628">
        <v>0</v>
      </c>
      <c r="AC472" s="68"/>
      <c r="AD472" s="68"/>
      <c r="AE472" s="68"/>
      <c r="AF472" s="68"/>
      <c r="AG472" s="68"/>
      <c r="AH472"/>
      <c r="AI472"/>
      <c r="AJ472"/>
      <c r="AK472"/>
      <c r="AL472"/>
      <c r="AM472"/>
      <c r="AN472"/>
      <c r="AO472"/>
      <c r="AP472"/>
      <c r="AQ472"/>
      <c r="AR472"/>
      <c r="AS472"/>
      <c r="AT472"/>
      <c r="AU472"/>
      <c r="AV472"/>
      <c r="AW472"/>
      <c r="AX472"/>
      <c r="AY472"/>
      <c r="AZ472"/>
      <c r="BA472"/>
      <c r="BB472"/>
      <c r="BC472"/>
      <c r="BD472"/>
      <c r="BE472"/>
      <c r="BF472"/>
      <c r="BG472"/>
      <c r="BH472"/>
      <c r="BI472"/>
      <c r="BJ472"/>
      <c r="BK472"/>
    </row>
    <row r="473" spans="1:114" hidden="1" outlineLevel="1" x14ac:dyDescent="0.25">
      <c r="D473" s="7" t="s">
        <v>96</v>
      </c>
      <c r="E473" s="64"/>
      <c r="F473" s="7"/>
      <c r="G473" s="7"/>
      <c r="H473" s="460"/>
      <c r="I473" s="7"/>
      <c r="J473" s="7"/>
      <c r="K473" s="64"/>
    </row>
    <row r="474" spans="1:114" ht="18" hidden="1" customHeight="1" outlineLevel="1" x14ac:dyDescent="0.25">
      <c r="D474" s="461"/>
      <c r="E474" s="64"/>
      <c r="F474" s="64"/>
      <c r="G474" s="252"/>
      <c r="H474" s="462"/>
    </row>
    <row r="475" spans="1:114" hidden="1" outlineLevel="1" x14ac:dyDescent="0.25">
      <c r="D475" s="461"/>
      <c r="G475" s="252"/>
      <c r="H475" s="462"/>
      <c r="P475" s="2089"/>
      <c r="Q475" s="2089"/>
    </row>
    <row r="476" spans="1:114" hidden="1" outlineLevel="1" x14ac:dyDescent="0.25">
      <c r="D476" s="461"/>
      <c r="G476" s="252"/>
      <c r="H476" s="462"/>
      <c r="M476" s="7"/>
      <c r="P476" s="2089"/>
      <c r="Q476" s="2089"/>
    </row>
    <row r="477" spans="1:114" hidden="1" outlineLevel="1" x14ac:dyDescent="0.25">
      <c r="D477" s="461"/>
      <c r="G477" s="252"/>
      <c r="H477" s="462"/>
      <c r="M477" s="7"/>
      <c r="P477" s="2089"/>
      <c r="Q477" s="2089"/>
    </row>
    <row r="478" spans="1:114" hidden="1" outlineLevel="1" x14ac:dyDescent="0.25">
      <c r="D478" s="461"/>
      <c r="G478" s="252"/>
      <c r="H478" s="462"/>
      <c r="M478" s="7"/>
    </row>
    <row r="479" spans="1:114" hidden="1" outlineLevel="1" x14ac:dyDescent="0.25">
      <c r="D479" s="461"/>
      <c r="G479" s="252"/>
      <c r="H479" s="462"/>
    </row>
    <row r="480" spans="1:114" s="8" customFormat="1" hidden="1" outlineLevel="1" x14ac:dyDescent="0.25">
      <c r="A480" s="252"/>
      <c r="B480" s="116"/>
      <c r="C480" s="64"/>
      <c r="D480" s="1294" t="s">
        <v>42</v>
      </c>
      <c r="E480" s="1294" t="s">
        <v>172</v>
      </c>
      <c r="F480" s="31" t="s">
        <v>557</v>
      </c>
      <c r="G480" s="1294" t="s">
        <v>558</v>
      </c>
      <c r="H480" s="1294" t="s">
        <v>559</v>
      </c>
      <c r="I480" s="116"/>
      <c r="J480" s="116"/>
      <c r="K480" s="116"/>
      <c r="L480" s="116"/>
      <c r="M480" s="116"/>
      <c r="N480" s="116"/>
      <c r="O480" s="116"/>
      <c r="P480" s="116"/>
      <c r="Q480" s="116"/>
      <c r="R480" s="116"/>
      <c r="S480" s="116"/>
      <c r="T480" s="116"/>
      <c r="U480" s="116"/>
      <c r="DG480" s="1023"/>
      <c r="DH480" s="116"/>
      <c r="DI480" s="116"/>
      <c r="DJ480" s="1116"/>
    </row>
    <row r="481" spans="2:114" hidden="1" outlineLevel="1" x14ac:dyDescent="0.25">
      <c r="D481" s="659" t="str">
        <f>C471</f>
        <v>805800_2019_12_</v>
      </c>
      <c r="E481" s="659" t="str">
        <f>E471</f>
        <v>Advanced RTU Controls</v>
      </c>
      <c r="F481" s="1778">
        <v>1</v>
      </c>
      <c r="G481" s="517">
        <v>0.55800000000000005</v>
      </c>
      <c r="H481" s="1791">
        <v>6773</v>
      </c>
    </row>
    <row r="482" spans="2:114" collapsed="1" x14ac:dyDescent="0.25"/>
    <row r="484" spans="2:114" x14ac:dyDescent="0.25">
      <c r="B484" s="2066" t="s">
        <v>560</v>
      </c>
      <c r="C484" s="2080"/>
      <c r="D484" s="2080"/>
      <c r="E484" s="2080"/>
      <c r="F484" s="2080"/>
      <c r="G484" s="2080"/>
      <c r="H484" s="2080"/>
      <c r="I484" s="2080"/>
      <c r="J484" s="2080"/>
      <c r="K484" s="2080"/>
      <c r="L484" s="2080"/>
      <c r="M484" s="2080"/>
      <c r="N484" s="2080"/>
      <c r="O484" s="2090"/>
      <c r="V484" s="1292" t="str">
        <f>B484</f>
        <v>High Volume Low Speed Fans</v>
      </c>
      <c r="W484" s="1293"/>
      <c r="X484" s="1293"/>
      <c r="Y484" s="1293"/>
      <c r="Z484" s="1293"/>
      <c r="AA484" s="1293"/>
      <c r="AB484" s="1293"/>
      <c r="AC484" s="1293"/>
      <c r="AD484" s="1293"/>
      <c r="AE484" s="1293"/>
      <c r="AF484" s="1293"/>
      <c r="AG484" s="1293"/>
      <c r="AH484" s="1293"/>
      <c r="AI484" s="1327"/>
      <c r="AV484" s="7"/>
      <c r="AW484" s="7"/>
      <c r="AX484" s="7"/>
      <c r="AY484" s="7"/>
      <c r="AZ484" s="7"/>
      <c r="BA484" s="7"/>
      <c r="BB484" s="7"/>
      <c r="BC484" s="7"/>
      <c r="BD484" s="7"/>
      <c r="BE484" s="7"/>
    </row>
    <row r="485" spans="2:114" x14ac:dyDescent="0.25">
      <c r="V485"/>
      <c r="W485"/>
      <c r="X485"/>
      <c r="Y485"/>
      <c r="Z485"/>
      <c r="AA485"/>
      <c r="AB485"/>
      <c r="AC485"/>
      <c r="AD485"/>
      <c r="AE485"/>
      <c r="AF485"/>
      <c r="AG485"/>
      <c r="AH485"/>
      <c r="AI485"/>
      <c r="AJ485" s="6"/>
      <c r="AK485" s="6"/>
      <c r="AL485" s="6"/>
      <c r="AM485" s="6"/>
      <c r="AN485" s="6"/>
      <c r="AO485" s="6"/>
      <c r="AP485" s="6"/>
      <c r="AQ485" s="6"/>
      <c r="AR485" s="6"/>
      <c r="AS485" s="6"/>
      <c r="AT485" s="6"/>
      <c r="AU485" s="6"/>
    </row>
    <row r="486" spans="2:114" ht="30" x14ac:dyDescent="0.25">
      <c r="C486" s="9" t="s">
        <v>42</v>
      </c>
      <c r="D486" s="9" t="s">
        <v>43</v>
      </c>
      <c r="E486" s="1361" t="s">
        <v>44</v>
      </c>
      <c r="F486" s="1361" t="s">
        <v>561</v>
      </c>
      <c r="G486" s="1361" t="s">
        <v>46</v>
      </c>
      <c r="H486" s="10" t="s">
        <v>47</v>
      </c>
      <c r="I486" s="1361" t="s">
        <v>48</v>
      </c>
      <c r="J486" s="1361" t="s">
        <v>49</v>
      </c>
      <c r="K486" s="9" t="s">
        <v>50</v>
      </c>
      <c r="L486" s="9" t="s">
        <v>51</v>
      </c>
      <c r="V486" s="648" t="s">
        <v>52</v>
      </c>
      <c r="W486" s="649">
        <f>$W$8</f>
        <v>43252</v>
      </c>
      <c r="X486" s="649">
        <f>$X$8</f>
        <v>43465</v>
      </c>
      <c r="Y486" s="649">
        <f>$Y$8</f>
        <v>43800</v>
      </c>
      <c r="Z486" s="649">
        <f>$Z$8</f>
        <v>43862</v>
      </c>
      <c r="AA486" s="649">
        <f>$AA$8</f>
        <v>44013</v>
      </c>
      <c r="AB486" s="649">
        <v>44166</v>
      </c>
      <c r="AC486" s="649">
        <f>$AC$8</f>
        <v>44531</v>
      </c>
      <c r="AD486" s="649">
        <f>$AD$8</f>
        <v>44774</v>
      </c>
      <c r="AE486" s="649">
        <f>$AE$8</f>
        <v>45142</v>
      </c>
      <c r="AF486" s="649">
        <f>$AF$8</f>
        <v>45672</v>
      </c>
      <c r="AG486" s="649" t="str">
        <f>$AG$8</f>
        <v>-</v>
      </c>
      <c r="AH486"/>
      <c r="AI486" s="648" t="s">
        <v>52</v>
      </c>
      <c r="AJ486" s="649">
        <v>43252</v>
      </c>
      <c r="AK486" s="649">
        <f>$X$8</f>
        <v>43465</v>
      </c>
      <c r="AL486" s="649">
        <f>$Y$8</f>
        <v>43800</v>
      </c>
      <c r="AM486" s="649">
        <f>$Z$8</f>
        <v>43862</v>
      </c>
      <c r="AN486" s="649">
        <f>$AA$8</f>
        <v>44013</v>
      </c>
      <c r="AO486" s="649">
        <f>$AB$8</f>
        <v>44166</v>
      </c>
      <c r="AP486" s="649">
        <f>$AC$8</f>
        <v>44531</v>
      </c>
      <c r="AQ486" s="649">
        <f>$AD$8</f>
        <v>44774</v>
      </c>
      <c r="AR486" s="649">
        <f>$AE$8</f>
        <v>45142</v>
      </c>
      <c r="AS486" s="649">
        <f>$AF$8</f>
        <v>45672</v>
      </c>
      <c r="AU486" s="648" t="s">
        <v>52</v>
      </c>
      <c r="AV486" s="649">
        <v>43252</v>
      </c>
      <c r="AW486" s="649">
        <f>$X$8</f>
        <v>43465</v>
      </c>
      <c r="AX486" s="649">
        <f>$Y$8</f>
        <v>43800</v>
      </c>
      <c r="AY486" s="649">
        <f>$Z$8</f>
        <v>43862</v>
      </c>
      <c r="AZ486" s="649">
        <f>$AA$8</f>
        <v>44013</v>
      </c>
      <c r="BA486" s="649">
        <v>44166</v>
      </c>
      <c r="BB486" s="649">
        <f>$AC$8</f>
        <v>44531</v>
      </c>
      <c r="BC486" s="649">
        <f>$AD$8</f>
        <v>44774</v>
      </c>
      <c r="BD486" s="649">
        <f>$AE$8</f>
        <v>45142</v>
      </c>
      <c r="BE486" s="649">
        <f>$AF$8</f>
        <v>45672</v>
      </c>
      <c r="DG486" s="1018" t="str">
        <f>$DG$8</f>
        <v>TRC (2025)</v>
      </c>
      <c r="DH486" s="776" t="str">
        <f>$DH$8</f>
        <v>Benefit Lookup</v>
      </c>
      <c r="DI486" s="776" t="str">
        <f>$DI$8</f>
        <v>Benefits (2025 $)</v>
      </c>
      <c r="DJ486" s="1118" t="str">
        <f>$DJ$8</f>
        <v>Incremental Cost (2025 $)</v>
      </c>
    </row>
    <row r="487" spans="2:114" x14ac:dyDescent="0.25">
      <c r="B487" s="252">
        <f t="shared" ref="B487:B488" si="129">VALUE(LEFT(C487,6))</f>
        <v>806090</v>
      </c>
      <c r="C487" s="668" t="s">
        <v>562</v>
      </c>
      <c r="D487" s="452" t="s">
        <v>111</v>
      </c>
      <c r="E487" s="469" t="s">
        <v>563</v>
      </c>
      <c r="F487" s="19">
        <f>ROUND(F497*G497,2)</f>
        <v>3218</v>
      </c>
      <c r="G487" s="452" t="s">
        <v>360</v>
      </c>
      <c r="H487" s="453">
        <f>VLOOKUP(G487,'CP FACTORS'!$A$26:$B$38,2,FALSE)</f>
        <v>4.4398300000000001E-4</v>
      </c>
      <c r="I487" s="518">
        <f>F487*H487</f>
        <v>1.428737294</v>
      </c>
      <c r="J487" s="99">
        <v>10</v>
      </c>
      <c r="K487" s="1774">
        <v>4072</v>
      </c>
      <c r="L487" s="498" t="s">
        <v>62</v>
      </c>
      <c r="V487" s="1343" t="s">
        <v>45</v>
      </c>
      <c r="W487" s="53"/>
      <c r="X487" s="53"/>
      <c r="Y487" s="53"/>
      <c r="Z487" s="68"/>
      <c r="AA487" s="658"/>
      <c r="AB487" s="628"/>
      <c r="AC487" s="705"/>
      <c r="AD487" s="705"/>
      <c r="AE487" s="705"/>
      <c r="AF487" s="705">
        <v>3218</v>
      </c>
      <c r="AG487" s="68"/>
      <c r="AH487"/>
      <c r="AI487" s="1343" t="s">
        <v>49</v>
      </c>
      <c r="AJ487" s="651"/>
      <c r="AK487" s="651"/>
      <c r="AL487" s="651"/>
      <c r="AM487" s="68"/>
      <c r="AN487" s="662"/>
      <c r="AO487" s="684"/>
      <c r="AP487" s="684"/>
      <c r="AQ487" s="684"/>
      <c r="AR487" s="684"/>
      <c r="AS487" s="54">
        <v>10</v>
      </c>
      <c r="AU487" s="1343" t="s">
        <v>50</v>
      </c>
      <c r="AV487" s="652"/>
      <c r="AW487" s="652"/>
      <c r="AX487" s="652"/>
      <c r="AY487" s="68"/>
      <c r="AZ487" s="664"/>
      <c r="BA487" s="669"/>
      <c r="BB487" s="669"/>
      <c r="BC487" s="669"/>
      <c r="BD487" s="669"/>
      <c r="BE487" s="739">
        <v>4072</v>
      </c>
      <c r="DG487" s="1020">
        <f>(DI487)/(DJ487)</f>
        <v>0.71821819439734769</v>
      </c>
      <c r="DH487" s="1330" t="str">
        <f>CONCATENATE(G487," ",J487," Year EUL")</f>
        <v>HVAC BUS 10 Year EUL</v>
      </c>
      <c r="DI487" s="431">
        <f>(INDEX('Avoided Cost Benefits'!$B$4:$B$864,MATCH(DH487,'Avoided Cost Benefits'!$A$4:$A$864,0)))*F487</f>
        <v>2924.5844875859998</v>
      </c>
      <c r="DJ487" s="1935">
        <f>IFERROR(K487/((1+DiscountRate)^(CurrentYear-DiscountYear)),0)</f>
        <v>4072</v>
      </c>
    </row>
    <row r="488" spans="2:114" x14ac:dyDescent="0.25">
      <c r="B488" s="252">
        <f t="shared" si="129"/>
        <v>806095</v>
      </c>
      <c r="C488" s="668" t="s">
        <v>564</v>
      </c>
      <c r="D488" s="452" t="s">
        <v>111</v>
      </c>
      <c r="E488" s="469" t="s">
        <v>565</v>
      </c>
      <c r="F488" s="19">
        <f>ROUND(F498*G498,2)</f>
        <v>4938</v>
      </c>
      <c r="G488" s="452" t="s">
        <v>360</v>
      </c>
      <c r="H488" s="453">
        <f>VLOOKUP(G488,'CP FACTORS'!$A$26:$B$38,2,FALSE)</f>
        <v>4.4398300000000001E-4</v>
      </c>
      <c r="I488" s="518">
        <f>F488*H488</f>
        <v>2.1923880540000003</v>
      </c>
      <c r="J488" s="99">
        <v>10</v>
      </c>
      <c r="K488" s="1774">
        <v>4110</v>
      </c>
      <c r="L488" s="498" t="s">
        <v>62</v>
      </c>
      <c r="V488" s="1343" t="s">
        <v>45</v>
      </c>
      <c r="W488" s="53"/>
      <c r="X488" s="53"/>
      <c r="Y488" s="53"/>
      <c r="Z488" s="68"/>
      <c r="AA488" s="658"/>
      <c r="AB488" s="628"/>
      <c r="AC488" s="705"/>
      <c r="AD488" s="705"/>
      <c r="AE488" s="705"/>
      <c r="AF488" s="705">
        <v>4938</v>
      </c>
      <c r="AG488" s="68"/>
      <c r="AH488"/>
      <c r="AI488" s="1343" t="s">
        <v>49</v>
      </c>
      <c r="AJ488" s="651"/>
      <c r="AK488" s="651"/>
      <c r="AL488" s="651"/>
      <c r="AM488" s="68"/>
      <c r="AN488" s="662"/>
      <c r="AO488" s="684"/>
      <c r="AP488" s="684"/>
      <c r="AQ488" s="684"/>
      <c r="AR488" s="684"/>
      <c r="AS488" s="54">
        <v>10</v>
      </c>
      <c r="AU488" s="1343" t="s">
        <v>50</v>
      </c>
      <c r="AV488" s="652"/>
      <c r="AW488" s="652"/>
      <c r="AX488" s="652"/>
      <c r="AY488" s="68"/>
      <c r="AZ488" s="664"/>
      <c r="BA488" s="669"/>
      <c r="BB488" s="669"/>
      <c r="BC488" s="669"/>
      <c r="BD488" s="669"/>
      <c r="BE488" s="739">
        <v>4110</v>
      </c>
      <c r="DG488" s="1020">
        <f>(DI488)/(DJ488)</f>
        <v>1.0919113895302781</v>
      </c>
      <c r="DH488" s="1330" t="str">
        <f>CONCATENATE(G488," ",J488," Year EUL")</f>
        <v>HVAC BUS 10 Year EUL</v>
      </c>
      <c r="DI488" s="431">
        <f>(INDEX('Avoided Cost Benefits'!$B$4:$B$864,MATCH(DH488,'Avoided Cost Benefits'!$A$4:$A$864,0)))*F488</f>
        <v>4487.7558109694428</v>
      </c>
      <c r="DJ488" s="1936">
        <f>IFERROR(K488/((1+DiscountRate)^(CurrentYear-DiscountYear)),0)</f>
        <v>4110</v>
      </c>
    </row>
    <row r="489" spans="2:114" x14ac:dyDescent="0.25">
      <c r="B489" s="252">
        <f t="shared" ref="B489:B491" si="130">VALUE(LEFT(C489,6))</f>
        <v>806100</v>
      </c>
      <c r="C489" s="668" t="s">
        <v>566</v>
      </c>
      <c r="D489" s="452" t="s">
        <v>111</v>
      </c>
      <c r="E489" s="469" t="s">
        <v>567</v>
      </c>
      <c r="F489" s="19">
        <f>ROUND(F499*G499,2)</f>
        <v>6577</v>
      </c>
      <c r="G489" s="452" t="s">
        <v>360</v>
      </c>
      <c r="H489" s="453">
        <f>VLOOKUP(G489,'CP FACTORS'!$A$26:$B$38,2,FALSE)</f>
        <v>4.4398300000000001E-4</v>
      </c>
      <c r="I489" s="518">
        <f>F489*H489</f>
        <v>2.9200761910000002</v>
      </c>
      <c r="J489" s="99">
        <v>10</v>
      </c>
      <c r="K489" s="1774">
        <v>4150</v>
      </c>
      <c r="L489" s="498" t="s">
        <v>62</v>
      </c>
      <c r="V489" s="1343" t="s">
        <v>45</v>
      </c>
      <c r="W489" s="53"/>
      <c r="X489" s="53"/>
      <c r="Y489" s="53"/>
      <c r="Z489" s="68"/>
      <c r="AA489" s="658">
        <v>6577</v>
      </c>
      <c r="AB489" s="628">
        <v>6577</v>
      </c>
      <c r="AC489" s="705">
        <v>6577</v>
      </c>
      <c r="AD489" s="705">
        <v>6577</v>
      </c>
      <c r="AE489" s="705">
        <v>6577</v>
      </c>
      <c r="AF489" s="705">
        <v>6577</v>
      </c>
      <c r="AG489" s="68"/>
      <c r="AH489"/>
      <c r="AI489" s="1343" t="s">
        <v>49</v>
      </c>
      <c r="AJ489" s="651"/>
      <c r="AK489" s="651"/>
      <c r="AL489" s="651"/>
      <c r="AM489" s="68"/>
      <c r="AN489" s="662">
        <v>10</v>
      </c>
      <c r="AO489" s="684">
        <v>10</v>
      </c>
      <c r="AP489" s="684">
        <v>10</v>
      </c>
      <c r="AQ489" s="684">
        <v>10</v>
      </c>
      <c r="AR489" s="684">
        <v>10</v>
      </c>
      <c r="AS489" s="684">
        <v>10</v>
      </c>
      <c r="AU489" s="1343" t="s">
        <v>50</v>
      </c>
      <c r="AV489" s="652"/>
      <c r="AW489" s="652"/>
      <c r="AX489" s="652"/>
      <c r="AY489" s="68"/>
      <c r="AZ489" s="664">
        <v>4150</v>
      </c>
      <c r="BA489" s="669">
        <v>4150</v>
      </c>
      <c r="BB489" s="669">
        <v>4150</v>
      </c>
      <c r="BC489" s="669">
        <v>4150</v>
      </c>
      <c r="BD489" s="669">
        <v>4150</v>
      </c>
      <c r="BE489" s="669">
        <v>4150</v>
      </c>
      <c r="DG489" s="1020">
        <f>(DI489)/(DJ489)</f>
        <v>1.4403163062332454</v>
      </c>
      <c r="DH489" s="1330" t="str">
        <f>CONCATENATE(G489," ",J489," Year EUL")</f>
        <v>HVAC BUS 10 Year EUL</v>
      </c>
      <c r="DI489" s="431">
        <f>(INDEX('Avoided Cost Benefits'!$B$4:$B$864,MATCH(DH489,'Avoided Cost Benefits'!$A$4:$A$864,0)))*F489</f>
        <v>5977.3126708679683</v>
      </c>
      <c r="DJ489" s="1936">
        <f>IFERROR(K489/((1+DiscountRate)^(CurrentYear-DiscountYear)),0)</f>
        <v>4150</v>
      </c>
    </row>
    <row r="490" spans="2:114" x14ac:dyDescent="0.25">
      <c r="B490" s="252">
        <f t="shared" si="130"/>
        <v>806110</v>
      </c>
      <c r="C490" s="668" t="s">
        <v>568</v>
      </c>
      <c r="D490" s="452" t="s">
        <v>111</v>
      </c>
      <c r="E490" s="469" t="s">
        <v>569</v>
      </c>
      <c r="F490" s="19">
        <f>ROUND(F500*G500,2)</f>
        <v>8543</v>
      </c>
      <c r="G490" s="452" t="s">
        <v>360</v>
      </c>
      <c r="H490" s="453">
        <f>VLOOKUP(G490,'CP FACTORS'!$A$26:$B$38,2,FALSE)</f>
        <v>4.4398300000000001E-4</v>
      </c>
      <c r="I490" s="518">
        <f>F490*H490</f>
        <v>3.7929467690000003</v>
      </c>
      <c r="J490" s="99">
        <v>10</v>
      </c>
      <c r="K490" s="1774">
        <v>4180</v>
      </c>
      <c r="L490" s="498" t="s">
        <v>62</v>
      </c>
      <c r="V490" s="1343" t="s">
        <v>45</v>
      </c>
      <c r="W490" s="53"/>
      <c r="X490" s="53"/>
      <c r="Y490" s="53"/>
      <c r="Z490" s="68"/>
      <c r="AA490" s="658">
        <v>8543</v>
      </c>
      <c r="AB490" s="628">
        <v>8543</v>
      </c>
      <c r="AC490" s="705">
        <v>8543</v>
      </c>
      <c r="AD490" s="705">
        <v>8543</v>
      </c>
      <c r="AE490" s="705">
        <v>8543</v>
      </c>
      <c r="AF490" s="705">
        <v>8543</v>
      </c>
      <c r="AG490" s="68"/>
      <c r="AH490"/>
      <c r="AI490" s="1343" t="s">
        <v>49</v>
      </c>
      <c r="AJ490" s="651"/>
      <c r="AK490" s="651"/>
      <c r="AL490" s="651"/>
      <c r="AM490" s="68"/>
      <c r="AN490" s="662">
        <v>10</v>
      </c>
      <c r="AO490" s="684">
        <v>10</v>
      </c>
      <c r="AP490" s="684">
        <v>10</v>
      </c>
      <c r="AQ490" s="684">
        <v>10</v>
      </c>
      <c r="AR490" s="684">
        <v>10</v>
      </c>
      <c r="AS490" s="684">
        <v>10</v>
      </c>
      <c r="AU490" s="1343" t="s">
        <v>50</v>
      </c>
      <c r="AV490" s="652"/>
      <c r="AW490" s="652"/>
      <c r="AX490" s="652"/>
      <c r="AY490" s="68"/>
      <c r="AZ490" s="664">
        <v>4180</v>
      </c>
      <c r="BA490" s="669">
        <v>4180</v>
      </c>
      <c r="BB490" s="669">
        <v>4180</v>
      </c>
      <c r="BC490" s="669">
        <v>4180</v>
      </c>
      <c r="BD490" s="669">
        <v>4180</v>
      </c>
      <c r="BE490" s="669">
        <v>4180</v>
      </c>
      <c r="DG490" s="1027">
        <f>(DI490)/(DJ490)</f>
        <v>1.8574291498365354</v>
      </c>
      <c r="DH490" s="653" t="str">
        <f>CONCATENATE(G490," ",J490," Year EUL")</f>
        <v>HVAC BUS 10 Year EUL</v>
      </c>
      <c r="DI490" s="431">
        <f>(INDEX('Avoided Cost Benefits'!$B$4:$B$864,MATCH(DH490,'Avoided Cost Benefits'!$A$4:$A$864,0)))*F490</f>
        <v>7764.0538463167177</v>
      </c>
      <c r="DJ490" s="1936">
        <f>IFERROR(K490/((1+DiscountRate)^(CurrentYear-DiscountYear)),0)</f>
        <v>4180</v>
      </c>
    </row>
    <row r="491" spans="2:114" x14ac:dyDescent="0.25">
      <c r="B491" s="252">
        <f t="shared" si="130"/>
        <v>806120</v>
      </c>
      <c r="C491" s="668" t="s">
        <v>570</v>
      </c>
      <c r="D491" s="452" t="s">
        <v>111</v>
      </c>
      <c r="E491" s="469" t="s">
        <v>571</v>
      </c>
      <c r="F491" s="19">
        <f>ROUND(F501*G501,2)</f>
        <v>10018</v>
      </c>
      <c r="G491" s="452" t="s">
        <v>360</v>
      </c>
      <c r="H491" s="453">
        <f>VLOOKUP(G491,'CP FACTORS'!$A$26:$B$38,2,FALSE)</f>
        <v>4.4398300000000001E-4</v>
      </c>
      <c r="I491" s="518">
        <f>F491*H491</f>
        <v>4.4478216939999999</v>
      </c>
      <c r="J491" s="99">
        <v>10</v>
      </c>
      <c r="K491" s="1774">
        <v>4225</v>
      </c>
      <c r="L491" s="498" t="s">
        <v>62</v>
      </c>
      <c r="V491" s="1343" t="s">
        <v>45</v>
      </c>
      <c r="W491" s="53"/>
      <c r="X491" s="53"/>
      <c r="Y491" s="53"/>
      <c r="Z491" s="68"/>
      <c r="AA491" s="658">
        <v>10018</v>
      </c>
      <c r="AB491" s="628">
        <v>10018</v>
      </c>
      <c r="AC491" s="705">
        <v>10018</v>
      </c>
      <c r="AD491" s="705">
        <v>10018</v>
      </c>
      <c r="AE491" s="705">
        <v>10018</v>
      </c>
      <c r="AF491" s="705">
        <v>10018</v>
      </c>
      <c r="AG491" s="68"/>
      <c r="AH491"/>
      <c r="AI491" s="1343" t="s">
        <v>49</v>
      </c>
      <c r="AJ491" s="651"/>
      <c r="AK491" s="651"/>
      <c r="AL491" s="651"/>
      <c r="AM491" s="68"/>
      <c r="AN491" s="662">
        <v>10</v>
      </c>
      <c r="AO491" s="684">
        <v>10</v>
      </c>
      <c r="AP491" s="684">
        <v>10</v>
      </c>
      <c r="AQ491" s="684">
        <v>10</v>
      </c>
      <c r="AR491" s="684">
        <v>10</v>
      </c>
      <c r="AS491" s="684">
        <v>10</v>
      </c>
      <c r="AU491" s="1343" t="s">
        <v>50</v>
      </c>
      <c r="AV491" s="652"/>
      <c r="AW491" s="652"/>
      <c r="AX491" s="652"/>
      <c r="AY491" s="68"/>
      <c r="AZ491" s="664">
        <v>4225</v>
      </c>
      <c r="BA491" s="669">
        <v>4225</v>
      </c>
      <c r="BB491" s="669">
        <v>4225</v>
      </c>
      <c r="BC491" s="669">
        <v>4225</v>
      </c>
      <c r="BD491" s="669">
        <v>4225</v>
      </c>
      <c r="BE491" s="669">
        <v>4225</v>
      </c>
      <c r="DG491" s="1028">
        <f>(DI491)/(DJ491)</f>
        <v>2.1549264232359064</v>
      </c>
      <c r="DH491" s="653" t="str">
        <f>CONCATENATE(G491," ",J491," Year EUL")</f>
        <v>HVAC BUS 10 Year EUL</v>
      </c>
      <c r="DI491" s="431">
        <f>(INDEX('Avoided Cost Benefits'!$B$4:$B$864,MATCH(DH491,'Avoided Cost Benefits'!$A$4:$A$864,0)))*F491</f>
        <v>9104.5641381717051</v>
      </c>
      <c r="DJ491" s="1937">
        <f>IFERROR(K491/((1+DiscountRate)^(CurrentYear-DiscountYear)),0)</f>
        <v>4225</v>
      </c>
    </row>
    <row r="492" spans="2:114" hidden="1" outlineLevel="1" x14ac:dyDescent="0.25">
      <c r="D492" s="7" t="s">
        <v>94</v>
      </c>
      <c r="E492" s="7" t="s">
        <v>572</v>
      </c>
    </row>
    <row r="493" spans="2:114" hidden="1" outlineLevel="1" x14ac:dyDescent="0.25"/>
    <row r="494" spans="2:114" hidden="1" outlineLevel="1" x14ac:dyDescent="0.25"/>
    <row r="495" spans="2:114" hidden="1" outlineLevel="1" x14ac:dyDescent="0.25"/>
    <row r="496" spans="2:114" hidden="1" outlineLevel="1" x14ac:dyDescent="0.25">
      <c r="D496" s="1294" t="s">
        <v>42</v>
      </c>
      <c r="E496" s="1294" t="s">
        <v>172</v>
      </c>
      <c r="F496" s="31" t="s">
        <v>573</v>
      </c>
      <c r="G496" s="1294" t="s">
        <v>574</v>
      </c>
    </row>
    <row r="497" spans="1:114" hidden="1" outlineLevel="1" x14ac:dyDescent="0.25">
      <c r="D497" s="659" t="str">
        <f>C487</f>
        <v>806090_2024_12_</v>
      </c>
      <c r="E497" s="469" t="str">
        <f>E487</f>
        <v>High Volume Low Speed Fan, 16</v>
      </c>
      <c r="F497" s="19">
        <v>3218</v>
      </c>
      <c r="G497" s="491">
        <v>1</v>
      </c>
    </row>
    <row r="498" spans="1:114" hidden="1" outlineLevel="1" x14ac:dyDescent="0.25">
      <c r="D498" s="659" t="str">
        <f>C488</f>
        <v>806095_2024_12_</v>
      </c>
      <c r="E498" s="469" t="str">
        <f>E488</f>
        <v>High Volume Low Speed Fan, 18</v>
      </c>
      <c r="F498" s="19">
        <v>4938</v>
      </c>
      <c r="G498" s="491">
        <v>1</v>
      </c>
    </row>
    <row r="499" spans="1:114" hidden="1" outlineLevel="1" x14ac:dyDescent="0.25">
      <c r="D499" s="659" t="str">
        <f>C489</f>
        <v>806100_2020_07_</v>
      </c>
      <c r="E499" s="469" t="str">
        <f>E489</f>
        <v>High Volume Low Speed Fan, 20</v>
      </c>
      <c r="F499" s="19">
        <v>6577</v>
      </c>
      <c r="G499" s="491">
        <v>1</v>
      </c>
    </row>
    <row r="500" spans="1:114" hidden="1" outlineLevel="1" x14ac:dyDescent="0.25">
      <c r="D500" s="659" t="str">
        <f>C490</f>
        <v>806110_2020_07_</v>
      </c>
      <c r="E500" s="469" t="str">
        <f>E490</f>
        <v>High Volume Low Speed Fan, 22</v>
      </c>
      <c r="F500" s="19">
        <v>8543</v>
      </c>
      <c r="G500" s="491">
        <v>1</v>
      </c>
    </row>
    <row r="501" spans="1:114" hidden="1" outlineLevel="1" x14ac:dyDescent="0.25">
      <c r="D501" s="659" t="str">
        <f>C491</f>
        <v>806120_2020_07_</v>
      </c>
      <c r="E501" s="469" t="str">
        <f>E491</f>
        <v>High Volume Low Speed Fan, 24</v>
      </c>
      <c r="F501" s="19">
        <v>10018</v>
      </c>
      <c r="G501" s="491">
        <v>1</v>
      </c>
    </row>
    <row r="502" spans="1:114" hidden="1" outlineLevel="1" x14ac:dyDescent="0.25">
      <c r="D502" s="515"/>
      <c r="E502" s="468"/>
      <c r="F502" s="1859"/>
      <c r="G502" s="1860"/>
    </row>
    <row r="503" spans="1:114" collapsed="1" x14ac:dyDescent="0.25"/>
    <row r="504" spans="1:114" s="7" customFormat="1" x14ac:dyDescent="0.25">
      <c r="A504" s="252"/>
      <c r="B504" s="2071" t="s">
        <v>575</v>
      </c>
      <c r="C504" s="2072"/>
      <c r="D504" s="2072"/>
      <c r="E504" s="2072"/>
      <c r="F504" s="2072"/>
      <c r="G504" s="2072"/>
      <c r="H504" s="2072"/>
      <c r="I504" s="2073"/>
      <c r="J504" s="2073"/>
      <c r="K504" s="2073"/>
      <c r="L504" s="2073"/>
      <c r="M504" s="2074"/>
      <c r="N504" s="2074"/>
      <c r="O504" s="2075"/>
      <c r="V504" s="1292" t="str">
        <f>B504</f>
        <v>Custom Measure</v>
      </c>
      <c r="W504" s="1293"/>
      <c r="X504" s="1293"/>
      <c r="Y504" s="1293"/>
      <c r="Z504" s="1293"/>
      <c r="AA504" s="1293"/>
      <c r="AB504" s="1293"/>
      <c r="AC504" s="1293"/>
      <c r="AD504" s="1293"/>
      <c r="AE504" s="1293"/>
      <c r="AF504" s="1293"/>
      <c r="AG504" s="1293"/>
      <c r="AH504" s="1293"/>
      <c r="AI504" s="1327"/>
      <c r="AJ504" s="2"/>
      <c r="AK504" s="2"/>
      <c r="AL504" s="2"/>
      <c r="AM504" s="2"/>
      <c r="AN504" s="2"/>
      <c r="AO504" s="2"/>
      <c r="AP504" s="2"/>
      <c r="AQ504" s="2"/>
      <c r="AR504" s="2"/>
      <c r="AS504" s="2"/>
      <c r="AT504" s="2"/>
      <c r="AU504" s="2"/>
      <c r="DG504" s="23"/>
      <c r="DJ504" s="1059"/>
    </row>
    <row r="505" spans="1:114" x14ac:dyDescent="0.25">
      <c r="D505" s="450"/>
      <c r="E505" s="7"/>
      <c r="F505" s="7"/>
      <c r="G505" s="7"/>
      <c r="H505" s="451"/>
      <c r="I505" s="7"/>
      <c r="J505" s="7"/>
      <c r="K505" s="7"/>
      <c r="L505" s="7"/>
      <c r="P505" s="7"/>
      <c r="Q505" s="7"/>
      <c r="R505" s="7"/>
      <c r="S505" s="7"/>
      <c r="T505" s="7"/>
      <c r="U505" s="7"/>
      <c r="V505"/>
      <c r="W505"/>
      <c r="X505"/>
      <c r="Y505"/>
      <c r="Z505"/>
      <c r="AA505"/>
      <c r="AB505"/>
      <c r="AC505"/>
      <c r="AD505"/>
      <c r="AE505"/>
      <c r="AF505"/>
      <c r="AG505"/>
      <c r="AH505"/>
      <c r="AI505"/>
      <c r="AJ505" s="6"/>
      <c r="AK505" s="6"/>
      <c r="AL505" s="6"/>
      <c r="AM505" s="6"/>
      <c r="AN505" s="6"/>
      <c r="AO505" s="6"/>
      <c r="AP505" s="6"/>
      <c r="AQ505" s="6"/>
      <c r="AR505" s="6"/>
      <c r="AS505" s="6"/>
      <c r="AT505" s="6"/>
      <c r="AU505" s="6"/>
    </row>
    <row r="506" spans="1:114" s="8" customFormat="1" ht="30" x14ac:dyDescent="0.25">
      <c r="A506" s="252"/>
      <c r="B506" s="64"/>
      <c r="C506" s="9" t="s">
        <v>42</v>
      </c>
      <c r="D506" s="9" t="s">
        <v>43</v>
      </c>
      <c r="E506" s="1361" t="s">
        <v>44</v>
      </c>
      <c r="F506" s="1361" t="s">
        <v>576</v>
      </c>
      <c r="G506" s="1361" t="s">
        <v>46</v>
      </c>
      <c r="H506" s="10" t="s">
        <v>47</v>
      </c>
      <c r="I506" s="1361" t="s">
        <v>48</v>
      </c>
      <c r="J506" s="1361" t="s">
        <v>49</v>
      </c>
      <c r="K506" s="9" t="s">
        <v>50</v>
      </c>
      <c r="L506" s="9" t="s">
        <v>51</v>
      </c>
      <c r="M506" s="252"/>
      <c r="N506" s="252"/>
      <c r="O506" s="252"/>
      <c r="P506" s="116"/>
      <c r="Q506" s="116"/>
      <c r="R506" s="116"/>
      <c r="S506" s="116"/>
      <c r="T506" s="116"/>
      <c r="U506" s="116"/>
      <c r="V506" s="648" t="s">
        <v>52</v>
      </c>
      <c r="W506" s="649">
        <f>$W$8</f>
        <v>43252</v>
      </c>
      <c r="X506" s="649">
        <f>$X$8</f>
        <v>43465</v>
      </c>
      <c r="Y506" s="649">
        <f>$Y$8</f>
        <v>43800</v>
      </c>
      <c r="Z506" s="649">
        <f>$Z$8</f>
        <v>43862</v>
      </c>
      <c r="AA506" s="649">
        <f>$AA$8</f>
        <v>44013</v>
      </c>
      <c r="AB506" s="649">
        <v>44166</v>
      </c>
      <c r="AC506" s="649">
        <f>$AC$8</f>
        <v>44531</v>
      </c>
      <c r="AD506" s="649">
        <f>$AD$8</f>
        <v>44774</v>
      </c>
      <c r="AE506" s="649">
        <f>$AE$8</f>
        <v>45142</v>
      </c>
      <c r="AF506" s="649">
        <f>$AF$8</f>
        <v>45672</v>
      </c>
      <c r="AG506" s="649" t="str">
        <f>$AG$8</f>
        <v>-</v>
      </c>
      <c r="AH506"/>
      <c r="AI506" s="648" t="s">
        <v>52</v>
      </c>
      <c r="AJ506" s="649">
        <v>43252</v>
      </c>
      <c r="AK506" s="649">
        <f>$X$8</f>
        <v>43465</v>
      </c>
      <c r="AL506" s="649">
        <f>$Y$8</f>
        <v>43800</v>
      </c>
      <c r="AM506" s="649">
        <f>$Z$8</f>
        <v>43862</v>
      </c>
      <c r="AN506" s="649">
        <f>$AA$8</f>
        <v>44013</v>
      </c>
      <c r="AO506" s="649">
        <f>$AB$8</f>
        <v>44166</v>
      </c>
      <c r="AP506" s="649">
        <f>$AC$8</f>
        <v>44531</v>
      </c>
      <c r="AQ506" s="649">
        <f>$AD$8</f>
        <v>44774</v>
      </c>
      <c r="AR506" s="649">
        <f>$AE$8</f>
        <v>45142</v>
      </c>
      <c r="AS506" s="649">
        <f>$AF$8</f>
        <v>45672</v>
      </c>
      <c r="AT506" s="2"/>
      <c r="AU506" s="648" t="s">
        <v>52</v>
      </c>
      <c r="AV506" s="649">
        <v>43252</v>
      </c>
      <c r="AW506" s="649">
        <f>$X$8</f>
        <v>43465</v>
      </c>
      <c r="AX506" s="649">
        <f>$Y$8</f>
        <v>43800</v>
      </c>
      <c r="AY506" s="649">
        <f>$Z$8</f>
        <v>43862</v>
      </c>
      <c r="AZ506" s="649">
        <f>$AA$8</f>
        <v>44013</v>
      </c>
      <c r="BA506" s="649">
        <v>44166</v>
      </c>
      <c r="BB506" s="649">
        <f>$AC$8</f>
        <v>44531</v>
      </c>
      <c r="BC506" s="649">
        <f>$AD$8</f>
        <v>44774</v>
      </c>
      <c r="BD506" s="649">
        <f>$AE$8</f>
        <v>45142</v>
      </c>
      <c r="BE506" s="649">
        <f>$AF$8</f>
        <v>45672</v>
      </c>
      <c r="DG506" s="1018" t="str">
        <f>$DG$8</f>
        <v>TRC (2025)</v>
      </c>
      <c r="DH506" s="776" t="str">
        <f>$DH$8</f>
        <v>Benefit Lookup</v>
      </c>
      <c r="DI506" s="776" t="str">
        <f>$DI$8</f>
        <v>Benefits (2025 $)</v>
      </c>
      <c r="DJ506" s="1118" t="str">
        <f>$DJ$8</f>
        <v>Incremental Cost (2025 $)</v>
      </c>
    </row>
    <row r="507" spans="1:114" x14ac:dyDescent="0.25">
      <c r="B507" s="252">
        <f t="shared" ref="B507" si="131">VALUE(LEFT(C507,6))</f>
        <v>999999</v>
      </c>
      <c r="C507" s="668" t="s">
        <v>577</v>
      </c>
      <c r="D507" s="452" t="s">
        <v>578</v>
      </c>
      <c r="E507" s="469" t="s">
        <v>579</v>
      </c>
      <c r="F507" s="19" t="s">
        <v>578</v>
      </c>
      <c r="G507" s="452" t="s">
        <v>580</v>
      </c>
      <c r="H507" s="453" t="s">
        <v>580</v>
      </c>
      <c r="I507" s="518" t="s">
        <v>578</v>
      </c>
      <c r="J507" s="99" t="s">
        <v>578</v>
      </c>
      <c r="K507" s="99" t="s">
        <v>578</v>
      </c>
      <c r="L507" s="498" t="s">
        <v>578</v>
      </c>
      <c r="V507" s="1343" t="s">
        <v>45</v>
      </c>
      <c r="W507" s="800"/>
      <c r="X507" s="800"/>
      <c r="Y507" s="650" t="s">
        <v>578</v>
      </c>
      <c r="Z507" s="53" t="s">
        <v>578</v>
      </c>
      <c r="AA507" s="53" t="s">
        <v>578</v>
      </c>
      <c r="AB507" s="628" t="s">
        <v>578</v>
      </c>
      <c r="AC507" s="705" t="s">
        <v>578</v>
      </c>
      <c r="AD507" s="705" t="s">
        <v>578</v>
      </c>
      <c r="AE507" s="669" t="s">
        <v>578</v>
      </c>
      <c r="AF507" s="669" t="s">
        <v>578</v>
      </c>
      <c r="AG507" s="656"/>
      <c r="AH507" s="39"/>
      <c r="AI507" s="1375" t="s">
        <v>49</v>
      </c>
      <c r="AJ507" s="800"/>
      <c r="AK507" s="800"/>
      <c r="AL507" s="650" t="s">
        <v>578</v>
      </c>
      <c r="AM507" s="19" t="s">
        <v>578</v>
      </c>
      <c r="AN507" s="19" t="s">
        <v>578</v>
      </c>
      <c r="AO507" s="18" t="s">
        <v>578</v>
      </c>
      <c r="AP507" s="18" t="s">
        <v>578</v>
      </c>
      <c r="AQ507" s="18" t="s">
        <v>578</v>
      </c>
      <c r="AR507" s="669" t="s">
        <v>578</v>
      </c>
      <c r="AS507" s="669" t="s">
        <v>578</v>
      </c>
      <c r="AT507" s="37"/>
      <c r="AU507" s="1375" t="s">
        <v>50</v>
      </c>
      <c r="AV507" s="800"/>
      <c r="AW507" s="800"/>
      <c r="AX507" s="650" t="s">
        <v>578</v>
      </c>
      <c r="AY507" s="19" t="s">
        <v>578</v>
      </c>
      <c r="AZ507" s="19" t="s">
        <v>578</v>
      </c>
      <c r="BA507" s="669" t="s">
        <v>578</v>
      </c>
      <c r="BB507" s="669" t="s">
        <v>578</v>
      </c>
      <c r="BC507" s="669" t="s">
        <v>578</v>
      </c>
      <c r="BD507" s="669" t="s">
        <v>578</v>
      </c>
      <c r="BE507" s="669" t="s">
        <v>578</v>
      </c>
      <c r="DG507" s="1029" t="s">
        <v>578</v>
      </c>
      <c r="DH507" s="122" t="str">
        <f>CONCATENATE(G507," ",J507," Year EUL")</f>
        <v>Variable Custom Year EUL</v>
      </c>
      <c r="DI507" s="1026" t="s">
        <v>578</v>
      </c>
      <c r="DJ507" s="833" t="s">
        <v>578</v>
      </c>
    </row>
    <row r="508" spans="1:114" x14ac:dyDescent="0.25">
      <c r="B508" s="252">
        <f t="shared" ref="B508" si="132">VALUE(LEFT(C508,6))</f>
        <v>999999</v>
      </c>
      <c r="C508" s="668" t="s">
        <v>577</v>
      </c>
      <c r="D508" s="452" t="s">
        <v>578</v>
      </c>
      <c r="E508" s="469" t="s">
        <v>581</v>
      </c>
      <c r="F508" s="19" t="s">
        <v>578</v>
      </c>
      <c r="G508" s="452" t="s">
        <v>580</v>
      </c>
      <c r="H508" s="453" t="s">
        <v>580</v>
      </c>
      <c r="I508" s="518" t="s">
        <v>578</v>
      </c>
      <c r="J508" s="99" t="s">
        <v>578</v>
      </c>
      <c r="K508" s="99" t="s">
        <v>578</v>
      </c>
      <c r="L508" s="498" t="s">
        <v>578</v>
      </c>
      <c r="V508" s="1343" t="s">
        <v>45</v>
      </c>
      <c r="W508" s="800"/>
      <c r="X508" s="800"/>
      <c r="Y508" s="650" t="s">
        <v>578</v>
      </c>
      <c r="Z508" s="53" t="s">
        <v>578</v>
      </c>
      <c r="AA508" s="53" t="s">
        <v>578</v>
      </c>
      <c r="AB508" s="628" t="s">
        <v>578</v>
      </c>
      <c r="AC508" s="705" t="s">
        <v>578</v>
      </c>
      <c r="AD508" s="705" t="s">
        <v>578</v>
      </c>
      <c r="AE508" s="669" t="s">
        <v>578</v>
      </c>
      <c r="AF508" s="669" t="s">
        <v>578</v>
      </c>
      <c r="AG508" s="656"/>
      <c r="AH508" s="39"/>
      <c r="AI508" s="1375" t="s">
        <v>49</v>
      </c>
      <c r="AJ508" s="800"/>
      <c r="AK508" s="800"/>
      <c r="AL508" s="650" t="s">
        <v>578</v>
      </c>
      <c r="AM508" s="19" t="s">
        <v>578</v>
      </c>
      <c r="AN508" s="19" t="s">
        <v>578</v>
      </c>
      <c r="AO508" s="18" t="s">
        <v>578</v>
      </c>
      <c r="AP508" s="18" t="s">
        <v>578</v>
      </c>
      <c r="AQ508" s="18" t="s">
        <v>578</v>
      </c>
      <c r="AR508" s="669" t="s">
        <v>578</v>
      </c>
      <c r="AS508" s="669" t="s">
        <v>578</v>
      </c>
      <c r="AT508" s="37"/>
      <c r="AU508" s="1375" t="s">
        <v>50</v>
      </c>
      <c r="AV508" s="800"/>
      <c r="AW508" s="800"/>
      <c r="AX508" s="650" t="s">
        <v>578</v>
      </c>
      <c r="AY508" s="19" t="s">
        <v>578</v>
      </c>
      <c r="AZ508" s="19" t="s">
        <v>578</v>
      </c>
      <c r="BA508" s="669" t="s">
        <v>578</v>
      </c>
      <c r="BB508" s="669" t="s">
        <v>578</v>
      </c>
      <c r="BC508" s="669" t="s">
        <v>578</v>
      </c>
      <c r="BD508" s="669" t="s">
        <v>578</v>
      </c>
      <c r="BE508" s="669" t="s">
        <v>578</v>
      </c>
      <c r="DG508" s="1029" t="s">
        <v>578</v>
      </c>
      <c r="DH508" s="122" t="str">
        <f>CONCATENATE(G508," ",J508," Year EUL")</f>
        <v>Variable Custom Year EUL</v>
      </c>
      <c r="DI508" s="1026" t="s">
        <v>578</v>
      </c>
      <c r="DJ508" s="833" t="s">
        <v>578</v>
      </c>
    </row>
    <row r="509" spans="1:114" x14ac:dyDescent="0.25">
      <c r="B509" s="252">
        <f t="shared" ref="B509:B517" si="133">VALUE(LEFT(C509,6))</f>
        <v>999999</v>
      </c>
      <c r="C509" s="668" t="s">
        <v>577</v>
      </c>
      <c r="D509" s="452" t="s">
        <v>578</v>
      </c>
      <c r="E509" s="469" t="s">
        <v>582</v>
      </c>
      <c r="F509" s="19" t="s">
        <v>578</v>
      </c>
      <c r="G509" s="452" t="s">
        <v>580</v>
      </c>
      <c r="H509" s="453" t="s">
        <v>580</v>
      </c>
      <c r="I509" s="518" t="s">
        <v>578</v>
      </c>
      <c r="J509" s="99" t="s">
        <v>578</v>
      </c>
      <c r="K509" s="99" t="s">
        <v>578</v>
      </c>
      <c r="L509" s="498" t="s">
        <v>578</v>
      </c>
      <c r="V509" s="1343" t="s">
        <v>45</v>
      </c>
      <c r="W509" s="800"/>
      <c r="X509" s="800"/>
      <c r="Y509" s="650" t="s">
        <v>578</v>
      </c>
      <c r="Z509" s="53" t="s">
        <v>578</v>
      </c>
      <c r="AA509" s="53" t="s">
        <v>578</v>
      </c>
      <c r="AB509" s="628" t="s">
        <v>578</v>
      </c>
      <c r="AC509" s="705" t="s">
        <v>578</v>
      </c>
      <c r="AD509" s="705" t="s">
        <v>578</v>
      </c>
      <c r="AE509" s="669" t="s">
        <v>578</v>
      </c>
      <c r="AF509" s="669" t="s">
        <v>578</v>
      </c>
      <c r="AG509" s="656"/>
      <c r="AH509" s="39"/>
      <c r="AI509" s="1375" t="s">
        <v>49</v>
      </c>
      <c r="AJ509" s="800"/>
      <c r="AK509" s="800"/>
      <c r="AL509" s="650" t="s">
        <v>578</v>
      </c>
      <c r="AM509" s="19" t="s">
        <v>578</v>
      </c>
      <c r="AN509" s="19" t="s">
        <v>578</v>
      </c>
      <c r="AO509" s="18" t="s">
        <v>578</v>
      </c>
      <c r="AP509" s="18" t="s">
        <v>578</v>
      </c>
      <c r="AQ509" s="18" t="s">
        <v>578</v>
      </c>
      <c r="AR509" s="669" t="s">
        <v>578</v>
      </c>
      <c r="AS509" s="669" t="s">
        <v>578</v>
      </c>
      <c r="AT509" s="37"/>
      <c r="AU509" s="1375" t="s">
        <v>50</v>
      </c>
      <c r="AV509" s="800"/>
      <c r="AW509" s="800"/>
      <c r="AX509" s="650" t="s">
        <v>578</v>
      </c>
      <c r="AY509" s="19" t="s">
        <v>578</v>
      </c>
      <c r="AZ509" s="19" t="s">
        <v>578</v>
      </c>
      <c r="BA509" s="669" t="s">
        <v>578</v>
      </c>
      <c r="BB509" s="669" t="s">
        <v>578</v>
      </c>
      <c r="BC509" s="669" t="s">
        <v>578</v>
      </c>
      <c r="BD509" s="669" t="s">
        <v>578</v>
      </c>
      <c r="BE509" s="669" t="s">
        <v>578</v>
      </c>
      <c r="DG509" s="1029" t="s">
        <v>578</v>
      </c>
      <c r="DH509" s="122" t="str">
        <f t="shared" ref="DH509:DH517" si="134">CONCATENATE(G509," ",J509," Year EUL")</f>
        <v>Variable Custom Year EUL</v>
      </c>
      <c r="DI509" s="1026" t="s">
        <v>578</v>
      </c>
      <c r="DJ509" s="833" t="s">
        <v>578</v>
      </c>
    </row>
    <row r="510" spans="1:114" x14ac:dyDescent="0.25">
      <c r="B510" s="252">
        <f t="shared" si="133"/>
        <v>999999</v>
      </c>
      <c r="C510" s="668" t="s">
        <v>577</v>
      </c>
      <c r="D510" s="452" t="s">
        <v>578</v>
      </c>
      <c r="E510" s="469" t="s">
        <v>583</v>
      </c>
      <c r="F510" s="19" t="s">
        <v>578</v>
      </c>
      <c r="G510" s="452" t="s">
        <v>580</v>
      </c>
      <c r="H510" s="453" t="s">
        <v>580</v>
      </c>
      <c r="I510" s="518" t="s">
        <v>578</v>
      </c>
      <c r="J510" s="99" t="s">
        <v>578</v>
      </c>
      <c r="K510" s="99" t="s">
        <v>578</v>
      </c>
      <c r="L510" s="498" t="s">
        <v>578</v>
      </c>
      <c r="V510" s="1343" t="s">
        <v>45</v>
      </c>
      <c r="W510" s="800"/>
      <c r="X510" s="800"/>
      <c r="Y510" s="650" t="s">
        <v>578</v>
      </c>
      <c r="Z510" s="53" t="s">
        <v>578</v>
      </c>
      <c r="AA510" s="53" t="s">
        <v>578</v>
      </c>
      <c r="AB510" s="628" t="s">
        <v>578</v>
      </c>
      <c r="AC510" s="705" t="s">
        <v>578</v>
      </c>
      <c r="AD510" s="705" t="s">
        <v>578</v>
      </c>
      <c r="AE510" s="669" t="s">
        <v>578</v>
      </c>
      <c r="AF510" s="669" t="s">
        <v>578</v>
      </c>
      <c r="AG510" s="656"/>
      <c r="AH510" s="39"/>
      <c r="AI510" s="1375" t="s">
        <v>49</v>
      </c>
      <c r="AJ510" s="800"/>
      <c r="AK510" s="800"/>
      <c r="AL510" s="650" t="s">
        <v>578</v>
      </c>
      <c r="AM510" s="19" t="s">
        <v>578</v>
      </c>
      <c r="AN510" s="19" t="s">
        <v>578</v>
      </c>
      <c r="AO510" s="18" t="s">
        <v>578</v>
      </c>
      <c r="AP510" s="18" t="s">
        <v>578</v>
      </c>
      <c r="AQ510" s="18" t="s">
        <v>578</v>
      </c>
      <c r="AR510" s="669" t="s">
        <v>578</v>
      </c>
      <c r="AS510" s="669" t="s">
        <v>578</v>
      </c>
      <c r="AT510" s="37"/>
      <c r="AU510" s="1375" t="s">
        <v>50</v>
      </c>
      <c r="AV510" s="800"/>
      <c r="AW510" s="800"/>
      <c r="AX510" s="650" t="s">
        <v>578</v>
      </c>
      <c r="AY510" s="19" t="s">
        <v>578</v>
      </c>
      <c r="AZ510" s="19" t="s">
        <v>578</v>
      </c>
      <c r="BA510" s="669" t="s">
        <v>578</v>
      </c>
      <c r="BB510" s="669" t="s">
        <v>578</v>
      </c>
      <c r="BC510" s="669" t="s">
        <v>578</v>
      </c>
      <c r="BD510" s="669" t="s">
        <v>578</v>
      </c>
      <c r="BE510" s="669" t="s">
        <v>578</v>
      </c>
      <c r="DG510" s="1029" t="s">
        <v>578</v>
      </c>
      <c r="DH510" s="122" t="str">
        <f t="shared" si="134"/>
        <v>Variable Custom Year EUL</v>
      </c>
      <c r="DI510" s="1026" t="s">
        <v>578</v>
      </c>
      <c r="DJ510" s="833" t="s">
        <v>578</v>
      </c>
    </row>
    <row r="511" spans="1:114" x14ac:dyDescent="0.25">
      <c r="B511" s="252">
        <f t="shared" si="133"/>
        <v>999999</v>
      </c>
      <c r="C511" s="668" t="s">
        <v>577</v>
      </c>
      <c r="D511" s="452" t="s">
        <v>578</v>
      </c>
      <c r="E511" s="469" t="s">
        <v>584</v>
      </c>
      <c r="F511" s="19" t="s">
        <v>578</v>
      </c>
      <c r="G511" s="452" t="s">
        <v>580</v>
      </c>
      <c r="H511" s="453" t="s">
        <v>580</v>
      </c>
      <c r="I511" s="518" t="s">
        <v>578</v>
      </c>
      <c r="J511" s="99" t="s">
        <v>578</v>
      </c>
      <c r="K511" s="99" t="s">
        <v>578</v>
      </c>
      <c r="L511" s="498" t="s">
        <v>578</v>
      </c>
      <c r="V511" s="1343" t="s">
        <v>45</v>
      </c>
      <c r="W511" s="800"/>
      <c r="X511" s="800"/>
      <c r="Y511" s="650" t="s">
        <v>578</v>
      </c>
      <c r="Z511" s="53" t="s">
        <v>578</v>
      </c>
      <c r="AA511" s="53" t="s">
        <v>578</v>
      </c>
      <c r="AB511" s="628" t="s">
        <v>578</v>
      </c>
      <c r="AC511" s="705" t="s">
        <v>578</v>
      </c>
      <c r="AD511" s="705" t="s">
        <v>578</v>
      </c>
      <c r="AE511" s="669" t="s">
        <v>578</v>
      </c>
      <c r="AF511" s="669" t="s">
        <v>578</v>
      </c>
      <c r="AG511" s="656"/>
      <c r="AH511" s="39"/>
      <c r="AI511" s="1375" t="s">
        <v>49</v>
      </c>
      <c r="AJ511" s="800"/>
      <c r="AK511" s="800"/>
      <c r="AL511" s="650" t="s">
        <v>578</v>
      </c>
      <c r="AM511" s="19" t="s">
        <v>578</v>
      </c>
      <c r="AN511" s="19" t="s">
        <v>578</v>
      </c>
      <c r="AO511" s="18" t="s">
        <v>578</v>
      </c>
      <c r="AP511" s="18" t="s">
        <v>578</v>
      </c>
      <c r="AQ511" s="18" t="s">
        <v>578</v>
      </c>
      <c r="AR511" s="669" t="s">
        <v>578</v>
      </c>
      <c r="AS511" s="669" t="s">
        <v>578</v>
      </c>
      <c r="AT511" s="37"/>
      <c r="AU511" s="1375" t="s">
        <v>50</v>
      </c>
      <c r="AV511" s="800"/>
      <c r="AW511" s="800"/>
      <c r="AX511" s="650" t="s">
        <v>578</v>
      </c>
      <c r="AY511" s="19" t="s">
        <v>578</v>
      </c>
      <c r="AZ511" s="19" t="s">
        <v>578</v>
      </c>
      <c r="BA511" s="669" t="s">
        <v>578</v>
      </c>
      <c r="BB511" s="669" t="s">
        <v>578</v>
      </c>
      <c r="BC511" s="669" t="s">
        <v>578</v>
      </c>
      <c r="BD511" s="669" t="s">
        <v>578</v>
      </c>
      <c r="BE511" s="669" t="s">
        <v>578</v>
      </c>
      <c r="DG511" s="1029" t="s">
        <v>578</v>
      </c>
      <c r="DH511" s="122" t="str">
        <f t="shared" si="134"/>
        <v>Variable Custom Year EUL</v>
      </c>
      <c r="DI511" s="1026" t="s">
        <v>578</v>
      </c>
      <c r="DJ511" s="833" t="s">
        <v>578</v>
      </c>
    </row>
    <row r="512" spans="1:114" x14ac:dyDescent="0.25">
      <c r="B512" s="252">
        <f t="shared" si="133"/>
        <v>999999</v>
      </c>
      <c r="C512" s="668" t="s">
        <v>577</v>
      </c>
      <c r="D512" s="452" t="s">
        <v>578</v>
      </c>
      <c r="E512" s="469" t="s">
        <v>585</v>
      </c>
      <c r="F512" s="19" t="s">
        <v>578</v>
      </c>
      <c r="G512" s="452" t="s">
        <v>580</v>
      </c>
      <c r="H512" s="453" t="s">
        <v>580</v>
      </c>
      <c r="I512" s="518" t="s">
        <v>578</v>
      </c>
      <c r="J512" s="99" t="s">
        <v>578</v>
      </c>
      <c r="K512" s="99" t="s">
        <v>578</v>
      </c>
      <c r="L512" s="498" t="s">
        <v>578</v>
      </c>
      <c r="V512" s="1343" t="s">
        <v>45</v>
      </c>
      <c r="W512" s="800"/>
      <c r="X512" s="800"/>
      <c r="Y512" s="650" t="s">
        <v>578</v>
      </c>
      <c r="Z512" s="53" t="s">
        <v>578</v>
      </c>
      <c r="AA512" s="53" t="s">
        <v>578</v>
      </c>
      <c r="AB512" s="628" t="s">
        <v>578</v>
      </c>
      <c r="AC512" s="705" t="s">
        <v>578</v>
      </c>
      <c r="AD512" s="705" t="s">
        <v>578</v>
      </c>
      <c r="AE512" s="669" t="s">
        <v>578</v>
      </c>
      <c r="AF512" s="669" t="s">
        <v>578</v>
      </c>
      <c r="AG512" s="656"/>
      <c r="AH512" s="39"/>
      <c r="AI512" s="1375" t="s">
        <v>49</v>
      </c>
      <c r="AJ512" s="800"/>
      <c r="AK512" s="800"/>
      <c r="AL512" s="650" t="s">
        <v>578</v>
      </c>
      <c r="AM512" s="19" t="s">
        <v>578</v>
      </c>
      <c r="AN512" s="19" t="s">
        <v>578</v>
      </c>
      <c r="AO512" s="18" t="s">
        <v>578</v>
      </c>
      <c r="AP512" s="18" t="s">
        <v>578</v>
      </c>
      <c r="AQ512" s="18" t="s">
        <v>578</v>
      </c>
      <c r="AR512" s="669" t="s">
        <v>578</v>
      </c>
      <c r="AS512" s="669" t="s">
        <v>578</v>
      </c>
      <c r="AT512" s="37"/>
      <c r="AU512" s="1375" t="s">
        <v>50</v>
      </c>
      <c r="AV512" s="800"/>
      <c r="AW512" s="800"/>
      <c r="AX512" s="650" t="s">
        <v>578</v>
      </c>
      <c r="AY512" s="19" t="s">
        <v>578</v>
      </c>
      <c r="AZ512" s="19" t="s">
        <v>578</v>
      </c>
      <c r="BA512" s="669" t="s">
        <v>578</v>
      </c>
      <c r="BB512" s="669" t="s">
        <v>578</v>
      </c>
      <c r="BC512" s="669" t="s">
        <v>578</v>
      </c>
      <c r="BD512" s="669" t="s">
        <v>578</v>
      </c>
      <c r="BE512" s="669" t="s">
        <v>578</v>
      </c>
      <c r="DG512" s="1029" t="s">
        <v>578</v>
      </c>
      <c r="DH512" s="122" t="str">
        <f t="shared" si="134"/>
        <v>Variable Custom Year EUL</v>
      </c>
      <c r="DI512" s="1026" t="s">
        <v>578</v>
      </c>
      <c r="DJ512" s="833" t="s">
        <v>578</v>
      </c>
    </row>
    <row r="513" spans="2:114" x14ac:dyDescent="0.25">
      <c r="B513" s="252">
        <f t="shared" si="133"/>
        <v>999999</v>
      </c>
      <c r="C513" s="668" t="s">
        <v>577</v>
      </c>
      <c r="D513" s="452" t="s">
        <v>578</v>
      </c>
      <c r="E513" s="469" t="s">
        <v>586</v>
      </c>
      <c r="F513" s="19" t="s">
        <v>578</v>
      </c>
      <c r="G513" s="452" t="s">
        <v>580</v>
      </c>
      <c r="H513" s="453" t="s">
        <v>580</v>
      </c>
      <c r="I513" s="518" t="s">
        <v>578</v>
      </c>
      <c r="J513" s="99" t="s">
        <v>578</v>
      </c>
      <c r="K513" s="99" t="s">
        <v>578</v>
      </c>
      <c r="L513" s="498" t="s">
        <v>578</v>
      </c>
      <c r="V513" s="1343" t="s">
        <v>45</v>
      </c>
      <c r="W513" s="800"/>
      <c r="X513" s="800"/>
      <c r="Y513" s="650" t="s">
        <v>578</v>
      </c>
      <c r="Z513" s="53" t="s">
        <v>578</v>
      </c>
      <c r="AA513" s="53" t="s">
        <v>578</v>
      </c>
      <c r="AB513" s="628" t="s">
        <v>578</v>
      </c>
      <c r="AC513" s="705" t="s">
        <v>578</v>
      </c>
      <c r="AD513" s="705" t="s">
        <v>578</v>
      </c>
      <c r="AE513" s="669" t="s">
        <v>578</v>
      </c>
      <c r="AF513" s="669" t="s">
        <v>578</v>
      </c>
      <c r="AG513" s="656"/>
      <c r="AH513" s="39"/>
      <c r="AI513" s="1375" t="s">
        <v>49</v>
      </c>
      <c r="AJ513" s="800"/>
      <c r="AK513" s="800"/>
      <c r="AL513" s="650" t="s">
        <v>578</v>
      </c>
      <c r="AM513" s="19" t="s">
        <v>578</v>
      </c>
      <c r="AN513" s="19" t="s">
        <v>578</v>
      </c>
      <c r="AO513" s="18" t="s">
        <v>578</v>
      </c>
      <c r="AP513" s="18" t="s">
        <v>578</v>
      </c>
      <c r="AQ513" s="18" t="s">
        <v>578</v>
      </c>
      <c r="AR513" s="669" t="s">
        <v>578</v>
      </c>
      <c r="AS513" s="669" t="s">
        <v>578</v>
      </c>
      <c r="AT513" s="37"/>
      <c r="AU513" s="1375" t="s">
        <v>50</v>
      </c>
      <c r="AV513" s="800"/>
      <c r="AW513" s="800"/>
      <c r="AX513" s="650" t="s">
        <v>578</v>
      </c>
      <c r="AY513" s="19" t="s">
        <v>578</v>
      </c>
      <c r="AZ513" s="19" t="s">
        <v>578</v>
      </c>
      <c r="BA513" s="669" t="s">
        <v>578</v>
      </c>
      <c r="BB513" s="669" t="s">
        <v>578</v>
      </c>
      <c r="BC513" s="669" t="s">
        <v>578</v>
      </c>
      <c r="BD513" s="669" t="s">
        <v>578</v>
      </c>
      <c r="BE513" s="669" t="s">
        <v>578</v>
      </c>
      <c r="DG513" s="1029" t="s">
        <v>578</v>
      </c>
      <c r="DH513" s="122" t="str">
        <f t="shared" si="134"/>
        <v>Variable Custom Year EUL</v>
      </c>
      <c r="DI513" s="1026" t="s">
        <v>578</v>
      </c>
      <c r="DJ513" s="833" t="s">
        <v>578</v>
      </c>
    </row>
    <row r="514" spans="2:114" x14ac:dyDescent="0.25">
      <c r="B514" s="252">
        <f t="shared" si="133"/>
        <v>999999</v>
      </c>
      <c r="C514" s="668" t="s">
        <v>577</v>
      </c>
      <c r="D514" s="452" t="s">
        <v>578</v>
      </c>
      <c r="E514" s="469" t="s">
        <v>587</v>
      </c>
      <c r="F514" s="19" t="s">
        <v>578</v>
      </c>
      <c r="G514" s="452" t="s">
        <v>580</v>
      </c>
      <c r="H514" s="453" t="s">
        <v>580</v>
      </c>
      <c r="I514" s="518" t="s">
        <v>578</v>
      </c>
      <c r="J514" s="99" t="s">
        <v>578</v>
      </c>
      <c r="K514" s="99" t="s">
        <v>578</v>
      </c>
      <c r="L514" s="498" t="s">
        <v>578</v>
      </c>
      <c r="V514" s="1343" t="s">
        <v>45</v>
      </c>
      <c r="W514" s="800"/>
      <c r="X514" s="800"/>
      <c r="Y514" s="650" t="s">
        <v>578</v>
      </c>
      <c r="Z514" s="53" t="s">
        <v>578</v>
      </c>
      <c r="AA514" s="53" t="s">
        <v>578</v>
      </c>
      <c r="AB514" s="628" t="s">
        <v>578</v>
      </c>
      <c r="AC514" s="705" t="s">
        <v>578</v>
      </c>
      <c r="AD514" s="705" t="s">
        <v>578</v>
      </c>
      <c r="AE514" s="669" t="s">
        <v>578</v>
      </c>
      <c r="AF514" s="669" t="s">
        <v>578</v>
      </c>
      <c r="AG514" s="656"/>
      <c r="AH514" s="39"/>
      <c r="AI514" s="1375" t="s">
        <v>49</v>
      </c>
      <c r="AJ514" s="800"/>
      <c r="AK514" s="800"/>
      <c r="AL514" s="650" t="s">
        <v>578</v>
      </c>
      <c r="AM514" s="19" t="s">
        <v>578</v>
      </c>
      <c r="AN514" s="19" t="s">
        <v>578</v>
      </c>
      <c r="AO514" s="18" t="s">
        <v>578</v>
      </c>
      <c r="AP514" s="18" t="s">
        <v>578</v>
      </c>
      <c r="AQ514" s="18" t="s">
        <v>578</v>
      </c>
      <c r="AR514" s="669" t="s">
        <v>578</v>
      </c>
      <c r="AS514" s="669" t="s">
        <v>578</v>
      </c>
      <c r="AT514" s="37"/>
      <c r="AU514" s="1375" t="s">
        <v>50</v>
      </c>
      <c r="AV514" s="800"/>
      <c r="AW514" s="800"/>
      <c r="AX514" s="650" t="s">
        <v>578</v>
      </c>
      <c r="AY514" s="19" t="s">
        <v>578</v>
      </c>
      <c r="AZ514" s="19" t="s">
        <v>578</v>
      </c>
      <c r="BA514" s="669" t="s">
        <v>578</v>
      </c>
      <c r="BB514" s="669" t="s">
        <v>578</v>
      </c>
      <c r="BC514" s="669" t="s">
        <v>578</v>
      </c>
      <c r="BD514" s="669" t="s">
        <v>578</v>
      </c>
      <c r="BE514" s="669" t="s">
        <v>578</v>
      </c>
      <c r="DG514" s="1029" t="s">
        <v>578</v>
      </c>
      <c r="DH514" s="122" t="str">
        <f t="shared" si="134"/>
        <v>Variable Custom Year EUL</v>
      </c>
      <c r="DI514" s="1026" t="s">
        <v>578</v>
      </c>
      <c r="DJ514" s="833" t="s">
        <v>578</v>
      </c>
    </row>
    <row r="515" spans="2:114" x14ac:dyDescent="0.25">
      <c r="B515" s="252">
        <f t="shared" si="133"/>
        <v>999999</v>
      </c>
      <c r="C515" s="668" t="s">
        <v>577</v>
      </c>
      <c r="D515" s="452" t="s">
        <v>578</v>
      </c>
      <c r="E515" s="469" t="s">
        <v>588</v>
      </c>
      <c r="F515" s="19" t="s">
        <v>578</v>
      </c>
      <c r="G515" s="452" t="s">
        <v>580</v>
      </c>
      <c r="H515" s="453" t="s">
        <v>580</v>
      </c>
      <c r="I515" s="518" t="s">
        <v>578</v>
      </c>
      <c r="J515" s="99" t="s">
        <v>578</v>
      </c>
      <c r="K515" s="99" t="s">
        <v>578</v>
      </c>
      <c r="L515" s="498" t="s">
        <v>578</v>
      </c>
      <c r="V515" s="1343" t="s">
        <v>45</v>
      </c>
      <c r="W515" s="800"/>
      <c r="X515" s="800"/>
      <c r="Y515" s="650" t="s">
        <v>578</v>
      </c>
      <c r="Z515" s="53" t="s">
        <v>578</v>
      </c>
      <c r="AA515" s="53" t="s">
        <v>578</v>
      </c>
      <c r="AB515" s="628" t="s">
        <v>578</v>
      </c>
      <c r="AC515" s="705" t="s">
        <v>578</v>
      </c>
      <c r="AD515" s="705" t="s">
        <v>578</v>
      </c>
      <c r="AE515" s="669" t="s">
        <v>578</v>
      </c>
      <c r="AF515" s="669" t="s">
        <v>578</v>
      </c>
      <c r="AG515" s="656"/>
      <c r="AH515" s="39"/>
      <c r="AI515" s="1375" t="s">
        <v>49</v>
      </c>
      <c r="AJ515" s="800"/>
      <c r="AK515" s="800"/>
      <c r="AL515" s="650" t="s">
        <v>578</v>
      </c>
      <c r="AM515" s="19" t="s">
        <v>578</v>
      </c>
      <c r="AN515" s="19" t="s">
        <v>578</v>
      </c>
      <c r="AO515" s="18" t="s">
        <v>578</v>
      </c>
      <c r="AP515" s="18" t="s">
        <v>578</v>
      </c>
      <c r="AQ515" s="18" t="s">
        <v>578</v>
      </c>
      <c r="AR515" s="669" t="s">
        <v>578</v>
      </c>
      <c r="AS515" s="669" t="s">
        <v>578</v>
      </c>
      <c r="AT515" s="37"/>
      <c r="AU515" s="1375" t="s">
        <v>50</v>
      </c>
      <c r="AV515" s="800"/>
      <c r="AW515" s="800"/>
      <c r="AX515" s="650" t="s">
        <v>578</v>
      </c>
      <c r="AY515" s="19" t="s">
        <v>578</v>
      </c>
      <c r="AZ515" s="19" t="s">
        <v>578</v>
      </c>
      <c r="BA515" s="669" t="s">
        <v>578</v>
      </c>
      <c r="BB515" s="669" t="s">
        <v>578</v>
      </c>
      <c r="BC515" s="669" t="s">
        <v>578</v>
      </c>
      <c r="BD515" s="669" t="s">
        <v>578</v>
      </c>
      <c r="BE515" s="669" t="s">
        <v>578</v>
      </c>
      <c r="DG515" s="1029" t="s">
        <v>578</v>
      </c>
      <c r="DH515" s="122" t="str">
        <f t="shared" si="134"/>
        <v>Variable Custom Year EUL</v>
      </c>
      <c r="DI515" s="1026" t="s">
        <v>578</v>
      </c>
      <c r="DJ515" s="833" t="s">
        <v>578</v>
      </c>
    </row>
    <row r="516" spans="2:114" x14ac:dyDescent="0.25">
      <c r="B516" s="252">
        <f t="shared" si="133"/>
        <v>999999</v>
      </c>
      <c r="C516" s="668" t="s">
        <v>577</v>
      </c>
      <c r="D516" s="452" t="s">
        <v>578</v>
      </c>
      <c r="E516" s="469" t="s">
        <v>589</v>
      </c>
      <c r="F516" s="19" t="s">
        <v>578</v>
      </c>
      <c r="G516" s="452" t="s">
        <v>580</v>
      </c>
      <c r="H516" s="453" t="s">
        <v>580</v>
      </c>
      <c r="I516" s="518" t="s">
        <v>578</v>
      </c>
      <c r="J516" s="99" t="s">
        <v>578</v>
      </c>
      <c r="K516" s="99" t="s">
        <v>578</v>
      </c>
      <c r="L516" s="498" t="s">
        <v>578</v>
      </c>
      <c r="V516" s="1343" t="s">
        <v>45</v>
      </c>
      <c r="W516" s="800"/>
      <c r="X516" s="800"/>
      <c r="Y516" s="650" t="s">
        <v>578</v>
      </c>
      <c r="Z516" s="53" t="s">
        <v>578</v>
      </c>
      <c r="AA516" s="53" t="s">
        <v>578</v>
      </c>
      <c r="AB516" s="628" t="s">
        <v>578</v>
      </c>
      <c r="AC516" s="705" t="s">
        <v>578</v>
      </c>
      <c r="AD516" s="705" t="s">
        <v>578</v>
      </c>
      <c r="AE516" s="669" t="s">
        <v>578</v>
      </c>
      <c r="AF516" s="669" t="s">
        <v>578</v>
      </c>
      <c r="AG516" s="656"/>
      <c r="AH516" s="39"/>
      <c r="AI516" s="1375" t="s">
        <v>49</v>
      </c>
      <c r="AJ516" s="800"/>
      <c r="AK516" s="800"/>
      <c r="AL516" s="650" t="s">
        <v>578</v>
      </c>
      <c r="AM516" s="19" t="s">
        <v>578</v>
      </c>
      <c r="AN516" s="19" t="s">
        <v>578</v>
      </c>
      <c r="AO516" s="18" t="s">
        <v>578</v>
      </c>
      <c r="AP516" s="18" t="s">
        <v>578</v>
      </c>
      <c r="AQ516" s="18" t="s">
        <v>578</v>
      </c>
      <c r="AR516" s="669" t="s">
        <v>578</v>
      </c>
      <c r="AS516" s="669" t="s">
        <v>578</v>
      </c>
      <c r="AT516" s="37"/>
      <c r="AU516" s="1375" t="s">
        <v>50</v>
      </c>
      <c r="AV516" s="800"/>
      <c r="AW516" s="800"/>
      <c r="AX516" s="650" t="s">
        <v>578</v>
      </c>
      <c r="AY516" s="19" t="s">
        <v>578</v>
      </c>
      <c r="AZ516" s="19" t="s">
        <v>578</v>
      </c>
      <c r="BA516" s="669" t="s">
        <v>578</v>
      </c>
      <c r="BB516" s="669" t="s">
        <v>578</v>
      </c>
      <c r="BC516" s="669" t="s">
        <v>578</v>
      </c>
      <c r="BD516" s="669" t="s">
        <v>578</v>
      </c>
      <c r="BE516" s="669" t="s">
        <v>578</v>
      </c>
      <c r="DG516" s="1029" t="s">
        <v>578</v>
      </c>
      <c r="DH516" s="122" t="str">
        <f t="shared" si="134"/>
        <v>Variable Custom Year EUL</v>
      </c>
      <c r="DI516" s="1026" t="s">
        <v>578</v>
      </c>
      <c r="DJ516" s="833" t="s">
        <v>578</v>
      </c>
    </row>
    <row r="517" spans="2:114" x14ac:dyDescent="0.25">
      <c r="B517" s="252">
        <f t="shared" si="133"/>
        <v>999999</v>
      </c>
      <c r="C517" s="668" t="s">
        <v>577</v>
      </c>
      <c r="D517" s="452" t="s">
        <v>578</v>
      </c>
      <c r="E517" s="469" t="s">
        <v>590</v>
      </c>
      <c r="F517" s="19" t="s">
        <v>578</v>
      </c>
      <c r="G517" s="452" t="s">
        <v>580</v>
      </c>
      <c r="H517" s="453" t="s">
        <v>580</v>
      </c>
      <c r="I517" s="518" t="s">
        <v>578</v>
      </c>
      <c r="J517" s="99" t="s">
        <v>578</v>
      </c>
      <c r="K517" s="99" t="s">
        <v>578</v>
      </c>
      <c r="L517" s="498" t="s">
        <v>578</v>
      </c>
      <c r="V517" s="1343" t="s">
        <v>45</v>
      </c>
      <c r="W517" s="800"/>
      <c r="X517" s="800"/>
      <c r="Y517" s="650" t="s">
        <v>578</v>
      </c>
      <c r="Z517" s="53" t="s">
        <v>578</v>
      </c>
      <c r="AA517" s="53" t="s">
        <v>578</v>
      </c>
      <c r="AB517" s="628" t="s">
        <v>578</v>
      </c>
      <c r="AC517" s="705" t="s">
        <v>578</v>
      </c>
      <c r="AD517" s="705" t="s">
        <v>578</v>
      </c>
      <c r="AE517" s="669" t="s">
        <v>578</v>
      </c>
      <c r="AF517" s="669" t="s">
        <v>578</v>
      </c>
      <c r="AG517" s="656"/>
      <c r="AH517" s="39"/>
      <c r="AI517" s="1375" t="s">
        <v>49</v>
      </c>
      <c r="AJ517" s="800"/>
      <c r="AK517" s="800"/>
      <c r="AL517" s="650" t="s">
        <v>578</v>
      </c>
      <c r="AM517" s="19" t="s">
        <v>578</v>
      </c>
      <c r="AN517" s="19" t="s">
        <v>578</v>
      </c>
      <c r="AO517" s="18" t="s">
        <v>578</v>
      </c>
      <c r="AP517" s="18" t="s">
        <v>578</v>
      </c>
      <c r="AQ517" s="18" t="s">
        <v>578</v>
      </c>
      <c r="AR517" s="669" t="s">
        <v>578</v>
      </c>
      <c r="AS517" s="669" t="s">
        <v>578</v>
      </c>
      <c r="AT517" s="37"/>
      <c r="AU517" s="1375" t="s">
        <v>50</v>
      </c>
      <c r="AV517" s="800"/>
      <c r="AW517" s="800"/>
      <c r="AX517" s="650" t="s">
        <v>578</v>
      </c>
      <c r="AY517" s="19" t="s">
        <v>578</v>
      </c>
      <c r="AZ517" s="19" t="s">
        <v>578</v>
      </c>
      <c r="BA517" s="669" t="s">
        <v>578</v>
      </c>
      <c r="BB517" s="669" t="s">
        <v>578</v>
      </c>
      <c r="BC517" s="669" t="s">
        <v>578</v>
      </c>
      <c r="BD517" s="669" t="s">
        <v>578</v>
      </c>
      <c r="BE517" s="669" t="s">
        <v>578</v>
      </c>
      <c r="DG517" s="1029" t="s">
        <v>578</v>
      </c>
      <c r="DH517" s="122" t="str">
        <f t="shared" si="134"/>
        <v>Variable Custom Year EUL</v>
      </c>
      <c r="DI517" s="1026" t="s">
        <v>578</v>
      </c>
      <c r="DJ517" s="833" t="s">
        <v>578</v>
      </c>
    </row>
    <row r="518" spans="2:114" hidden="1" outlineLevel="1" x14ac:dyDescent="0.25">
      <c r="D518" s="7" t="s">
        <v>94</v>
      </c>
      <c r="E518" s="7" t="s">
        <v>591</v>
      </c>
    </row>
    <row r="519" spans="2:114" hidden="1" outlineLevel="1" x14ac:dyDescent="0.25"/>
    <row r="520" spans="2:114" collapsed="1" x14ac:dyDescent="0.25"/>
  </sheetData>
  <autoFilter ref="A1:A4724" xr:uid="{00000000-0001-0000-0B00-000000000000}"/>
  <mergeCells count="27">
    <mergeCell ref="B504:O504"/>
    <mergeCell ref="P475:Q477"/>
    <mergeCell ref="B484:O484"/>
    <mergeCell ref="B468:O468"/>
    <mergeCell ref="B432:O432"/>
    <mergeCell ref="P439:Q441"/>
    <mergeCell ref="B448:O448"/>
    <mergeCell ref="M342:O345"/>
    <mergeCell ref="B360:O360"/>
    <mergeCell ref="O43:S46"/>
    <mergeCell ref="B164:O164"/>
    <mergeCell ref="B180:O180"/>
    <mergeCell ref="I102:J102"/>
    <mergeCell ref="M102:N102"/>
    <mergeCell ref="E3:G3"/>
    <mergeCell ref="H3:J3"/>
    <mergeCell ref="D4:J4"/>
    <mergeCell ref="B6:O6"/>
    <mergeCell ref="A1:Q1"/>
    <mergeCell ref="DI311:DJ311"/>
    <mergeCell ref="DK311:DL311"/>
    <mergeCell ref="B57:O57"/>
    <mergeCell ref="B117:O117"/>
    <mergeCell ref="B79:O79"/>
    <mergeCell ref="B136:O136"/>
    <mergeCell ref="B203:O203"/>
    <mergeCell ref="B223:O223"/>
  </mergeCells>
  <phoneticPr fontId="67" type="noConversion"/>
  <conditionalFormatting sqref="D25:E25 E144:E145 D146">
    <cfRule type="cellIs" dxfId="241" priority="239" operator="equal">
      <formula>"x"</formula>
    </cfRule>
  </conditionalFormatting>
  <conditionalFormatting sqref="D63:E63">
    <cfRule type="cellIs" dxfId="240" priority="237" operator="equal">
      <formula>"x"</formula>
    </cfRule>
  </conditionalFormatting>
  <conditionalFormatting sqref="D94:E94">
    <cfRule type="cellIs" dxfId="239" priority="235" operator="equal">
      <formula>"x"</formula>
    </cfRule>
  </conditionalFormatting>
  <conditionalFormatting sqref="D122:E122">
    <cfRule type="cellIs" dxfId="238" priority="234" operator="equal">
      <formula>"x"</formula>
    </cfRule>
  </conditionalFormatting>
  <conditionalFormatting sqref="D168:E168">
    <cfRule type="cellIs" dxfId="237" priority="231" operator="equal">
      <formula>"x"</formula>
    </cfRule>
  </conditionalFormatting>
  <conditionalFormatting sqref="D187:E187">
    <cfRule type="cellIs" dxfId="236" priority="229" operator="equal">
      <formula>"x"</formula>
    </cfRule>
  </conditionalFormatting>
  <conditionalFormatting sqref="D209:E209">
    <cfRule type="cellIs" dxfId="235" priority="228" operator="equal">
      <formula>"x"</formula>
    </cfRule>
  </conditionalFormatting>
  <conditionalFormatting sqref="D228:E228">
    <cfRule type="cellIs" dxfId="234" priority="227" operator="equal">
      <formula>"x"</formula>
    </cfRule>
  </conditionalFormatting>
  <conditionalFormatting sqref="D245:E245">
    <cfRule type="cellIs" dxfId="233" priority="226" operator="equal">
      <formula>"x"</formula>
    </cfRule>
  </conditionalFormatting>
  <conditionalFormatting sqref="D262:E262">
    <cfRule type="cellIs" dxfId="232" priority="225" operator="equal">
      <formula>"x"</formula>
    </cfRule>
  </conditionalFormatting>
  <conditionalFormatting sqref="D296:E296">
    <cfRule type="cellIs" dxfId="231" priority="224" operator="equal">
      <formula>"x"</formula>
    </cfRule>
  </conditionalFormatting>
  <conditionalFormatting sqref="D321:E321">
    <cfRule type="cellIs" dxfId="230" priority="223" operator="equal">
      <formula>"x"</formula>
    </cfRule>
  </conditionalFormatting>
  <conditionalFormatting sqref="D344:E344">
    <cfRule type="cellIs" dxfId="229" priority="222" operator="equal">
      <formula>"x"</formula>
    </cfRule>
  </conditionalFormatting>
  <conditionalFormatting sqref="D370:E370">
    <cfRule type="cellIs" dxfId="228" priority="218" operator="equal">
      <formula>"x"</formula>
    </cfRule>
  </conditionalFormatting>
  <conditionalFormatting sqref="D396:E396">
    <cfRule type="cellIs" dxfId="227" priority="217" operator="equal">
      <formula>"x"</formula>
    </cfRule>
  </conditionalFormatting>
  <conditionalFormatting sqref="D418:E418">
    <cfRule type="cellIs" dxfId="226" priority="216" operator="equal">
      <formula>"x"</formula>
    </cfRule>
  </conditionalFormatting>
  <conditionalFormatting sqref="D436:E436">
    <cfRule type="cellIs" dxfId="225" priority="210" operator="equal">
      <formula>"x"</formula>
    </cfRule>
  </conditionalFormatting>
  <conditionalFormatting sqref="D454:E454">
    <cfRule type="cellIs" dxfId="224" priority="205" operator="equal">
      <formula>"x"</formula>
    </cfRule>
  </conditionalFormatting>
  <conditionalFormatting sqref="D472:E472">
    <cfRule type="cellIs" dxfId="223" priority="204" operator="equal">
      <formula>"x"</formula>
    </cfRule>
  </conditionalFormatting>
  <conditionalFormatting sqref="AB9:AB24">
    <cfRule type="cellIs" dxfId="222" priority="28" operator="notEqual">
      <formula>AA9</formula>
    </cfRule>
  </conditionalFormatting>
  <conditionalFormatting sqref="AB313:AB320">
    <cfRule type="cellIs" dxfId="221" priority="71" operator="notEqual">
      <formula>AA313</formula>
    </cfRule>
  </conditionalFormatting>
  <conditionalFormatting sqref="AB332:AB338">
    <cfRule type="cellIs" dxfId="220" priority="131" operator="notEqual">
      <formula>AA332</formula>
    </cfRule>
  </conditionalFormatting>
  <conditionalFormatting sqref="AB342">
    <cfRule type="cellIs" dxfId="219" priority="179" operator="notEqual">
      <formula>AA342</formula>
    </cfRule>
  </conditionalFormatting>
  <conditionalFormatting sqref="AB39:AC54">
    <cfRule type="cellIs" dxfId="218" priority="6" operator="notEqual">
      <formula>AA39</formula>
    </cfRule>
  </conditionalFormatting>
  <conditionalFormatting sqref="AB60:AC61 AB74:AD75 AB82:AE92 AB105:AF114 AC183:AE186 BB197:BE200 AC435:AF435">
    <cfRule type="cellIs" dxfId="217" priority="401" operator="notEqual">
      <formula>AA60</formula>
    </cfRule>
  </conditionalFormatting>
  <conditionalFormatting sqref="AB291:AD295">
    <cfRule type="cellIs" dxfId="216" priority="175" operator="notEqual">
      <formula>AA291</formula>
    </cfRule>
  </conditionalFormatting>
  <conditionalFormatting sqref="AB305:AD309">
    <cfRule type="cellIs" dxfId="215" priority="136" operator="notEqual">
      <formula>AA305</formula>
    </cfRule>
  </conditionalFormatting>
  <conditionalFormatting sqref="AC342:AD343">
    <cfRule type="cellIs" dxfId="214" priority="173" operator="notEqual">
      <formula>AB342</formula>
    </cfRule>
  </conditionalFormatting>
  <conditionalFormatting sqref="AC415:AD415">
    <cfRule type="cellIs" dxfId="213" priority="176" operator="notEqual">
      <formula>AB415</formula>
    </cfRule>
  </conditionalFormatting>
  <conditionalFormatting sqref="AC507:AD517">
    <cfRule type="cellIs" dxfId="212" priority="1" operator="notEqual">
      <formula>AB507</formula>
    </cfRule>
  </conditionalFormatting>
  <conditionalFormatting sqref="AC120:AE121">
    <cfRule type="cellIs" dxfId="211" priority="198" operator="notEqual">
      <formula>AB120</formula>
    </cfRule>
  </conditionalFormatting>
  <conditionalFormatting sqref="AC139:AE145">
    <cfRule type="cellIs" dxfId="210" priority="197" operator="notEqual">
      <formula>AB139</formula>
    </cfRule>
  </conditionalFormatting>
  <conditionalFormatting sqref="AC167:AE167">
    <cfRule type="cellIs" dxfId="209" priority="195" operator="notEqual">
      <formula>AB167</formula>
    </cfRule>
  </conditionalFormatting>
  <conditionalFormatting sqref="AC241:AE244">
    <cfRule type="cellIs" dxfId="208" priority="166" operator="notEqual">
      <formula>AB241</formula>
    </cfRule>
  </conditionalFormatting>
  <conditionalFormatting sqref="AC206:AF208">
    <cfRule type="cellIs" dxfId="207" priority="171" operator="notEqual">
      <formula>AB206</formula>
    </cfRule>
  </conditionalFormatting>
  <conditionalFormatting sqref="AC218:AF220">
    <cfRule type="cellIs" dxfId="206" priority="139" operator="notEqual">
      <formula>AB218</formula>
    </cfRule>
  </conditionalFormatting>
  <conditionalFormatting sqref="AC254:AF257">
    <cfRule type="cellIs" dxfId="205" priority="138" operator="notEqual">
      <formula>AB254</formula>
    </cfRule>
  </conditionalFormatting>
  <conditionalFormatting sqref="AC261:AF261">
    <cfRule type="cellIs" dxfId="204" priority="177" operator="notEqual">
      <formula>AB261</formula>
    </cfRule>
  </conditionalFormatting>
  <conditionalFormatting sqref="AC363:AF369">
    <cfRule type="cellIs" dxfId="203" priority="168" operator="notEqual">
      <formula>AB363</formula>
    </cfRule>
  </conditionalFormatting>
  <conditionalFormatting sqref="AC389:AF395">
    <cfRule type="cellIs" dxfId="202" priority="167" operator="notEqual">
      <formula>AB389</formula>
    </cfRule>
  </conditionalFormatting>
  <conditionalFormatting sqref="AC405:AF411">
    <cfRule type="cellIs" dxfId="201" priority="123" operator="notEqual">
      <formula>AB405</formula>
    </cfRule>
  </conditionalFormatting>
  <conditionalFormatting sqref="AC451:AF453">
    <cfRule type="cellIs" dxfId="200" priority="189" operator="notEqual">
      <formula>AB451</formula>
    </cfRule>
  </conditionalFormatting>
  <conditionalFormatting sqref="AC471:AF471">
    <cfRule type="cellIs" dxfId="199" priority="190" operator="notEqual">
      <formula>AB471</formula>
    </cfRule>
  </conditionalFormatting>
  <conditionalFormatting sqref="AC487:AF491">
    <cfRule type="cellIs" dxfId="198" priority="147" operator="notEqual">
      <formula>AB487</formula>
    </cfRule>
  </conditionalFormatting>
  <conditionalFormatting sqref="AF9:AF24">
    <cfRule type="expression" dxfId="197" priority="24">
      <formula>AND(AF9=AE9,AE9&lt;&gt;"")</formula>
    </cfRule>
    <cfRule type="expression" dxfId="196" priority="25">
      <formula>AF9&lt;&gt;AE9</formula>
    </cfRule>
  </conditionalFormatting>
  <conditionalFormatting sqref="AF60:AF61 AF82:AF92 AF183:AF186 AF197:AF200">
    <cfRule type="expression" dxfId="195" priority="119">
      <formula>AND(AF60=AE60,AE60&lt;&gt;"")</formula>
    </cfRule>
    <cfRule type="expression" dxfId="194" priority="120">
      <formula>AF60&lt;&gt;AE60</formula>
    </cfRule>
  </conditionalFormatting>
  <conditionalFormatting sqref="AF120:AF121">
    <cfRule type="expression" dxfId="193" priority="109">
      <formula>AND(AF120=AE120,AE120&lt;&gt;"")</formula>
    </cfRule>
    <cfRule type="expression" dxfId="192" priority="110">
      <formula>AF120&lt;&gt;AE120</formula>
    </cfRule>
  </conditionalFormatting>
  <conditionalFormatting sqref="AF139:AF145">
    <cfRule type="expression" dxfId="191" priority="108">
      <formula>AF139&lt;&gt;AE139</formula>
    </cfRule>
    <cfRule type="expression" dxfId="190" priority="107">
      <formula>AND(AF139=AE139,AE139&lt;&gt;"")</formula>
    </cfRule>
  </conditionalFormatting>
  <conditionalFormatting sqref="AF155:AF159 AC160:AF161">
    <cfRule type="cellIs" dxfId="189" priority="140" operator="notEqual">
      <formula>AB155</formula>
    </cfRule>
  </conditionalFormatting>
  <conditionalFormatting sqref="AF167">
    <cfRule type="expression" dxfId="188" priority="102">
      <formula>AF167&lt;&gt;AE167</formula>
    </cfRule>
    <cfRule type="expression" dxfId="187" priority="101">
      <formula>AND(AF167=AE167,AE167&lt;&gt;"")</formula>
    </cfRule>
  </conditionalFormatting>
  <conditionalFormatting sqref="AF226:AF227">
    <cfRule type="expression" dxfId="186" priority="94">
      <formula>AF226&lt;&gt;AE226</formula>
    </cfRule>
    <cfRule type="expression" dxfId="185" priority="93">
      <formula>AND(AF226=AE226,AE226&lt;&gt;"")</formula>
    </cfRule>
  </conditionalFormatting>
  <conditionalFormatting sqref="AF237">
    <cfRule type="cellIs" dxfId="184" priority="144" operator="notEqual">
      <formula>AE237</formula>
    </cfRule>
  </conditionalFormatting>
  <conditionalFormatting sqref="AF241:AF244">
    <cfRule type="expression" dxfId="183" priority="92">
      <formula>AF241&lt;&gt;AE241</formula>
    </cfRule>
    <cfRule type="expression" dxfId="182" priority="91">
      <formula>AND(AF241=AE241,AE241&lt;&gt;"")</formula>
    </cfRule>
  </conditionalFormatting>
  <conditionalFormatting sqref="AF291:AF295">
    <cfRule type="expression" dxfId="181" priority="89">
      <formula>AND(AF291=AE291,AE291&lt;&gt;"")</formula>
    </cfRule>
    <cfRule type="expression" dxfId="180" priority="90">
      <formula>AF291&lt;&gt;AE291</formula>
    </cfRule>
  </conditionalFormatting>
  <conditionalFormatting sqref="AF313:AF320">
    <cfRule type="expression" dxfId="179" priority="70">
      <formula>AF313&lt;&gt;AE313</formula>
    </cfRule>
    <cfRule type="expression" dxfId="178" priority="69">
      <formula>AND(AF313=AE313,AE313&lt;&gt;"")</formula>
    </cfRule>
  </conditionalFormatting>
  <conditionalFormatting sqref="AF342:AF343">
    <cfRule type="expression" dxfId="177" priority="86">
      <formula>AF342&lt;&gt;AE342</formula>
    </cfRule>
    <cfRule type="expression" dxfId="176" priority="85">
      <formula>AND(AF342=AE342,AE342&lt;&gt;"")</formula>
    </cfRule>
  </conditionalFormatting>
  <conditionalFormatting sqref="AF415:AF417">
    <cfRule type="cellIs" dxfId="175" priority="160" operator="notEqual">
      <formula>AE415</formula>
    </cfRule>
  </conditionalFormatting>
  <conditionalFormatting sqref="AO9:AO24">
    <cfRule type="cellIs" dxfId="174" priority="27" operator="notEqual">
      <formula>AN9</formula>
    </cfRule>
  </conditionalFormatting>
  <conditionalFormatting sqref="AO39:AP54">
    <cfRule type="cellIs" dxfId="173" priority="5" operator="notEqual">
      <formula>AN39</formula>
    </cfRule>
  </conditionalFormatting>
  <conditionalFormatting sqref="AO313:AQ320">
    <cfRule type="cellIs" dxfId="172" priority="67" operator="notEqual">
      <formula>AN313</formula>
    </cfRule>
  </conditionalFormatting>
  <conditionalFormatting sqref="AO331:AQ338">
    <cfRule type="cellIs" dxfId="171" priority="68" operator="notEqual">
      <formula>AN331</formula>
    </cfRule>
  </conditionalFormatting>
  <conditionalFormatting sqref="AO291:AS295">
    <cfRule type="cellIs" dxfId="170" priority="161" operator="notEqual">
      <formula>AN291</formula>
    </cfRule>
  </conditionalFormatting>
  <conditionalFormatting sqref="AO305:AS309">
    <cfRule type="cellIs" dxfId="169" priority="134" operator="notEqual">
      <formula>AN305</formula>
    </cfRule>
  </conditionalFormatting>
  <conditionalFormatting sqref="AP74:AR75">
    <cfRule type="cellIs" dxfId="168" priority="263" operator="notEqual">
      <formula>AO74</formula>
    </cfRule>
  </conditionalFormatting>
  <conditionalFormatting sqref="AP254:AS257">
    <cfRule type="cellIs" dxfId="167" priority="137" operator="notEqual">
      <formula>AO254</formula>
    </cfRule>
  </conditionalFormatting>
  <conditionalFormatting sqref="AR241:AS244 AR261:AS261">
    <cfRule type="cellIs" dxfId="166" priority="165" operator="notEqual">
      <formula>AQ241</formula>
    </cfRule>
  </conditionalFormatting>
  <conditionalFormatting sqref="AS197:AS200">
    <cfRule type="cellIs" dxfId="165" priority="150" operator="notEqual">
      <formula>AR197</formula>
    </cfRule>
  </conditionalFormatting>
  <conditionalFormatting sqref="AS237">
    <cfRule type="cellIs" dxfId="164" priority="143" operator="notEqual">
      <formula>AR237</formula>
    </cfRule>
  </conditionalFormatting>
  <conditionalFormatting sqref="BA313:BA320">
    <cfRule type="cellIs" dxfId="163" priority="58" operator="notEqual">
      <formula>AZ313</formula>
    </cfRule>
  </conditionalFormatting>
  <conditionalFormatting sqref="BA331:BA338">
    <cfRule type="cellIs" dxfId="162" priority="64" operator="notEqual">
      <formula>AZ331</formula>
    </cfRule>
  </conditionalFormatting>
  <conditionalFormatting sqref="BA39:BB54">
    <cfRule type="cellIs" dxfId="161" priority="7" operator="notEqual">
      <formula>AZ39</formula>
    </cfRule>
  </conditionalFormatting>
  <conditionalFormatting sqref="BA9:BC24">
    <cfRule type="cellIs" dxfId="160" priority="26" operator="notEqual">
      <formula>AZ9</formula>
    </cfRule>
  </conditionalFormatting>
  <conditionalFormatting sqref="BA291:BE295">
    <cfRule type="cellIs" dxfId="159" priority="162" operator="notEqual">
      <formula>AZ291</formula>
    </cfRule>
  </conditionalFormatting>
  <conditionalFormatting sqref="BA305:BE309">
    <cfRule type="cellIs" dxfId="158" priority="135" operator="notEqual">
      <formula>AZ305</formula>
    </cfRule>
  </conditionalFormatting>
  <conditionalFormatting sqref="BE237">
    <cfRule type="cellIs" dxfId="157" priority="142" operator="notEqual">
      <formula>BD237</formula>
    </cfRule>
  </conditionalFormatting>
  <conditionalFormatting sqref="BM39:BN54">
    <cfRule type="cellIs" dxfId="156" priority="8" operator="notEqual">
      <formula>BL39</formula>
    </cfRule>
  </conditionalFormatting>
  <conditionalFormatting sqref="BM313:BQ320">
    <cfRule type="cellIs" dxfId="155" priority="60" operator="notEqual">
      <formula>BL313</formula>
    </cfRule>
  </conditionalFormatting>
  <conditionalFormatting sqref="BM331:BQ338">
    <cfRule type="cellIs" dxfId="154" priority="66" operator="notEqual">
      <formula>BL331</formula>
    </cfRule>
  </conditionalFormatting>
  <conditionalFormatting sqref="BQ237">
    <cfRule type="cellIs" dxfId="153" priority="141" operator="notEqual">
      <formula>BP237</formula>
    </cfRule>
  </conditionalFormatting>
  <conditionalFormatting sqref="BZ313:CD320">
    <cfRule type="cellIs" dxfId="152" priority="59" operator="notEqual">
      <formula>BY313</formula>
    </cfRule>
  </conditionalFormatting>
  <conditionalFormatting sqref="BZ338:CD338">
    <cfRule type="cellIs" dxfId="151" priority="132" operator="notEqual">
      <formula>BY338</formula>
    </cfRule>
  </conditionalFormatting>
  <conditionalFormatting sqref="CD331:CD337">
    <cfRule type="cellIs" dxfId="150" priority="65" operator="notEqual">
      <formula>CC331</formula>
    </cfRule>
  </conditionalFormatting>
  <conditionalFormatting sqref="CL39:CN54">
    <cfRule type="cellIs" dxfId="149" priority="3" operator="notEqual">
      <formula>CK39</formula>
    </cfRule>
  </conditionalFormatting>
  <conditionalFormatting sqref="CL332:CP338">
    <cfRule type="cellIs" dxfId="148" priority="128" operator="notEqual">
      <formula>CK332</formula>
    </cfRule>
  </conditionalFormatting>
  <conditionalFormatting sqref="CP331">
    <cfRule type="cellIs" dxfId="147" priority="63" operator="notEqual">
      <formula>CO331</formula>
    </cfRule>
  </conditionalFormatting>
  <conditionalFormatting sqref="CX332:DB338">
    <cfRule type="cellIs" dxfId="146" priority="127" operator="notEqual">
      <formula>CW332</formula>
    </cfRule>
  </conditionalFormatting>
  <conditionalFormatting sqref="CY39:DA54">
    <cfRule type="cellIs" dxfId="145" priority="4" operator="notEqual">
      <formula>CX39</formula>
    </cfRule>
  </conditionalFormatting>
  <conditionalFormatting sqref="DB331">
    <cfRule type="cellIs" dxfId="144" priority="62" operator="notEqual">
      <formula>DA331</formula>
    </cfRule>
  </conditionalFormatting>
  <conditionalFormatting sqref="DJ332:DN338">
    <cfRule type="cellIs" dxfId="143" priority="72" operator="notEqual">
      <formula>DI332</formula>
    </cfRule>
  </conditionalFormatting>
  <conditionalFormatting sqref="DN331">
    <cfRule type="cellIs" dxfId="142" priority="61" operator="notEqual">
      <formula>DM331</formula>
    </cfRule>
  </conditionalFormatting>
  <pageMargins left="0.7" right="0.7" top="0.75" bottom="0.75" header="0.3" footer="0.3"/>
  <pageSetup scale="39" fitToHeight="0" orientation="landscape" r:id="rId1"/>
  <rowBreaks count="2" manualBreakCount="2">
    <brk id="221" max="17" man="1"/>
    <brk id="446" max="17"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rgb="FFFF9999"/>
    <pageSetUpPr fitToPage="1"/>
  </sheetPr>
  <dimension ref="A1:DJ5130"/>
  <sheetViews>
    <sheetView zoomScale="70" zoomScaleNormal="70" workbookViewId="0">
      <selection sqref="A1:P1"/>
    </sheetView>
  </sheetViews>
  <sheetFormatPr defaultColWidth="9.28515625" defaultRowHeight="15" outlineLevelRow="1" x14ac:dyDescent="0.25"/>
  <cols>
    <col min="1" max="1" width="4.42578125" style="64" customWidth="1"/>
    <col min="2" max="2" width="8.7109375" style="64" customWidth="1"/>
    <col min="3" max="3" width="24.28515625" style="62" customWidth="1"/>
    <col min="4" max="4" width="34" style="63" customWidth="1"/>
    <col min="5" max="5" width="62.7109375" style="63" customWidth="1"/>
    <col min="6" max="6" width="22.28515625" style="62" customWidth="1"/>
    <col min="7" max="7" width="37.28515625" style="64" customWidth="1"/>
    <col min="8" max="8" width="27.140625" style="64" customWidth="1"/>
    <col min="9" max="9" width="56" style="64" customWidth="1"/>
    <col min="10" max="10" width="11.7109375" style="64" customWidth="1"/>
    <col min="11" max="11" width="22.5703125" style="64" bestFit="1" customWidth="1"/>
    <col min="12" max="12" width="14.5703125" style="64" customWidth="1"/>
    <col min="13" max="13" width="14.28515625" style="64" customWidth="1"/>
    <col min="14" max="14" width="10.5703125" style="64" customWidth="1"/>
    <col min="15" max="15" width="14.28515625" style="64" customWidth="1"/>
    <col min="16" max="16" width="12.28515625" style="64" bestFit="1" customWidth="1"/>
    <col min="17" max="17" width="2.28515625" style="64" customWidth="1"/>
    <col min="18" max="18" width="1.42578125" style="64" customWidth="1"/>
    <col min="19" max="21" width="9.28515625" style="64" customWidth="1"/>
    <col min="22" max="22" width="26.5703125" style="6" customWidth="1"/>
    <col min="23" max="23" width="13.7109375" style="6" customWidth="1"/>
    <col min="24" max="24" width="18.42578125" style="6" customWidth="1"/>
    <col min="25" max="25" width="16.7109375" style="6" customWidth="1"/>
    <col min="26" max="26" width="19.28515625" style="6" bestFit="1" customWidth="1"/>
    <col min="27" max="27" width="13.7109375" style="6" customWidth="1"/>
    <col min="28" max="28" width="18.5703125" style="6" bestFit="1" customWidth="1"/>
    <col min="29" max="29" width="17.7109375" style="6" customWidth="1"/>
    <col min="30" max="31" width="13.7109375" style="6" customWidth="1"/>
    <col min="32" max="32" width="18.5703125" style="6" customWidth="1"/>
    <col min="33" max="33" width="13.7109375" style="6" customWidth="1"/>
    <col min="34" max="34" width="9.28515625" style="6" customWidth="1"/>
    <col min="35" max="35" width="15.5703125" style="6" customWidth="1"/>
    <col min="36" max="37" width="20" style="6" bestFit="1" customWidth="1"/>
    <col min="38" max="39" width="15.5703125" style="6" customWidth="1"/>
    <col min="40" max="40" width="16.7109375" style="6" bestFit="1" customWidth="1"/>
    <col min="41" max="41" width="17.28515625" style="6" bestFit="1" customWidth="1"/>
    <col min="42" max="43" width="15.5703125" style="6" customWidth="1"/>
    <col min="44" max="44" width="19.28515625" style="6" customWidth="1"/>
    <col min="45" max="45" width="15.5703125" style="6" customWidth="1"/>
    <col min="46" max="52" width="9.28515625" style="6" customWidth="1"/>
    <col min="53" max="110" width="18.28515625" style="6" customWidth="1"/>
    <col min="111" max="111" width="12" style="1031" bestFit="1" customWidth="1"/>
    <col min="112" max="112" width="39.28515625" style="64" customWidth="1"/>
    <col min="113" max="113" width="11.7109375" style="64" customWidth="1"/>
    <col min="114" max="114" width="17.5703125" style="1059" bestFit="1" customWidth="1"/>
    <col min="115" max="16384" width="9.28515625" style="6"/>
  </cols>
  <sheetData>
    <row r="1" spans="1:114" s="2" customFormat="1" ht="18.75" x14ac:dyDescent="0.3">
      <c r="A1" s="2098" t="s">
        <v>592</v>
      </c>
      <c r="B1" s="2099"/>
      <c r="C1" s="2100"/>
      <c r="D1" s="2099"/>
      <c r="E1" s="2099"/>
      <c r="F1" s="2099"/>
      <c r="G1" s="2099"/>
      <c r="H1" s="2099"/>
      <c r="I1" s="2099"/>
      <c r="J1" s="2099"/>
      <c r="K1" s="2099"/>
      <c r="L1" s="2099"/>
      <c r="M1" s="2099"/>
      <c r="N1" s="2099"/>
      <c r="O1" s="2099"/>
      <c r="P1" s="2099"/>
      <c r="Q1" s="1290"/>
      <c r="R1" s="252"/>
      <c r="S1" s="252"/>
      <c r="T1" s="252"/>
      <c r="U1" s="252"/>
      <c r="V1" s="3"/>
      <c r="W1" s="4"/>
      <c r="X1" s="4"/>
      <c r="Y1" s="5"/>
      <c r="Z1" s="5"/>
      <c r="AA1" s="5"/>
      <c r="AB1" s="5"/>
      <c r="AC1" s="5"/>
      <c r="AD1" s="5"/>
      <c r="AE1" s="5"/>
      <c r="AF1" s="5"/>
      <c r="AG1" s="5"/>
      <c r="AH1" s="5"/>
      <c r="DG1" s="1057"/>
      <c r="DH1" s="252"/>
      <c r="DI1" s="252"/>
      <c r="DJ1" s="1116"/>
    </row>
    <row r="2" spans="1:114" s="2" customFormat="1" ht="30" hidden="1" customHeight="1" outlineLevel="1" x14ac:dyDescent="0.35">
      <c r="A2" s="252"/>
      <c r="B2" s="446"/>
      <c r="C2" s="58"/>
      <c r="D2" s="2079" t="s">
        <v>39</v>
      </c>
      <c r="E2" s="2101"/>
      <c r="F2" s="2102"/>
      <c r="G2" s="2102"/>
      <c r="H2" s="2102"/>
      <c r="I2" s="2102"/>
      <c r="J2" s="2102"/>
      <c r="K2" s="251"/>
      <c r="L2" s="251"/>
      <c r="M2" s="252"/>
      <c r="N2" s="252"/>
      <c r="O2" s="252"/>
      <c r="P2" s="252"/>
      <c r="Q2" s="252"/>
      <c r="R2" s="252"/>
      <c r="S2" s="252"/>
      <c r="T2" s="252"/>
      <c r="U2" s="252"/>
      <c r="V2" s="1415"/>
      <c r="W2" s="1415"/>
      <c r="X2" s="1415"/>
      <c r="Y2" s="1415"/>
      <c r="Z2" s="1415"/>
      <c r="AA2" s="1415"/>
      <c r="AB2" s="1415"/>
      <c r="AC2" s="1415"/>
      <c r="AD2" s="1415"/>
      <c r="AE2" s="1415"/>
      <c r="AF2" s="1415"/>
      <c r="AG2" s="1415"/>
      <c r="AH2" s="1415"/>
      <c r="AI2" s="1415"/>
      <c r="DG2" s="1057"/>
      <c r="DH2" s="252"/>
      <c r="DI2" s="252"/>
      <c r="DJ2" s="1116"/>
    </row>
    <row r="3" spans="1:114" s="2" customFormat="1" ht="33.75" customHeight="1" collapsed="1" x14ac:dyDescent="0.25">
      <c r="A3" s="252"/>
      <c r="B3" s="252"/>
      <c r="C3" s="59"/>
      <c r="D3" s="60"/>
      <c r="E3" s="60"/>
      <c r="F3" s="59"/>
      <c r="G3" s="59"/>
      <c r="H3" s="59"/>
      <c r="I3" s="59"/>
      <c r="J3" s="59"/>
      <c r="K3" s="252"/>
      <c r="L3" s="252"/>
      <c r="M3" s="252"/>
      <c r="N3" s="252"/>
      <c r="O3" s="252"/>
      <c r="P3" s="252"/>
      <c r="Q3" s="252"/>
      <c r="R3" s="252"/>
      <c r="S3" s="252"/>
      <c r="T3" s="252"/>
      <c r="U3" s="252"/>
      <c r="V3" s="1415"/>
      <c r="W3" s="1415"/>
      <c r="X3" s="1415"/>
      <c r="Y3" s="1415"/>
      <c r="Z3" s="1415"/>
      <c r="AA3" s="1415"/>
      <c r="AB3" s="1415"/>
      <c r="AC3" s="1415"/>
      <c r="AD3" s="1415"/>
      <c r="AE3" s="1415"/>
      <c r="AF3" s="1415"/>
      <c r="AG3" s="1415"/>
      <c r="AH3" s="1415"/>
      <c r="AI3" s="1415"/>
      <c r="DG3" s="1057"/>
      <c r="DH3" s="252"/>
      <c r="DI3" s="252"/>
      <c r="DJ3" s="1116"/>
    </row>
    <row r="4" spans="1:114" s="50" customFormat="1" x14ac:dyDescent="0.25">
      <c r="B4" s="2103" t="s">
        <v>593</v>
      </c>
      <c r="C4" s="2104"/>
      <c r="D4" s="2104"/>
      <c r="E4" s="2104"/>
      <c r="F4" s="2104"/>
      <c r="G4" s="2104"/>
      <c r="H4" s="2104"/>
      <c r="I4" s="2074"/>
      <c r="J4" s="2074"/>
      <c r="K4" s="2074"/>
      <c r="L4" s="2074"/>
      <c r="M4" s="2074"/>
      <c r="N4" s="2074"/>
      <c r="O4" s="2075"/>
      <c r="V4" s="2103" t="str">
        <f>B4</f>
        <v>Heat Pump Water Heater</v>
      </c>
      <c r="W4" s="2104"/>
      <c r="X4" s="2104"/>
      <c r="Y4" s="2104"/>
      <c r="Z4" s="2104"/>
      <c r="AA4" s="2104"/>
      <c r="AB4" s="2104"/>
      <c r="AC4" s="2106"/>
      <c r="AD4" s="2106"/>
      <c r="AE4" s="2106"/>
      <c r="AF4" s="2106"/>
      <c r="AG4" s="2106"/>
      <c r="AH4" s="2106"/>
      <c r="AI4" s="2107"/>
      <c r="DG4" s="61"/>
      <c r="DI4" s="252"/>
      <c r="DJ4" s="1059"/>
    </row>
    <row r="5" spans="1:114" x14ac:dyDescent="0.25">
      <c r="DI5" s="252"/>
      <c r="DJ5" s="1127"/>
    </row>
    <row r="6" spans="1:114" s="8" customFormat="1" ht="33" x14ac:dyDescent="0.25">
      <c r="A6" s="116"/>
      <c r="B6" s="116"/>
      <c r="C6" s="1300" t="s">
        <v>42</v>
      </c>
      <c r="D6" s="1300" t="s">
        <v>594</v>
      </c>
      <c r="E6" s="1300" t="s">
        <v>44</v>
      </c>
      <c r="F6" s="1300" t="s">
        <v>45</v>
      </c>
      <c r="G6" s="1300" t="s">
        <v>46</v>
      </c>
      <c r="H6" s="1300" t="s">
        <v>47</v>
      </c>
      <c r="I6" s="1300" t="s">
        <v>595</v>
      </c>
      <c r="J6" s="1300" t="s">
        <v>596</v>
      </c>
      <c r="K6" s="1300" t="s">
        <v>597</v>
      </c>
      <c r="L6" s="1300" t="s">
        <v>598</v>
      </c>
      <c r="M6" s="1300" t="s">
        <v>48</v>
      </c>
      <c r="N6" s="1300" t="s">
        <v>49</v>
      </c>
      <c r="O6" s="1300" t="s">
        <v>50</v>
      </c>
      <c r="P6" s="1300" t="s">
        <v>51</v>
      </c>
      <c r="Q6" s="116"/>
      <c r="R6" s="116"/>
      <c r="S6" s="116"/>
      <c r="T6" s="116"/>
      <c r="U6" s="116"/>
      <c r="V6" s="648" t="s">
        <v>52</v>
      </c>
      <c r="W6" s="649">
        <v>43252</v>
      </c>
      <c r="X6" s="649">
        <v>43465</v>
      </c>
      <c r="Y6" s="649">
        <v>43800</v>
      </c>
      <c r="Z6" s="649">
        <v>43862</v>
      </c>
      <c r="AA6" s="649">
        <v>44013</v>
      </c>
      <c r="AB6" s="649">
        <v>44166</v>
      </c>
      <c r="AC6" s="649">
        <v>44531</v>
      </c>
      <c r="AD6" s="649">
        <v>44774</v>
      </c>
      <c r="AE6" s="649">
        <v>45139</v>
      </c>
      <c r="AF6" s="649">
        <f>'Deemed Savings Tbl Revision Log'!C17</f>
        <v>45672</v>
      </c>
      <c r="AG6" s="649" t="s">
        <v>53</v>
      </c>
      <c r="DG6" s="1802" t="s">
        <v>54</v>
      </c>
      <c r="DH6" s="1307" t="s">
        <v>55</v>
      </c>
      <c r="DI6" s="159" t="s">
        <v>56</v>
      </c>
      <c r="DJ6" s="1804" t="s">
        <v>57</v>
      </c>
    </row>
    <row r="7" spans="1:114" ht="15.75" customHeight="1" x14ac:dyDescent="0.25">
      <c r="A7" s="522"/>
      <c r="B7" s="1384">
        <f>VALUE(LEFT(C7,6))</f>
        <v>250050</v>
      </c>
      <c r="C7" s="65" t="s">
        <v>599</v>
      </c>
      <c r="D7" s="1375" t="s">
        <v>600</v>
      </c>
      <c r="E7" s="65" t="s">
        <v>601</v>
      </c>
      <c r="F7" s="1882">
        <f>ROUND((((((1/F16)-(1/F17))*F18*F19*F20*F21*(F22-F23)*F24)/F25)-(J7)+I7)*F40,2)</f>
        <v>2396.2600000000002</v>
      </c>
      <c r="G7" s="1343" t="s">
        <v>602</v>
      </c>
      <c r="H7" s="66">
        <f>VLOOKUP(G7,'CP FACTORS'!$A$3:$B$38, 2, FALSE)</f>
        <v>8.8731800000000003E-5</v>
      </c>
      <c r="I7" s="1883">
        <f>(((1-1/F17)*F18*F19*F20*F21*(F22-F23)*F24)*F26*F27*F35/(F29*F25))*F36</f>
        <v>380.51597358938926</v>
      </c>
      <c r="J7" s="1883">
        <f>(((1-1/F17)*F18*F19*F20*F21*(F22-F23)*F24)*F26*F28/(F34*F25))*F37</f>
        <v>187.07094426254071</v>
      </c>
      <c r="K7" s="1883">
        <f>(((1-1/F17)*F18*F19*F20*F21*(F22-F23)*F24)*F26*F28/(F30*F25))*F38</f>
        <v>152.6604919412847</v>
      </c>
      <c r="L7" s="1883">
        <f>(((1-1/F17)*F18*F19*F20*F21*(F22-F23)*F24)*F26*F28/(F32*F25)*F39)</f>
        <v>113.43086392528012</v>
      </c>
      <c r="M7" s="1884">
        <f>ROUND(F7*H7,6)</f>
        <v>0.21262400000000001</v>
      </c>
      <c r="N7" s="67">
        <f>F41</f>
        <v>13</v>
      </c>
      <c r="O7" s="1885">
        <f>F42</f>
        <v>1199</v>
      </c>
      <c r="P7" s="609" t="s">
        <v>62</v>
      </c>
      <c r="R7" s="521"/>
      <c r="V7" s="342" t="str">
        <f>F6</f>
        <v>kWh Annual Savings</v>
      </c>
      <c r="W7" s="369">
        <v>3736.4662164914935</v>
      </c>
      <c r="X7" s="67">
        <v>2506.58000131569</v>
      </c>
      <c r="Y7" s="1824">
        <v>2296.31</v>
      </c>
      <c r="Z7" s="342">
        <v>2296.31</v>
      </c>
      <c r="AA7" s="342">
        <v>2296.31</v>
      </c>
      <c r="AB7" s="656">
        <v>2276.14</v>
      </c>
      <c r="AC7" s="342">
        <v>2276.14</v>
      </c>
      <c r="AD7" s="342">
        <v>2276.14</v>
      </c>
      <c r="AE7" s="342">
        <v>2276.14</v>
      </c>
      <c r="AF7" s="258">
        <f>IF(F7&lt;&gt;"",F7,"")</f>
        <v>2396.2600000000002</v>
      </c>
      <c r="AG7" s="342"/>
      <c r="AH7" s="115"/>
      <c r="AU7" s="1416"/>
      <c r="DG7" s="1808">
        <f>(DI7)/(DJ7)</f>
        <v>1.1871774588443991</v>
      </c>
      <c r="DH7" s="122" t="str">
        <f>CONCATENATE(G7," ",N7," Year EUL")</f>
        <v>Water Heating RES 13 Year EUL</v>
      </c>
      <c r="DI7" s="1809">
        <f>(INDEX('Avoided Cost Benefits'!$B$4:$B$865,MATCH(DH7,'Avoided Cost Benefits'!$A$4:$A$865,0)))*F7</f>
        <v>1423.4257731544344</v>
      </c>
      <c r="DJ7" s="1944">
        <f>IFERROR(O7/((1+DiscountRate)^(CurrentYear-DiscountYear)),0)</f>
        <v>1199</v>
      </c>
    </row>
    <row r="8" spans="1:114" hidden="1" outlineLevel="1" x14ac:dyDescent="0.25">
      <c r="A8" s="522"/>
      <c r="D8" s="74" t="s">
        <v>94</v>
      </c>
      <c r="E8" s="74" t="s">
        <v>603</v>
      </c>
      <c r="F8" s="1854"/>
      <c r="J8" s="1031"/>
      <c r="L8" s="116"/>
      <c r="AU8" s="1416"/>
      <c r="DJ8" s="1127"/>
    </row>
    <row r="9" spans="1:114" hidden="1" outlineLevel="1" x14ac:dyDescent="0.25">
      <c r="A9" s="522"/>
      <c r="B9" s="72"/>
      <c r="C9" s="70"/>
      <c r="D9" s="74" t="s">
        <v>604</v>
      </c>
      <c r="E9" s="74" t="s">
        <v>605</v>
      </c>
      <c r="F9" s="1855"/>
      <c r="G9" s="72"/>
      <c r="H9" s="1810"/>
      <c r="I9" s="50"/>
      <c r="J9" s="50"/>
      <c r="K9" s="50"/>
      <c r="L9" s="116"/>
      <c r="AU9" s="1416"/>
      <c r="DJ9" s="1127"/>
    </row>
    <row r="10" spans="1:114" hidden="1" outlineLevel="1" x14ac:dyDescent="0.25">
      <c r="A10" s="522"/>
      <c r="B10" s="72"/>
      <c r="C10" s="70"/>
      <c r="D10" s="1810"/>
      <c r="E10" s="74" t="s">
        <v>606</v>
      </c>
      <c r="F10" s="1855"/>
      <c r="G10" s="72"/>
      <c r="H10" s="72"/>
      <c r="I10" s="72"/>
      <c r="L10" s="1811"/>
      <c r="AU10" s="1416"/>
      <c r="DJ10" s="1127"/>
    </row>
    <row r="11" spans="1:114" hidden="1" outlineLevel="1" x14ac:dyDescent="0.25">
      <c r="A11" s="522"/>
      <c r="B11" s="72"/>
      <c r="C11" s="70"/>
      <c r="D11" s="74"/>
      <c r="E11" s="74"/>
      <c r="F11" s="1855"/>
      <c r="G11" s="72"/>
      <c r="H11" s="72"/>
      <c r="I11" s="72"/>
      <c r="L11" s="116"/>
      <c r="AU11" s="1416"/>
      <c r="DJ11" s="1127"/>
    </row>
    <row r="12" spans="1:114" hidden="1" outlineLevel="1" x14ac:dyDescent="0.25">
      <c r="A12" s="522"/>
      <c r="B12" s="72"/>
      <c r="C12" s="70"/>
      <c r="D12" s="74"/>
      <c r="E12" s="74" t="s">
        <v>607</v>
      </c>
      <c r="F12" s="1855"/>
      <c r="G12" s="72"/>
      <c r="H12" s="72"/>
      <c r="I12" s="72"/>
      <c r="L12" s="116"/>
      <c r="AU12" s="1416"/>
      <c r="DJ12" s="1127"/>
    </row>
    <row r="13" spans="1:114" hidden="1" outlineLevel="1" x14ac:dyDescent="0.25">
      <c r="A13" s="522"/>
      <c r="B13" s="72"/>
      <c r="C13" s="70"/>
      <c r="D13" s="74"/>
      <c r="E13" s="74"/>
      <c r="F13" s="1855"/>
      <c r="G13" s="72"/>
      <c r="H13" s="72"/>
      <c r="I13" s="72"/>
      <c r="L13" s="116"/>
      <c r="AU13" s="1416"/>
      <c r="DJ13" s="1127"/>
    </row>
    <row r="14" spans="1:114" hidden="1" outlineLevel="1" x14ac:dyDescent="0.25">
      <c r="A14" s="522"/>
      <c r="B14" s="72"/>
      <c r="C14" s="70"/>
      <c r="D14" s="74"/>
      <c r="E14" s="74"/>
      <c r="F14" s="1855"/>
      <c r="G14" s="72"/>
      <c r="H14" s="72"/>
      <c r="I14" s="72"/>
      <c r="L14" s="116"/>
      <c r="AU14" s="1416"/>
      <c r="DJ14" s="1127"/>
    </row>
    <row r="15" spans="1:114" s="8" customFormat="1" ht="15" hidden="1" customHeight="1" outlineLevel="1" x14ac:dyDescent="0.25">
      <c r="A15" s="522"/>
      <c r="B15" s="116"/>
      <c r="C15" s="62"/>
      <c r="D15" s="1373" t="s">
        <v>608</v>
      </c>
      <c r="E15" s="1373" t="s">
        <v>609</v>
      </c>
      <c r="F15" s="1300" t="s">
        <v>610</v>
      </c>
      <c r="G15" s="2108" t="s">
        <v>611</v>
      </c>
      <c r="H15" s="2108"/>
      <c r="I15" s="1358" t="s">
        <v>612</v>
      </c>
      <c r="J15" s="116"/>
      <c r="K15" s="116"/>
      <c r="L15" s="116"/>
      <c r="M15" s="116"/>
      <c r="N15" s="116"/>
      <c r="O15" s="116"/>
      <c r="P15" s="116"/>
      <c r="Q15" s="116"/>
      <c r="R15" s="116"/>
      <c r="S15" s="116"/>
      <c r="T15" s="116"/>
      <c r="U15" s="116"/>
      <c r="V15" s="648" t="s">
        <v>52</v>
      </c>
      <c r="W15" s="649">
        <v>43252</v>
      </c>
      <c r="X15" s="649">
        <f>$X$6</f>
        <v>43465</v>
      </c>
      <c r="Y15" s="649">
        <f>$Y$6</f>
        <v>43800</v>
      </c>
      <c r="Z15" s="649">
        <f>$Z$6</f>
        <v>43862</v>
      </c>
      <c r="AA15" s="649">
        <f>$AA$6</f>
        <v>44013</v>
      </c>
      <c r="AB15" s="649">
        <f>$AB$6</f>
        <v>44166</v>
      </c>
      <c r="AC15" s="649">
        <f>$AC$6</f>
        <v>44531</v>
      </c>
      <c r="AD15" s="649">
        <f>$AD$6</f>
        <v>44774</v>
      </c>
      <c r="AE15" s="649">
        <f>$AE$6</f>
        <v>45139</v>
      </c>
      <c r="AF15" s="649">
        <f>$AF$6</f>
        <v>45672</v>
      </c>
      <c r="AG15" s="649" t="str">
        <f>$AG$6</f>
        <v>-</v>
      </c>
      <c r="AU15" s="1416"/>
      <c r="DG15" s="1031"/>
      <c r="DH15" s="64"/>
      <c r="DI15" s="64"/>
      <c r="DJ15" s="1127"/>
    </row>
    <row r="16" spans="1:114" ht="39.6" hidden="1" customHeight="1" outlineLevel="1" x14ac:dyDescent="0.25">
      <c r="A16" s="522"/>
      <c r="D16" s="1821" t="s">
        <v>613</v>
      </c>
      <c r="E16" s="1821" t="s">
        <v>614</v>
      </c>
      <c r="F16" s="1517">
        <v>0.92069999999999996</v>
      </c>
      <c r="G16" s="2093" t="s">
        <v>615</v>
      </c>
      <c r="H16" s="2092"/>
      <c r="I16" s="1825"/>
      <c r="V16" s="1826" t="str">
        <f t="shared" ref="V16:V42" si="0">D16</f>
        <v>UEFBASE</v>
      </c>
      <c r="W16" s="1827">
        <v>0.9</v>
      </c>
      <c r="X16" s="1813">
        <v>0.94358243626061789</v>
      </c>
      <c r="Y16" s="1828">
        <v>0.94451470457134135</v>
      </c>
      <c r="Z16" s="1812">
        <v>0.94451470457134135</v>
      </c>
      <c r="AA16" s="1812">
        <v>0.94451470457134135</v>
      </c>
      <c r="AB16" s="1812">
        <v>0.94451470457134135</v>
      </c>
      <c r="AC16" s="1812">
        <v>0.94451470457134135</v>
      </c>
      <c r="AD16" s="1812">
        <v>0.94451470457134135</v>
      </c>
      <c r="AE16" s="1812">
        <v>0.94451470457134135</v>
      </c>
      <c r="AF16" s="258">
        <f t="shared" ref="AF16:AF42" si="1">IF(F16&lt;&gt;"",F16,"")</f>
        <v>0.92069999999999996</v>
      </c>
      <c r="AG16" s="1812"/>
      <c r="AU16" s="1416"/>
      <c r="DJ16" s="1127"/>
    </row>
    <row r="17" spans="1:114" ht="18" hidden="1" outlineLevel="1" x14ac:dyDescent="0.25">
      <c r="A17" s="522"/>
      <c r="D17" s="1821" t="s">
        <v>616</v>
      </c>
      <c r="E17" s="1821" t="s">
        <v>617</v>
      </c>
      <c r="F17" s="1829">
        <v>3.4379630138240294</v>
      </c>
      <c r="G17" s="2092" t="s">
        <v>618</v>
      </c>
      <c r="H17" s="2092"/>
      <c r="I17" s="1825" t="s">
        <v>619</v>
      </c>
      <c r="J17" s="116"/>
      <c r="V17" s="1826" t="str">
        <f t="shared" si="0"/>
        <v>UEFEE</v>
      </c>
      <c r="W17" s="1417">
        <v>3.14</v>
      </c>
      <c r="X17" s="76">
        <v>3.255169603721936</v>
      </c>
      <c r="Y17" s="1830">
        <v>3.4379630138240294</v>
      </c>
      <c r="Z17" s="77">
        <v>3.4379630138240294</v>
      </c>
      <c r="AA17" s="77">
        <v>3.4379630138240294</v>
      </c>
      <c r="AB17" s="1418">
        <v>3.4379630138240294</v>
      </c>
      <c r="AC17" s="77">
        <v>3.4379630138240294</v>
      </c>
      <c r="AD17" s="77">
        <v>3.4379630138240294</v>
      </c>
      <c r="AE17" s="1418">
        <v>3.4379630138240294</v>
      </c>
      <c r="AF17" s="258">
        <f t="shared" si="1"/>
        <v>3.4379630138240294</v>
      </c>
      <c r="AG17" s="1418"/>
      <c r="AU17" s="1416"/>
      <c r="DJ17" s="1127"/>
    </row>
    <row r="18" spans="1:114" ht="120" hidden="1" customHeight="1" outlineLevel="1" x14ac:dyDescent="0.25">
      <c r="A18" s="522"/>
      <c r="D18" s="1821" t="s">
        <v>620</v>
      </c>
      <c r="E18" s="1821" t="s">
        <v>621</v>
      </c>
      <c r="F18" s="1831">
        <v>17.600000000000001</v>
      </c>
      <c r="G18" s="2092" t="s">
        <v>622</v>
      </c>
      <c r="H18" s="2092"/>
      <c r="I18" s="1825" t="s">
        <v>623</v>
      </c>
      <c r="J18" s="116"/>
      <c r="V18" s="1826" t="str">
        <f t="shared" si="0"/>
        <v>GPD</v>
      </c>
      <c r="W18" s="75">
        <f>64/W19</f>
        <v>23.970037453183522</v>
      </c>
      <c r="X18" s="76">
        <v>17.600000000000001</v>
      </c>
      <c r="Y18" s="1417">
        <v>17.600000000000001</v>
      </c>
      <c r="Z18" s="77">
        <v>17.600000000000001</v>
      </c>
      <c r="AA18" s="77">
        <v>17.600000000000001</v>
      </c>
      <c r="AB18" s="77">
        <v>17.600000000000001</v>
      </c>
      <c r="AC18" s="77">
        <v>17.600000000000001</v>
      </c>
      <c r="AD18" s="77">
        <v>17.600000000000001</v>
      </c>
      <c r="AE18" s="77">
        <v>17.600000000000001</v>
      </c>
      <c r="AF18" s="258">
        <f t="shared" si="1"/>
        <v>17.600000000000001</v>
      </c>
      <c r="AG18" s="77"/>
      <c r="AU18" s="1416"/>
      <c r="DJ18" s="1127"/>
    </row>
    <row r="19" spans="1:114" ht="33.75" hidden="1" customHeight="1" outlineLevel="1" x14ac:dyDescent="0.25">
      <c r="A19" s="522"/>
      <c r="D19" s="1821" t="s">
        <v>624</v>
      </c>
      <c r="E19" s="1821" t="s">
        <v>625</v>
      </c>
      <c r="F19" s="1829">
        <v>2.6500604229607121</v>
      </c>
      <c r="G19" s="2092" t="s">
        <v>626</v>
      </c>
      <c r="H19" s="2092"/>
      <c r="I19" s="1825" t="s">
        <v>627</v>
      </c>
      <c r="J19" s="116"/>
      <c r="V19" s="1826" t="str">
        <f t="shared" si="0"/>
        <v>Household</v>
      </c>
      <c r="W19" s="75">
        <v>2.67</v>
      </c>
      <c r="X19" s="76">
        <v>2.6599441340781969</v>
      </c>
      <c r="Y19" s="1830">
        <v>2.6500604229607121</v>
      </c>
      <c r="Z19" s="77">
        <v>2.6500604229607121</v>
      </c>
      <c r="AA19" s="77">
        <v>2.6500604229607121</v>
      </c>
      <c r="AB19" s="77">
        <v>2.6500604229607121</v>
      </c>
      <c r="AC19" s="77">
        <v>2.6500604229607121</v>
      </c>
      <c r="AD19" s="77">
        <v>2.6500604229607121</v>
      </c>
      <c r="AE19" s="77">
        <v>2.6500604229607121</v>
      </c>
      <c r="AF19" s="258">
        <f t="shared" si="1"/>
        <v>2.6500604229607121</v>
      </c>
      <c r="AG19" s="77"/>
      <c r="AU19" s="1416"/>
      <c r="DJ19" s="1127"/>
    </row>
    <row r="20" spans="1:114" hidden="1" outlineLevel="1" x14ac:dyDescent="0.25">
      <c r="A20" s="522"/>
      <c r="D20" s="1832">
        <v>365.25</v>
      </c>
      <c r="E20" s="1821" t="s">
        <v>628</v>
      </c>
      <c r="F20" s="1622">
        <v>365.25</v>
      </c>
      <c r="G20" s="2092" t="s">
        <v>629</v>
      </c>
      <c r="H20" s="2092"/>
      <c r="I20" s="1825" t="s">
        <v>619</v>
      </c>
      <c r="J20" s="116"/>
      <c r="V20" s="1826">
        <f t="shared" si="0"/>
        <v>365.25</v>
      </c>
      <c r="W20" s="1443">
        <v>365</v>
      </c>
      <c r="X20" s="1342">
        <v>365.25</v>
      </c>
      <c r="Y20" s="1342">
        <v>365.25</v>
      </c>
      <c r="Z20" s="1342">
        <v>365.25</v>
      </c>
      <c r="AA20" s="1342">
        <v>365.25</v>
      </c>
      <c r="AB20" s="1426">
        <v>365.25</v>
      </c>
      <c r="AC20" s="1342">
        <v>365.25</v>
      </c>
      <c r="AD20" s="1342">
        <v>365.25</v>
      </c>
      <c r="AE20" s="1426">
        <v>365.25</v>
      </c>
      <c r="AF20" s="258">
        <f t="shared" si="1"/>
        <v>365.25</v>
      </c>
      <c r="AG20" s="1426"/>
      <c r="AU20" s="1416"/>
      <c r="DJ20" s="1127"/>
    </row>
    <row r="21" spans="1:114" hidden="1" outlineLevel="1" x14ac:dyDescent="0.25">
      <c r="A21" s="522"/>
      <c r="D21" s="1821" t="s">
        <v>630</v>
      </c>
      <c r="E21" s="1821" t="s">
        <v>631</v>
      </c>
      <c r="F21" s="1831">
        <v>8.33</v>
      </c>
      <c r="G21" s="2092" t="s">
        <v>632</v>
      </c>
      <c r="H21" s="2092"/>
      <c r="I21" s="1825" t="s">
        <v>619</v>
      </c>
      <c r="J21" s="62"/>
      <c r="V21" s="1826" t="str">
        <f t="shared" si="0"/>
        <v>Den</v>
      </c>
      <c r="W21" s="1417">
        <v>8.33</v>
      </c>
      <c r="X21" s="1426">
        <v>8.33</v>
      </c>
      <c r="Y21" s="1426">
        <v>8.33</v>
      </c>
      <c r="Z21" s="1342">
        <v>8.33</v>
      </c>
      <c r="AA21" s="1342">
        <v>8.33</v>
      </c>
      <c r="AB21" s="1418">
        <v>8.33</v>
      </c>
      <c r="AC21" s="77">
        <v>8.33</v>
      </c>
      <c r="AD21" s="77">
        <v>8.33</v>
      </c>
      <c r="AE21" s="1418">
        <v>8.33</v>
      </c>
      <c r="AF21" s="258">
        <f t="shared" si="1"/>
        <v>8.33</v>
      </c>
      <c r="AG21" s="1418"/>
      <c r="AU21" s="1416"/>
      <c r="DJ21" s="1127"/>
    </row>
    <row r="22" spans="1:114" hidden="1" outlineLevel="1" x14ac:dyDescent="0.25">
      <c r="A22" s="522"/>
      <c r="D22" s="1821" t="s">
        <v>633</v>
      </c>
      <c r="E22" s="1821" t="s">
        <v>634</v>
      </c>
      <c r="F22" s="1622">
        <v>125</v>
      </c>
      <c r="G22" s="2092" t="s">
        <v>635</v>
      </c>
      <c r="H22" s="2092"/>
      <c r="I22" s="1825" t="s">
        <v>619</v>
      </c>
      <c r="J22" s="62"/>
      <c r="V22" s="1826" t="str">
        <f t="shared" si="0"/>
        <v>HWT</v>
      </c>
      <c r="W22" s="1443">
        <v>135</v>
      </c>
      <c r="X22" s="78">
        <v>125</v>
      </c>
      <c r="Y22" s="1426">
        <v>125</v>
      </c>
      <c r="Z22" s="1342">
        <v>125</v>
      </c>
      <c r="AA22" s="1342">
        <v>125</v>
      </c>
      <c r="AB22" s="1426">
        <v>125</v>
      </c>
      <c r="AC22" s="1342">
        <v>125</v>
      </c>
      <c r="AD22" s="1342">
        <v>125</v>
      </c>
      <c r="AE22" s="1426">
        <v>125</v>
      </c>
      <c r="AF22" s="258">
        <f t="shared" si="1"/>
        <v>125</v>
      </c>
      <c r="AG22" s="1426"/>
      <c r="AU22" s="1416"/>
      <c r="DJ22" s="1127"/>
    </row>
    <row r="23" spans="1:114" ht="30" hidden="1" customHeight="1" outlineLevel="1" x14ac:dyDescent="0.25">
      <c r="A23" s="522"/>
      <c r="D23" s="1821" t="s">
        <v>636</v>
      </c>
      <c r="E23" s="1821" t="s">
        <v>637</v>
      </c>
      <c r="F23" s="1622">
        <v>58.4</v>
      </c>
      <c r="G23" s="2092" t="s">
        <v>638</v>
      </c>
      <c r="H23" s="2092"/>
      <c r="I23" s="1825" t="s">
        <v>619</v>
      </c>
      <c r="J23" s="62"/>
      <c r="V23" s="1826" t="str">
        <f t="shared" si="0"/>
        <v>CWT</v>
      </c>
      <c r="W23" s="1443">
        <v>61.3</v>
      </c>
      <c r="X23" s="78">
        <v>57.898000000000003</v>
      </c>
      <c r="Y23" s="1426">
        <v>57.898000000000003</v>
      </c>
      <c r="Z23" s="1342">
        <v>57.898000000000003</v>
      </c>
      <c r="AA23" s="1342">
        <v>57.898000000000003</v>
      </c>
      <c r="AB23" s="1426">
        <v>57.898000000000003</v>
      </c>
      <c r="AC23" s="1342">
        <v>57.898000000000003</v>
      </c>
      <c r="AD23" s="1342">
        <v>57.898000000000003</v>
      </c>
      <c r="AE23" s="1426">
        <v>57.898000000000003</v>
      </c>
      <c r="AF23" s="258">
        <f t="shared" si="1"/>
        <v>58.4</v>
      </c>
      <c r="AG23" s="1426"/>
      <c r="AU23" s="1416"/>
      <c r="DJ23" s="1127"/>
    </row>
    <row r="24" spans="1:114" ht="18" hidden="1" outlineLevel="1" x14ac:dyDescent="0.25">
      <c r="A24" s="522"/>
      <c r="D24" s="1821" t="s">
        <v>639</v>
      </c>
      <c r="E24" s="1821" t="s">
        <v>640</v>
      </c>
      <c r="F24" s="1622">
        <v>1</v>
      </c>
      <c r="G24" s="2092" t="s">
        <v>641</v>
      </c>
      <c r="H24" s="2092"/>
      <c r="I24" s="1825" t="s">
        <v>619</v>
      </c>
      <c r="V24" s="1826" t="str">
        <f t="shared" si="0"/>
        <v>CP</v>
      </c>
      <c r="W24" s="1443">
        <v>1</v>
      </c>
      <c r="X24" s="1426">
        <v>1</v>
      </c>
      <c r="Y24" s="1443">
        <v>1</v>
      </c>
      <c r="Z24" s="1342">
        <v>1</v>
      </c>
      <c r="AA24" s="1342">
        <v>1</v>
      </c>
      <c r="AB24" s="1426">
        <v>1</v>
      </c>
      <c r="AC24" s="1342">
        <v>1</v>
      </c>
      <c r="AD24" s="1342">
        <v>1</v>
      </c>
      <c r="AE24" s="1426">
        <v>1</v>
      </c>
      <c r="AF24" s="258">
        <f t="shared" si="1"/>
        <v>1</v>
      </c>
      <c r="AG24" s="1426"/>
      <c r="AU24" s="1416"/>
      <c r="DJ24" s="1127"/>
    </row>
    <row r="25" spans="1:114" hidden="1" outlineLevel="1" x14ac:dyDescent="0.25">
      <c r="A25" s="522"/>
      <c r="D25" s="1821">
        <v>3412</v>
      </c>
      <c r="E25" s="1821"/>
      <c r="F25" s="1623">
        <v>3412</v>
      </c>
      <c r="G25" s="2092" t="s">
        <v>642</v>
      </c>
      <c r="H25" s="2092"/>
      <c r="I25" s="1825" t="s">
        <v>643</v>
      </c>
      <c r="V25" s="1826">
        <f t="shared" si="0"/>
        <v>3412</v>
      </c>
      <c r="W25" s="1444">
        <v>3412</v>
      </c>
      <c r="X25" s="1424">
        <v>3412</v>
      </c>
      <c r="Y25" s="1444">
        <v>3412</v>
      </c>
      <c r="Z25" s="582">
        <v>3412</v>
      </c>
      <c r="AA25" s="582">
        <v>3412</v>
      </c>
      <c r="AB25" s="1424">
        <v>3412</v>
      </c>
      <c r="AC25" s="582">
        <v>3412</v>
      </c>
      <c r="AD25" s="582">
        <v>3412</v>
      </c>
      <c r="AE25" s="1424">
        <v>3412</v>
      </c>
      <c r="AF25" s="258">
        <f t="shared" si="1"/>
        <v>3412</v>
      </c>
      <c r="AG25" s="1424"/>
      <c r="AU25" s="1416"/>
      <c r="DJ25" s="1127"/>
    </row>
    <row r="26" spans="1:114" ht="30" hidden="1" customHeight="1" outlineLevel="1" x14ac:dyDescent="0.25">
      <c r="A26" s="522"/>
      <c r="D26" s="80" t="s">
        <v>390</v>
      </c>
      <c r="E26" s="1821" t="s">
        <v>644</v>
      </c>
      <c r="F26" s="1517">
        <v>0.81</v>
      </c>
      <c r="G26" s="2092" t="s">
        <v>645</v>
      </c>
      <c r="H26" s="2092"/>
      <c r="I26" s="1825" t="s">
        <v>646</v>
      </c>
      <c r="V26" s="1826" t="str">
        <f t="shared" si="0"/>
        <v>LF</v>
      </c>
      <c r="W26" s="1833">
        <v>1</v>
      </c>
      <c r="X26" s="672">
        <v>0.5</v>
      </c>
      <c r="Y26" s="672">
        <v>0.81</v>
      </c>
      <c r="Z26" s="332">
        <v>0.81</v>
      </c>
      <c r="AA26" s="332">
        <v>0.81</v>
      </c>
      <c r="AB26" s="1814">
        <v>0.81</v>
      </c>
      <c r="AC26" s="332">
        <v>0.81</v>
      </c>
      <c r="AD26" s="332">
        <v>0.81</v>
      </c>
      <c r="AE26" s="1814">
        <v>0.81</v>
      </c>
      <c r="AF26" s="258">
        <f t="shared" si="1"/>
        <v>0.81</v>
      </c>
      <c r="AG26" s="1814"/>
      <c r="AU26" s="1416"/>
      <c r="DJ26" s="1127"/>
    </row>
    <row r="27" spans="1:114" ht="30" hidden="1" outlineLevel="1" x14ac:dyDescent="0.35">
      <c r="A27" s="522"/>
      <c r="D27" s="1834" t="s">
        <v>647</v>
      </c>
      <c r="E27" s="1821" t="s">
        <v>648</v>
      </c>
      <c r="F27" s="1514">
        <v>0.53</v>
      </c>
      <c r="G27" s="2092" t="s">
        <v>649</v>
      </c>
      <c r="H27" s="2092"/>
      <c r="I27" s="1825" t="s">
        <v>650</v>
      </c>
      <c r="V27" s="1826" t="str">
        <f t="shared" si="0"/>
        <v>WHFC</v>
      </c>
      <c r="W27" s="1835">
        <v>0.4</v>
      </c>
      <c r="X27" s="1836">
        <v>0.53</v>
      </c>
      <c r="Y27" s="1837">
        <v>0.53</v>
      </c>
      <c r="Z27" s="1816">
        <v>0.53</v>
      </c>
      <c r="AA27" s="1816">
        <v>0.53</v>
      </c>
      <c r="AB27" s="1815">
        <v>0.53</v>
      </c>
      <c r="AC27" s="1816">
        <v>0.53</v>
      </c>
      <c r="AD27" s="1816">
        <v>0.53</v>
      </c>
      <c r="AE27" s="1815">
        <v>0.53</v>
      </c>
      <c r="AF27" s="258">
        <f t="shared" si="1"/>
        <v>0.53</v>
      </c>
      <c r="AG27" s="1815"/>
      <c r="AU27" s="1416"/>
      <c r="DJ27" s="1127"/>
    </row>
    <row r="28" spans="1:114" ht="150" hidden="1" outlineLevel="1" x14ac:dyDescent="0.25">
      <c r="A28" s="522"/>
      <c r="D28" s="1838" t="s">
        <v>651</v>
      </c>
      <c r="E28" s="1821" t="s">
        <v>652</v>
      </c>
      <c r="F28" s="1514">
        <v>0.43</v>
      </c>
      <c r="G28" s="2092" t="s">
        <v>653</v>
      </c>
      <c r="H28" s="2092"/>
      <c r="I28" s="1821" t="s">
        <v>654</v>
      </c>
      <c r="V28" s="1826" t="str">
        <f t="shared" si="0"/>
        <v>WHFH</v>
      </c>
      <c r="W28" s="1835">
        <v>0.57999999999999996</v>
      </c>
      <c r="X28" s="1836">
        <v>0.43</v>
      </c>
      <c r="Y28" s="1837">
        <v>0.43</v>
      </c>
      <c r="Z28" s="1816">
        <v>0.43</v>
      </c>
      <c r="AA28" s="1816">
        <v>0.43</v>
      </c>
      <c r="AB28" s="1815">
        <v>0.43</v>
      </c>
      <c r="AC28" s="1816">
        <v>0.43</v>
      </c>
      <c r="AD28" s="1816">
        <v>0.43</v>
      </c>
      <c r="AE28" s="1815">
        <v>0.43</v>
      </c>
      <c r="AF28" s="258">
        <f t="shared" si="1"/>
        <v>0.43</v>
      </c>
      <c r="AG28" s="1815"/>
      <c r="AU28" s="1416"/>
      <c r="DJ28" s="1127"/>
    </row>
    <row r="29" spans="1:114" ht="90" hidden="1" outlineLevel="1" x14ac:dyDescent="0.25">
      <c r="A29" s="522"/>
      <c r="D29" s="1839" t="s">
        <v>655</v>
      </c>
      <c r="E29" s="1821" t="s">
        <v>656</v>
      </c>
      <c r="F29" s="1517">
        <v>2.8</v>
      </c>
      <c r="G29" s="2092" t="s">
        <v>657</v>
      </c>
      <c r="H29" s="2092"/>
      <c r="I29" s="1821" t="s">
        <v>658</v>
      </c>
      <c r="V29" s="1826" t="str">
        <f t="shared" si="0"/>
        <v>COPcool</v>
      </c>
      <c r="W29" s="1833">
        <v>2.8</v>
      </c>
      <c r="X29" s="1814">
        <v>2.8</v>
      </c>
      <c r="Y29" s="1833">
        <v>2.8</v>
      </c>
      <c r="Z29" s="332">
        <v>2.8</v>
      </c>
      <c r="AA29" s="332">
        <v>2.8</v>
      </c>
      <c r="AB29" s="1814">
        <v>2.8</v>
      </c>
      <c r="AC29" s="332">
        <v>2.8</v>
      </c>
      <c r="AD29" s="332">
        <v>2.8</v>
      </c>
      <c r="AE29" s="1814">
        <v>2.8</v>
      </c>
      <c r="AF29" s="258">
        <f t="shared" si="1"/>
        <v>2.8</v>
      </c>
      <c r="AG29" s="1814"/>
      <c r="AU29" s="1416"/>
      <c r="DJ29" s="1127"/>
    </row>
    <row r="30" spans="1:114" hidden="1" outlineLevel="1" x14ac:dyDescent="0.25">
      <c r="A30" s="522"/>
      <c r="D30" s="2105" t="s">
        <v>659</v>
      </c>
      <c r="E30" s="1817" t="s">
        <v>660</v>
      </c>
      <c r="F30" s="1840">
        <v>1</v>
      </c>
      <c r="G30" s="2091"/>
      <c r="H30" s="2091"/>
      <c r="I30" s="2097" t="s">
        <v>661</v>
      </c>
      <c r="V30" s="2094" t="s">
        <v>659</v>
      </c>
      <c r="W30" s="1833">
        <v>1</v>
      </c>
      <c r="X30" s="1814">
        <v>1</v>
      </c>
      <c r="Y30" s="1833">
        <v>1</v>
      </c>
      <c r="Z30" s="332">
        <v>1</v>
      </c>
      <c r="AA30" s="332">
        <v>1</v>
      </c>
      <c r="AB30" s="1814">
        <v>1</v>
      </c>
      <c r="AC30" s="332">
        <v>1</v>
      </c>
      <c r="AD30" s="332">
        <v>1</v>
      </c>
      <c r="AE30" s="1814">
        <v>1</v>
      </c>
      <c r="AF30" s="258">
        <f t="shared" si="1"/>
        <v>1</v>
      </c>
      <c r="AG30" s="1814"/>
      <c r="AU30" s="1416"/>
      <c r="DJ30" s="1127"/>
    </row>
    <row r="31" spans="1:114" hidden="1" outlineLevel="1" x14ac:dyDescent="0.25">
      <c r="A31" s="522"/>
      <c r="D31" s="2105"/>
      <c r="E31" s="1817" t="s">
        <v>662</v>
      </c>
      <c r="F31" s="1886">
        <v>1.44</v>
      </c>
      <c r="G31" s="2091"/>
      <c r="H31" s="2091"/>
      <c r="I31" s="2097"/>
      <c r="V31" s="2095"/>
      <c r="W31" s="1841">
        <v>1.7</v>
      </c>
      <c r="X31" s="1841">
        <v>1.7</v>
      </c>
      <c r="Y31" s="1841">
        <v>1.7</v>
      </c>
      <c r="Z31" s="558">
        <v>1.7</v>
      </c>
      <c r="AA31" s="558">
        <v>1.7</v>
      </c>
      <c r="AB31" s="1421">
        <v>1.7</v>
      </c>
      <c r="AC31" s="558">
        <v>1.7</v>
      </c>
      <c r="AD31" s="558">
        <v>1.7</v>
      </c>
      <c r="AE31" s="1841">
        <v>1.7</v>
      </c>
      <c r="AF31" s="258">
        <f t="shared" si="1"/>
        <v>1.44</v>
      </c>
      <c r="AG31" s="1841"/>
      <c r="AU31" s="1416"/>
      <c r="DJ31" s="1127"/>
    </row>
    <row r="32" spans="1:114" ht="15" hidden="1" customHeight="1" outlineLevel="1" x14ac:dyDescent="0.25">
      <c r="A32" s="522"/>
      <c r="D32" s="2105"/>
      <c r="E32" s="1817" t="s">
        <v>663</v>
      </c>
      <c r="F32" s="1886">
        <v>1.62</v>
      </c>
      <c r="G32" s="2091"/>
      <c r="H32" s="2091"/>
      <c r="I32" s="2097"/>
      <c r="V32" s="2095"/>
      <c r="W32" s="1841">
        <v>1.92</v>
      </c>
      <c r="X32" s="1842">
        <v>1.92</v>
      </c>
      <c r="Y32" s="1842">
        <v>1.92</v>
      </c>
      <c r="Z32" s="558">
        <v>1.92</v>
      </c>
      <c r="AA32" s="558">
        <v>1.92</v>
      </c>
      <c r="AB32" s="1421">
        <v>1.92</v>
      </c>
      <c r="AC32" s="558">
        <v>1.92</v>
      </c>
      <c r="AD32" s="558">
        <v>1.92</v>
      </c>
      <c r="AE32" s="1421">
        <v>1.92</v>
      </c>
      <c r="AF32" s="258">
        <f t="shared" si="1"/>
        <v>1.62</v>
      </c>
      <c r="AG32" s="1421"/>
      <c r="AU32" s="1416"/>
      <c r="DJ32" s="1127"/>
    </row>
    <row r="33" spans="1:114" ht="15" hidden="1" customHeight="1" outlineLevel="1" x14ac:dyDescent="0.25">
      <c r="A33" s="522"/>
      <c r="D33" s="2105"/>
      <c r="E33" s="1817" t="s">
        <v>664</v>
      </c>
      <c r="F33" s="1886">
        <v>1.74</v>
      </c>
      <c r="G33" s="2091"/>
      <c r="H33" s="2091"/>
      <c r="I33" s="2097"/>
      <c r="V33" s="2095"/>
      <c r="W33" s="1841">
        <v>2.04</v>
      </c>
      <c r="X33" s="1421">
        <v>2.04</v>
      </c>
      <c r="Y33" s="1421">
        <v>2.04</v>
      </c>
      <c r="Z33" s="558">
        <v>2.04</v>
      </c>
      <c r="AA33" s="558">
        <v>2.04</v>
      </c>
      <c r="AB33" s="1421">
        <v>2.04</v>
      </c>
      <c r="AC33" s="558">
        <v>2.04</v>
      </c>
      <c r="AD33" s="558">
        <v>2.04</v>
      </c>
      <c r="AE33" s="1421">
        <v>2.04</v>
      </c>
      <c r="AF33" s="258">
        <f t="shared" si="1"/>
        <v>1.74</v>
      </c>
      <c r="AG33" s="1421"/>
      <c r="AU33" s="1416"/>
      <c r="DJ33" s="1127"/>
    </row>
    <row r="34" spans="1:114" ht="15" hidden="1" customHeight="1" outlineLevel="1" x14ac:dyDescent="0.25">
      <c r="A34" s="522"/>
      <c r="D34" s="2105"/>
      <c r="E34" s="1817" t="s">
        <v>665</v>
      </c>
      <c r="F34" s="1886">
        <v>1.28</v>
      </c>
      <c r="G34" s="2091"/>
      <c r="H34" s="2091"/>
      <c r="I34" s="2097"/>
      <c r="V34" s="2096"/>
      <c r="W34" s="1841"/>
      <c r="X34" s="1421"/>
      <c r="Y34" s="1421"/>
      <c r="Z34" s="558"/>
      <c r="AA34" s="558"/>
      <c r="AB34" s="1421"/>
      <c r="AC34" s="558"/>
      <c r="AD34" s="558"/>
      <c r="AE34" s="1421"/>
      <c r="AF34" s="258">
        <f t="shared" si="1"/>
        <v>1.28</v>
      </c>
      <c r="AG34" s="1421"/>
      <c r="AU34" s="1416"/>
      <c r="DJ34" s="1127"/>
    </row>
    <row r="35" spans="1:114" ht="54.75" hidden="1" customHeight="1" outlineLevel="1" x14ac:dyDescent="0.25">
      <c r="A35" s="522"/>
      <c r="D35" s="614" t="s">
        <v>666</v>
      </c>
      <c r="E35" s="1301" t="s">
        <v>667</v>
      </c>
      <c r="F35" s="1843">
        <v>1.33</v>
      </c>
      <c r="G35" s="2091" t="s">
        <v>668</v>
      </c>
      <c r="H35" s="2091"/>
      <c r="I35" s="1825" t="s">
        <v>646</v>
      </c>
      <c r="V35" s="1826" t="str">
        <f t="shared" si="0"/>
        <v>LM</v>
      </c>
      <c r="W35" s="1833">
        <v>3</v>
      </c>
      <c r="X35" s="258">
        <v>3.52039106145252</v>
      </c>
      <c r="Y35" s="673">
        <v>1.3299999999999965</v>
      </c>
      <c r="Z35" s="332">
        <v>1.3299999999999965</v>
      </c>
      <c r="AA35" s="332">
        <v>1.3299999999999965</v>
      </c>
      <c r="AB35" s="1814">
        <v>1.33</v>
      </c>
      <c r="AC35" s="332">
        <v>1.33</v>
      </c>
      <c r="AD35" s="332">
        <v>1.33</v>
      </c>
      <c r="AE35" s="1814">
        <v>1.33</v>
      </c>
      <c r="AF35" s="258">
        <f t="shared" si="1"/>
        <v>1.33</v>
      </c>
      <c r="AG35" s="1814"/>
      <c r="AU35" s="1416"/>
      <c r="DJ35" s="1127"/>
    </row>
    <row r="36" spans="1:114" ht="15" hidden="1" customHeight="1" outlineLevel="1" x14ac:dyDescent="0.25">
      <c r="A36" s="522"/>
      <c r="D36" s="614" t="s">
        <v>249</v>
      </c>
      <c r="E36" s="1301" t="s">
        <v>669</v>
      </c>
      <c r="F36" s="1514">
        <v>0.95</v>
      </c>
      <c r="G36" s="2091" t="s">
        <v>670</v>
      </c>
      <c r="H36" s="2091"/>
      <c r="I36" s="1825"/>
      <c r="V36" s="1826" t="str">
        <f t="shared" si="0"/>
        <v>%Cool</v>
      </c>
      <c r="W36" s="1835">
        <v>0.91</v>
      </c>
      <c r="X36" s="1815">
        <v>1</v>
      </c>
      <c r="Y36" s="1835">
        <v>1</v>
      </c>
      <c r="Z36" s="1816">
        <v>1</v>
      </c>
      <c r="AA36" s="1816">
        <v>1</v>
      </c>
      <c r="AB36" s="689">
        <v>0.95</v>
      </c>
      <c r="AC36" s="1816">
        <v>0.95</v>
      </c>
      <c r="AD36" s="1816">
        <v>0.95</v>
      </c>
      <c r="AE36" s="1815">
        <v>0.95</v>
      </c>
      <c r="AF36" s="258">
        <f t="shared" si="1"/>
        <v>0.95</v>
      </c>
      <c r="AG36" s="1815"/>
      <c r="AU36" s="1416"/>
      <c r="DJ36" s="1127"/>
    </row>
    <row r="37" spans="1:114" ht="15" hidden="1" customHeight="1" outlineLevel="1" x14ac:dyDescent="0.25">
      <c r="A37" s="522"/>
      <c r="D37" s="614" t="s">
        <v>250</v>
      </c>
      <c r="E37" s="1301" t="s">
        <v>671</v>
      </c>
      <c r="F37" s="1514">
        <v>0.35</v>
      </c>
      <c r="G37" s="2091" t="s">
        <v>672</v>
      </c>
      <c r="H37" s="2091"/>
      <c r="I37" s="1825"/>
      <c r="V37" s="614" t="s">
        <v>250</v>
      </c>
      <c r="W37" s="1835"/>
      <c r="X37" s="1815"/>
      <c r="Y37" s="1835"/>
      <c r="Z37" s="1816"/>
      <c r="AA37" s="1816"/>
      <c r="AB37" s="689"/>
      <c r="AC37" s="1816"/>
      <c r="AD37" s="1816"/>
      <c r="AE37" s="1815"/>
      <c r="AF37" s="258">
        <f t="shared" si="1"/>
        <v>0.35</v>
      </c>
      <c r="AG37" s="1815"/>
      <c r="AU37" s="1416"/>
      <c r="DJ37" s="1127"/>
    </row>
    <row r="38" spans="1:114" ht="30" hidden="1" customHeight="1" outlineLevel="1" x14ac:dyDescent="0.25">
      <c r="A38" s="522"/>
      <c r="D38" s="1301" t="s">
        <v>673</v>
      </c>
      <c r="E38" s="1301" t="s">
        <v>674</v>
      </c>
      <c r="F38" s="1844">
        <v>0.2231404958677686</v>
      </c>
      <c r="G38" s="2091" t="s">
        <v>675</v>
      </c>
      <c r="H38" s="2091"/>
      <c r="I38" s="1825" t="s">
        <v>619</v>
      </c>
      <c r="V38" s="1826" t="str">
        <f t="shared" si="0"/>
        <v xml:space="preserve">%ElectricHeat - Electric Resistance Saturation </v>
      </c>
      <c r="W38" s="1845">
        <v>0.375</v>
      </c>
      <c r="X38" s="1818">
        <v>0.375</v>
      </c>
      <c r="Y38" s="1828">
        <v>0.2231404958677686</v>
      </c>
      <c r="Z38" s="1812">
        <v>0.2231404958677686</v>
      </c>
      <c r="AA38" s="1812">
        <v>0.2231404958677686</v>
      </c>
      <c r="AB38" s="1818">
        <v>0.2231404958677686</v>
      </c>
      <c r="AC38" s="1812">
        <v>0.2231404958677686</v>
      </c>
      <c r="AD38" s="1812">
        <v>0.2231404958677686</v>
      </c>
      <c r="AE38" s="1818">
        <v>0.2231404958677686</v>
      </c>
      <c r="AF38" s="258">
        <f t="shared" si="1"/>
        <v>0.2231404958677686</v>
      </c>
      <c r="AG38" s="1818"/>
      <c r="AU38" s="1416"/>
      <c r="DJ38" s="1127"/>
    </row>
    <row r="39" spans="1:114" ht="30.75" hidden="1" customHeight="1" outlineLevel="1" x14ac:dyDescent="0.25">
      <c r="A39" s="522"/>
      <c r="D39" s="1301" t="s">
        <v>676</v>
      </c>
      <c r="E39" s="1301" t="s">
        <v>677</v>
      </c>
      <c r="F39" s="1844">
        <v>0.26859504132231404</v>
      </c>
      <c r="G39" s="2091" t="s">
        <v>675</v>
      </c>
      <c r="H39" s="2091"/>
      <c r="I39" s="1825" t="s">
        <v>678</v>
      </c>
      <c r="V39" s="1826" t="str">
        <f t="shared" si="0"/>
        <v>%ElectricHeat - Heat Pump Saturation</v>
      </c>
      <c r="W39" s="1845">
        <v>0.42199999999999999</v>
      </c>
      <c r="X39" s="1818">
        <v>0.42199999999999999</v>
      </c>
      <c r="Y39" s="1828">
        <v>0.26859504132231404</v>
      </c>
      <c r="Z39" s="1812">
        <v>0.26859504132231404</v>
      </c>
      <c r="AA39" s="1812">
        <v>0.26859504132231404</v>
      </c>
      <c r="AB39" s="1818">
        <v>0.26859504132231404</v>
      </c>
      <c r="AC39" s="1812">
        <v>0.26859504132231404</v>
      </c>
      <c r="AD39" s="1812">
        <v>0.26859504132231404</v>
      </c>
      <c r="AE39" s="1818">
        <v>0.26859504132231404</v>
      </c>
      <c r="AF39" s="258">
        <f t="shared" si="1"/>
        <v>0.26859504132231404</v>
      </c>
      <c r="AG39" s="1818"/>
      <c r="AU39" s="1416"/>
      <c r="DJ39" s="1127"/>
    </row>
    <row r="40" spans="1:114" ht="15" hidden="1" customHeight="1" outlineLevel="1" x14ac:dyDescent="0.25">
      <c r="A40" s="522"/>
      <c r="D40" s="1301" t="s">
        <v>104</v>
      </c>
      <c r="E40" s="1301" t="s">
        <v>679</v>
      </c>
      <c r="F40" s="1513">
        <v>1</v>
      </c>
      <c r="G40" s="2091" t="s">
        <v>680</v>
      </c>
      <c r="H40" s="2091"/>
      <c r="I40" s="1825" t="s">
        <v>619</v>
      </c>
      <c r="V40" s="1826" t="str">
        <f t="shared" si="0"/>
        <v>ISR</v>
      </c>
      <c r="W40" s="82">
        <v>1</v>
      </c>
      <c r="X40" s="83">
        <v>1</v>
      </c>
      <c r="Y40" s="83">
        <v>1</v>
      </c>
      <c r="Z40" s="98">
        <v>1</v>
      </c>
      <c r="AA40" s="98">
        <v>1</v>
      </c>
      <c r="AB40" s="83">
        <v>1</v>
      </c>
      <c r="AC40" s="98">
        <v>1</v>
      </c>
      <c r="AD40" s="98">
        <v>1</v>
      </c>
      <c r="AE40" s="83">
        <v>1</v>
      </c>
      <c r="AF40" s="258">
        <f t="shared" si="1"/>
        <v>1</v>
      </c>
      <c r="AG40" s="83"/>
      <c r="AU40" s="1416"/>
      <c r="DJ40" s="1127"/>
    </row>
    <row r="41" spans="1:114" ht="44.65" hidden="1" customHeight="1" outlineLevel="1" x14ac:dyDescent="0.25">
      <c r="A41" s="522"/>
      <c r="D41" s="1301" t="str">
        <f>N6</f>
        <v>EUL</v>
      </c>
      <c r="E41" s="1301" t="str">
        <f>'Energy Effic. Kits Deemed Table'!E24</f>
        <v>Effective Useful Life</v>
      </c>
      <c r="F41" s="1846">
        <v>13</v>
      </c>
      <c r="G41" s="2091" t="s">
        <v>681</v>
      </c>
      <c r="H41" s="2091"/>
      <c r="I41" s="1825"/>
      <c r="V41" s="1826" t="str">
        <f t="shared" si="0"/>
        <v>EUL</v>
      </c>
      <c r="W41" s="1847">
        <v>13</v>
      </c>
      <c r="X41" s="1847">
        <v>13</v>
      </c>
      <c r="Y41" s="1847">
        <v>13</v>
      </c>
      <c r="Z41" s="99">
        <v>13</v>
      </c>
      <c r="AA41" s="99">
        <v>13</v>
      </c>
      <c r="AB41" s="33">
        <v>13</v>
      </c>
      <c r="AC41" s="99">
        <v>13</v>
      </c>
      <c r="AD41" s="99">
        <v>13</v>
      </c>
      <c r="AE41" s="1847">
        <v>13</v>
      </c>
      <c r="AF41" s="258">
        <f t="shared" si="1"/>
        <v>13</v>
      </c>
      <c r="AG41" s="1847"/>
      <c r="AU41" s="1416"/>
      <c r="DJ41" s="1127"/>
    </row>
    <row r="42" spans="1:114" ht="15" hidden="1" customHeight="1" outlineLevel="1" x14ac:dyDescent="0.25">
      <c r="A42" s="522"/>
      <c r="D42" s="1301" t="str">
        <f>O6</f>
        <v>Inc. Cost</v>
      </c>
      <c r="E42" s="1301" t="s">
        <v>682</v>
      </c>
      <c r="F42" s="1887">
        <v>1199</v>
      </c>
      <c r="G42" s="2091" t="s">
        <v>683</v>
      </c>
      <c r="H42" s="2091"/>
      <c r="I42" s="1825" t="s">
        <v>62</v>
      </c>
      <c r="V42" s="1826" t="str">
        <f t="shared" si="0"/>
        <v>Inc. Cost</v>
      </c>
      <c r="W42" s="285">
        <v>588</v>
      </c>
      <c r="X42" s="285">
        <v>588</v>
      </c>
      <c r="Y42" s="285">
        <v>588</v>
      </c>
      <c r="Z42" s="710">
        <v>588</v>
      </c>
      <c r="AA42" s="710">
        <v>588</v>
      </c>
      <c r="AB42" s="262">
        <v>588</v>
      </c>
      <c r="AC42" s="710">
        <v>588</v>
      </c>
      <c r="AD42" s="710">
        <v>588</v>
      </c>
      <c r="AE42" s="285">
        <v>588</v>
      </c>
      <c r="AF42" s="258">
        <f t="shared" si="1"/>
        <v>1199</v>
      </c>
      <c r="AG42" s="285"/>
      <c r="AU42" s="1416"/>
      <c r="DJ42" s="1127"/>
    </row>
    <row r="43" spans="1:114" collapsed="1" x14ac:dyDescent="0.25">
      <c r="A43" s="522"/>
      <c r="D43" s="1819"/>
      <c r="E43" s="1819"/>
      <c r="F43" s="1820"/>
      <c r="G43" s="1820"/>
      <c r="H43" s="1820"/>
      <c r="I43" s="1820"/>
      <c r="J43" s="1820"/>
      <c r="K43" s="1820"/>
      <c r="L43" s="1820"/>
      <c r="M43" s="1820"/>
      <c r="N43" s="1820"/>
      <c r="O43" s="1820"/>
      <c r="X43" s="1419"/>
      <c r="Y43" s="1419"/>
      <c r="Z43" s="1419"/>
      <c r="AA43" s="1419"/>
      <c r="AU43" s="1416"/>
      <c r="DJ43" s="1127"/>
    </row>
    <row r="44" spans="1:114" x14ac:dyDescent="0.25">
      <c r="A44" s="522"/>
      <c r="X44" s="1419"/>
      <c r="Y44" s="1419"/>
      <c r="Z44" s="1419"/>
      <c r="AA44" s="1419"/>
      <c r="AU44" s="1416"/>
      <c r="DJ44" s="1127"/>
    </row>
    <row r="45" spans="1:114" x14ac:dyDescent="0.25">
      <c r="A45" s="522"/>
      <c r="B45" s="2103" t="s">
        <v>684</v>
      </c>
      <c r="C45" s="2104"/>
      <c r="D45" s="2104"/>
      <c r="E45" s="2104"/>
      <c r="F45" s="2104"/>
      <c r="G45" s="2104"/>
      <c r="H45" s="2104"/>
      <c r="I45" s="2074"/>
      <c r="J45" s="2074"/>
      <c r="K45" s="2074"/>
      <c r="L45" s="2074"/>
      <c r="M45" s="2074"/>
      <c r="N45" s="2074"/>
      <c r="O45" s="2075"/>
      <c r="P45" s="270"/>
      <c r="Q45" s="270"/>
      <c r="V45" s="2103" t="str">
        <f>B45</f>
        <v>Learning Thermostat / Advanced Thermostat</v>
      </c>
      <c r="W45" s="2104"/>
      <c r="X45" s="2104"/>
      <c r="Y45" s="2104"/>
      <c r="Z45" s="2104"/>
      <c r="AA45" s="2104"/>
      <c r="AB45" s="2104"/>
      <c r="AC45" s="2106"/>
      <c r="AD45" s="2106"/>
      <c r="AE45" s="2106"/>
      <c r="AF45" s="2106"/>
      <c r="AG45" s="2106"/>
      <c r="AH45" s="2106"/>
      <c r="AI45" s="2107"/>
      <c r="AU45" s="1416"/>
      <c r="DJ45" s="1127"/>
    </row>
    <row r="46" spans="1:114" x14ac:dyDescent="0.25">
      <c r="A46" s="522"/>
      <c r="B46" s="561"/>
      <c r="C46" s="268"/>
      <c r="E46" s="100"/>
      <c r="F46" s="1856"/>
      <c r="G46" s="269"/>
      <c r="H46" s="269"/>
      <c r="I46" s="269"/>
      <c r="J46" s="269"/>
      <c r="K46" s="269"/>
      <c r="L46" s="566"/>
      <c r="M46" s="270"/>
      <c r="N46" s="270"/>
      <c r="O46" s="270"/>
      <c r="P46" s="270"/>
      <c r="Q46" s="270"/>
      <c r="AU46" s="1416"/>
      <c r="DJ46" s="1127"/>
    </row>
    <row r="47" spans="1:114" ht="30" x14ac:dyDescent="0.25">
      <c r="A47" s="522"/>
      <c r="B47" s="561"/>
      <c r="C47" s="1300" t="s">
        <v>42</v>
      </c>
      <c r="D47" s="1300" t="s">
        <v>594</v>
      </c>
      <c r="E47" s="1300" t="s">
        <v>44</v>
      </c>
      <c r="F47" s="1300" t="s">
        <v>45</v>
      </c>
      <c r="G47" s="1300" t="s">
        <v>46</v>
      </c>
      <c r="H47" s="1300" t="s">
        <v>47</v>
      </c>
      <c r="I47" s="1300" t="s">
        <v>48</v>
      </c>
      <c r="J47" s="1312" t="s">
        <v>49</v>
      </c>
      <c r="K47" s="1300" t="s">
        <v>50</v>
      </c>
      <c r="L47" s="1300" t="s">
        <v>51</v>
      </c>
      <c r="M47" s="50"/>
      <c r="N47" s="50"/>
      <c r="O47" s="270"/>
      <c r="P47" s="270"/>
      <c r="Q47" s="270"/>
      <c r="V47" s="648" t="s">
        <v>52</v>
      </c>
      <c r="W47" s="649">
        <v>43252</v>
      </c>
      <c r="X47" s="649">
        <f>$X$6</f>
        <v>43465</v>
      </c>
      <c r="Y47" s="649">
        <f>$Y$6</f>
        <v>43800</v>
      </c>
      <c r="Z47" s="649">
        <f>$Z$6</f>
        <v>43862</v>
      </c>
      <c r="AA47" s="649">
        <f>$AA$6</f>
        <v>44013</v>
      </c>
      <c r="AB47" s="649">
        <f>$AB$6</f>
        <v>44166</v>
      </c>
      <c r="AC47" s="649">
        <f>$AC$6</f>
        <v>44531</v>
      </c>
      <c r="AD47" s="649">
        <f>$AD$6</f>
        <v>44774</v>
      </c>
      <c r="AE47" s="649">
        <f>$AE$6</f>
        <v>45139</v>
      </c>
      <c r="AF47" s="649">
        <f>$AF$6</f>
        <v>45672</v>
      </c>
      <c r="AG47" s="649" t="str">
        <f>$AG$6</f>
        <v>-</v>
      </c>
      <c r="AU47" s="1416"/>
      <c r="DG47" s="1802" t="str">
        <f>$DG$6</f>
        <v>TRC (2025)</v>
      </c>
      <c r="DH47" s="1802" t="str">
        <f>$DH$6</f>
        <v>Benefit Lookup</v>
      </c>
      <c r="DI47" s="1803" t="str">
        <f>$DI$6</f>
        <v>Benefits (2025 $)</v>
      </c>
      <c r="DJ47" s="1804" t="str">
        <f>$DJ$6</f>
        <v>Incremental Cost (2025 $)</v>
      </c>
    </row>
    <row r="48" spans="1:114" x14ac:dyDescent="0.25">
      <c r="A48" s="522"/>
      <c r="B48" s="1384">
        <f>VALUE(LEFT(C48,6))</f>
        <v>250100</v>
      </c>
      <c r="C48" s="65" t="s">
        <v>685</v>
      </c>
      <c r="D48" s="1343" t="s">
        <v>686</v>
      </c>
      <c r="E48" s="174" t="s">
        <v>687</v>
      </c>
      <c r="F48" s="886">
        <f>ROUND(F105*((F112*F113*1/F115)/1000)*F116*F96,2)*0</f>
        <v>0</v>
      </c>
      <c r="G48" s="1331" t="s">
        <v>688</v>
      </c>
      <c r="H48" s="66">
        <f>VLOOKUP(G48,'CP FACTORS'!$A$3:$B$38, 2, FALSE)</f>
        <v>9.4741810000000004E-4</v>
      </c>
      <c r="I48" s="1848">
        <f t="shared" ref="I48:I61" si="2">ROUND(H48*F48,6)</f>
        <v>0</v>
      </c>
      <c r="J48" s="128">
        <f t="shared" ref="J48:J61" si="3">$F$125</f>
        <v>11</v>
      </c>
      <c r="K48" s="946">
        <f>$F$126</f>
        <v>79</v>
      </c>
      <c r="L48" s="947" t="s">
        <v>62</v>
      </c>
      <c r="M48" s="270"/>
      <c r="N48" s="1469"/>
      <c r="O48" s="50"/>
      <c r="P48" s="50"/>
      <c r="Q48" s="522"/>
      <c r="R48" s="521"/>
      <c r="V48" s="342" t="str">
        <f t="shared" ref="V48:V61" si="4">$F$47</f>
        <v>kWh Annual Savings</v>
      </c>
      <c r="W48" s="84">
        <v>192.51692307692309</v>
      </c>
      <c r="X48" s="85">
        <v>187.92922225947771</v>
      </c>
      <c r="Y48" s="86">
        <v>187.46</v>
      </c>
      <c r="Z48" s="679">
        <v>187.46</v>
      </c>
      <c r="AA48" s="679">
        <v>187.46</v>
      </c>
      <c r="AB48" s="662">
        <v>185.21</v>
      </c>
      <c r="AC48" s="1460">
        <v>190.21</v>
      </c>
      <c r="AD48" s="1428">
        <v>190.21</v>
      </c>
      <c r="AE48" s="1428">
        <v>190.21</v>
      </c>
      <c r="AF48" s="258">
        <f t="shared" ref="AF48:AF61" si="5">IF(F48&lt;&gt;"",F48,"")</f>
        <v>0</v>
      </c>
      <c r="AG48" s="342"/>
      <c r="AH48" s="115"/>
      <c r="AU48" s="1416"/>
      <c r="DG48" s="1398">
        <f>(DI48+DI49)/(DJ48+DJ49)</f>
        <v>0</v>
      </c>
      <c r="DH48" s="126" t="str">
        <f t="shared" ref="DH48:DH61" si="6">CONCATENATE(G48," ",J48," Year EUL")</f>
        <v>Cooling RES 11 Year EUL</v>
      </c>
      <c r="DI48" s="969">
        <f>(INDEX('Avoided Cost Benefits'!$B$4:$B$865,MATCH(DH48,'Avoided Cost Benefits'!$A$4:$A$865,0)))*F48</f>
        <v>0</v>
      </c>
      <c r="DJ48" s="1936">
        <f t="shared" ref="DJ48:DJ61" si="7">IFERROR(K48/((1+DiscountRate)^(CurrentYear-DiscountYear)),0)</f>
        <v>79</v>
      </c>
    </row>
    <row r="49" spans="1:114" x14ac:dyDescent="0.25">
      <c r="A49" s="522"/>
      <c r="B49" s="1384">
        <f t="shared" ref="B49:B61" si="8">VALUE(LEFT(C49,6))</f>
        <v>250100</v>
      </c>
      <c r="C49" s="65" t="s">
        <v>685</v>
      </c>
      <c r="D49" s="1343" t="s">
        <v>686</v>
      </c>
      <c r="E49" s="653" t="s">
        <v>687</v>
      </c>
      <c r="F49" s="886">
        <f>ROUND(F71*F78*F85*F92*F96+F97*F104*29.3,2)*0</f>
        <v>0</v>
      </c>
      <c r="G49" s="1331" t="s">
        <v>689</v>
      </c>
      <c r="H49" s="66">
        <f>VLOOKUP(G49,'CP FACTORS'!$A$3:$B$38, 2, FALSE)</f>
        <v>0</v>
      </c>
      <c r="I49" s="1848">
        <f t="shared" si="2"/>
        <v>0</v>
      </c>
      <c r="J49" s="128">
        <f t="shared" si="3"/>
        <v>11</v>
      </c>
      <c r="K49" s="946"/>
      <c r="L49" s="947" t="s">
        <v>62</v>
      </c>
      <c r="M49" s="270"/>
      <c r="N49" s="1469"/>
      <c r="O49" s="50"/>
      <c r="P49" s="87"/>
      <c r="Q49" s="522"/>
      <c r="R49" s="521"/>
      <c r="V49" s="342" t="str">
        <f t="shared" si="4"/>
        <v>kWh Annual Savings</v>
      </c>
      <c r="W49" s="84">
        <v>661.9754064</v>
      </c>
      <c r="X49" s="85">
        <v>552.61606399999994</v>
      </c>
      <c r="Y49" s="86">
        <v>557.16</v>
      </c>
      <c r="Z49" s="679">
        <v>557.16</v>
      </c>
      <c r="AA49" s="679">
        <v>557.16</v>
      </c>
      <c r="AB49" s="662">
        <v>550.48</v>
      </c>
      <c r="AC49" s="1428">
        <v>550.48</v>
      </c>
      <c r="AD49" s="1428">
        <v>550.48</v>
      </c>
      <c r="AE49" s="1428">
        <v>550.48</v>
      </c>
      <c r="AF49" s="258">
        <f t="shared" si="5"/>
        <v>0</v>
      </c>
      <c r="AG49" s="342"/>
      <c r="AH49" s="115"/>
      <c r="AU49" s="1416"/>
      <c r="DG49" s="1399"/>
      <c r="DH49" s="893" t="str">
        <f t="shared" si="6"/>
        <v>Heating RES 11 Year EUL</v>
      </c>
      <c r="DI49" s="538">
        <f>(INDEX('Avoided Cost Benefits'!$B$4:$B$865,MATCH(DH49,'Avoided Cost Benefits'!$A$4:$A$865,0)))*F49</f>
        <v>0</v>
      </c>
      <c r="DJ49" s="1936">
        <f t="shared" si="7"/>
        <v>0</v>
      </c>
    </row>
    <row r="50" spans="1:114" x14ac:dyDescent="0.25">
      <c r="A50" s="522"/>
      <c r="B50" s="1384">
        <f t="shared" si="8"/>
        <v>250101</v>
      </c>
      <c r="C50" s="65" t="s">
        <v>690</v>
      </c>
      <c r="D50" s="1343" t="s">
        <v>600</v>
      </c>
      <c r="E50" s="174" t="s">
        <v>691</v>
      </c>
      <c r="F50" s="886">
        <f>ROUND(F106*((F112*F114*1/F115)/1000)*F116*F96,2)*0</f>
        <v>0</v>
      </c>
      <c r="G50" s="1331" t="s">
        <v>688</v>
      </c>
      <c r="H50" s="66">
        <f>VLOOKUP(G50,'CP FACTORS'!$A$3:$B$38, 2, FALSE)</f>
        <v>9.4741810000000004E-4</v>
      </c>
      <c r="I50" s="1848">
        <f t="shared" si="2"/>
        <v>0</v>
      </c>
      <c r="J50" s="128">
        <f t="shared" si="3"/>
        <v>11</v>
      </c>
      <c r="K50" s="946">
        <f>$F$126</f>
        <v>79</v>
      </c>
      <c r="L50" s="947" t="s">
        <v>62</v>
      </c>
      <c r="M50" s="270"/>
      <c r="N50" s="1469"/>
      <c r="O50" s="50"/>
      <c r="P50" s="87"/>
      <c r="Q50" s="522"/>
      <c r="R50" s="521"/>
      <c r="V50" s="342" t="str">
        <f t="shared" si="4"/>
        <v>kWh Annual Savings</v>
      </c>
      <c r="W50" s="84"/>
      <c r="X50" s="85"/>
      <c r="Y50" s="86">
        <v>187.46</v>
      </c>
      <c r="Z50" s="679">
        <v>187.46</v>
      </c>
      <c r="AA50" s="679">
        <v>187.46</v>
      </c>
      <c r="AB50" s="662">
        <v>185.21</v>
      </c>
      <c r="AC50" s="1460">
        <v>190.21</v>
      </c>
      <c r="AD50" s="1428">
        <v>190.21</v>
      </c>
      <c r="AE50" s="1428">
        <v>190.21</v>
      </c>
      <c r="AF50" s="258">
        <f t="shared" si="5"/>
        <v>0</v>
      </c>
      <c r="AG50" s="342"/>
      <c r="AH50" s="115"/>
      <c r="AU50" s="1416"/>
      <c r="DG50" s="1399">
        <f>(DI50+DI51)/(DJ50+DJ51)</f>
        <v>0</v>
      </c>
      <c r="DH50" s="126" t="str">
        <f t="shared" si="6"/>
        <v>Cooling RES 11 Year EUL</v>
      </c>
      <c r="DI50" s="538">
        <f>(INDEX('Avoided Cost Benefits'!$B$4:$B$865,MATCH(DH50,'Avoided Cost Benefits'!$A$4:$A$865,0)))*F50</f>
        <v>0</v>
      </c>
      <c r="DJ50" s="1936">
        <f t="shared" si="7"/>
        <v>79</v>
      </c>
    </row>
    <row r="51" spans="1:114" x14ac:dyDescent="0.25">
      <c r="A51" s="522"/>
      <c r="B51" s="1384">
        <f t="shared" si="8"/>
        <v>250101</v>
      </c>
      <c r="C51" s="65" t="s">
        <v>690</v>
      </c>
      <c r="D51" s="1343" t="s">
        <v>600</v>
      </c>
      <c r="E51" s="653" t="s">
        <v>691</v>
      </c>
      <c r="F51" s="886">
        <f>ROUND(F72*F79*F86*F92*F96+F97*F104*29.3,2)*0</f>
        <v>0</v>
      </c>
      <c r="G51" s="1331" t="s">
        <v>689</v>
      </c>
      <c r="H51" s="66">
        <f>VLOOKUP(G51,'CP FACTORS'!$A$3:$B$38, 2, FALSE)</f>
        <v>0</v>
      </c>
      <c r="I51" s="1848">
        <f t="shared" si="2"/>
        <v>0</v>
      </c>
      <c r="J51" s="128">
        <f t="shared" si="3"/>
        <v>11</v>
      </c>
      <c r="K51" s="946"/>
      <c r="L51" s="947" t="s">
        <v>62</v>
      </c>
      <c r="M51" s="270"/>
      <c r="N51" s="1469"/>
      <c r="O51" s="50"/>
      <c r="P51" s="87"/>
      <c r="Q51" s="522"/>
      <c r="R51" s="521"/>
      <c r="V51" s="342" t="str">
        <f t="shared" si="4"/>
        <v>kWh Annual Savings</v>
      </c>
      <c r="W51" s="84"/>
      <c r="X51" s="85"/>
      <c r="Y51" s="86">
        <v>362.16</v>
      </c>
      <c r="Z51" s="679">
        <v>362.16</v>
      </c>
      <c r="AA51" s="679">
        <v>362.16</v>
      </c>
      <c r="AB51" s="662">
        <v>357.82</v>
      </c>
      <c r="AC51" s="1428">
        <v>357.82</v>
      </c>
      <c r="AD51" s="1428">
        <v>357.82</v>
      </c>
      <c r="AE51" s="1428">
        <v>357.82</v>
      </c>
      <c r="AF51" s="258">
        <f t="shared" si="5"/>
        <v>0</v>
      </c>
      <c r="AG51" s="342"/>
      <c r="AH51" s="115"/>
      <c r="AU51" s="1416"/>
      <c r="DG51" s="1399"/>
      <c r="DH51" s="893" t="str">
        <f t="shared" si="6"/>
        <v>Heating RES 11 Year EUL</v>
      </c>
      <c r="DI51" s="538">
        <f>(INDEX('Avoided Cost Benefits'!$B$4:$B$865,MATCH(DH51,'Avoided Cost Benefits'!$A$4:$A$865,0)))*F51</f>
        <v>0</v>
      </c>
      <c r="DJ51" s="1936">
        <f t="shared" si="7"/>
        <v>0</v>
      </c>
    </row>
    <row r="52" spans="1:114" x14ac:dyDescent="0.25">
      <c r="A52" s="522"/>
      <c r="B52" s="1384">
        <f t="shared" si="8"/>
        <v>250150</v>
      </c>
      <c r="C52" s="65" t="s">
        <v>692</v>
      </c>
      <c r="D52" s="1343" t="s">
        <v>600</v>
      </c>
      <c r="E52" s="174" t="s">
        <v>693</v>
      </c>
      <c r="F52" s="886">
        <f>ROUND(F107*((F112*F114*1/F115)/1000)*F116*F96,2)*0</f>
        <v>0</v>
      </c>
      <c r="G52" s="1331" t="s">
        <v>688</v>
      </c>
      <c r="H52" s="66">
        <f>VLOOKUP(G52,'CP FACTORS'!$A$3:$B$38, 2, FALSE)</f>
        <v>9.4741810000000004E-4</v>
      </c>
      <c r="I52" s="1848">
        <f t="shared" si="2"/>
        <v>0</v>
      </c>
      <c r="J52" s="128">
        <f t="shared" si="3"/>
        <v>11</v>
      </c>
      <c r="K52" s="946">
        <f>$F$126</f>
        <v>79</v>
      </c>
      <c r="L52" s="947" t="s">
        <v>62</v>
      </c>
      <c r="M52" s="270"/>
      <c r="N52" s="1469"/>
      <c r="O52" s="50"/>
      <c r="P52" s="88"/>
      <c r="Q52" s="522"/>
      <c r="R52" s="521"/>
      <c r="V52" s="342" t="str">
        <f t="shared" si="4"/>
        <v>kWh Annual Savings</v>
      </c>
      <c r="W52" s="84">
        <v>192.51692307692309</v>
      </c>
      <c r="X52" s="85">
        <v>122.15399446866051</v>
      </c>
      <c r="Y52" s="86">
        <v>187.46</v>
      </c>
      <c r="Z52" s="679">
        <v>187.46</v>
      </c>
      <c r="AA52" s="679">
        <v>187.46</v>
      </c>
      <c r="AB52" s="662">
        <v>185.21</v>
      </c>
      <c r="AC52" s="1460">
        <v>190.21</v>
      </c>
      <c r="AD52" s="1428">
        <v>190.21</v>
      </c>
      <c r="AE52" s="1428">
        <v>190.21</v>
      </c>
      <c r="AF52" s="258">
        <f t="shared" si="5"/>
        <v>0</v>
      </c>
      <c r="AG52" s="342"/>
      <c r="AH52" s="115"/>
      <c r="AU52" s="1416"/>
      <c r="DG52" s="1399">
        <f>(DI52+DI53)/(DJ52+DJ53)</f>
        <v>0</v>
      </c>
      <c r="DH52" s="126" t="str">
        <f t="shared" si="6"/>
        <v>Cooling RES 11 Year EUL</v>
      </c>
      <c r="DI52" s="538">
        <f>(INDEX('Avoided Cost Benefits'!$B$4:$B$865,MATCH(DH52,'Avoided Cost Benefits'!$A$4:$A$865,0)))*F52</f>
        <v>0</v>
      </c>
      <c r="DJ52" s="1936">
        <f t="shared" si="7"/>
        <v>79</v>
      </c>
    </row>
    <row r="53" spans="1:114" x14ac:dyDescent="0.25">
      <c r="A53" s="522"/>
      <c r="B53" s="1384">
        <f t="shared" si="8"/>
        <v>250150</v>
      </c>
      <c r="C53" s="65" t="s">
        <v>692</v>
      </c>
      <c r="D53" s="1343" t="s">
        <v>600</v>
      </c>
      <c r="E53" s="653" t="s">
        <v>693</v>
      </c>
      <c r="F53" s="886">
        <f>ROUND(F73*F80*F87*F92*F96+F99*F104*29.3,2)*0</f>
        <v>0</v>
      </c>
      <c r="G53" s="1331" t="s">
        <v>689</v>
      </c>
      <c r="H53" s="66">
        <f>VLOOKUP(G53,'CP FACTORS'!$A$3:$B$38, 2, FALSE)</f>
        <v>0</v>
      </c>
      <c r="I53" s="1848">
        <f t="shared" si="2"/>
        <v>0</v>
      </c>
      <c r="J53" s="128">
        <f t="shared" si="3"/>
        <v>11</v>
      </c>
      <c r="K53" s="946"/>
      <c r="L53" s="947" t="s">
        <v>62</v>
      </c>
      <c r="M53" s="270"/>
      <c r="N53" s="1469"/>
      <c r="O53" s="50"/>
      <c r="P53" s="50"/>
      <c r="Q53" s="522"/>
      <c r="R53" s="521"/>
      <c r="V53" s="342" t="str">
        <f t="shared" si="4"/>
        <v>kWh Annual Savings</v>
      </c>
      <c r="W53" s="84">
        <v>710.41841416</v>
      </c>
      <c r="X53" s="85">
        <v>617.03664664150949</v>
      </c>
      <c r="Y53" s="86">
        <v>615.61</v>
      </c>
      <c r="Z53" s="679">
        <v>615.61</v>
      </c>
      <c r="AA53" s="679">
        <v>615.61</v>
      </c>
      <c r="AB53" s="662">
        <v>608.22</v>
      </c>
      <c r="AC53" s="1428">
        <v>608.22</v>
      </c>
      <c r="AD53" s="1428">
        <v>608.22</v>
      </c>
      <c r="AE53" s="1428">
        <v>608.22</v>
      </c>
      <c r="AF53" s="258">
        <f t="shared" si="5"/>
        <v>0</v>
      </c>
      <c r="AG53" s="342"/>
      <c r="AH53" s="115"/>
      <c r="AU53" s="1416"/>
      <c r="DG53" s="1399"/>
      <c r="DH53" s="893" t="str">
        <f t="shared" si="6"/>
        <v>Heating RES 11 Year EUL</v>
      </c>
      <c r="DI53" s="538">
        <f>(INDEX('Avoided Cost Benefits'!$B$4:$B$865,MATCH(DH53,'Avoided Cost Benefits'!$A$4:$A$865,0)))*F53</f>
        <v>0</v>
      </c>
      <c r="DJ53" s="1936">
        <f t="shared" si="7"/>
        <v>0</v>
      </c>
    </row>
    <row r="54" spans="1:114" x14ac:dyDescent="0.25">
      <c r="A54" s="522"/>
      <c r="B54" s="1384">
        <f t="shared" si="8"/>
        <v>250250</v>
      </c>
      <c r="C54" s="65" t="s">
        <v>694</v>
      </c>
      <c r="D54" s="1343" t="s">
        <v>686</v>
      </c>
      <c r="E54" s="174" t="s">
        <v>695</v>
      </c>
      <c r="F54" s="886">
        <f>ROUND(F108*((F112*F113*1/F115)/1000)*F116*F96,2)*0</f>
        <v>0</v>
      </c>
      <c r="G54" s="1331" t="s">
        <v>688</v>
      </c>
      <c r="H54" s="66">
        <f>VLOOKUP(G54,'CP FACTORS'!$A$3:$B$38, 2, FALSE)</f>
        <v>9.4741810000000004E-4</v>
      </c>
      <c r="I54" s="1848">
        <f t="shared" si="2"/>
        <v>0</v>
      </c>
      <c r="J54" s="128">
        <f t="shared" si="3"/>
        <v>11</v>
      </c>
      <c r="K54" s="946">
        <f>$F$126</f>
        <v>79</v>
      </c>
      <c r="L54" s="947" t="s">
        <v>62</v>
      </c>
      <c r="M54" s="270"/>
      <c r="N54" s="1469"/>
      <c r="O54" s="50"/>
      <c r="P54" s="50"/>
      <c r="Q54" s="522"/>
      <c r="R54" s="521"/>
      <c r="V54" s="342" t="str">
        <f t="shared" si="4"/>
        <v>kWh Annual Savings</v>
      </c>
      <c r="W54" s="84">
        <v>192.51692307692309</v>
      </c>
      <c r="X54" s="85">
        <v>187.92922225947771</v>
      </c>
      <c r="Y54" s="86">
        <v>187.46</v>
      </c>
      <c r="Z54" s="679">
        <v>187.46</v>
      </c>
      <c r="AA54" s="679">
        <v>187.46</v>
      </c>
      <c r="AB54" s="662">
        <v>185.21</v>
      </c>
      <c r="AC54" s="1460">
        <v>190.21</v>
      </c>
      <c r="AD54" s="1428">
        <v>190.21</v>
      </c>
      <c r="AE54" s="1428">
        <v>190.21</v>
      </c>
      <c r="AF54" s="258">
        <f t="shared" si="5"/>
        <v>0</v>
      </c>
      <c r="AG54" s="342"/>
      <c r="AH54" s="115"/>
      <c r="AU54" s="1416"/>
      <c r="DG54" s="1399">
        <f>(DI54+DI55)/(DJ54+DJ55)</f>
        <v>0</v>
      </c>
      <c r="DH54" s="126" t="str">
        <f t="shared" si="6"/>
        <v>Cooling RES 11 Year EUL</v>
      </c>
      <c r="DI54" s="538">
        <f>(INDEX('Avoided Cost Benefits'!$B$4:$B$865,MATCH(DH54,'Avoided Cost Benefits'!$A$4:$A$865,0)))*F54</f>
        <v>0</v>
      </c>
      <c r="DJ54" s="1936">
        <f t="shared" si="7"/>
        <v>79</v>
      </c>
    </row>
    <row r="55" spans="1:114" x14ac:dyDescent="0.25">
      <c r="A55" s="522"/>
      <c r="B55" s="1384">
        <f t="shared" si="8"/>
        <v>250250</v>
      </c>
      <c r="C55" s="65" t="s">
        <v>694</v>
      </c>
      <c r="D55" s="1343" t="s">
        <v>686</v>
      </c>
      <c r="E55" s="653" t="s">
        <v>695</v>
      </c>
      <c r="F55" s="886">
        <f>ROUND(F74*F81*F88*F92*F96+F100*F104*29.3,2)*0</f>
        <v>0</v>
      </c>
      <c r="G55" s="1331" t="s">
        <v>689</v>
      </c>
      <c r="H55" s="66">
        <f>VLOOKUP(G55,'CP FACTORS'!$A$3:$B$38, 2, FALSE)</f>
        <v>0</v>
      </c>
      <c r="I55" s="1848">
        <f t="shared" si="2"/>
        <v>0</v>
      </c>
      <c r="J55" s="128">
        <f t="shared" si="3"/>
        <v>11</v>
      </c>
      <c r="K55" s="946"/>
      <c r="L55" s="947" t="s">
        <v>62</v>
      </c>
      <c r="M55" s="270"/>
      <c r="N55" s="1469"/>
      <c r="O55" s="50"/>
      <c r="P55" s="50"/>
      <c r="Q55" s="522"/>
      <c r="R55" s="521"/>
      <c r="V55" s="342" t="str">
        <f t="shared" si="4"/>
        <v>kWh Annual Savings</v>
      </c>
      <c r="W55" s="84">
        <v>1092.9514064</v>
      </c>
      <c r="X55" s="85">
        <v>949.28714867924521</v>
      </c>
      <c r="Y55" s="86">
        <v>947.09</v>
      </c>
      <c r="Z55" s="679">
        <v>947.09</v>
      </c>
      <c r="AA55" s="679">
        <v>947.09</v>
      </c>
      <c r="AB55" s="662">
        <v>935.72</v>
      </c>
      <c r="AC55" s="1428">
        <v>935.72</v>
      </c>
      <c r="AD55" s="1428">
        <v>935.72</v>
      </c>
      <c r="AE55" s="1428">
        <v>935.72</v>
      </c>
      <c r="AF55" s="258">
        <f t="shared" si="5"/>
        <v>0</v>
      </c>
      <c r="AG55" s="342"/>
      <c r="AH55" s="115"/>
      <c r="AU55" s="1416"/>
      <c r="DG55" s="1399"/>
      <c r="DH55" s="893" t="str">
        <f t="shared" si="6"/>
        <v>Heating RES 11 Year EUL</v>
      </c>
      <c r="DI55" s="538">
        <f>(INDEX('Avoided Cost Benefits'!$B$4:$B$865,MATCH(DH55,'Avoided Cost Benefits'!$A$4:$A$865,0)))*F55</f>
        <v>0</v>
      </c>
      <c r="DJ55" s="1936">
        <f t="shared" si="7"/>
        <v>0</v>
      </c>
    </row>
    <row r="56" spans="1:114" x14ac:dyDescent="0.25">
      <c r="A56" s="522"/>
      <c r="B56" s="1384">
        <f t="shared" si="8"/>
        <v>250350</v>
      </c>
      <c r="C56" s="65" t="s">
        <v>696</v>
      </c>
      <c r="D56" s="1343" t="s">
        <v>686</v>
      </c>
      <c r="E56" s="174" t="s">
        <v>697</v>
      </c>
      <c r="F56" s="886">
        <f>ROUND(F109*((F112*F113*1/F115)/1000)*F116*F96,2)*0</f>
        <v>0</v>
      </c>
      <c r="G56" s="1331" t="s">
        <v>688</v>
      </c>
      <c r="H56" s="66">
        <f>VLOOKUP(G56,'CP FACTORS'!$A$3:$B$38, 2, FALSE)</f>
        <v>9.4741810000000004E-4</v>
      </c>
      <c r="I56" s="1848">
        <f t="shared" si="2"/>
        <v>0</v>
      </c>
      <c r="J56" s="128">
        <f t="shared" si="3"/>
        <v>11</v>
      </c>
      <c r="K56" s="946">
        <f>$F$126</f>
        <v>79</v>
      </c>
      <c r="L56" s="947" t="s">
        <v>62</v>
      </c>
      <c r="M56" s="270"/>
      <c r="N56" s="1469"/>
      <c r="O56" s="50"/>
      <c r="P56" s="87"/>
      <c r="Q56" s="522"/>
      <c r="R56" s="521"/>
      <c r="V56" s="342" t="str">
        <f t="shared" si="4"/>
        <v>kWh Annual Savings</v>
      </c>
      <c r="W56" s="84">
        <v>192.51692307692309</v>
      </c>
      <c r="X56" s="85">
        <v>187.92922225947771</v>
      </c>
      <c r="Y56" s="86">
        <v>187.46</v>
      </c>
      <c r="Z56" s="679">
        <v>187.46</v>
      </c>
      <c r="AA56" s="679">
        <v>187.46</v>
      </c>
      <c r="AB56" s="662">
        <v>185.21</v>
      </c>
      <c r="AC56" s="1460">
        <v>190.21</v>
      </c>
      <c r="AD56" s="1428">
        <v>190.21</v>
      </c>
      <c r="AE56" s="1428">
        <v>190.21</v>
      </c>
      <c r="AF56" s="258">
        <f t="shared" si="5"/>
        <v>0</v>
      </c>
      <c r="AG56" s="342"/>
      <c r="AH56" s="115"/>
      <c r="AU56" s="1416"/>
      <c r="DG56" s="1399">
        <f>(DI56+DI57)/(DJ56+DJ57)</f>
        <v>0</v>
      </c>
      <c r="DH56" s="126" t="str">
        <f t="shared" si="6"/>
        <v>Cooling RES 11 Year EUL</v>
      </c>
      <c r="DI56" s="538">
        <f>(INDEX('Avoided Cost Benefits'!$B$4:$B$865,MATCH(DH56,'Avoided Cost Benefits'!$A$4:$A$865,0)))*F56</f>
        <v>0</v>
      </c>
      <c r="DJ56" s="1936">
        <f t="shared" si="7"/>
        <v>79</v>
      </c>
    </row>
    <row r="57" spans="1:114" x14ac:dyDescent="0.25">
      <c r="A57" s="522"/>
      <c r="B57" s="1384">
        <f t="shared" si="8"/>
        <v>250350</v>
      </c>
      <c r="C57" s="65" t="s">
        <v>696</v>
      </c>
      <c r="D57" s="1343" t="s">
        <v>686</v>
      </c>
      <c r="E57" s="653" t="s">
        <v>697</v>
      </c>
      <c r="F57" s="886">
        <f>ROUND(F75*F82*F89*F92*F96+F101*F104*29.3,2)*0</f>
        <v>0</v>
      </c>
      <c r="G57" s="1331" t="s">
        <v>689</v>
      </c>
      <c r="H57" s="66">
        <f>VLOOKUP(G57,'CP FACTORS'!$A$3:$B$38, 2, FALSE)</f>
        <v>0</v>
      </c>
      <c r="I57" s="1848">
        <f t="shared" si="2"/>
        <v>0</v>
      </c>
      <c r="J57" s="128">
        <f t="shared" si="3"/>
        <v>11</v>
      </c>
      <c r="K57" s="946"/>
      <c r="L57" s="947" t="s">
        <v>62</v>
      </c>
      <c r="M57" s="270"/>
      <c r="N57" s="1469"/>
      <c r="O57" s="50"/>
      <c r="P57" s="88"/>
      <c r="Q57" s="522"/>
      <c r="R57" s="521"/>
      <c r="V57" s="342" t="str">
        <f t="shared" si="4"/>
        <v>kWh Annual Savings</v>
      </c>
      <c r="W57" s="84">
        <v>46.295406399999997</v>
      </c>
      <c r="X57" s="84">
        <v>41.992474552808346</v>
      </c>
      <c r="Y57" s="86">
        <v>41.85</v>
      </c>
      <c r="Z57" s="679">
        <v>41.85</v>
      </c>
      <c r="AA57" s="679">
        <v>41.85</v>
      </c>
      <c r="AB57" s="662">
        <v>41.35</v>
      </c>
      <c r="AC57" s="1428">
        <v>41.35</v>
      </c>
      <c r="AD57" s="1428">
        <v>41.35</v>
      </c>
      <c r="AE57" s="1428">
        <v>41.35</v>
      </c>
      <c r="AF57" s="258">
        <f t="shared" si="5"/>
        <v>0</v>
      </c>
      <c r="AG57" s="342"/>
      <c r="AH57" s="115"/>
      <c r="AU57" s="1416"/>
      <c r="DG57" s="1399"/>
      <c r="DH57" s="893" t="str">
        <f t="shared" si="6"/>
        <v>Heating RES 11 Year EUL</v>
      </c>
      <c r="DI57" s="538">
        <f>(INDEX('Avoided Cost Benefits'!$B$4:$B$865,MATCH(DH57,'Avoided Cost Benefits'!$A$4:$A$865,0)))*F57</f>
        <v>0</v>
      </c>
      <c r="DJ57" s="1936">
        <f t="shared" si="7"/>
        <v>0</v>
      </c>
    </row>
    <row r="58" spans="1:114" x14ac:dyDescent="0.25">
      <c r="A58" s="522"/>
      <c r="B58" s="1384">
        <f t="shared" si="8"/>
        <v>250351</v>
      </c>
      <c r="C58" s="65" t="s">
        <v>698</v>
      </c>
      <c r="D58" s="1343" t="s">
        <v>600</v>
      </c>
      <c r="E58" s="174" t="s">
        <v>699</v>
      </c>
      <c r="F58" s="886">
        <f>ROUND(F110*((F112*F114*1/F115)/1000)*F116*F96,2)*0</f>
        <v>0</v>
      </c>
      <c r="G58" s="1331" t="s">
        <v>688</v>
      </c>
      <c r="H58" s="66">
        <f>VLOOKUP(G58,'CP FACTORS'!$A$3:$B$38, 2, FALSE)</f>
        <v>9.4741810000000004E-4</v>
      </c>
      <c r="I58" s="1848">
        <f t="shared" si="2"/>
        <v>0</v>
      </c>
      <c r="J58" s="128">
        <f t="shared" si="3"/>
        <v>11</v>
      </c>
      <c r="K58" s="946">
        <f>$F$126</f>
        <v>79</v>
      </c>
      <c r="L58" s="947" t="s">
        <v>62</v>
      </c>
      <c r="M58" s="270"/>
      <c r="N58" s="1469"/>
      <c r="O58" s="50"/>
      <c r="P58" s="88"/>
      <c r="Q58" s="522"/>
      <c r="R58" s="521"/>
      <c r="V58" s="342" t="str">
        <f t="shared" si="4"/>
        <v>kWh Annual Savings</v>
      </c>
      <c r="W58" s="84"/>
      <c r="X58" s="84"/>
      <c r="Y58" s="86">
        <v>136.33000000000001</v>
      </c>
      <c r="Z58" s="679">
        <v>136.33000000000001</v>
      </c>
      <c r="AA58" s="679">
        <v>136.33000000000001</v>
      </c>
      <c r="AB58" s="662">
        <v>185.21</v>
      </c>
      <c r="AC58" s="1460">
        <v>190.21</v>
      </c>
      <c r="AD58" s="1428">
        <v>190.21</v>
      </c>
      <c r="AE58" s="1428">
        <v>190.21</v>
      </c>
      <c r="AF58" s="258">
        <f t="shared" si="5"/>
        <v>0</v>
      </c>
      <c r="AG58" s="342"/>
      <c r="AH58" s="115"/>
      <c r="AU58" s="1416"/>
      <c r="DG58" s="1399">
        <f>(DI58+DI59)/(DJ58+DJ59)</f>
        <v>0</v>
      </c>
      <c r="DH58" s="126" t="str">
        <f t="shared" si="6"/>
        <v>Cooling RES 11 Year EUL</v>
      </c>
      <c r="DI58" s="538">
        <f>(INDEX('Avoided Cost Benefits'!$B$4:$B$865,MATCH(DH58,'Avoided Cost Benefits'!$A$4:$A$865,0)))*F58</f>
        <v>0</v>
      </c>
      <c r="DJ58" s="1936">
        <f t="shared" si="7"/>
        <v>79</v>
      </c>
    </row>
    <row r="59" spans="1:114" x14ac:dyDescent="0.25">
      <c r="A59" s="522"/>
      <c r="B59" s="1384">
        <f t="shared" si="8"/>
        <v>250351</v>
      </c>
      <c r="C59" s="65" t="s">
        <v>698</v>
      </c>
      <c r="D59" s="1343" t="s">
        <v>600</v>
      </c>
      <c r="E59" s="653" t="s">
        <v>699</v>
      </c>
      <c r="F59" s="886">
        <f>ROUND(F76*F83*F90*F92*F96+F102*F104*29.3,2)*0</f>
        <v>0</v>
      </c>
      <c r="G59" s="1331" t="s">
        <v>689</v>
      </c>
      <c r="H59" s="66">
        <f>VLOOKUP(G59,'CP FACTORS'!$A$3:$B$38, 2, FALSE)</f>
        <v>0</v>
      </c>
      <c r="I59" s="1848">
        <f t="shared" si="2"/>
        <v>0</v>
      </c>
      <c r="J59" s="128">
        <f t="shared" si="3"/>
        <v>11</v>
      </c>
      <c r="K59" s="946"/>
      <c r="L59" s="947" t="s">
        <v>62</v>
      </c>
      <c r="M59" s="270"/>
      <c r="N59" s="1469"/>
      <c r="O59" s="50"/>
      <c r="P59" s="88"/>
      <c r="Q59" s="522"/>
      <c r="R59" s="521"/>
      <c r="V59" s="342" t="str">
        <f t="shared" si="4"/>
        <v>kWh Annual Savings</v>
      </c>
      <c r="W59" s="84"/>
      <c r="X59" s="84"/>
      <c r="Y59" s="86">
        <v>27.2</v>
      </c>
      <c r="Z59" s="679">
        <v>27.2</v>
      </c>
      <c r="AA59" s="679">
        <v>27.2</v>
      </c>
      <c r="AB59" s="662">
        <v>26.88</v>
      </c>
      <c r="AC59" s="1428">
        <v>26.88</v>
      </c>
      <c r="AD59" s="1428">
        <v>26.88</v>
      </c>
      <c r="AE59" s="1428">
        <v>26.88</v>
      </c>
      <c r="AF59" s="258">
        <f t="shared" si="5"/>
        <v>0</v>
      </c>
      <c r="AG59" s="342"/>
      <c r="AH59" s="115"/>
      <c r="AU59" s="1416"/>
      <c r="DG59" s="1399"/>
      <c r="DH59" s="893" t="str">
        <f t="shared" si="6"/>
        <v>Heating RES 11 Year EUL</v>
      </c>
      <c r="DI59" s="538">
        <f>(INDEX('Avoided Cost Benefits'!$B$4:$B$865,MATCH(DH59,'Avoided Cost Benefits'!$A$4:$A$865,0)))*F59</f>
        <v>0</v>
      </c>
      <c r="DJ59" s="1936">
        <f t="shared" si="7"/>
        <v>0</v>
      </c>
    </row>
    <row r="60" spans="1:114" x14ac:dyDescent="0.25">
      <c r="A60" s="522"/>
      <c r="B60" s="1384">
        <f t="shared" si="8"/>
        <v>250450</v>
      </c>
      <c r="C60" s="65" t="s">
        <v>700</v>
      </c>
      <c r="D60" s="1343" t="s">
        <v>701</v>
      </c>
      <c r="E60" s="174" t="s">
        <v>702</v>
      </c>
      <c r="F60" s="886">
        <f>ROUND(F111*((F112*F113*1/F115)/1000)*F116*F96,2)*0</f>
        <v>0</v>
      </c>
      <c r="G60" s="1331" t="s">
        <v>688</v>
      </c>
      <c r="H60" s="66">
        <f>VLOOKUP(G60,'CP FACTORS'!$A$3:$B$38, 2, FALSE)</f>
        <v>9.4741810000000004E-4</v>
      </c>
      <c r="I60" s="1848">
        <f t="shared" si="2"/>
        <v>0</v>
      </c>
      <c r="J60" s="128">
        <f t="shared" si="3"/>
        <v>11</v>
      </c>
      <c r="K60" s="946">
        <f>$F$126</f>
        <v>79</v>
      </c>
      <c r="L60" s="947" t="s">
        <v>62</v>
      </c>
      <c r="M60" s="270"/>
      <c r="N60" s="1469"/>
      <c r="O60" s="50"/>
      <c r="P60" s="50"/>
      <c r="Q60" s="522"/>
      <c r="R60" s="521"/>
      <c r="V60" s="342" t="str">
        <f t="shared" si="4"/>
        <v>kWh Annual Savings</v>
      </c>
      <c r="W60" s="84">
        <v>192.51692307692309</v>
      </c>
      <c r="X60" s="85">
        <v>187.92922225947771</v>
      </c>
      <c r="Y60" s="86">
        <v>187.46</v>
      </c>
      <c r="Z60" s="679">
        <v>187.46</v>
      </c>
      <c r="AA60" s="679">
        <v>187.46</v>
      </c>
      <c r="AB60" s="662">
        <v>185.21</v>
      </c>
      <c r="AC60" s="1460">
        <v>190.21</v>
      </c>
      <c r="AD60" s="1428">
        <v>190.21</v>
      </c>
      <c r="AE60" s="1428">
        <v>190.21</v>
      </c>
      <c r="AF60" s="258">
        <f t="shared" si="5"/>
        <v>0</v>
      </c>
      <c r="AG60" s="342"/>
      <c r="AH60" s="115"/>
      <c r="AU60" s="1416"/>
      <c r="DG60" s="1399">
        <f>(DI60+DI61)/(DJ60+DJ61)</f>
        <v>0</v>
      </c>
      <c r="DH60" s="126" t="str">
        <f t="shared" si="6"/>
        <v>Cooling RES 11 Year EUL</v>
      </c>
      <c r="DI60" s="538">
        <f>(INDEX('Avoided Cost Benefits'!$B$4:$B$865,MATCH(DH60,'Avoided Cost Benefits'!$A$4:$A$865,0)))*F60</f>
        <v>0</v>
      </c>
      <c r="DJ60" s="1936">
        <f t="shared" si="7"/>
        <v>79</v>
      </c>
    </row>
    <row r="61" spans="1:114" x14ac:dyDescent="0.25">
      <c r="A61" s="522"/>
      <c r="B61" s="1384">
        <f t="shared" si="8"/>
        <v>250450</v>
      </c>
      <c r="C61" s="65" t="s">
        <v>700</v>
      </c>
      <c r="D61" s="1343" t="s">
        <v>701</v>
      </c>
      <c r="E61" s="653" t="s">
        <v>702</v>
      </c>
      <c r="F61" s="886">
        <f>ROUND(F77*F84*F91*F92*F96+F103*F104*29.3,2)*0</f>
        <v>0</v>
      </c>
      <c r="G61" s="1331" t="s">
        <v>689</v>
      </c>
      <c r="H61" s="66">
        <f>VLOOKUP(G61,'CP FACTORS'!$A$3:$B$38, 2, FALSE)</f>
        <v>0</v>
      </c>
      <c r="I61" s="1848">
        <f t="shared" si="2"/>
        <v>0</v>
      </c>
      <c r="J61" s="128">
        <f t="shared" si="3"/>
        <v>11</v>
      </c>
      <c r="K61" s="946"/>
      <c r="L61" s="947" t="s">
        <v>62</v>
      </c>
      <c r="M61" s="270"/>
      <c r="N61" s="1469"/>
      <c r="O61" s="270"/>
      <c r="P61" s="270"/>
      <c r="Q61" s="522"/>
      <c r="R61" s="521"/>
      <c r="V61" s="342" t="str">
        <f t="shared" si="4"/>
        <v>kWh Annual Savings</v>
      </c>
      <c r="W61" s="84">
        <v>377.56641415999997</v>
      </c>
      <c r="X61" s="85">
        <v>226.28150936736847</v>
      </c>
      <c r="Y61" s="86">
        <v>160.49</v>
      </c>
      <c r="Z61" s="679">
        <v>160.49</v>
      </c>
      <c r="AA61" s="679">
        <v>160.49</v>
      </c>
      <c r="AB61" s="662">
        <v>158.56</v>
      </c>
      <c r="AC61" s="1460">
        <v>276.79000000000002</v>
      </c>
      <c r="AD61" s="1428">
        <v>276.79000000000002</v>
      </c>
      <c r="AE61" s="1428">
        <v>276.79000000000002</v>
      </c>
      <c r="AF61" s="258">
        <f t="shared" si="5"/>
        <v>0</v>
      </c>
      <c r="AG61" s="342"/>
      <c r="AH61" s="115"/>
      <c r="AU61" s="1416"/>
      <c r="DG61" s="1399"/>
      <c r="DH61" s="893" t="str">
        <f t="shared" si="6"/>
        <v>Heating RES 11 Year EUL</v>
      </c>
      <c r="DI61" s="538">
        <f>(INDEX('Avoided Cost Benefits'!$B$4:$B$865,MATCH(DH61,'Avoided Cost Benefits'!$A$4:$A$865,0)))*F61</f>
        <v>0</v>
      </c>
      <c r="DJ61" s="1936">
        <f t="shared" si="7"/>
        <v>0</v>
      </c>
    </row>
    <row r="62" spans="1:114" hidden="1" outlineLevel="1" x14ac:dyDescent="0.25">
      <c r="A62" s="522"/>
      <c r="B62" s="561"/>
      <c r="C62" s="268"/>
      <c r="D62" s="74" t="s">
        <v>94</v>
      </c>
      <c r="E62" s="74" t="s">
        <v>703</v>
      </c>
      <c r="F62" s="268" t="s">
        <v>704</v>
      </c>
      <c r="G62" s="270"/>
      <c r="H62" s="270"/>
      <c r="I62" s="270"/>
      <c r="J62" s="270"/>
      <c r="K62" s="270"/>
      <c r="L62" s="270"/>
      <c r="M62" s="270"/>
      <c r="N62" s="1469"/>
      <c r="O62" s="270"/>
      <c r="P62" s="270"/>
      <c r="Q62" s="522"/>
      <c r="AU62" s="1416"/>
      <c r="DJ62" s="1127"/>
    </row>
    <row r="63" spans="1:114" s="1420" customFormat="1" hidden="1" outlineLevel="1" x14ac:dyDescent="0.25">
      <c r="A63" s="522"/>
      <c r="B63" s="561"/>
      <c r="C63" s="268"/>
      <c r="D63" s="71" t="s">
        <v>604</v>
      </c>
      <c r="E63" s="127" t="s">
        <v>705</v>
      </c>
      <c r="F63" s="529"/>
      <c r="G63" s="270"/>
      <c r="H63" s="270"/>
      <c r="I63" s="270"/>
      <c r="J63" s="270"/>
      <c r="K63" s="270"/>
      <c r="L63" s="270"/>
      <c r="M63" s="270"/>
      <c r="N63" s="1469"/>
      <c r="O63" s="270"/>
      <c r="P63" s="270"/>
      <c r="Q63" s="72"/>
      <c r="R63" s="72"/>
      <c r="S63" s="72"/>
      <c r="T63" s="72"/>
      <c r="U63" s="72"/>
      <c r="V63" s="89"/>
      <c r="AU63" s="1416"/>
      <c r="DG63" s="1032"/>
      <c r="DH63" s="72"/>
      <c r="DI63" s="72"/>
      <c r="DJ63" s="1127"/>
    </row>
    <row r="64" spans="1:114" s="1420" customFormat="1" ht="18" hidden="1" customHeight="1" outlineLevel="1" x14ac:dyDescent="0.25">
      <c r="A64" s="522"/>
      <c r="B64" s="561"/>
      <c r="C64" s="268"/>
      <c r="D64" s="1470" t="s">
        <v>706</v>
      </c>
      <c r="E64" s="1470" t="s">
        <v>707</v>
      </c>
      <c r="F64" s="1857"/>
      <c r="G64" s="1471"/>
      <c r="H64" s="1471"/>
      <c r="I64" s="1471"/>
      <c r="J64" s="1471"/>
      <c r="K64" s="1471"/>
      <c r="L64" s="1471"/>
      <c r="M64" s="270"/>
      <c r="N64" s="1469"/>
      <c r="O64" s="270"/>
      <c r="P64" s="521"/>
      <c r="Q64" s="72"/>
      <c r="R64" s="72"/>
      <c r="S64" s="72"/>
      <c r="T64" s="72"/>
      <c r="U64" s="72"/>
      <c r="AU64" s="1416"/>
      <c r="DG64" s="1032"/>
      <c r="DH64" s="72"/>
      <c r="DI64" s="72"/>
      <c r="DJ64" s="1127"/>
    </row>
    <row r="65" spans="1:114" s="1420" customFormat="1" ht="18" hidden="1" customHeight="1" outlineLevel="1" x14ac:dyDescent="0.25">
      <c r="A65" s="522"/>
      <c r="B65" s="561"/>
      <c r="C65" s="268"/>
      <c r="D65" s="1470"/>
      <c r="E65" s="1470" t="s">
        <v>708</v>
      </c>
      <c r="F65" s="1857"/>
      <c r="G65" s="1471"/>
      <c r="H65" s="1471"/>
      <c r="I65" s="1471"/>
      <c r="J65" s="1471"/>
      <c r="K65" s="1471"/>
      <c r="L65" s="1471"/>
      <c r="M65" s="270"/>
      <c r="N65" s="1469"/>
      <c r="O65" s="270"/>
      <c r="P65" s="521"/>
      <c r="Q65" s="72"/>
      <c r="R65" s="72"/>
      <c r="S65" s="72"/>
      <c r="T65" s="72"/>
      <c r="U65" s="72"/>
      <c r="AU65" s="1416"/>
      <c r="DG65" s="1032"/>
      <c r="DH65" s="72"/>
      <c r="DI65" s="72"/>
      <c r="DJ65" s="1127"/>
    </row>
    <row r="66" spans="1:114" s="1420" customFormat="1" ht="18" hidden="1" customHeight="1" outlineLevel="1" x14ac:dyDescent="0.25">
      <c r="A66" s="522"/>
      <c r="B66" s="561"/>
      <c r="C66" s="268"/>
      <c r="D66" s="1470"/>
      <c r="E66" s="1470" t="s">
        <v>709</v>
      </c>
      <c r="F66" s="1857"/>
      <c r="G66" s="1471"/>
      <c r="H66" s="1471"/>
      <c r="I66" s="1471"/>
      <c r="J66" s="1471"/>
      <c r="K66" s="1471"/>
      <c r="L66" s="1471"/>
      <c r="M66" s="270"/>
      <c r="N66" s="1469"/>
      <c r="O66" s="270"/>
      <c r="P66" s="521"/>
      <c r="Q66" s="72"/>
      <c r="R66" s="72"/>
      <c r="S66" s="72"/>
      <c r="T66" s="72"/>
      <c r="U66" s="72"/>
      <c r="AU66" s="1416"/>
      <c r="DG66" s="1032"/>
      <c r="DH66" s="72"/>
      <c r="DI66" s="72"/>
      <c r="DJ66" s="1127"/>
    </row>
    <row r="67" spans="1:114" s="1420" customFormat="1" ht="18" hidden="1" customHeight="1" outlineLevel="1" x14ac:dyDescent="0.25">
      <c r="A67" s="522"/>
      <c r="B67" s="561"/>
      <c r="C67" s="268"/>
      <c r="D67" s="1470"/>
      <c r="E67" s="1470" t="s">
        <v>710</v>
      </c>
      <c r="F67" s="1857"/>
      <c r="G67" s="1471"/>
      <c r="H67" s="1471"/>
      <c r="I67" s="1471"/>
      <c r="J67" s="1471"/>
      <c r="K67" s="1471"/>
      <c r="L67" s="1471"/>
      <c r="M67" s="270"/>
      <c r="N67" s="1469"/>
      <c r="O67" s="270"/>
      <c r="P67" s="521"/>
      <c r="Q67" s="72"/>
      <c r="R67" s="72"/>
      <c r="S67" s="72"/>
      <c r="T67" s="72"/>
      <c r="U67" s="72"/>
      <c r="AU67" s="1416"/>
      <c r="DG67" s="1032"/>
      <c r="DH67" s="72"/>
      <c r="DI67" s="72"/>
      <c r="DJ67" s="1127"/>
    </row>
    <row r="68" spans="1:114" s="1420" customFormat="1" ht="18" hidden="1" customHeight="1" outlineLevel="1" x14ac:dyDescent="0.25">
      <c r="A68" s="522"/>
      <c r="B68" s="561"/>
      <c r="C68" s="268"/>
      <c r="D68" s="1470"/>
      <c r="E68" s="1470"/>
      <c r="F68" s="1857"/>
      <c r="G68" s="1471"/>
      <c r="H68" s="1471"/>
      <c r="I68" s="72"/>
      <c r="J68" s="1471"/>
      <c r="K68" s="1471"/>
      <c r="L68" s="1471"/>
      <c r="M68" s="270"/>
      <c r="N68" s="1469"/>
      <c r="O68" s="270"/>
      <c r="P68" s="521"/>
      <c r="Q68" s="72"/>
      <c r="R68" s="72"/>
      <c r="S68" s="72"/>
      <c r="T68" s="72"/>
      <c r="U68" s="72"/>
      <c r="X68" s="1805" t="s">
        <v>711</v>
      </c>
      <c r="AU68" s="1416"/>
      <c r="DG68" s="1032"/>
      <c r="DH68" s="72"/>
      <c r="DI68" s="72"/>
      <c r="DJ68" s="1127"/>
    </row>
    <row r="69" spans="1:114" s="1420" customFormat="1" hidden="1" outlineLevel="1" x14ac:dyDescent="0.25">
      <c r="A69" s="522"/>
      <c r="B69" s="561"/>
      <c r="C69" s="268"/>
      <c r="D69" s="127"/>
      <c r="E69" s="127"/>
      <c r="F69" s="268"/>
      <c r="G69" s="270"/>
      <c r="H69" s="270"/>
      <c r="I69" s="270"/>
      <c r="J69" s="270"/>
      <c r="K69" s="270"/>
      <c r="L69" s="270"/>
      <c r="M69" s="270"/>
      <c r="N69" s="1469"/>
      <c r="O69" s="270"/>
      <c r="P69" s="270"/>
      <c r="Q69" s="270"/>
      <c r="R69" s="72"/>
      <c r="S69" s="72"/>
      <c r="T69" s="72"/>
      <c r="U69" s="72"/>
      <c r="AU69" s="1416"/>
      <c r="DG69" s="1032"/>
      <c r="DH69" s="72"/>
      <c r="DI69" s="72"/>
      <c r="DJ69" s="1127"/>
    </row>
    <row r="70" spans="1:114" hidden="1" outlineLevel="1" x14ac:dyDescent="0.25">
      <c r="A70" s="522"/>
      <c r="B70" s="561"/>
      <c r="C70" s="268"/>
      <c r="D70" s="1373" t="s">
        <v>712</v>
      </c>
      <c r="E70" s="1373" t="s">
        <v>608</v>
      </c>
      <c r="F70" s="1300" t="s">
        <v>610</v>
      </c>
      <c r="G70" s="1300" t="s">
        <v>611</v>
      </c>
      <c r="H70" s="1300" t="s">
        <v>713</v>
      </c>
      <c r="I70" s="1300" t="s">
        <v>713</v>
      </c>
      <c r="J70" s="270"/>
      <c r="M70" s="50"/>
      <c r="N70" s="1469"/>
      <c r="O70" s="270"/>
      <c r="P70" s="270"/>
      <c r="Q70" s="270"/>
      <c r="V70" s="648" t="s">
        <v>52</v>
      </c>
      <c r="W70" s="649">
        <v>43252</v>
      </c>
      <c r="X70" s="649">
        <f>$X$6</f>
        <v>43465</v>
      </c>
      <c r="Y70" s="649">
        <f>$Y$6</f>
        <v>43800</v>
      </c>
      <c r="Z70" s="649">
        <f>$Z$6</f>
        <v>43862</v>
      </c>
      <c r="AA70" s="649">
        <f>$AA$6</f>
        <v>44013</v>
      </c>
      <c r="AB70" s="649">
        <f>$AB$6</f>
        <v>44166</v>
      </c>
      <c r="AC70" s="649">
        <f>$AC$6</f>
        <v>44531</v>
      </c>
      <c r="AD70" s="649">
        <f>$AD$6</f>
        <v>44774</v>
      </c>
      <c r="AE70" s="649">
        <f>$AE$6</f>
        <v>45139</v>
      </c>
      <c r="AF70" s="649">
        <f>$AF$6</f>
        <v>45672</v>
      </c>
      <c r="AG70" s="649" t="str">
        <f>$AG$6</f>
        <v>-</v>
      </c>
      <c r="AH70" s="1420"/>
      <c r="AU70" s="1416"/>
      <c r="DJ70" s="1127"/>
    </row>
    <row r="71" spans="1:114" hidden="1" outlineLevel="1" x14ac:dyDescent="0.25">
      <c r="A71" s="522"/>
      <c r="B71" s="561"/>
      <c r="C71" s="268"/>
      <c r="D71" s="2109" t="s">
        <v>250</v>
      </c>
      <c r="E71" s="122" t="str">
        <f>E48</f>
        <v>Learning Thermostat - ASHP heating/cooling SF</v>
      </c>
      <c r="F71" s="1550">
        <v>1</v>
      </c>
      <c r="G71" s="2113"/>
      <c r="H71" s="2114"/>
      <c r="I71" s="1359"/>
      <c r="J71" s="270"/>
      <c r="N71" s="1469"/>
      <c r="O71" s="270"/>
      <c r="P71" s="270"/>
      <c r="Q71" s="270"/>
      <c r="V71" s="2111" t="str">
        <f>D71</f>
        <v>%ElectricHeat</v>
      </c>
      <c r="W71" s="274">
        <v>1</v>
      </c>
      <c r="X71" s="274">
        <v>1</v>
      </c>
      <c r="Y71" s="274">
        <v>1</v>
      </c>
      <c r="Z71" s="141">
        <v>1</v>
      </c>
      <c r="AA71" s="141">
        <v>1</v>
      </c>
      <c r="AB71" s="141">
        <v>1</v>
      </c>
      <c r="AC71" s="177">
        <v>1</v>
      </c>
      <c r="AD71" s="177">
        <v>1</v>
      </c>
      <c r="AE71" s="177">
        <v>1</v>
      </c>
      <c r="AF71" s="258">
        <f t="shared" ref="AF71:AF95" si="9">IF(F71&lt;&gt;"",F71,"")</f>
        <v>1</v>
      </c>
      <c r="AG71" s="274"/>
      <c r="AH71" s="1420"/>
      <c r="AU71" s="1416"/>
      <c r="DJ71" s="1127"/>
    </row>
    <row r="72" spans="1:114" hidden="1" outlineLevel="1" x14ac:dyDescent="0.25">
      <c r="A72" s="522"/>
      <c r="B72" s="561"/>
      <c r="C72" s="268"/>
      <c r="D72" s="2110"/>
      <c r="E72" s="122" t="str">
        <f>E50</f>
        <v>Learning Thermostat - ASHP heating/cooling MF</v>
      </c>
      <c r="F72" s="1550">
        <v>1</v>
      </c>
      <c r="G72" s="2113"/>
      <c r="H72" s="2114"/>
      <c r="I72" s="1359"/>
      <c r="J72" s="270"/>
      <c r="N72" s="1469"/>
      <c r="O72" s="270"/>
      <c r="P72" s="270"/>
      <c r="Q72" s="270"/>
      <c r="V72" s="2112"/>
      <c r="W72" s="274"/>
      <c r="X72" s="274"/>
      <c r="Y72" s="274">
        <v>1</v>
      </c>
      <c r="Z72" s="141">
        <v>1</v>
      </c>
      <c r="AA72" s="141">
        <v>1</v>
      </c>
      <c r="AB72" s="141">
        <v>1</v>
      </c>
      <c r="AC72" s="177">
        <v>1</v>
      </c>
      <c r="AD72" s="177">
        <v>1</v>
      </c>
      <c r="AE72" s="177">
        <v>1</v>
      </c>
      <c r="AF72" s="258">
        <f t="shared" si="9"/>
        <v>1</v>
      </c>
      <c r="AG72" s="274"/>
      <c r="AH72" s="1420"/>
      <c r="AU72" s="1416"/>
      <c r="DJ72" s="1127"/>
    </row>
    <row r="73" spans="1:114" hidden="1" outlineLevel="1" x14ac:dyDescent="0.25">
      <c r="A73" s="522"/>
      <c r="B73" s="561"/>
      <c r="C73" s="268"/>
      <c r="D73" s="2110"/>
      <c r="E73" s="122" t="str">
        <f>E52</f>
        <v>Learning Thermostat - electric furnace heating / central AC MF</v>
      </c>
      <c r="F73" s="1550">
        <v>1</v>
      </c>
      <c r="G73" s="2113"/>
      <c r="H73" s="2114"/>
      <c r="I73" s="1359"/>
      <c r="J73" s="270"/>
      <c r="N73" s="1469"/>
      <c r="O73" s="270"/>
      <c r="P73" s="270"/>
      <c r="Q73" s="270"/>
      <c r="V73" s="2112"/>
      <c r="W73" s="274">
        <v>1</v>
      </c>
      <c r="X73" s="274">
        <v>1</v>
      </c>
      <c r="Y73" s="274">
        <v>1</v>
      </c>
      <c r="Z73" s="141">
        <v>1</v>
      </c>
      <c r="AA73" s="141">
        <v>1</v>
      </c>
      <c r="AB73" s="141">
        <v>1</v>
      </c>
      <c r="AC73" s="177">
        <v>1</v>
      </c>
      <c r="AD73" s="177">
        <v>1</v>
      </c>
      <c r="AE73" s="177">
        <v>1</v>
      </c>
      <c r="AF73" s="258">
        <f t="shared" si="9"/>
        <v>1</v>
      </c>
      <c r="AG73" s="274"/>
      <c r="AH73" s="1420"/>
      <c r="AU73" s="1416"/>
      <c r="DJ73" s="1127"/>
    </row>
    <row r="74" spans="1:114" hidden="1" outlineLevel="1" x14ac:dyDescent="0.25">
      <c r="A74" s="522"/>
      <c r="B74" s="561"/>
      <c r="C74" s="268"/>
      <c r="D74" s="2110"/>
      <c r="E74" s="1340" t="str">
        <f>E54</f>
        <v>Learning Thermostat - electric furnace heating / central AC SF</v>
      </c>
      <c r="F74" s="1550">
        <v>1</v>
      </c>
      <c r="G74" s="2113"/>
      <c r="H74" s="2114"/>
      <c r="I74" s="1359"/>
      <c r="J74" s="270"/>
      <c r="N74" s="1469"/>
      <c r="O74" s="270"/>
      <c r="P74" s="270"/>
      <c r="Q74" s="270"/>
      <c r="V74" s="2112"/>
      <c r="W74" s="274">
        <v>1</v>
      </c>
      <c r="X74" s="274">
        <v>1</v>
      </c>
      <c r="Y74" s="274">
        <v>1</v>
      </c>
      <c r="Z74" s="141">
        <v>1</v>
      </c>
      <c r="AA74" s="141">
        <v>1</v>
      </c>
      <c r="AB74" s="141">
        <v>1</v>
      </c>
      <c r="AC74" s="177">
        <v>1</v>
      </c>
      <c r="AD74" s="177">
        <v>1</v>
      </c>
      <c r="AE74" s="177">
        <v>1</v>
      </c>
      <c r="AF74" s="258">
        <f t="shared" si="9"/>
        <v>1</v>
      </c>
      <c r="AG74" s="274"/>
      <c r="AH74" s="1420"/>
      <c r="AU74" s="1416"/>
      <c r="DJ74" s="1127"/>
    </row>
    <row r="75" spans="1:114" hidden="1" outlineLevel="1" x14ac:dyDescent="0.25">
      <c r="A75" s="522"/>
      <c r="B75" s="561"/>
      <c r="C75" s="268"/>
      <c r="D75" s="2110"/>
      <c r="E75" s="1340" t="str">
        <f>E56</f>
        <v>Learning Thermostat - Gas Heated / central AC SF**</v>
      </c>
      <c r="F75" s="1550">
        <v>0</v>
      </c>
      <c r="G75" s="2113"/>
      <c r="H75" s="2114"/>
      <c r="I75" s="1359"/>
      <c r="J75" s="270"/>
      <c r="N75" s="1469"/>
      <c r="O75" s="270"/>
      <c r="P75" s="270"/>
      <c r="Q75" s="270"/>
      <c r="V75" s="2112"/>
      <c r="W75" s="274">
        <v>0</v>
      </c>
      <c r="X75" s="274">
        <v>0</v>
      </c>
      <c r="Y75" s="274">
        <v>0</v>
      </c>
      <c r="Z75" s="141">
        <v>0</v>
      </c>
      <c r="AA75" s="141">
        <v>0</v>
      </c>
      <c r="AB75" s="141">
        <v>0</v>
      </c>
      <c r="AC75" s="177">
        <v>0</v>
      </c>
      <c r="AD75" s="177">
        <v>0</v>
      </c>
      <c r="AE75" s="177">
        <v>0</v>
      </c>
      <c r="AF75" s="258">
        <f t="shared" si="9"/>
        <v>0</v>
      </c>
      <c r="AG75" s="274"/>
      <c r="AH75" s="1420"/>
      <c r="AU75" s="1416"/>
      <c r="DJ75" s="1127"/>
    </row>
    <row r="76" spans="1:114" hidden="1" outlineLevel="1" x14ac:dyDescent="0.25">
      <c r="A76" s="522"/>
      <c r="B76" s="561"/>
      <c r="C76" s="268"/>
      <c r="D76" s="2110"/>
      <c r="E76" s="1340" t="str">
        <f>E58</f>
        <v>Learning Thermostat - Gas Heated / central AC MF**</v>
      </c>
      <c r="F76" s="1550">
        <v>0</v>
      </c>
      <c r="G76" s="2113"/>
      <c r="H76" s="2114"/>
      <c r="I76" s="1359"/>
      <c r="J76" s="270"/>
      <c r="N76" s="1469"/>
      <c r="O76" s="270"/>
      <c r="P76" s="270"/>
      <c r="Q76" s="270"/>
      <c r="V76" s="2112"/>
      <c r="W76" s="274"/>
      <c r="X76" s="274"/>
      <c r="Y76" s="1389">
        <v>0</v>
      </c>
      <c r="Z76" s="141">
        <v>0</v>
      </c>
      <c r="AA76" s="141">
        <v>0</v>
      </c>
      <c r="AB76" s="141">
        <v>0</v>
      </c>
      <c r="AC76" s="177">
        <v>0</v>
      </c>
      <c r="AD76" s="177">
        <v>0</v>
      </c>
      <c r="AE76" s="177">
        <v>0</v>
      </c>
      <c r="AF76" s="258">
        <f t="shared" si="9"/>
        <v>0</v>
      </c>
      <c r="AG76" s="274"/>
      <c r="AH76" s="1420"/>
      <c r="AU76" s="1416"/>
      <c r="DJ76" s="1127"/>
    </row>
    <row r="77" spans="1:114" ht="15" hidden="1" customHeight="1" outlineLevel="1" x14ac:dyDescent="0.25">
      <c r="A77" s="522"/>
      <c r="B77" s="561"/>
      <c r="C77" s="268"/>
      <c r="D77" s="2110"/>
      <c r="E77" s="1340" t="str">
        <f>E60</f>
        <v>Learning Thermostat - Unknown SF**</v>
      </c>
      <c r="F77" s="1550">
        <v>0.33</v>
      </c>
      <c r="G77" s="2117" t="s">
        <v>714</v>
      </c>
      <c r="H77" s="2118"/>
      <c r="I77" s="1359"/>
      <c r="J77" s="270"/>
      <c r="N77" s="1469"/>
      <c r="O77" s="270"/>
      <c r="P77" s="270"/>
      <c r="Q77" s="270"/>
      <c r="V77" s="2112"/>
      <c r="W77" s="274">
        <v>0.35</v>
      </c>
      <c r="X77" s="179">
        <v>0.2446317798632098</v>
      </c>
      <c r="Y77" s="90">
        <v>0.16428797970187123</v>
      </c>
      <c r="Z77" s="690">
        <v>0.16428797970187123</v>
      </c>
      <c r="AA77" s="690">
        <v>0.16428797970187123</v>
      </c>
      <c r="AB77" s="141">
        <v>0.16428797970187123</v>
      </c>
      <c r="AC77" s="179">
        <v>0.33</v>
      </c>
      <c r="AD77" s="177">
        <v>0.33</v>
      </c>
      <c r="AE77" s="177">
        <v>0.33</v>
      </c>
      <c r="AF77" s="258">
        <f t="shared" si="9"/>
        <v>0.33</v>
      </c>
      <c r="AG77" s="274"/>
      <c r="AH77" s="1420"/>
      <c r="AU77" s="1416"/>
      <c r="DJ77" s="1127"/>
    </row>
    <row r="78" spans="1:114" ht="15" hidden="1" customHeight="1" outlineLevel="1" x14ac:dyDescent="0.25">
      <c r="A78" s="522"/>
      <c r="B78" s="561"/>
      <c r="C78" s="268"/>
      <c r="D78" s="1978" t="s">
        <v>715</v>
      </c>
      <c r="E78" s="122" t="str">
        <f>$E$71</f>
        <v>Learning Thermostat - ASHP heating/cooling SF</v>
      </c>
      <c r="F78" s="1562">
        <v>8354.8764478764479</v>
      </c>
      <c r="G78" s="2119" t="s">
        <v>716</v>
      </c>
      <c r="H78" s="2120"/>
      <c r="I78" s="2127" t="s">
        <v>717</v>
      </c>
      <c r="J78" s="270"/>
      <c r="N78" s="1469"/>
      <c r="O78" s="270"/>
      <c r="P78" s="270"/>
      <c r="Q78" s="270"/>
      <c r="V78" s="2111" t="str">
        <f>D78</f>
        <v>HeatingConsumption_Electric</v>
      </c>
      <c r="W78" s="266">
        <v>8320</v>
      </c>
      <c r="X78" s="298">
        <f>206570/25</f>
        <v>8262.7999999999993</v>
      </c>
      <c r="Y78" s="298">
        <v>8354.8764478764479</v>
      </c>
      <c r="Z78" s="324">
        <v>8354.8764478764479</v>
      </c>
      <c r="AA78" s="324">
        <v>8354.8764478764479</v>
      </c>
      <c r="AB78" s="324">
        <v>8354.8764478764479</v>
      </c>
      <c r="AC78" s="324">
        <v>8354.8764478764479</v>
      </c>
      <c r="AD78" s="324">
        <v>8354.8764478764479</v>
      </c>
      <c r="AE78" s="324">
        <v>8354.8764478764479</v>
      </c>
      <c r="AF78" s="258">
        <f t="shared" si="9"/>
        <v>8354.8764478764479</v>
      </c>
      <c r="AG78" s="266"/>
      <c r="AH78" s="1420"/>
      <c r="AU78" s="1416"/>
      <c r="DJ78" s="1127"/>
    </row>
    <row r="79" spans="1:114" hidden="1" outlineLevel="1" x14ac:dyDescent="0.25">
      <c r="A79" s="522"/>
      <c r="B79" s="561"/>
      <c r="C79" s="268"/>
      <c r="D79" s="1979"/>
      <c r="E79" s="122" t="str">
        <f>$E$72</f>
        <v>Learning Thermostat - ASHP heating/cooling MF</v>
      </c>
      <c r="F79" s="1562">
        <v>8355</v>
      </c>
      <c r="G79" s="2121"/>
      <c r="H79" s="2122"/>
      <c r="I79" s="2128"/>
      <c r="J79" s="270"/>
      <c r="N79" s="1469"/>
      <c r="O79" s="270"/>
      <c r="P79" s="270"/>
      <c r="Q79" s="270"/>
      <c r="V79" s="2112"/>
      <c r="W79" s="266"/>
      <c r="X79" s="298"/>
      <c r="Y79" s="298">
        <v>8355</v>
      </c>
      <c r="Z79" s="324">
        <v>8355</v>
      </c>
      <c r="AA79" s="324">
        <v>8355</v>
      </c>
      <c r="AB79" s="324">
        <v>8355</v>
      </c>
      <c r="AC79" s="324">
        <v>8355</v>
      </c>
      <c r="AD79" s="324">
        <v>8355</v>
      </c>
      <c r="AE79" s="324">
        <v>8355</v>
      </c>
      <c r="AF79" s="258">
        <f t="shared" si="9"/>
        <v>8355</v>
      </c>
      <c r="AG79" s="266"/>
      <c r="AH79" s="1420"/>
      <c r="AU79" s="1416"/>
      <c r="DJ79" s="1127"/>
    </row>
    <row r="80" spans="1:114" hidden="1" outlineLevel="1" x14ac:dyDescent="0.25">
      <c r="A80" s="522"/>
      <c r="B80" s="561"/>
      <c r="C80" s="268"/>
      <c r="D80" s="1979"/>
      <c r="E80" s="122" t="str">
        <f>$E$73</f>
        <v>Learning Thermostat - electric furnace heating / central AC MF</v>
      </c>
      <c r="F80" s="1562">
        <v>14201.965811965812</v>
      </c>
      <c r="G80" s="2121"/>
      <c r="H80" s="2122"/>
      <c r="I80" s="2129"/>
      <c r="J80" s="270"/>
      <c r="N80" s="1469"/>
      <c r="O80" s="270"/>
      <c r="P80" s="270"/>
      <c r="Q80" s="270"/>
      <c r="V80" s="2112"/>
      <c r="W80" s="266">
        <f>14144</f>
        <v>14144</v>
      </c>
      <c r="X80" s="298">
        <f>X81</f>
        <v>14193.886792452829</v>
      </c>
      <c r="Y80" s="298">
        <v>14201.965811965812</v>
      </c>
      <c r="Z80" s="324">
        <v>14201.965811965812</v>
      </c>
      <c r="AA80" s="324">
        <v>14201.965811965812</v>
      </c>
      <c r="AB80" s="324">
        <v>14201.965811965812</v>
      </c>
      <c r="AC80" s="324">
        <v>14201.965811965812</v>
      </c>
      <c r="AD80" s="324">
        <v>14201.965811965812</v>
      </c>
      <c r="AE80" s="324">
        <v>14201.965811965812</v>
      </c>
      <c r="AF80" s="258">
        <f t="shared" si="9"/>
        <v>14201.965811965812</v>
      </c>
      <c r="AG80" s="266"/>
      <c r="AH80" s="1420"/>
      <c r="AI80" s="1405" t="s">
        <v>718</v>
      </c>
      <c r="AJ80" s="1806">
        <v>17940</v>
      </c>
      <c r="AK80" s="1806">
        <v>10553</v>
      </c>
      <c r="AL80" s="1806">
        <v>17017</v>
      </c>
      <c r="AU80" s="1416"/>
      <c r="DJ80" s="1127"/>
    </row>
    <row r="81" spans="1:114" hidden="1" outlineLevel="1" x14ac:dyDescent="0.25">
      <c r="A81" s="522"/>
      <c r="B81" s="561"/>
      <c r="C81" s="268"/>
      <c r="D81" s="1979"/>
      <c r="E81" s="122" t="str">
        <f>$E$74</f>
        <v>Learning Thermostat - electric furnace heating / central AC SF</v>
      </c>
      <c r="F81" s="1562">
        <v>14201.965811965812</v>
      </c>
      <c r="G81" s="2121"/>
      <c r="H81" s="2122"/>
      <c r="I81" s="2129"/>
      <c r="J81" s="270"/>
      <c r="N81" s="1469"/>
      <c r="O81" s="270"/>
      <c r="P81" s="270"/>
      <c r="Q81" s="270"/>
      <c r="V81" s="2112"/>
      <c r="W81" s="266">
        <v>14144</v>
      </c>
      <c r="X81" s="298">
        <f>752276/53</f>
        <v>14193.886792452829</v>
      </c>
      <c r="Y81" s="298">
        <v>14201.965811965812</v>
      </c>
      <c r="Z81" s="324">
        <v>14201.965811965812</v>
      </c>
      <c r="AA81" s="324">
        <v>14201.965811965812</v>
      </c>
      <c r="AB81" s="324">
        <v>14201.965811965812</v>
      </c>
      <c r="AC81" s="324">
        <v>14201.965811965812</v>
      </c>
      <c r="AD81" s="324">
        <v>14201.965811965812</v>
      </c>
      <c r="AE81" s="324">
        <v>14201.965811965812</v>
      </c>
      <c r="AF81" s="258">
        <f t="shared" si="9"/>
        <v>14201.965811965812</v>
      </c>
      <c r="AG81" s="266"/>
      <c r="AH81" s="1420"/>
      <c r="AI81" s="1405" t="s">
        <v>719</v>
      </c>
      <c r="AJ81" s="1405">
        <v>19664</v>
      </c>
      <c r="AK81" s="1405">
        <v>11567</v>
      </c>
      <c r="AL81" s="1405">
        <v>18652</v>
      </c>
      <c r="AU81" s="1416"/>
      <c r="DJ81" s="1127"/>
    </row>
    <row r="82" spans="1:114" hidden="1" outlineLevel="1" x14ac:dyDescent="0.25">
      <c r="A82" s="522"/>
      <c r="B82" s="561"/>
      <c r="C82" s="268"/>
      <c r="D82" s="1979"/>
      <c r="E82" s="122" t="str">
        <f>$E$75</f>
        <v>Learning Thermostat - Gas Heated / central AC SF**</v>
      </c>
      <c r="F82" s="1522">
        <v>0</v>
      </c>
      <c r="G82" s="2121"/>
      <c r="H82" s="2122"/>
      <c r="I82" s="2129"/>
      <c r="J82" s="270"/>
      <c r="N82" s="1469"/>
      <c r="O82" s="270"/>
      <c r="P82" s="270"/>
      <c r="Q82" s="270"/>
      <c r="V82" s="2112"/>
      <c r="W82" s="266">
        <v>0</v>
      </c>
      <c r="X82" s="288">
        <v>0</v>
      </c>
      <c r="Y82" s="302">
        <v>0</v>
      </c>
      <c r="Z82" s="324">
        <v>0</v>
      </c>
      <c r="AA82" s="324">
        <v>0</v>
      </c>
      <c r="AB82" s="324">
        <v>0</v>
      </c>
      <c r="AC82" s="324">
        <v>0</v>
      </c>
      <c r="AD82" s="324">
        <v>0</v>
      </c>
      <c r="AE82" s="324">
        <v>0</v>
      </c>
      <c r="AF82" s="258">
        <f t="shared" si="9"/>
        <v>0</v>
      </c>
      <c r="AG82" s="266"/>
      <c r="AH82" s="1420"/>
      <c r="AI82" s="1405" t="s">
        <v>720</v>
      </c>
      <c r="AJ82" s="1806">
        <v>13502</v>
      </c>
      <c r="AK82" s="1806">
        <v>7943</v>
      </c>
      <c r="AL82" s="1806">
        <v>12807</v>
      </c>
      <c r="AU82" s="1416"/>
      <c r="DJ82" s="1127"/>
    </row>
    <row r="83" spans="1:114" hidden="1" outlineLevel="1" x14ac:dyDescent="0.25">
      <c r="A83" s="522"/>
      <c r="B83" s="561"/>
      <c r="C83" s="268"/>
      <c r="D83" s="1979"/>
      <c r="E83" s="122" t="str">
        <f>$E$76</f>
        <v>Learning Thermostat - Gas Heated / central AC MF**</v>
      </c>
      <c r="F83" s="1522">
        <v>0</v>
      </c>
      <c r="G83" s="2121"/>
      <c r="H83" s="2122"/>
      <c r="I83" s="2129"/>
      <c r="J83" s="270"/>
      <c r="N83" s="1469"/>
      <c r="O83" s="270"/>
      <c r="P83" s="270"/>
      <c r="Q83" s="270"/>
      <c r="V83" s="2112"/>
      <c r="W83" s="266"/>
      <c r="X83" s="288"/>
      <c r="Y83" s="298">
        <v>0</v>
      </c>
      <c r="Z83" s="324">
        <v>0</v>
      </c>
      <c r="AA83" s="324">
        <v>0</v>
      </c>
      <c r="AB83" s="324">
        <v>0</v>
      </c>
      <c r="AC83" s="324">
        <v>0</v>
      </c>
      <c r="AD83" s="324">
        <v>0</v>
      </c>
      <c r="AE83" s="324">
        <v>0</v>
      </c>
      <c r="AF83" s="258">
        <f t="shared" si="9"/>
        <v>0</v>
      </c>
      <c r="AG83" s="266"/>
      <c r="AH83" s="1420"/>
      <c r="AI83" s="1405"/>
      <c r="AJ83" s="1806"/>
      <c r="AK83" s="1806"/>
      <c r="AL83" s="1806"/>
      <c r="AU83" s="1416"/>
      <c r="DJ83" s="1127"/>
    </row>
    <row r="84" spans="1:114" hidden="1" outlineLevel="1" x14ac:dyDescent="0.25">
      <c r="A84" s="522"/>
      <c r="B84" s="561"/>
      <c r="C84" s="268"/>
      <c r="D84" s="1979"/>
      <c r="E84" s="122" t="str">
        <f>$E$77</f>
        <v>Learning Thermostat - Unknown SF**</v>
      </c>
      <c r="F84" s="1562">
        <v>11456.0072529465</v>
      </c>
      <c r="G84" s="2123"/>
      <c r="H84" s="2124"/>
      <c r="I84" s="2129"/>
      <c r="J84" s="270"/>
      <c r="N84" s="1469"/>
      <c r="O84" s="270"/>
      <c r="P84" s="270"/>
      <c r="Q84" s="270"/>
      <c r="V84" s="2112"/>
      <c r="W84" s="288">
        <v>13416</v>
      </c>
      <c r="X84" s="91">
        <v>12382.71</v>
      </c>
      <c r="Y84" s="298">
        <v>11456.0072529465</v>
      </c>
      <c r="Z84" s="324">
        <v>11456.0072529465</v>
      </c>
      <c r="AA84" s="324">
        <v>11456.0072529465</v>
      </c>
      <c r="AB84" s="324">
        <v>11456.0072529465</v>
      </c>
      <c r="AC84" s="324">
        <v>11456.0072529465</v>
      </c>
      <c r="AD84" s="324">
        <v>11456.0072529465</v>
      </c>
      <c r="AE84" s="324">
        <v>11456.0072529465</v>
      </c>
      <c r="AF84" s="258">
        <f t="shared" si="9"/>
        <v>11456.0072529465</v>
      </c>
      <c r="AG84" s="266"/>
      <c r="AH84" s="1420"/>
      <c r="AI84" s="1405" t="s">
        <v>721</v>
      </c>
      <c r="AJ84" s="1806">
        <v>14276</v>
      </c>
      <c r="AK84" s="1806">
        <v>8398</v>
      </c>
      <c r="AL84" s="1806">
        <v>13541</v>
      </c>
      <c r="AU84" s="1416"/>
      <c r="DJ84" s="1127"/>
    </row>
    <row r="85" spans="1:114" hidden="1" outlineLevel="1" x14ac:dyDescent="0.25">
      <c r="A85" s="522"/>
      <c r="B85" s="561"/>
      <c r="C85" s="268"/>
      <c r="D85" s="2109" t="s">
        <v>722</v>
      </c>
      <c r="E85" s="122" t="str">
        <f>$E$71</f>
        <v>Learning Thermostat - ASHP heating/cooling SF</v>
      </c>
      <c r="F85" s="1526">
        <v>1</v>
      </c>
      <c r="G85" s="2113"/>
      <c r="H85" s="2114"/>
      <c r="I85" s="1359"/>
      <c r="J85" s="270"/>
      <c r="N85" s="1469"/>
      <c r="O85" s="270"/>
      <c r="P85" s="270"/>
      <c r="Q85" s="270"/>
      <c r="V85" s="2111" t="str">
        <f>D85</f>
        <v>HF</v>
      </c>
      <c r="W85" s="274">
        <v>1</v>
      </c>
      <c r="X85" s="274">
        <v>1</v>
      </c>
      <c r="Y85" s="289">
        <v>1</v>
      </c>
      <c r="Z85" s="141">
        <v>1</v>
      </c>
      <c r="AA85" s="141">
        <v>1</v>
      </c>
      <c r="AB85" s="141">
        <v>1</v>
      </c>
      <c r="AC85" s="141">
        <v>1</v>
      </c>
      <c r="AD85" s="141">
        <v>1</v>
      </c>
      <c r="AE85" s="141">
        <v>1</v>
      </c>
      <c r="AF85" s="258">
        <f t="shared" si="9"/>
        <v>1</v>
      </c>
      <c r="AG85" s="274"/>
      <c r="AH85" s="1420"/>
      <c r="AI85" s="1405" t="s">
        <v>723</v>
      </c>
      <c r="AJ85" s="1806">
        <v>14144</v>
      </c>
      <c r="AK85" s="1806">
        <v>8320</v>
      </c>
      <c r="AL85" s="1806">
        <v>13416</v>
      </c>
      <c r="AU85" s="1416"/>
      <c r="DJ85" s="1127"/>
    </row>
    <row r="86" spans="1:114" hidden="1" outlineLevel="1" x14ac:dyDescent="0.25">
      <c r="A86" s="522"/>
      <c r="B86" s="561"/>
      <c r="C86" s="268"/>
      <c r="D86" s="2110"/>
      <c r="E86" s="122" t="str">
        <f>$E$72</f>
        <v>Learning Thermostat - ASHP heating/cooling MF</v>
      </c>
      <c r="F86" s="1526">
        <v>0.65</v>
      </c>
      <c r="G86" s="2113"/>
      <c r="H86" s="2114"/>
      <c r="I86" s="1359"/>
      <c r="J86" s="270"/>
      <c r="N86" s="1469"/>
      <c r="O86" s="270"/>
      <c r="P86" s="270"/>
      <c r="Q86" s="270"/>
      <c r="V86" s="2112"/>
      <c r="W86" s="274"/>
      <c r="X86" s="274"/>
      <c r="Y86" s="179">
        <v>0.65</v>
      </c>
      <c r="Z86" s="141">
        <v>0.65</v>
      </c>
      <c r="AA86" s="141">
        <v>0.65</v>
      </c>
      <c r="AB86" s="141">
        <v>0.65</v>
      </c>
      <c r="AC86" s="141">
        <v>0.65</v>
      </c>
      <c r="AD86" s="141">
        <v>0.65</v>
      </c>
      <c r="AE86" s="141">
        <v>0.65</v>
      </c>
      <c r="AF86" s="258">
        <f t="shared" si="9"/>
        <v>0.65</v>
      </c>
      <c r="AG86" s="274"/>
      <c r="AH86" s="1420"/>
      <c r="AI86" s="1405"/>
      <c r="AJ86" s="1806"/>
      <c r="AK86" s="1806"/>
      <c r="AL86" s="1806"/>
      <c r="AU86" s="1416"/>
      <c r="DJ86" s="1127"/>
    </row>
    <row r="87" spans="1:114" hidden="1" outlineLevel="1" x14ac:dyDescent="0.25">
      <c r="A87" s="522"/>
      <c r="B87" s="561"/>
      <c r="C87" s="268"/>
      <c r="D87" s="2110"/>
      <c r="E87" s="122" t="str">
        <f>$E$73</f>
        <v>Learning Thermostat - electric furnace heating / central AC MF</v>
      </c>
      <c r="F87" s="1526">
        <v>0.65</v>
      </c>
      <c r="G87" s="2113"/>
      <c r="H87" s="2114"/>
      <c r="I87" s="1359"/>
      <c r="J87" s="270"/>
      <c r="N87" s="1469"/>
      <c r="O87" s="270"/>
      <c r="P87" s="270"/>
      <c r="Q87" s="270"/>
      <c r="V87" s="2112"/>
      <c r="W87" s="274">
        <v>0.65</v>
      </c>
      <c r="X87" s="274">
        <v>0.65</v>
      </c>
      <c r="Y87" s="289">
        <v>0.65</v>
      </c>
      <c r="Z87" s="141">
        <v>0.65</v>
      </c>
      <c r="AA87" s="141">
        <v>0.65</v>
      </c>
      <c r="AB87" s="141">
        <v>0.65</v>
      </c>
      <c r="AC87" s="141">
        <v>0.65</v>
      </c>
      <c r="AD87" s="141">
        <v>0.65</v>
      </c>
      <c r="AE87" s="141">
        <v>0.65</v>
      </c>
      <c r="AF87" s="258">
        <f t="shared" si="9"/>
        <v>0.65</v>
      </c>
      <c r="AG87" s="274"/>
      <c r="AH87" s="1420"/>
      <c r="AI87" s="1405" t="s">
        <v>724</v>
      </c>
      <c r="AJ87" s="1806">
        <v>16272</v>
      </c>
      <c r="AK87" s="1806">
        <v>9572</v>
      </c>
      <c r="AL87" s="1806">
        <v>15435</v>
      </c>
      <c r="AU87" s="1416"/>
      <c r="DJ87" s="1127"/>
    </row>
    <row r="88" spans="1:114" hidden="1" outlineLevel="1" x14ac:dyDescent="0.25">
      <c r="A88" s="522"/>
      <c r="B88" s="561"/>
      <c r="C88" s="268"/>
      <c r="D88" s="2110"/>
      <c r="E88" s="122" t="str">
        <f>$E$74</f>
        <v>Learning Thermostat - electric furnace heating / central AC SF</v>
      </c>
      <c r="F88" s="1526">
        <v>1</v>
      </c>
      <c r="G88" s="2113"/>
      <c r="H88" s="2114"/>
      <c r="I88" s="1359"/>
      <c r="J88" s="270"/>
      <c r="N88" s="1469"/>
      <c r="O88" s="270"/>
      <c r="P88" s="270"/>
      <c r="Q88" s="270"/>
      <c r="V88" s="2112"/>
      <c r="W88" s="274">
        <v>1</v>
      </c>
      <c r="X88" s="274">
        <v>1</v>
      </c>
      <c r="Y88" s="289">
        <v>1</v>
      </c>
      <c r="Z88" s="141">
        <v>1</v>
      </c>
      <c r="AA88" s="141">
        <v>1</v>
      </c>
      <c r="AB88" s="141">
        <v>1</v>
      </c>
      <c r="AC88" s="141">
        <v>1</v>
      </c>
      <c r="AD88" s="141">
        <v>1</v>
      </c>
      <c r="AE88" s="141">
        <v>1</v>
      </c>
      <c r="AF88" s="258">
        <f t="shared" si="9"/>
        <v>1</v>
      </c>
      <c r="AG88" s="274"/>
      <c r="AH88" s="1420"/>
      <c r="AI88" s="1405" t="s">
        <v>725</v>
      </c>
      <c r="AJ88" s="1806">
        <v>16184</v>
      </c>
      <c r="AK88" s="1806">
        <v>9520</v>
      </c>
      <c r="AL88" s="1806">
        <v>15351</v>
      </c>
      <c r="AU88" s="1416"/>
      <c r="DJ88" s="1127"/>
    </row>
    <row r="89" spans="1:114" hidden="1" outlineLevel="1" x14ac:dyDescent="0.25">
      <c r="A89" s="522"/>
      <c r="B89" s="561"/>
      <c r="C89" s="268"/>
      <c r="D89" s="2110"/>
      <c r="E89" s="122" t="str">
        <f>$E$75</f>
        <v>Learning Thermostat - Gas Heated / central AC SF**</v>
      </c>
      <c r="F89" s="1526">
        <v>1</v>
      </c>
      <c r="G89" s="2113"/>
      <c r="H89" s="2114"/>
      <c r="I89" s="1359"/>
      <c r="J89" s="270"/>
      <c r="N89" s="1469"/>
      <c r="O89" s="270"/>
      <c r="P89" s="270"/>
      <c r="Q89" s="270"/>
      <c r="V89" s="2112"/>
      <c r="W89" s="274">
        <v>1</v>
      </c>
      <c r="X89" s="274">
        <v>1</v>
      </c>
      <c r="Y89" s="274">
        <v>1</v>
      </c>
      <c r="Z89" s="141">
        <v>1</v>
      </c>
      <c r="AA89" s="141">
        <v>1</v>
      </c>
      <c r="AB89" s="141">
        <v>1</v>
      </c>
      <c r="AC89" s="141">
        <v>1</v>
      </c>
      <c r="AD89" s="141">
        <v>1</v>
      </c>
      <c r="AE89" s="141">
        <v>1</v>
      </c>
      <c r="AF89" s="258">
        <f t="shared" si="9"/>
        <v>1</v>
      </c>
      <c r="AG89" s="274"/>
      <c r="AH89" s="1420"/>
      <c r="AU89" s="1416"/>
      <c r="DJ89" s="1127"/>
    </row>
    <row r="90" spans="1:114" hidden="1" outlineLevel="1" x14ac:dyDescent="0.25">
      <c r="A90" s="522"/>
      <c r="B90" s="561"/>
      <c r="C90" s="268"/>
      <c r="D90" s="2110"/>
      <c r="E90" s="122" t="str">
        <f>$E$76</f>
        <v>Learning Thermostat - Gas Heated / central AC MF**</v>
      </c>
      <c r="F90" s="1526">
        <v>0.65</v>
      </c>
      <c r="G90" s="2113"/>
      <c r="H90" s="2114"/>
      <c r="I90" s="1359"/>
      <c r="J90" s="270"/>
      <c r="N90" s="1469"/>
      <c r="O90" s="270"/>
      <c r="P90" s="270"/>
      <c r="Q90" s="270"/>
      <c r="V90" s="2112"/>
      <c r="W90" s="274"/>
      <c r="X90" s="274"/>
      <c r="Y90" s="1389">
        <v>0.65</v>
      </c>
      <c r="Z90" s="141">
        <v>0.65</v>
      </c>
      <c r="AA90" s="141">
        <v>0.65</v>
      </c>
      <c r="AB90" s="141">
        <v>0.65</v>
      </c>
      <c r="AC90" s="141">
        <v>0.65</v>
      </c>
      <c r="AD90" s="141">
        <v>0.65</v>
      </c>
      <c r="AE90" s="141">
        <v>0.65</v>
      </c>
      <c r="AF90" s="258">
        <f t="shared" si="9"/>
        <v>0.65</v>
      </c>
      <c r="AG90" s="274"/>
      <c r="AH90" s="1420"/>
      <c r="AU90" s="1416"/>
      <c r="DJ90" s="1127"/>
    </row>
    <row r="91" spans="1:114" ht="15" hidden="1" customHeight="1" outlineLevel="1" x14ac:dyDescent="0.25">
      <c r="A91" s="522"/>
      <c r="B91" s="561"/>
      <c r="C91" s="268"/>
      <c r="D91" s="2110"/>
      <c r="E91" s="122" t="str">
        <f>$E$77</f>
        <v>Learning Thermostat - Unknown SF**</v>
      </c>
      <c r="F91" s="1526">
        <v>1</v>
      </c>
      <c r="G91" s="2117"/>
      <c r="H91" s="2118"/>
      <c r="I91" s="1359"/>
      <c r="J91" s="270"/>
      <c r="N91" s="1469"/>
      <c r="O91" s="270"/>
      <c r="P91" s="270"/>
      <c r="Q91" s="270"/>
      <c r="V91" s="2112"/>
      <c r="W91" s="274">
        <v>1</v>
      </c>
      <c r="X91" s="92">
        <v>0.96572336230188205</v>
      </c>
      <c r="Y91" s="697">
        <v>1</v>
      </c>
      <c r="Z91" s="1481">
        <v>1</v>
      </c>
      <c r="AA91" s="1481">
        <v>1</v>
      </c>
      <c r="AB91" s="1481">
        <v>1</v>
      </c>
      <c r="AC91" s="1481">
        <v>1</v>
      </c>
      <c r="AD91" s="1481">
        <v>1</v>
      </c>
      <c r="AE91" s="1481">
        <v>1</v>
      </c>
      <c r="AF91" s="258">
        <f t="shared" si="9"/>
        <v>1</v>
      </c>
      <c r="AG91" s="274"/>
      <c r="AH91" s="1420"/>
      <c r="AJ91" s="1472"/>
      <c r="AU91" s="1416"/>
      <c r="DJ91" s="1127"/>
    </row>
    <row r="92" spans="1:114" ht="45" hidden="1" customHeight="1" outlineLevel="1" x14ac:dyDescent="0.25">
      <c r="A92" s="522"/>
      <c r="B92" s="561"/>
      <c r="C92" s="268"/>
      <c r="D92" s="2109" t="s">
        <v>726</v>
      </c>
      <c r="E92" s="122" t="s">
        <v>727</v>
      </c>
      <c r="F92" s="1624">
        <f>SUMPRODUCT(F93:F95,I93:I95)</f>
        <v>6.668717948717949E-2</v>
      </c>
      <c r="G92" s="2119" t="s">
        <v>728</v>
      </c>
      <c r="H92" s="2120"/>
      <c r="I92" s="1849" t="s">
        <v>729</v>
      </c>
      <c r="J92" s="270"/>
      <c r="N92" s="1469"/>
      <c r="O92" s="270"/>
      <c r="P92" s="270"/>
      <c r="Q92" s="270"/>
      <c r="V92" s="2111" t="str">
        <f>D92</f>
        <v>HeatingReduction</v>
      </c>
      <c r="W92" s="1479">
        <v>7.3999999999999996E-2</v>
      </c>
      <c r="X92" s="93">
        <v>6.6879999999999995E-2</v>
      </c>
      <c r="Y92" s="93">
        <v>6.668717948717949E-2</v>
      </c>
      <c r="Z92" s="691">
        <v>6.668717948717949E-2</v>
      </c>
      <c r="AA92" s="691">
        <v>6.668717948717949E-2</v>
      </c>
      <c r="AB92" s="1481">
        <v>6.668717948717949E-2</v>
      </c>
      <c r="AC92" s="1481">
        <f>SUMPRODUCT(AC93:AC95,AF93:AF95)</f>
        <v>1.0879999999999999E-2</v>
      </c>
      <c r="AD92" s="1481">
        <v>0</v>
      </c>
      <c r="AE92" s="1481">
        <v>0</v>
      </c>
      <c r="AF92" s="258">
        <f t="shared" si="9"/>
        <v>6.668717948717949E-2</v>
      </c>
      <c r="AG92" s="1479"/>
      <c r="AH92" s="1420"/>
      <c r="AJ92" s="1472"/>
      <c r="AU92" s="1416"/>
      <c r="DJ92" s="1127"/>
    </row>
    <row r="93" spans="1:114" hidden="1" outlineLevel="1" x14ac:dyDescent="0.25">
      <c r="A93" s="522"/>
      <c r="B93" s="561"/>
      <c r="C93" s="268"/>
      <c r="D93" s="2110"/>
      <c r="E93" s="122" t="s">
        <v>730</v>
      </c>
      <c r="F93" s="1624">
        <v>8.7999999999999995E-2</v>
      </c>
      <c r="G93" s="2121"/>
      <c r="H93" s="2122"/>
      <c r="I93" s="300">
        <v>0.42820512820512818</v>
      </c>
      <c r="J93" s="270"/>
      <c r="N93" s="1469"/>
      <c r="O93" s="270"/>
      <c r="P93" s="270"/>
      <c r="Q93" s="270"/>
      <c r="V93" s="2112"/>
      <c r="W93" s="1479"/>
      <c r="X93" s="93"/>
      <c r="Y93" s="93"/>
      <c r="Z93" s="691"/>
      <c r="AA93" s="691"/>
      <c r="AB93" s="92">
        <v>8.7999999999999995E-2</v>
      </c>
      <c r="AC93" s="1481">
        <v>8.7999999999999995E-2</v>
      </c>
      <c r="AD93" s="1481">
        <v>8.7999999999999995E-2</v>
      </c>
      <c r="AE93" s="1481">
        <v>8.7999999999999995E-2</v>
      </c>
      <c r="AF93" s="258">
        <f t="shared" si="9"/>
        <v>8.7999999999999995E-2</v>
      </c>
      <c r="AG93" s="1479"/>
      <c r="AH93" s="1420"/>
      <c r="AJ93" s="1472"/>
      <c r="AU93" s="1416"/>
      <c r="DJ93" s="1127"/>
    </row>
    <row r="94" spans="1:114" hidden="1" outlineLevel="1" x14ac:dyDescent="0.25">
      <c r="A94" s="522"/>
      <c r="B94" s="561"/>
      <c r="C94" s="268"/>
      <c r="D94" s="2110"/>
      <c r="E94" s="122" t="s">
        <v>731</v>
      </c>
      <c r="F94" s="1624">
        <v>5.6000000000000001E-2</v>
      </c>
      <c r="G94" s="2121"/>
      <c r="H94" s="2122"/>
      <c r="I94" s="300">
        <v>0.517948717948718</v>
      </c>
      <c r="J94" s="270"/>
      <c r="N94" s="1469"/>
      <c r="O94" s="270"/>
      <c r="P94" s="270"/>
      <c r="Q94" s="270"/>
      <c r="V94" s="2112"/>
      <c r="W94" s="1479"/>
      <c r="X94" s="93"/>
      <c r="Y94" s="93"/>
      <c r="Z94" s="691"/>
      <c r="AA94" s="691"/>
      <c r="AB94" s="92">
        <v>5.6000000000000001E-2</v>
      </c>
      <c r="AC94" s="1481">
        <v>5.6000000000000001E-2</v>
      </c>
      <c r="AD94" s="1481">
        <v>5.6000000000000001E-2</v>
      </c>
      <c r="AE94" s="1481">
        <v>5.6000000000000001E-2</v>
      </c>
      <c r="AF94" s="258">
        <f t="shared" si="9"/>
        <v>5.6000000000000001E-2</v>
      </c>
      <c r="AG94" s="1479"/>
      <c r="AH94" s="1420"/>
      <c r="AJ94" s="1472"/>
      <c r="AU94" s="1416"/>
      <c r="DJ94" s="1127"/>
    </row>
    <row r="95" spans="1:114" hidden="1" outlineLevel="1" x14ac:dyDescent="0.25">
      <c r="A95" s="522"/>
      <c r="B95" s="561"/>
      <c r="C95" s="268"/>
      <c r="D95" s="2125"/>
      <c r="E95" s="122" t="s">
        <v>732</v>
      </c>
      <c r="F95" s="1624">
        <v>0</v>
      </c>
      <c r="G95" s="2123"/>
      <c r="H95" s="2124"/>
      <c r="I95" s="300">
        <v>5.3846153846153849E-2</v>
      </c>
      <c r="J95" s="270"/>
      <c r="N95" s="1469"/>
      <c r="O95" s="270"/>
      <c r="P95" s="270"/>
      <c r="Q95" s="270"/>
      <c r="V95" s="2126"/>
      <c r="W95" s="1479"/>
      <c r="X95" s="93"/>
      <c r="Y95" s="93"/>
      <c r="Z95" s="691"/>
      <c r="AA95" s="691"/>
      <c r="AB95" s="92">
        <v>0</v>
      </c>
      <c r="AC95" s="1481">
        <v>0</v>
      </c>
      <c r="AD95" s="1481">
        <v>0</v>
      </c>
      <c r="AE95" s="1481">
        <v>0</v>
      </c>
      <c r="AF95" s="258">
        <f t="shared" si="9"/>
        <v>0</v>
      </c>
      <c r="AG95" s="1479"/>
      <c r="AH95" s="1420"/>
      <c r="AJ95" s="1472"/>
      <c r="AU95" s="1416"/>
      <c r="DJ95" s="1127"/>
    </row>
    <row r="96" spans="1:114" ht="45" hidden="1" customHeight="1" outlineLevel="1" x14ac:dyDescent="0.25">
      <c r="A96" s="522"/>
      <c r="B96" s="561"/>
      <c r="C96" s="268"/>
      <c r="D96" s="1357" t="s">
        <v>733</v>
      </c>
      <c r="E96" s="122" t="s">
        <v>734</v>
      </c>
      <c r="F96" s="1560">
        <v>0.98799999999999999</v>
      </c>
      <c r="G96" s="2115" t="s">
        <v>735</v>
      </c>
      <c r="H96" s="2116"/>
      <c r="I96" s="1336" t="s">
        <v>736</v>
      </c>
      <c r="J96" s="270"/>
      <c r="L96" s="523"/>
      <c r="N96" s="1469"/>
      <c r="O96" s="270"/>
      <c r="P96" s="270"/>
      <c r="Q96" s="270"/>
      <c r="V96" s="1320" t="str">
        <f>D96</f>
        <v>Eff_ISR</v>
      </c>
      <c r="W96" s="274">
        <v>1</v>
      </c>
      <c r="X96" s="289">
        <v>1</v>
      </c>
      <c r="Y96" s="300">
        <v>1</v>
      </c>
      <c r="Z96" s="141">
        <v>1</v>
      </c>
      <c r="AA96" s="141">
        <v>1</v>
      </c>
      <c r="AB96" s="92">
        <v>0.98799999999999999</v>
      </c>
      <c r="AC96" s="1481">
        <v>0.98799999999999999</v>
      </c>
      <c r="AD96" s="1481">
        <v>0.98799999999999999</v>
      </c>
      <c r="AE96" s="1481">
        <v>0.98799999999999999</v>
      </c>
      <c r="AF96" s="258">
        <f t="shared" ref="AF96:AF126" si="10">IF(F96&lt;&gt;"",F96,"")</f>
        <v>0.98799999999999999</v>
      </c>
      <c r="AG96" s="274"/>
      <c r="AH96" s="1420"/>
      <c r="AJ96" s="1472"/>
      <c r="AU96" s="1416"/>
      <c r="DJ96" s="1127"/>
    </row>
    <row r="97" spans="1:114" hidden="1" outlineLevel="1" x14ac:dyDescent="0.25">
      <c r="A97" s="522"/>
      <c r="B97" s="561"/>
      <c r="C97" s="268"/>
      <c r="D97" s="2109" t="s">
        <v>737</v>
      </c>
      <c r="E97" s="122" t="str">
        <f>$E$71</f>
        <v>Learning Thermostat - ASHP heating/cooling SF</v>
      </c>
      <c r="F97" s="1563">
        <f>F117*F124*F85*F92*F96</f>
        <v>0</v>
      </c>
      <c r="G97" s="2119" t="s">
        <v>738</v>
      </c>
      <c r="H97" s="2120"/>
      <c r="I97" s="1359"/>
      <c r="J97" s="270"/>
      <c r="N97" s="1469"/>
      <c r="O97" s="270"/>
      <c r="P97" s="270"/>
      <c r="Q97" s="270"/>
      <c r="V97" s="2111" t="str">
        <f>D97</f>
        <v>∆Therms</v>
      </c>
      <c r="W97" s="1408">
        <f>W117*W$124*W85*W$92*W$96</f>
        <v>50.32</v>
      </c>
      <c r="X97" s="1408">
        <f>X117*X$124*X85*X$92*X$96</f>
        <v>0</v>
      </c>
      <c r="Y97" s="1408">
        <v>0</v>
      </c>
      <c r="Z97" s="679">
        <v>0</v>
      </c>
      <c r="AA97" s="679">
        <v>0</v>
      </c>
      <c r="AB97" s="679">
        <v>0</v>
      </c>
      <c r="AC97" s="679">
        <f t="shared" ref="AC97:AC103" si="11">AC117*$F$124*AC85*$F$92*$F$96</f>
        <v>0</v>
      </c>
      <c r="AD97" s="679">
        <v>0</v>
      </c>
      <c r="AE97" s="679">
        <v>0</v>
      </c>
      <c r="AF97" s="258">
        <f t="shared" si="10"/>
        <v>0</v>
      </c>
      <c r="AG97" s="1408"/>
      <c r="AH97" s="1420"/>
      <c r="AU97" s="1416"/>
      <c r="DJ97" s="1127"/>
    </row>
    <row r="98" spans="1:114" hidden="1" outlineLevel="1" x14ac:dyDescent="0.25">
      <c r="A98" s="522"/>
      <c r="B98" s="561"/>
      <c r="C98" s="268"/>
      <c r="D98" s="2110"/>
      <c r="E98" s="122" t="str">
        <f>$E$72</f>
        <v>Learning Thermostat - ASHP heating/cooling MF</v>
      </c>
      <c r="F98" s="1563">
        <f>F118*F124*F86*F92*F96</f>
        <v>0</v>
      </c>
      <c r="G98" s="2121"/>
      <c r="H98" s="2122"/>
      <c r="I98" s="1359"/>
      <c r="J98" s="270"/>
      <c r="N98" s="1469"/>
      <c r="O98" s="270"/>
      <c r="P98" s="270"/>
      <c r="Q98" s="270"/>
      <c r="V98" s="2112"/>
      <c r="W98" s="1408"/>
      <c r="X98" s="1408"/>
      <c r="Y98" s="192">
        <v>0</v>
      </c>
      <c r="Z98" s="679">
        <v>0</v>
      </c>
      <c r="AA98" s="679">
        <v>0</v>
      </c>
      <c r="AB98" s="679">
        <v>0</v>
      </c>
      <c r="AC98" s="679">
        <f t="shared" si="11"/>
        <v>0</v>
      </c>
      <c r="AD98" s="679">
        <v>0</v>
      </c>
      <c r="AE98" s="679">
        <v>0</v>
      </c>
      <c r="AF98" s="258">
        <f t="shared" si="10"/>
        <v>0</v>
      </c>
      <c r="AG98" s="1408"/>
      <c r="AH98" s="1420"/>
      <c r="AU98" s="1416"/>
      <c r="DJ98" s="1127"/>
    </row>
    <row r="99" spans="1:114" hidden="1" outlineLevel="1" x14ac:dyDescent="0.25">
      <c r="A99" s="522"/>
      <c r="B99" s="561"/>
      <c r="C99" s="268"/>
      <c r="D99" s="2110"/>
      <c r="E99" s="122" t="str">
        <f>$E$73</f>
        <v>Learning Thermostat - electric furnace heating / central AC MF</v>
      </c>
      <c r="F99" s="1563">
        <f>F119*F124*F87*F92*F96</f>
        <v>0</v>
      </c>
      <c r="G99" s="2121"/>
      <c r="H99" s="2122"/>
      <c r="I99" s="1359"/>
      <c r="J99" s="270"/>
      <c r="N99" s="1469"/>
      <c r="O99" s="270"/>
      <c r="P99" s="270"/>
      <c r="Q99" s="270"/>
      <c r="V99" s="2112"/>
      <c r="W99" s="1408">
        <f t="shared" ref="W99:X101" si="12">W119*W$124*W87*W$92*W$96</f>
        <v>32.707999999999998</v>
      </c>
      <c r="X99" s="1408">
        <f t="shared" si="12"/>
        <v>0</v>
      </c>
      <c r="Y99" s="1408">
        <v>0</v>
      </c>
      <c r="Z99" s="679">
        <v>0</v>
      </c>
      <c r="AA99" s="679">
        <v>0</v>
      </c>
      <c r="AB99" s="679">
        <v>0</v>
      </c>
      <c r="AC99" s="679">
        <f t="shared" si="11"/>
        <v>0</v>
      </c>
      <c r="AD99" s="679">
        <v>0</v>
      </c>
      <c r="AE99" s="679">
        <v>0</v>
      </c>
      <c r="AF99" s="258">
        <f t="shared" si="10"/>
        <v>0</v>
      </c>
      <c r="AG99" s="1408"/>
      <c r="AH99" s="1420"/>
      <c r="AJ99" s="1472"/>
      <c r="AU99" s="1416"/>
      <c r="DJ99" s="1127"/>
    </row>
    <row r="100" spans="1:114" hidden="1" outlineLevel="1" x14ac:dyDescent="0.25">
      <c r="A100" s="522"/>
      <c r="B100" s="561"/>
      <c r="C100" s="268"/>
      <c r="D100" s="2110"/>
      <c r="E100" s="122" t="str">
        <f>$E$74</f>
        <v>Learning Thermostat - electric furnace heating / central AC SF</v>
      </c>
      <c r="F100" s="1563">
        <f>F120*F124*F88*F92*F96</f>
        <v>0</v>
      </c>
      <c r="G100" s="2121"/>
      <c r="H100" s="2122"/>
      <c r="I100" s="1359"/>
      <c r="J100" s="270"/>
      <c r="N100" s="1469"/>
      <c r="O100" s="270"/>
      <c r="P100" s="270"/>
      <c r="Q100" s="270"/>
      <c r="V100" s="2112"/>
      <c r="W100" s="1408">
        <f t="shared" si="12"/>
        <v>50.32</v>
      </c>
      <c r="X100" s="1408">
        <f t="shared" si="12"/>
        <v>0</v>
      </c>
      <c r="Y100" s="1408">
        <v>0</v>
      </c>
      <c r="Z100" s="679">
        <v>0</v>
      </c>
      <c r="AA100" s="679">
        <v>0</v>
      </c>
      <c r="AB100" s="679">
        <v>0</v>
      </c>
      <c r="AC100" s="679">
        <f t="shared" si="11"/>
        <v>0</v>
      </c>
      <c r="AD100" s="679">
        <v>0</v>
      </c>
      <c r="AE100" s="679">
        <v>0</v>
      </c>
      <c r="AF100" s="258">
        <f t="shared" si="10"/>
        <v>0</v>
      </c>
      <c r="AG100" s="1408"/>
      <c r="AH100" s="1420"/>
      <c r="AJ100" s="1472"/>
      <c r="AU100" s="1416"/>
      <c r="DJ100" s="1127"/>
    </row>
    <row r="101" spans="1:114" hidden="1" outlineLevel="1" x14ac:dyDescent="0.25">
      <c r="A101" s="522"/>
      <c r="B101" s="561"/>
      <c r="C101" s="268"/>
      <c r="D101" s="2110"/>
      <c r="E101" s="122" t="str">
        <f>$E$75</f>
        <v>Learning Thermostat - Gas Heated / central AC SF**</v>
      </c>
      <c r="F101" s="1563">
        <f>F121*F124*F89*F92*F96</f>
        <v>44.944257776146785</v>
      </c>
      <c r="G101" s="2121"/>
      <c r="H101" s="2122"/>
      <c r="I101" s="1359"/>
      <c r="J101" s="270"/>
      <c r="N101" s="1469"/>
      <c r="O101" s="270"/>
      <c r="P101" s="270"/>
      <c r="Q101" s="270"/>
      <c r="V101" s="2112"/>
      <c r="W101" s="1408">
        <f t="shared" si="12"/>
        <v>50.32</v>
      </c>
      <c r="X101" s="1408">
        <f t="shared" si="12"/>
        <v>45.643001839969074</v>
      </c>
      <c r="Y101" s="86">
        <v>45.490139449541282</v>
      </c>
      <c r="Z101" s="679">
        <v>45.490139449541282</v>
      </c>
      <c r="AA101" s="679">
        <v>45.490139449541282</v>
      </c>
      <c r="AB101" s="679">
        <v>44.944257776146785</v>
      </c>
      <c r="AC101" s="679">
        <f t="shared" si="11"/>
        <v>44.944257776146785</v>
      </c>
      <c r="AD101" s="679">
        <v>44.944257776146785</v>
      </c>
      <c r="AE101" s="679">
        <v>44.944257776146785</v>
      </c>
      <c r="AF101" s="258">
        <f t="shared" si="10"/>
        <v>44.944257776146785</v>
      </c>
      <c r="AG101" s="1408"/>
      <c r="AH101" s="1420"/>
      <c r="AJ101" s="1472"/>
      <c r="AU101" s="1416"/>
      <c r="DJ101" s="1127"/>
    </row>
    <row r="102" spans="1:114" hidden="1" outlineLevel="1" x14ac:dyDescent="0.25">
      <c r="A102" s="522"/>
      <c r="B102" s="561"/>
      <c r="C102" s="268"/>
      <c r="D102" s="2110"/>
      <c r="E102" s="122" t="str">
        <f>$E$76</f>
        <v>Learning Thermostat - Gas Heated / central AC MF**</v>
      </c>
      <c r="F102" s="1563">
        <f>F122*F124*F90*F92*F96</f>
        <v>29.213767554495412</v>
      </c>
      <c r="G102" s="2121"/>
      <c r="H102" s="2122"/>
      <c r="I102" s="1359"/>
      <c r="J102" s="270"/>
      <c r="N102" s="1469"/>
      <c r="O102" s="270"/>
      <c r="P102" s="270"/>
      <c r="Q102" s="270"/>
      <c r="V102" s="2112"/>
      <c r="W102" s="1408"/>
      <c r="X102" s="1408"/>
      <c r="Y102" s="86">
        <v>29.568590642201833</v>
      </c>
      <c r="Z102" s="679">
        <v>29.568590642201833</v>
      </c>
      <c r="AA102" s="679">
        <v>29.568590642201833</v>
      </c>
      <c r="AB102" s="679">
        <v>29.213767554495412</v>
      </c>
      <c r="AC102" s="679">
        <f t="shared" si="11"/>
        <v>29.213767554495412</v>
      </c>
      <c r="AD102" s="679">
        <v>29.213767554495412</v>
      </c>
      <c r="AE102" s="679">
        <v>29.213767554495412</v>
      </c>
      <c r="AF102" s="258">
        <f t="shared" si="10"/>
        <v>29.213767554495412</v>
      </c>
      <c r="AG102" s="1408"/>
      <c r="AH102" s="1420"/>
      <c r="AJ102" s="1472"/>
      <c r="AU102" s="1416"/>
      <c r="DJ102" s="1127"/>
    </row>
    <row r="103" spans="1:114" hidden="1" outlineLevel="1" x14ac:dyDescent="0.25">
      <c r="A103" s="522"/>
      <c r="B103" s="561"/>
      <c r="C103" s="268"/>
      <c r="D103" s="2110"/>
      <c r="E103" s="122" t="str">
        <f>$E$77</f>
        <v>Learning Thermostat - Unknown SF**</v>
      </c>
      <c r="F103" s="1563">
        <f>F123*F124*F91*F92*F96</f>
        <v>30.112652710018352</v>
      </c>
      <c r="G103" s="2123"/>
      <c r="H103" s="2124"/>
      <c r="I103" s="1359"/>
      <c r="J103" s="270"/>
      <c r="N103" s="1469"/>
      <c r="O103" s="270"/>
      <c r="P103" s="270"/>
      <c r="Q103" s="270"/>
      <c r="V103" s="2112"/>
      <c r="W103" s="1408">
        <f>W123*W$124*W91*W$92*W$96</f>
        <v>32.707999999999998</v>
      </c>
      <c r="X103" s="1408">
        <f>X123*X$124*X91*X$92*X$96</f>
        <v>33.295508064007585</v>
      </c>
      <c r="Y103" s="86">
        <v>37.134317317128989</v>
      </c>
      <c r="Z103" s="679">
        <v>37.134317317128989</v>
      </c>
      <c r="AA103" s="679">
        <v>37.134317317128989</v>
      </c>
      <c r="AB103" s="679">
        <v>37.56045646690351</v>
      </c>
      <c r="AC103" s="679">
        <f t="shared" si="11"/>
        <v>30.112652710018352</v>
      </c>
      <c r="AD103" s="679">
        <v>30.112652710018352</v>
      </c>
      <c r="AE103" s="679">
        <v>30.112652710018352</v>
      </c>
      <c r="AF103" s="258">
        <f t="shared" si="10"/>
        <v>30.112652710018352</v>
      </c>
      <c r="AG103" s="1408"/>
      <c r="AH103" s="1420"/>
      <c r="AU103" s="1416"/>
      <c r="DJ103" s="1127"/>
    </row>
    <row r="104" spans="1:114" hidden="1" outlineLevel="1" x14ac:dyDescent="0.25">
      <c r="A104" s="522"/>
      <c r="B104" s="561"/>
      <c r="C104" s="268"/>
      <c r="D104" s="1350" t="s">
        <v>739</v>
      </c>
      <c r="E104" s="338" t="s">
        <v>734</v>
      </c>
      <c r="F104" s="1525">
        <v>3.1399999999999997E-2</v>
      </c>
      <c r="G104" s="2115" t="s">
        <v>740</v>
      </c>
      <c r="H104" s="2116"/>
      <c r="I104" s="1359" t="s">
        <v>741</v>
      </c>
      <c r="J104" s="270"/>
      <c r="N104" s="1469"/>
      <c r="O104" s="270"/>
      <c r="P104" s="270"/>
      <c r="Q104" s="270"/>
      <c r="V104" s="1321" t="str">
        <f>D104</f>
        <v>Fe</v>
      </c>
      <c r="W104" s="278">
        <v>3.1399999999999997E-2</v>
      </c>
      <c r="X104" s="278">
        <v>3.1399999999999997E-2</v>
      </c>
      <c r="Y104" s="301">
        <v>3.1399999999999997E-2</v>
      </c>
      <c r="Z104" s="1473">
        <v>3.1399999999999997E-2</v>
      </c>
      <c r="AA104" s="1473">
        <v>3.1399999999999997E-2</v>
      </c>
      <c r="AB104" s="1473">
        <v>3.1399999999999997E-2</v>
      </c>
      <c r="AC104" s="1473">
        <v>3.1399999999999997E-2</v>
      </c>
      <c r="AD104" s="1473">
        <v>3.1399999999999997E-2</v>
      </c>
      <c r="AE104" s="1473">
        <v>3.1399999999999997E-2</v>
      </c>
      <c r="AF104" s="258">
        <f t="shared" si="10"/>
        <v>3.1399999999999997E-2</v>
      </c>
      <c r="AG104" s="278"/>
      <c r="AH104" s="1420"/>
      <c r="AJ104" s="1472"/>
      <c r="AU104" s="1416"/>
      <c r="DJ104" s="1127"/>
    </row>
    <row r="105" spans="1:114" ht="15" hidden="1" customHeight="1" outlineLevel="1" x14ac:dyDescent="0.25">
      <c r="A105" s="522"/>
      <c r="B105" s="561"/>
      <c r="C105" s="268"/>
      <c r="D105" s="2109" t="s">
        <v>742</v>
      </c>
      <c r="E105" s="122" t="str">
        <f>$E$71</f>
        <v>Learning Thermostat - ASHP heating/cooling SF</v>
      </c>
      <c r="F105" s="514">
        <v>1</v>
      </c>
      <c r="G105" s="2119" t="s">
        <v>743</v>
      </c>
      <c r="H105" s="2120"/>
      <c r="I105" s="1359"/>
      <c r="J105" s="270"/>
      <c r="N105" s="1469"/>
      <c r="O105" s="270"/>
      <c r="P105" s="270"/>
      <c r="Q105" s="270"/>
      <c r="V105" s="2111" t="str">
        <f>D105</f>
        <v>%AC</v>
      </c>
      <c r="W105" s="274">
        <v>1</v>
      </c>
      <c r="X105" s="274">
        <v>1</v>
      </c>
      <c r="Y105" s="274">
        <v>1</v>
      </c>
      <c r="Z105" s="141">
        <v>1</v>
      </c>
      <c r="AA105" s="141">
        <v>1</v>
      </c>
      <c r="AB105" s="141">
        <v>1</v>
      </c>
      <c r="AC105" s="141">
        <v>1</v>
      </c>
      <c r="AD105" s="141">
        <v>1</v>
      </c>
      <c r="AE105" s="141">
        <v>1</v>
      </c>
      <c r="AF105" s="258">
        <f t="shared" si="10"/>
        <v>1</v>
      </c>
      <c r="AG105" s="274"/>
      <c r="AH105" s="1420"/>
      <c r="AJ105" s="1472"/>
      <c r="AU105" s="1416"/>
      <c r="DJ105" s="1127"/>
    </row>
    <row r="106" spans="1:114" hidden="1" outlineLevel="1" x14ac:dyDescent="0.25">
      <c r="A106" s="522"/>
      <c r="B106" s="561"/>
      <c r="C106" s="268"/>
      <c r="D106" s="2110"/>
      <c r="E106" s="122" t="str">
        <f>$E$72</f>
        <v>Learning Thermostat - ASHP heating/cooling MF</v>
      </c>
      <c r="F106" s="514">
        <v>1</v>
      </c>
      <c r="G106" s="2121"/>
      <c r="H106" s="2122"/>
      <c r="I106" s="1359"/>
      <c r="J106" s="270"/>
      <c r="N106" s="1469"/>
      <c r="O106" s="270"/>
      <c r="P106" s="270"/>
      <c r="Q106" s="270"/>
      <c r="V106" s="2112"/>
      <c r="W106" s="274"/>
      <c r="X106" s="274"/>
      <c r="Y106" s="1389">
        <v>1</v>
      </c>
      <c r="Z106" s="141">
        <v>1</v>
      </c>
      <c r="AA106" s="141">
        <v>1</v>
      </c>
      <c r="AB106" s="141">
        <v>1</v>
      </c>
      <c r="AC106" s="141">
        <v>1</v>
      </c>
      <c r="AD106" s="141">
        <v>1</v>
      </c>
      <c r="AE106" s="141">
        <v>1</v>
      </c>
      <c r="AF106" s="258">
        <f t="shared" si="10"/>
        <v>1</v>
      </c>
      <c r="AG106" s="274"/>
      <c r="AH106" s="1420"/>
      <c r="AJ106" s="1472"/>
      <c r="AU106" s="1416"/>
      <c r="DJ106" s="1127"/>
    </row>
    <row r="107" spans="1:114" hidden="1" outlineLevel="1" x14ac:dyDescent="0.25">
      <c r="A107" s="522"/>
      <c r="B107" s="561"/>
      <c r="C107" s="268"/>
      <c r="D107" s="2110"/>
      <c r="E107" s="122" t="str">
        <f>$E$73</f>
        <v>Learning Thermostat - electric furnace heating / central AC MF</v>
      </c>
      <c r="F107" s="514">
        <v>1</v>
      </c>
      <c r="G107" s="2121"/>
      <c r="H107" s="2122"/>
      <c r="I107" s="1359"/>
      <c r="J107" s="270"/>
      <c r="N107" s="1469"/>
      <c r="O107" s="270"/>
      <c r="P107" s="270"/>
      <c r="Q107" s="270"/>
      <c r="V107" s="2112"/>
      <c r="W107" s="274">
        <v>1</v>
      </c>
      <c r="X107" s="274">
        <v>1</v>
      </c>
      <c r="Y107" s="274">
        <v>1</v>
      </c>
      <c r="Z107" s="141">
        <v>1</v>
      </c>
      <c r="AA107" s="141">
        <v>1</v>
      </c>
      <c r="AB107" s="141">
        <v>1</v>
      </c>
      <c r="AC107" s="141">
        <v>1</v>
      </c>
      <c r="AD107" s="141">
        <v>1</v>
      </c>
      <c r="AE107" s="141">
        <v>1</v>
      </c>
      <c r="AF107" s="258">
        <f t="shared" si="10"/>
        <v>1</v>
      </c>
      <c r="AG107" s="274"/>
      <c r="AH107" s="1420"/>
      <c r="AJ107" s="1472"/>
      <c r="AU107" s="1416"/>
      <c r="DJ107" s="1127"/>
    </row>
    <row r="108" spans="1:114" hidden="1" outlineLevel="1" x14ac:dyDescent="0.25">
      <c r="A108" s="522"/>
      <c r="B108" s="561"/>
      <c r="C108" s="268"/>
      <c r="D108" s="2110"/>
      <c r="E108" s="122" t="str">
        <f>$E$74</f>
        <v>Learning Thermostat - electric furnace heating / central AC SF</v>
      </c>
      <c r="F108" s="514">
        <v>1</v>
      </c>
      <c r="G108" s="2121"/>
      <c r="H108" s="2122"/>
      <c r="I108" s="1359"/>
      <c r="J108" s="270"/>
      <c r="N108" s="1469"/>
      <c r="O108" s="270"/>
      <c r="P108" s="270"/>
      <c r="Q108" s="270"/>
      <c r="V108" s="2112"/>
      <c r="W108" s="274">
        <v>1</v>
      </c>
      <c r="X108" s="274">
        <v>1</v>
      </c>
      <c r="Y108" s="274">
        <v>1</v>
      </c>
      <c r="Z108" s="141">
        <v>1</v>
      </c>
      <c r="AA108" s="141">
        <v>1</v>
      </c>
      <c r="AB108" s="141">
        <v>1</v>
      </c>
      <c r="AC108" s="141">
        <v>1</v>
      </c>
      <c r="AD108" s="141">
        <v>1</v>
      </c>
      <c r="AE108" s="141">
        <v>1</v>
      </c>
      <c r="AF108" s="258">
        <f t="shared" si="10"/>
        <v>1</v>
      </c>
      <c r="AG108" s="274"/>
      <c r="AH108" s="1420"/>
      <c r="AU108" s="1416"/>
      <c r="DJ108" s="1127"/>
    </row>
    <row r="109" spans="1:114" hidden="1" outlineLevel="1" x14ac:dyDescent="0.25">
      <c r="A109" s="522"/>
      <c r="B109" s="561"/>
      <c r="C109" s="268"/>
      <c r="D109" s="2110"/>
      <c r="E109" s="122" t="str">
        <f>$E$75</f>
        <v>Learning Thermostat - Gas Heated / central AC SF**</v>
      </c>
      <c r="F109" s="514">
        <v>1</v>
      </c>
      <c r="G109" s="2121"/>
      <c r="H109" s="2122"/>
      <c r="I109" s="1359"/>
      <c r="J109" s="270"/>
      <c r="N109" s="1469"/>
      <c r="O109" s="270"/>
      <c r="P109" s="270"/>
      <c r="Q109" s="270"/>
      <c r="V109" s="2112"/>
      <c r="W109" s="274">
        <v>1</v>
      </c>
      <c r="X109" s="274">
        <v>1</v>
      </c>
      <c r="Y109" s="274">
        <v>1</v>
      </c>
      <c r="Z109" s="141">
        <v>1</v>
      </c>
      <c r="AA109" s="141">
        <v>1</v>
      </c>
      <c r="AB109" s="141">
        <v>1</v>
      </c>
      <c r="AC109" s="141">
        <v>1</v>
      </c>
      <c r="AD109" s="141">
        <v>1</v>
      </c>
      <c r="AE109" s="141">
        <v>1</v>
      </c>
      <c r="AF109" s="258">
        <f t="shared" si="10"/>
        <v>1</v>
      </c>
      <c r="AG109" s="274"/>
      <c r="AH109" s="1420"/>
      <c r="AJ109" s="1472"/>
      <c r="AU109" s="1416"/>
      <c r="DJ109" s="1127"/>
    </row>
    <row r="110" spans="1:114" hidden="1" outlineLevel="1" x14ac:dyDescent="0.25">
      <c r="A110" s="522"/>
      <c r="B110" s="561"/>
      <c r="C110" s="268"/>
      <c r="D110" s="2110"/>
      <c r="E110" s="122" t="str">
        <f>$E$76</f>
        <v>Learning Thermostat - Gas Heated / central AC MF**</v>
      </c>
      <c r="F110" s="514">
        <v>1</v>
      </c>
      <c r="G110" s="2121"/>
      <c r="H110" s="2122"/>
      <c r="I110" s="1359"/>
      <c r="J110" s="270"/>
      <c r="N110" s="1469"/>
      <c r="O110" s="270"/>
      <c r="P110" s="270"/>
      <c r="Q110" s="270"/>
      <c r="V110" s="2112"/>
      <c r="W110" s="274"/>
      <c r="X110" s="274"/>
      <c r="Y110" s="1389">
        <v>1</v>
      </c>
      <c r="Z110" s="141">
        <v>1</v>
      </c>
      <c r="AA110" s="141">
        <v>1</v>
      </c>
      <c r="AB110" s="141">
        <v>1</v>
      </c>
      <c r="AC110" s="141">
        <v>1</v>
      </c>
      <c r="AD110" s="141">
        <v>1</v>
      </c>
      <c r="AE110" s="141">
        <v>1</v>
      </c>
      <c r="AF110" s="258">
        <f t="shared" si="10"/>
        <v>1</v>
      </c>
      <c r="AG110" s="274"/>
      <c r="AH110" s="1420"/>
      <c r="AJ110" s="1472"/>
      <c r="AU110" s="1416"/>
      <c r="DJ110" s="1127"/>
    </row>
    <row r="111" spans="1:114" hidden="1" outlineLevel="1" x14ac:dyDescent="0.25">
      <c r="A111" s="522"/>
      <c r="B111" s="561"/>
      <c r="C111" s="268"/>
      <c r="D111" s="2110"/>
      <c r="E111" s="122" t="str">
        <f>$E$77</f>
        <v>Learning Thermostat - Unknown SF**</v>
      </c>
      <c r="F111" s="514">
        <v>1</v>
      </c>
      <c r="G111" s="2123"/>
      <c r="H111" s="2124"/>
      <c r="I111" s="1359"/>
      <c r="J111" s="270"/>
      <c r="N111" s="1469"/>
      <c r="O111" s="270"/>
      <c r="P111" s="270"/>
      <c r="Q111" s="270"/>
      <c r="V111" s="2112"/>
      <c r="W111" s="274">
        <v>1</v>
      </c>
      <c r="X111" s="274">
        <v>1</v>
      </c>
      <c r="Y111" s="274">
        <v>1</v>
      </c>
      <c r="Z111" s="141">
        <v>1</v>
      </c>
      <c r="AA111" s="141">
        <v>1</v>
      </c>
      <c r="AB111" s="141">
        <v>1</v>
      </c>
      <c r="AC111" s="141">
        <v>1</v>
      </c>
      <c r="AD111" s="141">
        <v>1</v>
      </c>
      <c r="AE111" s="141">
        <v>1</v>
      </c>
      <c r="AF111" s="258">
        <f t="shared" si="10"/>
        <v>1</v>
      </c>
      <c r="AG111" s="274"/>
      <c r="AH111" s="1420"/>
      <c r="AJ111" s="1472"/>
      <c r="AU111" s="1416"/>
      <c r="DJ111" s="1127"/>
    </row>
    <row r="112" spans="1:114" ht="15" hidden="1" customHeight="1" outlineLevel="1" x14ac:dyDescent="0.25">
      <c r="A112" s="522"/>
      <c r="B112" s="561"/>
      <c r="C112" s="268"/>
      <c r="D112" s="1978" t="s">
        <v>744</v>
      </c>
      <c r="E112" s="338" t="s">
        <v>745</v>
      </c>
      <c r="F112" s="1625">
        <v>869</v>
      </c>
      <c r="G112" s="2115" t="s">
        <v>746</v>
      </c>
      <c r="H112" s="2116"/>
      <c r="I112" s="1359" t="s">
        <v>747</v>
      </c>
      <c r="J112" s="270"/>
      <c r="N112" s="1469"/>
      <c r="O112" s="270"/>
      <c r="P112" s="270"/>
      <c r="Q112" s="270"/>
      <c r="V112" s="1320" t="str">
        <f t="shared" ref="V112:V117" si="13">D112</f>
        <v>EFLH cool</v>
      </c>
      <c r="W112" s="1474">
        <v>869</v>
      </c>
      <c r="X112" s="1474">
        <v>869</v>
      </c>
      <c r="Y112" s="1475">
        <v>869</v>
      </c>
      <c r="Z112" s="1069">
        <v>869</v>
      </c>
      <c r="AA112" s="1069">
        <v>869</v>
      </c>
      <c r="AB112" s="1069">
        <v>869</v>
      </c>
      <c r="AC112" s="1069">
        <v>869</v>
      </c>
      <c r="AD112" s="1069">
        <v>869</v>
      </c>
      <c r="AE112" s="1069">
        <v>869</v>
      </c>
      <c r="AF112" s="258">
        <f t="shared" si="10"/>
        <v>869</v>
      </c>
      <c r="AG112" s="1474"/>
      <c r="AH112" s="1420"/>
      <c r="AJ112" s="1472"/>
      <c r="AU112" s="1416"/>
      <c r="DJ112" s="1127"/>
    </row>
    <row r="113" spans="1:114" hidden="1" outlineLevel="1" x14ac:dyDescent="0.25">
      <c r="A113" s="522"/>
      <c r="B113" s="561"/>
      <c r="C113" s="268"/>
      <c r="D113" s="122" t="s">
        <v>748</v>
      </c>
      <c r="E113" s="338" t="s">
        <v>749</v>
      </c>
      <c r="F113" s="1562">
        <v>36000</v>
      </c>
      <c r="G113" s="2113"/>
      <c r="H113" s="2114"/>
      <c r="I113" s="1359" t="s">
        <v>750</v>
      </c>
      <c r="J113" s="270"/>
      <c r="N113" s="1469"/>
      <c r="O113" s="270"/>
      <c r="P113" s="270"/>
      <c r="Q113" s="270"/>
      <c r="V113" s="1476" t="str">
        <f t="shared" si="13"/>
        <v>CapacityCool</v>
      </c>
      <c r="W113" s="1474">
        <v>36000</v>
      </c>
      <c r="X113" s="1475">
        <v>36065.201197692251</v>
      </c>
      <c r="Y113" s="1475">
        <v>36552.308373947715</v>
      </c>
      <c r="Z113" s="1069">
        <v>36552.308373947715</v>
      </c>
      <c r="AA113" s="1069">
        <v>36552.308373947715</v>
      </c>
      <c r="AB113" s="1069">
        <v>36552.308373947715</v>
      </c>
      <c r="AC113" s="967">
        <v>36000</v>
      </c>
      <c r="AD113" s="1069">
        <v>36000</v>
      </c>
      <c r="AE113" s="1069">
        <v>36000</v>
      </c>
      <c r="AF113" s="258">
        <f t="shared" si="10"/>
        <v>36000</v>
      </c>
      <c r="AG113" s="1474"/>
      <c r="AH113" s="1420"/>
      <c r="AU113" s="1416"/>
      <c r="DJ113" s="1127"/>
    </row>
    <row r="114" spans="1:114" hidden="1" outlineLevel="1" x14ac:dyDescent="0.25">
      <c r="A114" s="522"/>
      <c r="B114" s="561"/>
      <c r="C114" s="268"/>
      <c r="D114" s="122" t="s">
        <v>748</v>
      </c>
      <c r="E114" s="338" t="s">
        <v>751</v>
      </c>
      <c r="F114" s="1562">
        <v>36000</v>
      </c>
      <c r="G114" s="2113"/>
      <c r="H114" s="2114"/>
      <c r="I114" s="1359" t="s">
        <v>750</v>
      </c>
      <c r="J114" s="270"/>
      <c r="N114" s="1469"/>
      <c r="O114" s="270"/>
      <c r="P114" s="270"/>
      <c r="Q114" s="270"/>
      <c r="V114" s="1476" t="str">
        <f t="shared" si="13"/>
        <v>CapacityCool</v>
      </c>
      <c r="W114" s="1474" t="s">
        <v>752</v>
      </c>
      <c r="X114" s="1475">
        <f>X113*0.65</f>
        <v>23442.380778499963</v>
      </c>
      <c r="Y114" s="1475">
        <v>36552.308373947715</v>
      </c>
      <c r="Z114" s="1069">
        <v>36552.308373947715</v>
      </c>
      <c r="AA114" s="1069">
        <v>36552.308373947715</v>
      </c>
      <c r="AB114" s="1069">
        <v>36552</v>
      </c>
      <c r="AC114" s="967">
        <v>36000</v>
      </c>
      <c r="AD114" s="1069">
        <v>36000</v>
      </c>
      <c r="AE114" s="1069">
        <v>36000</v>
      </c>
      <c r="AF114" s="258">
        <f t="shared" si="10"/>
        <v>36000</v>
      </c>
      <c r="AG114" s="1474"/>
      <c r="AH114" s="1420"/>
      <c r="AJ114" s="1472"/>
      <c r="AU114" s="1416"/>
      <c r="DJ114" s="1127"/>
    </row>
    <row r="115" spans="1:114" ht="14.45" hidden="1" customHeight="1" outlineLevel="1" x14ac:dyDescent="0.25">
      <c r="A115" s="522"/>
      <c r="B115" s="561"/>
      <c r="C115" s="268"/>
      <c r="D115" s="122" t="s">
        <v>753</v>
      </c>
      <c r="E115" s="338" t="s">
        <v>734</v>
      </c>
      <c r="F115" s="1506">
        <v>13.4</v>
      </c>
      <c r="G115" s="2130" t="s">
        <v>754</v>
      </c>
      <c r="H115" s="2131"/>
      <c r="I115" s="1336" t="s">
        <v>717</v>
      </c>
      <c r="J115" s="270"/>
      <c r="N115" s="1469"/>
      <c r="O115" s="270"/>
      <c r="P115" s="270"/>
      <c r="Q115" s="270"/>
      <c r="V115" s="1476" t="str">
        <f t="shared" si="13"/>
        <v>SEER2</v>
      </c>
      <c r="W115" s="1474">
        <v>13</v>
      </c>
      <c r="X115" s="1474">
        <v>13.148148689111222</v>
      </c>
      <c r="Y115" s="94">
        <v>13.555486634175161</v>
      </c>
      <c r="Z115" s="692">
        <v>13.555486634175161</v>
      </c>
      <c r="AA115" s="692">
        <v>13.555486634175161</v>
      </c>
      <c r="AB115" s="1477">
        <v>13.555486634175161</v>
      </c>
      <c r="AC115" s="1478">
        <v>13</v>
      </c>
      <c r="AD115" s="1477">
        <v>13</v>
      </c>
      <c r="AE115" s="1477">
        <v>13</v>
      </c>
      <c r="AF115" s="258">
        <f t="shared" si="10"/>
        <v>13.4</v>
      </c>
      <c r="AG115" s="1474"/>
      <c r="AH115" s="1420"/>
      <c r="AJ115" s="1472"/>
      <c r="AU115" s="1416"/>
      <c r="DJ115" s="1127"/>
    </row>
    <row r="116" spans="1:114" hidden="1" outlineLevel="1" x14ac:dyDescent="0.25">
      <c r="A116" s="522"/>
      <c r="B116" s="561"/>
      <c r="C116" s="268"/>
      <c r="D116" s="1350" t="s">
        <v>755</v>
      </c>
      <c r="E116" s="338" t="s">
        <v>734</v>
      </c>
      <c r="F116" s="1624">
        <v>0.08</v>
      </c>
      <c r="G116" s="2115" t="s">
        <v>756</v>
      </c>
      <c r="H116" s="2116"/>
      <c r="I116" s="1359" t="s">
        <v>741</v>
      </c>
      <c r="J116" s="270"/>
      <c r="N116" s="1469"/>
      <c r="O116" s="270"/>
      <c r="P116" s="270"/>
      <c r="Q116" s="270"/>
      <c r="V116" s="1321" t="str">
        <f t="shared" si="13"/>
        <v>CoolingReduction</v>
      </c>
      <c r="W116" s="1479">
        <v>0.08</v>
      </c>
      <c r="X116" s="1479">
        <v>0.08</v>
      </c>
      <c r="Y116" s="1480">
        <v>0.08</v>
      </c>
      <c r="Z116" s="1481">
        <v>0.08</v>
      </c>
      <c r="AA116" s="1481">
        <v>0.08</v>
      </c>
      <c r="AB116" s="1481">
        <v>0.08</v>
      </c>
      <c r="AC116" s="1481">
        <v>0.08</v>
      </c>
      <c r="AD116" s="1481">
        <v>0.08</v>
      </c>
      <c r="AE116" s="1481">
        <v>0.08</v>
      </c>
      <c r="AF116" s="258">
        <f t="shared" si="10"/>
        <v>0.08</v>
      </c>
      <c r="AG116" s="1479"/>
      <c r="AH116" s="1420"/>
      <c r="AJ116" s="1472"/>
      <c r="AU116" s="1416"/>
      <c r="DJ116" s="1127"/>
    </row>
    <row r="117" spans="1:114" ht="15" hidden="1" customHeight="1" outlineLevel="1" x14ac:dyDescent="0.25">
      <c r="A117" s="522"/>
      <c r="B117" s="561"/>
      <c r="C117" s="268"/>
      <c r="D117" s="2109" t="s">
        <v>757</v>
      </c>
      <c r="E117" s="122" t="str">
        <f>$E$71</f>
        <v>Learning Thermostat - ASHP heating/cooling SF</v>
      </c>
      <c r="F117" s="1550">
        <v>0</v>
      </c>
      <c r="G117" s="2119" t="s">
        <v>758</v>
      </c>
      <c r="H117" s="2120"/>
      <c r="I117" s="1359"/>
      <c r="J117" s="270"/>
      <c r="N117" s="1469"/>
      <c r="O117" s="270"/>
      <c r="P117" s="270"/>
      <c r="Q117" s="270"/>
      <c r="V117" s="2111" t="str">
        <f t="shared" si="13"/>
        <v>%FossilHeat</v>
      </c>
      <c r="W117" s="274">
        <v>1</v>
      </c>
      <c r="X117" s="1389">
        <v>0</v>
      </c>
      <c r="Y117" s="300">
        <v>0</v>
      </c>
      <c r="Z117" s="141">
        <v>0</v>
      </c>
      <c r="AA117" s="141">
        <v>0</v>
      </c>
      <c r="AB117" s="141">
        <v>0</v>
      </c>
      <c r="AC117" s="141">
        <v>0</v>
      </c>
      <c r="AD117" s="141">
        <v>0</v>
      </c>
      <c r="AE117" s="141">
        <v>0</v>
      </c>
      <c r="AF117" s="258">
        <f t="shared" si="10"/>
        <v>0</v>
      </c>
      <c r="AG117" s="274"/>
      <c r="AH117" s="1420"/>
      <c r="AU117" s="1416"/>
      <c r="DJ117" s="1127"/>
    </row>
    <row r="118" spans="1:114" hidden="1" outlineLevel="1" x14ac:dyDescent="0.25">
      <c r="A118" s="522"/>
      <c r="B118" s="561"/>
      <c r="C118" s="268"/>
      <c r="D118" s="2110"/>
      <c r="E118" s="122" t="str">
        <f>$E$72</f>
        <v>Learning Thermostat - ASHP heating/cooling MF</v>
      </c>
      <c r="F118" s="1550">
        <v>0</v>
      </c>
      <c r="G118" s="2121"/>
      <c r="H118" s="2122"/>
      <c r="I118" s="1359"/>
      <c r="J118" s="270"/>
      <c r="N118" s="1469"/>
      <c r="O118" s="270"/>
      <c r="P118" s="270"/>
      <c r="Q118" s="270"/>
      <c r="V118" s="2112"/>
      <c r="W118" s="274"/>
      <c r="X118" s="1389"/>
      <c r="Y118" s="1389">
        <v>0</v>
      </c>
      <c r="Z118" s="141">
        <v>0</v>
      </c>
      <c r="AA118" s="141">
        <v>0</v>
      </c>
      <c r="AB118" s="141">
        <v>0</v>
      </c>
      <c r="AC118" s="141">
        <v>0</v>
      </c>
      <c r="AD118" s="141">
        <v>0</v>
      </c>
      <c r="AE118" s="141">
        <v>0</v>
      </c>
      <c r="AF118" s="258">
        <f t="shared" si="10"/>
        <v>0</v>
      </c>
      <c r="AG118" s="274"/>
      <c r="AH118" s="1420"/>
      <c r="AU118" s="1416"/>
      <c r="DJ118" s="1127"/>
    </row>
    <row r="119" spans="1:114" hidden="1" outlineLevel="1" x14ac:dyDescent="0.25">
      <c r="A119" s="522"/>
      <c r="B119" s="561"/>
      <c r="C119" s="268"/>
      <c r="D119" s="2110"/>
      <c r="E119" s="122" t="str">
        <f>$E$73</f>
        <v>Learning Thermostat - electric furnace heating / central AC MF</v>
      </c>
      <c r="F119" s="1550">
        <v>0</v>
      </c>
      <c r="G119" s="2121"/>
      <c r="H119" s="2122"/>
      <c r="I119" s="1359"/>
      <c r="J119" s="270"/>
      <c r="N119" s="1469"/>
      <c r="O119" s="270"/>
      <c r="P119" s="270"/>
      <c r="Q119" s="270"/>
      <c r="V119" s="2112"/>
      <c r="W119" s="274">
        <v>1</v>
      </c>
      <c r="X119" s="1389">
        <v>0</v>
      </c>
      <c r="Y119" s="300">
        <v>0</v>
      </c>
      <c r="Z119" s="141">
        <v>0</v>
      </c>
      <c r="AA119" s="141">
        <v>0</v>
      </c>
      <c r="AB119" s="141">
        <v>0</v>
      </c>
      <c r="AC119" s="141">
        <v>0</v>
      </c>
      <c r="AD119" s="141">
        <v>0</v>
      </c>
      <c r="AE119" s="141">
        <v>0</v>
      </c>
      <c r="AF119" s="258">
        <f t="shared" si="10"/>
        <v>0</v>
      </c>
      <c r="AG119" s="274"/>
      <c r="AH119" s="1420"/>
      <c r="AU119" s="1416"/>
      <c r="DJ119" s="1127"/>
    </row>
    <row r="120" spans="1:114" hidden="1" outlineLevel="1" x14ac:dyDescent="0.25">
      <c r="A120" s="522"/>
      <c r="B120" s="561"/>
      <c r="C120" s="268"/>
      <c r="D120" s="2110"/>
      <c r="E120" s="122" t="str">
        <f>$E$74</f>
        <v>Learning Thermostat - electric furnace heating / central AC SF</v>
      </c>
      <c r="F120" s="1550">
        <v>0</v>
      </c>
      <c r="G120" s="2121"/>
      <c r="H120" s="2122"/>
      <c r="I120" s="1359"/>
      <c r="J120" s="270"/>
      <c r="N120" s="1469"/>
      <c r="O120" s="270"/>
      <c r="P120" s="270"/>
      <c r="Q120" s="270"/>
      <c r="V120" s="2112"/>
      <c r="W120" s="274">
        <v>1</v>
      </c>
      <c r="X120" s="1389">
        <v>0</v>
      </c>
      <c r="Y120" s="300">
        <v>0</v>
      </c>
      <c r="Z120" s="141">
        <v>0</v>
      </c>
      <c r="AA120" s="141">
        <v>0</v>
      </c>
      <c r="AB120" s="141">
        <v>0</v>
      </c>
      <c r="AC120" s="141">
        <v>0</v>
      </c>
      <c r="AD120" s="141">
        <v>0</v>
      </c>
      <c r="AE120" s="141">
        <v>0</v>
      </c>
      <c r="AF120" s="258">
        <f t="shared" si="10"/>
        <v>0</v>
      </c>
      <c r="AG120" s="274"/>
      <c r="AH120" s="1420"/>
      <c r="AU120" s="1416"/>
      <c r="DJ120" s="1127"/>
    </row>
    <row r="121" spans="1:114" hidden="1" outlineLevel="1" x14ac:dyDescent="0.25">
      <c r="A121" s="522"/>
      <c r="B121" s="561"/>
      <c r="C121" s="268"/>
      <c r="D121" s="2110"/>
      <c r="E121" s="122" t="str">
        <f>$E$75</f>
        <v>Learning Thermostat - Gas Heated / central AC SF**</v>
      </c>
      <c r="F121" s="1550">
        <v>1</v>
      </c>
      <c r="G121" s="2121"/>
      <c r="H121" s="2122"/>
      <c r="I121" s="1359"/>
      <c r="J121" s="270"/>
      <c r="N121" s="1469"/>
      <c r="O121" s="270"/>
      <c r="P121" s="270"/>
      <c r="Q121" s="270"/>
      <c r="V121" s="2112"/>
      <c r="W121" s="274">
        <v>1</v>
      </c>
      <c r="X121" s="274">
        <v>1</v>
      </c>
      <c r="Y121" s="300">
        <v>1</v>
      </c>
      <c r="Z121" s="141">
        <v>1</v>
      </c>
      <c r="AA121" s="141">
        <v>1</v>
      </c>
      <c r="AB121" s="141">
        <v>1</v>
      </c>
      <c r="AC121" s="141">
        <v>1</v>
      </c>
      <c r="AD121" s="141">
        <v>1</v>
      </c>
      <c r="AE121" s="141">
        <v>1</v>
      </c>
      <c r="AF121" s="258">
        <f t="shared" si="10"/>
        <v>1</v>
      </c>
      <c r="AG121" s="274"/>
      <c r="AH121" s="1420"/>
      <c r="AU121" s="1416"/>
      <c r="DJ121" s="1127"/>
    </row>
    <row r="122" spans="1:114" hidden="1" outlineLevel="1" x14ac:dyDescent="0.25">
      <c r="A122" s="522"/>
      <c r="B122" s="561"/>
      <c r="C122" s="268"/>
      <c r="D122" s="2110"/>
      <c r="E122" s="122" t="str">
        <f>$E$76</f>
        <v>Learning Thermostat - Gas Heated / central AC MF**</v>
      </c>
      <c r="F122" s="1550">
        <v>1</v>
      </c>
      <c r="G122" s="2123"/>
      <c r="H122" s="2124"/>
      <c r="I122" s="1359"/>
      <c r="J122" s="270"/>
      <c r="N122" s="1469"/>
      <c r="O122" s="270"/>
      <c r="P122" s="270"/>
      <c r="Q122" s="270"/>
      <c r="V122" s="2112"/>
      <c r="W122" s="274"/>
      <c r="X122" s="274"/>
      <c r="Y122" s="1389">
        <v>1</v>
      </c>
      <c r="Z122" s="141">
        <v>1</v>
      </c>
      <c r="AA122" s="141">
        <v>1</v>
      </c>
      <c r="AB122" s="141">
        <v>1</v>
      </c>
      <c r="AC122" s="141">
        <v>1</v>
      </c>
      <c r="AD122" s="141">
        <v>1</v>
      </c>
      <c r="AE122" s="141">
        <v>1</v>
      </c>
      <c r="AF122" s="258">
        <f t="shared" si="10"/>
        <v>1</v>
      </c>
      <c r="AG122" s="274"/>
      <c r="AH122" s="1420"/>
      <c r="AU122" s="1416"/>
      <c r="DJ122" s="1127"/>
    </row>
    <row r="123" spans="1:114" ht="14.65" hidden="1" customHeight="1" outlineLevel="1" x14ac:dyDescent="0.25">
      <c r="A123" s="522"/>
      <c r="B123" s="561"/>
      <c r="C123" s="268"/>
      <c r="D123" s="2110"/>
      <c r="E123" s="122" t="str">
        <f>$E$77</f>
        <v>Learning Thermostat - Unknown SF**</v>
      </c>
      <c r="F123" s="1550">
        <v>0.67</v>
      </c>
      <c r="G123" s="2117" t="s">
        <v>759</v>
      </c>
      <c r="H123" s="2118"/>
      <c r="I123" s="1359"/>
      <c r="J123" s="270"/>
      <c r="N123" s="1469"/>
      <c r="O123" s="270"/>
      <c r="P123" s="270"/>
      <c r="Q123" s="270"/>
      <c r="V123" s="2112"/>
      <c r="W123" s="274">
        <v>0.65</v>
      </c>
      <c r="X123" s="1389">
        <v>0.75536822013679017</v>
      </c>
      <c r="Y123" s="1389">
        <v>0.83571202029812874</v>
      </c>
      <c r="Z123" s="141">
        <v>0.83571202029812874</v>
      </c>
      <c r="AA123" s="141">
        <v>0.83571202029812874</v>
      </c>
      <c r="AB123" s="141">
        <v>0.83571202029812874</v>
      </c>
      <c r="AC123" s="142">
        <v>0.67</v>
      </c>
      <c r="AD123" s="141">
        <v>0.67</v>
      </c>
      <c r="AE123" s="141">
        <v>0.67</v>
      </c>
      <c r="AF123" s="258">
        <f t="shared" si="10"/>
        <v>0.67</v>
      </c>
      <c r="AG123" s="274"/>
      <c r="AH123" s="1420"/>
      <c r="AU123" s="1416"/>
      <c r="DJ123" s="1127"/>
    </row>
    <row r="124" spans="1:114" hidden="1" outlineLevel="1" x14ac:dyDescent="0.25">
      <c r="A124" s="522"/>
      <c r="B124" s="561"/>
      <c r="C124" s="268"/>
      <c r="D124" s="1350" t="s">
        <v>760</v>
      </c>
      <c r="E124" s="122" t="s">
        <v>734</v>
      </c>
      <c r="F124" s="1522">
        <v>682.14220183486236</v>
      </c>
      <c r="G124" s="2115" t="s">
        <v>761</v>
      </c>
      <c r="H124" s="2116"/>
      <c r="I124" s="1359" t="s">
        <v>762</v>
      </c>
      <c r="J124" s="270"/>
      <c r="N124" s="1469"/>
      <c r="O124" s="270"/>
      <c r="P124" s="270"/>
      <c r="Q124" s="270"/>
      <c r="V124" s="1321" t="str">
        <f>D124</f>
        <v>HeatingConsumption_Gas</v>
      </c>
      <c r="W124" s="266">
        <v>680</v>
      </c>
      <c r="X124" s="287">
        <v>682.46115191341323</v>
      </c>
      <c r="Y124" s="287">
        <v>682.14220183486236</v>
      </c>
      <c r="Z124" s="324">
        <v>682.14220183486236</v>
      </c>
      <c r="AA124" s="324">
        <v>682.14220183486236</v>
      </c>
      <c r="AB124" s="324">
        <v>682.14220183486236</v>
      </c>
      <c r="AC124" s="324">
        <v>682.14220183486236</v>
      </c>
      <c r="AD124" s="324">
        <v>682.14220183486236</v>
      </c>
      <c r="AE124" s="324">
        <v>682.14220183486236</v>
      </c>
      <c r="AF124" s="258">
        <f t="shared" si="10"/>
        <v>682.14220183486236</v>
      </c>
      <c r="AG124" s="266"/>
      <c r="AH124" s="1420"/>
      <c r="AU124" s="1416"/>
      <c r="DJ124" s="1127"/>
    </row>
    <row r="125" spans="1:114" ht="15" hidden="1" customHeight="1" outlineLevel="1" x14ac:dyDescent="0.25">
      <c r="A125" s="522"/>
      <c r="B125" s="561"/>
      <c r="C125" s="268"/>
      <c r="D125" s="1352" t="str">
        <f>$D$41</f>
        <v>EUL</v>
      </c>
      <c r="E125" s="1352" t="str">
        <f>$E$41</f>
        <v>Effective Useful Life</v>
      </c>
      <c r="F125" s="1522">
        <v>11</v>
      </c>
      <c r="G125" s="2115" t="s">
        <v>763</v>
      </c>
      <c r="H125" s="2116"/>
      <c r="I125" s="1359"/>
      <c r="J125" s="270"/>
      <c r="N125" s="1469"/>
      <c r="O125" s="270"/>
      <c r="P125" s="270"/>
      <c r="Q125" s="270"/>
      <c r="V125" s="1370" t="str">
        <f>D125</f>
        <v>EUL</v>
      </c>
      <c r="W125" s="430">
        <v>10</v>
      </c>
      <c r="X125" s="430">
        <v>10</v>
      </c>
      <c r="Y125" s="430">
        <v>10</v>
      </c>
      <c r="Z125" s="324">
        <v>10</v>
      </c>
      <c r="AA125" s="324">
        <v>10</v>
      </c>
      <c r="AB125" s="324">
        <v>10</v>
      </c>
      <c r="AC125" s="324">
        <v>10</v>
      </c>
      <c r="AD125" s="324">
        <v>10</v>
      </c>
      <c r="AE125" s="324">
        <v>10</v>
      </c>
      <c r="AF125" s="258">
        <f t="shared" si="10"/>
        <v>11</v>
      </c>
      <c r="AG125" s="430"/>
      <c r="AH125" s="1420"/>
      <c r="AU125" s="1416"/>
      <c r="DJ125" s="1127"/>
    </row>
    <row r="126" spans="1:114" ht="15" hidden="1" customHeight="1" outlineLevel="1" x14ac:dyDescent="0.25">
      <c r="A126" s="522"/>
      <c r="B126" s="561"/>
      <c r="C126" s="268"/>
      <c r="D126" s="1352" t="str">
        <f>$D$42</f>
        <v>Inc. Cost</v>
      </c>
      <c r="E126" s="1352" t="str">
        <f>$E$42</f>
        <v>Incremental Cost</v>
      </c>
      <c r="F126" s="1850">
        <v>79</v>
      </c>
      <c r="G126" s="2115" t="s">
        <v>763</v>
      </c>
      <c r="H126" s="2116"/>
      <c r="I126" s="1336"/>
      <c r="J126" s="270"/>
      <c r="N126" s="1469"/>
      <c r="O126" s="270"/>
      <c r="P126" s="270"/>
      <c r="Q126" s="270"/>
      <c r="V126" s="1370" t="str">
        <f>D126</f>
        <v>Inc. Cost</v>
      </c>
      <c r="W126" s="95">
        <v>175</v>
      </c>
      <c r="X126" s="95">
        <v>175</v>
      </c>
      <c r="Y126" s="95">
        <v>175</v>
      </c>
      <c r="Z126" s="95">
        <v>175</v>
      </c>
      <c r="AA126" s="95">
        <v>175</v>
      </c>
      <c r="AB126" s="693">
        <v>125</v>
      </c>
      <c r="AC126" s="95">
        <v>125</v>
      </c>
      <c r="AD126" s="95">
        <v>125</v>
      </c>
      <c r="AE126" s="95">
        <v>125</v>
      </c>
      <c r="AF126" s="258">
        <f t="shared" si="10"/>
        <v>79</v>
      </c>
      <c r="AG126" s="95"/>
      <c r="AH126" s="1420"/>
      <c r="AU126" s="1416"/>
      <c r="DJ126" s="1127"/>
    </row>
    <row r="127" spans="1:114" collapsed="1" x14ac:dyDescent="0.25">
      <c r="A127" s="522"/>
      <c r="B127" s="561"/>
      <c r="C127" s="268"/>
      <c r="D127" s="127"/>
      <c r="E127" s="1335"/>
      <c r="F127" s="268"/>
      <c r="G127" s="270"/>
      <c r="H127" s="270"/>
      <c r="I127" s="270"/>
      <c r="J127" s="270"/>
      <c r="K127" s="270"/>
      <c r="L127" s="270"/>
      <c r="M127" s="270"/>
      <c r="N127" s="270"/>
      <c r="O127" s="270"/>
      <c r="P127" s="270"/>
      <c r="Q127" s="270"/>
      <c r="AH127" s="1420"/>
      <c r="AU127" s="1416"/>
      <c r="DJ127" s="1127"/>
    </row>
    <row r="128" spans="1:114" x14ac:dyDescent="0.25">
      <c r="A128" s="522"/>
      <c r="AH128" s="1420"/>
      <c r="AU128" s="1416"/>
      <c r="DJ128" s="1127"/>
    </row>
    <row r="129" spans="1:114" s="73" customFormat="1" x14ac:dyDescent="0.25">
      <c r="A129" s="522"/>
      <c r="B129" s="2103" t="s">
        <v>41</v>
      </c>
      <c r="C129" s="2104"/>
      <c r="D129" s="2104"/>
      <c r="E129" s="2104"/>
      <c r="F129" s="2104"/>
      <c r="G129" s="2104"/>
      <c r="H129" s="2104"/>
      <c r="I129" s="2074"/>
      <c r="J129" s="2074"/>
      <c r="K129" s="2074"/>
      <c r="L129" s="2074"/>
      <c r="M129" s="2074"/>
      <c r="N129" s="2075"/>
      <c r="O129" s="270"/>
      <c r="P129" s="270"/>
      <c r="Q129" s="270"/>
      <c r="R129" s="50"/>
      <c r="S129" s="50"/>
      <c r="T129" s="50"/>
      <c r="U129" s="50"/>
      <c r="V129" s="2103" t="str">
        <f>B129</f>
        <v>Lighting</v>
      </c>
      <c r="W129" s="2104"/>
      <c r="X129" s="2104"/>
      <c r="Y129" s="2104"/>
      <c r="Z129" s="2104"/>
      <c r="AA129" s="2104"/>
      <c r="AB129" s="2104"/>
      <c r="AC129" s="2106"/>
      <c r="AD129" s="2106"/>
      <c r="AE129" s="2106"/>
      <c r="AF129" s="2106"/>
      <c r="AG129" s="2106"/>
      <c r="AH129" s="2107"/>
      <c r="DG129" s="50"/>
      <c r="DH129" s="50"/>
      <c r="DI129" s="144"/>
      <c r="DJ129" s="1125"/>
    </row>
    <row r="130" spans="1:114" s="73" customFormat="1" x14ac:dyDescent="0.25">
      <c r="A130" s="522"/>
      <c r="B130" s="50"/>
      <c r="C130" s="100"/>
      <c r="D130" s="100"/>
      <c r="E130" s="50"/>
      <c r="F130" s="49"/>
      <c r="G130" s="50"/>
      <c r="H130" s="50"/>
      <c r="I130" s="50"/>
      <c r="J130" s="50"/>
      <c r="K130" s="50"/>
      <c r="L130" s="50"/>
      <c r="M130" s="588"/>
      <c r="N130" s="270"/>
      <c r="O130" s="270"/>
      <c r="P130" s="270"/>
      <c r="Q130" s="270"/>
      <c r="R130" s="50"/>
      <c r="S130" s="50"/>
      <c r="T130" s="50"/>
      <c r="U130" s="50"/>
      <c r="V130" s="50"/>
      <c r="W130" s="370"/>
      <c r="X130" s="370"/>
      <c r="Y130" s="370"/>
      <c r="Z130" s="370"/>
      <c r="AA130" s="370"/>
      <c r="AB130" s="370"/>
      <c r="DG130" s="50"/>
      <c r="DH130" s="50"/>
      <c r="DI130" s="144"/>
      <c r="DJ130" s="1125"/>
    </row>
    <row r="131" spans="1:114" s="73" customFormat="1" ht="30" x14ac:dyDescent="0.25">
      <c r="A131" s="522"/>
      <c r="B131" s="50"/>
      <c r="C131" s="1300" t="s">
        <v>42</v>
      </c>
      <c r="D131" s="1300" t="s">
        <v>594</v>
      </c>
      <c r="E131" s="106" t="s">
        <v>44</v>
      </c>
      <c r="F131" s="1300" t="s">
        <v>45</v>
      </c>
      <c r="G131" s="106" t="s">
        <v>46</v>
      </c>
      <c r="H131" s="106" t="s">
        <v>47</v>
      </c>
      <c r="I131" s="106" t="s">
        <v>48</v>
      </c>
      <c r="J131" s="106" t="s">
        <v>49</v>
      </c>
      <c r="K131" s="106" t="s">
        <v>50</v>
      </c>
      <c r="L131" s="1300" t="s">
        <v>51</v>
      </c>
      <c r="M131" s="588"/>
      <c r="N131" s="270"/>
      <c r="O131" s="270"/>
      <c r="P131" s="270"/>
      <c r="Q131" s="270"/>
      <c r="R131" s="50"/>
      <c r="S131" s="50"/>
      <c r="T131" s="50"/>
      <c r="U131" s="50"/>
      <c r="V131" s="165" t="s">
        <v>52</v>
      </c>
      <c r="W131" s="110">
        <f>$W$6</f>
        <v>43252</v>
      </c>
      <c r="X131" s="110">
        <f>$X$6</f>
        <v>43465</v>
      </c>
      <c r="Y131" s="110">
        <f>$Y$6</f>
        <v>43800</v>
      </c>
      <c r="Z131" s="110">
        <f>$Z$6</f>
        <v>43862</v>
      </c>
      <c r="AA131" s="110">
        <f>$AA$6</f>
        <v>44013</v>
      </c>
      <c r="AB131" s="110">
        <f>$AB$6</f>
        <v>44166</v>
      </c>
      <c r="AC131" s="649">
        <f>$AC$6</f>
        <v>44531</v>
      </c>
      <c r="AD131" s="649">
        <f>$AD$6</f>
        <v>44774</v>
      </c>
      <c r="AE131" s="649">
        <f>$AE$6</f>
        <v>45139</v>
      </c>
      <c r="AF131" s="649">
        <f>$AF$6</f>
        <v>45672</v>
      </c>
      <c r="AG131" s="649" t="str">
        <f>$AG$6</f>
        <v>-</v>
      </c>
      <c r="DG131" s="1802" t="str">
        <f>$DG$6</f>
        <v>TRC (2025)</v>
      </c>
      <c r="DH131" s="1802" t="str">
        <f>$DH$6</f>
        <v>Benefit Lookup</v>
      </c>
      <c r="DI131" s="1803" t="str">
        <f>$DI$6</f>
        <v>Benefits (2025 $)</v>
      </c>
      <c r="DJ131" s="1804" t="str">
        <f>$DJ$6</f>
        <v>Incremental Cost (2025 $)</v>
      </c>
    </row>
    <row r="132" spans="1:114" s="73" customFormat="1" x14ac:dyDescent="0.25">
      <c r="A132" s="522"/>
      <c r="B132" s="1384">
        <f t="shared" ref="B132" si="14">VALUE(LEFT(C132,6))</f>
        <v>251530</v>
      </c>
      <c r="C132" s="562" t="s">
        <v>764</v>
      </c>
      <c r="D132" s="1375" t="s">
        <v>600</v>
      </c>
      <c r="E132" s="1307" t="s">
        <v>765</v>
      </c>
      <c r="F132" s="131">
        <f>ROUND((($G$139-$G$140)*$G$145*(1-$G$144)*$G$141*$G$143)/$G$142,2)</f>
        <v>23.24</v>
      </c>
      <c r="G132" s="1295" t="s">
        <v>766</v>
      </c>
      <c r="H132" s="1889">
        <f>VLOOKUP(G132,'CP FACTORS'!$A$3:$B$38, 2, FALSE)</f>
        <v>1.4925290000000001E-4</v>
      </c>
      <c r="I132" s="133">
        <f>ROUND(F132*H132,6)</f>
        <v>3.4689999999999999E-3</v>
      </c>
      <c r="J132" s="44">
        <f>G146</f>
        <v>8</v>
      </c>
      <c r="K132" s="946">
        <f>G147</f>
        <v>3.35</v>
      </c>
      <c r="L132" s="134" t="s">
        <v>62</v>
      </c>
      <c r="M132" s="270"/>
      <c r="N132" s="270"/>
      <c r="O132" s="270"/>
      <c r="P132" s="270"/>
      <c r="Q132" s="270"/>
      <c r="R132" s="521"/>
      <c r="S132" s="50"/>
      <c r="T132" s="50"/>
      <c r="U132" s="50"/>
      <c r="V132" s="656" t="s">
        <v>45</v>
      </c>
      <c r="W132" s="1483"/>
      <c r="X132" s="57"/>
      <c r="Y132" s="131"/>
      <c r="Z132" s="378"/>
      <c r="AA132" s="378"/>
      <c r="AB132" s="135"/>
      <c r="AC132" s="135"/>
      <c r="AD132" s="131"/>
      <c r="AE132" s="131"/>
      <c r="AF132" s="258">
        <f>IF(F132&lt;&gt;"",F132,"")</f>
        <v>23.24</v>
      </c>
      <c r="AG132" s="342"/>
      <c r="AH132" s="115"/>
      <c r="DG132" s="1853">
        <f>(DI132)/(DJ132)</f>
        <v>2.7690008676024807</v>
      </c>
      <c r="DH132" s="122" t="str">
        <f>CONCATENATE(G132," ",J132," Year EUL")</f>
        <v>Lighting RES 8 Year EUL</v>
      </c>
      <c r="DI132" s="1056">
        <f>(INDEX('Avoided Cost Benefits'!$B$4:$B$865,MATCH(DH132,'Avoided Cost Benefits'!$A$4:$A$865,0)))*F132</f>
        <v>9.2761529064683099</v>
      </c>
      <c r="DJ132" s="1937">
        <f>IFERROR(K132/((1+DiscountRate)^(CurrentYear-DiscountYear)),0)</f>
        <v>3.35</v>
      </c>
    </row>
    <row r="133" spans="1:114" s="73" customFormat="1" hidden="1" outlineLevel="1" x14ac:dyDescent="0.25">
      <c r="A133" s="522"/>
      <c r="B133" s="50"/>
      <c r="C133" s="100"/>
      <c r="D133" s="74" t="s">
        <v>94</v>
      </c>
      <c r="E133" s="270" t="s">
        <v>767</v>
      </c>
      <c r="F133" s="1858"/>
      <c r="G133" s="530"/>
      <c r="H133" s="50"/>
      <c r="I133" s="50"/>
      <c r="J133" s="50"/>
      <c r="K133" s="50"/>
      <c r="L133" s="50"/>
      <c r="M133" s="169"/>
      <c r="N133" s="50"/>
      <c r="O133" s="50"/>
      <c r="P133" s="50"/>
      <c r="Q133" s="50"/>
      <c r="R133" s="50"/>
      <c r="S133" s="50"/>
      <c r="T133" s="50"/>
      <c r="U133" s="50"/>
      <c r="V133" s="50"/>
      <c r="W133" s="370"/>
      <c r="X133" s="370"/>
      <c r="Y133" s="370"/>
      <c r="Z133" s="370"/>
      <c r="AA133" s="370"/>
      <c r="AB133" s="370"/>
      <c r="DG133" s="50"/>
      <c r="DH133" s="50"/>
      <c r="DI133" s="144"/>
      <c r="DJ133" s="1125"/>
    </row>
    <row r="134" spans="1:114" s="73" customFormat="1" hidden="1" outlineLevel="1" x14ac:dyDescent="0.25">
      <c r="A134" s="522"/>
      <c r="B134" s="50"/>
      <c r="C134" s="100"/>
      <c r="D134" s="100" t="s">
        <v>604</v>
      </c>
      <c r="E134" s="50" t="s">
        <v>768</v>
      </c>
      <c r="F134" s="49"/>
      <c r="G134" s="50"/>
      <c r="H134" s="50"/>
      <c r="I134" s="50"/>
      <c r="J134" s="50"/>
      <c r="K134" s="50"/>
      <c r="L134" s="50"/>
      <c r="M134" s="169"/>
      <c r="N134" s="50"/>
      <c r="O134" s="50"/>
      <c r="P134" s="50"/>
      <c r="Q134" s="50"/>
      <c r="R134" s="50"/>
      <c r="S134" s="50"/>
      <c r="T134" s="50"/>
      <c r="U134" s="50"/>
      <c r="V134" s="50"/>
      <c r="W134" s="370"/>
      <c r="X134" s="370"/>
      <c r="Y134" s="370"/>
      <c r="Z134" s="370"/>
      <c r="AA134" s="370"/>
      <c r="AB134" s="370"/>
      <c r="DG134" s="50"/>
      <c r="DH134" s="50"/>
      <c r="DI134" s="144"/>
      <c r="DJ134" s="1125"/>
    </row>
    <row r="135" spans="1:114" s="73" customFormat="1" hidden="1" outlineLevel="1" x14ac:dyDescent="0.25">
      <c r="A135" s="522"/>
      <c r="B135" s="50"/>
      <c r="C135" s="100"/>
      <c r="D135" s="100"/>
      <c r="E135" s="50" t="s">
        <v>607</v>
      </c>
      <c r="F135" s="49"/>
      <c r="G135" s="50"/>
      <c r="H135" s="50"/>
      <c r="I135" s="50"/>
      <c r="J135" s="50"/>
      <c r="K135" s="50"/>
      <c r="L135" s="50"/>
      <c r="M135" s="169"/>
      <c r="N135" s="50"/>
      <c r="O135" s="50"/>
      <c r="P135" s="50"/>
      <c r="Q135" s="50"/>
      <c r="R135" s="50"/>
      <c r="S135" s="50"/>
      <c r="T135" s="50"/>
      <c r="U135" s="50"/>
      <c r="V135" s="50"/>
      <c r="W135" s="370"/>
      <c r="X135" s="370"/>
      <c r="Y135" s="370"/>
      <c r="Z135" s="370"/>
      <c r="AA135" s="370"/>
      <c r="AB135" s="370"/>
      <c r="DG135" s="50"/>
      <c r="DH135" s="50"/>
      <c r="DI135" s="144"/>
      <c r="DJ135" s="1125"/>
    </row>
    <row r="136" spans="1:114" s="73" customFormat="1" hidden="1" outlineLevel="1" x14ac:dyDescent="0.25">
      <c r="A136" s="522"/>
      <c r="B136" s="50"/>
      <c r="C136" s="100"/>
      <c r="D136" s="100"/>
      <c r="E136" s="50"/>
      <c r="F136" s="49"/>
      <c r="G136" s="50"/>
      <c r="H136" s="50"/>
      <c r="I136" s="50"/>
      <c r="J136" s="50"/>
      <c r="K136" s="50"/>
      <c r="L136" s="50"/>
      <c r="M136" s="169"/>
      <c r="N136" s="50"/>
      <c r="O136" s="50"/>
      <c r="P136" s="50"/>
      <c r="Q136" s="50"/>
      <c r="R136" s="50"/>
      <c r="S136" s="50"/>
      <c r="T136" s="50"/>
      <c r="U136" s="50"/>
      <c r="V136" s="50"/>
      <c r="W136" s="370"/>
      <c r="X136" s="370"/>
      <c r="Y136" s="370"/>
      <c r="Z136" s="370"/>
      <c r="AA136" s="370"/>
      <c r="AB136" s="370"/>
      <c r="DG136" s="50"/>
      <c r="DH136" s="50"/>
      <c r="DI136" s="144"/>
      <c r="DJ136" s="1125"/>
    </row>
    <row r="137" spans="1:114" s="73" customFormat="1" hidden="1" outlineLevel="1" x14ac:dyDescent="0.25">
      <c r="A137" s="522"/>
      <c r="B137" s="50"/>
      <c r="C137" s="100"/>
      <c r="D137" s="100"/>
      <c r="E137" s="50"/>
      <c r="F137" s="49"/>
      <c r="G137" s="50"/>
      <c r="H137" s="50"/>
      <c r="I137" s="50"/>
      <c r="J137" s="50"/>
      <c r="K137" s="50"/>
      <c r="L137" s="50"/>
      <c r="M137" s="169"/>
      <c r="N137" s="50"/>
      <c r="O137" s="50"/>
      <c r="P137" s="50"/>
      <c r="Q137" s="50"/>
      <c r="R137" s="50"/>
      <c r="S137" s="50"/>
      <c r="T137" s="50"/>
      <c r="U137" s="50"/>
      <c r="V137" s="50"/>
      <c r="W137" s="370"/>
      <c r="X137" s="370"/>
      <c r="Y137" s="370"/>
      <c r="Z137" s="370"/>
      <c r="AA137" s="370"/>
      <c r="AB137" s="370"/>
      <c r="DG137" s="50"/>
      <c r="DH137" s="50"/>
      <c r="DI137" s="144"/>
      <c r="DJ137" s="1125"/>
    </row>
    <row r="138" spans="1:114" s="73" customFormat="1" hidden="1" outlineLevel="1" x14ac:dyDescent="0.25">
      <c r="A138" s="522"/>
      <c r="B138" s="50"/>
      <c r="C138" s="100"/>
      <c r="D138" s="109" t="s">
        <v>712</v>
      </c>
      <c r="E138" s="743" t="s">
        <v>608</v>
      </c>
      <c r="F138" s="106" t="s">
        <v>769</v>
      </c>
      <c r="G138" s="106" t="s">
        <v>610</v>
      </c>
      <c r="H138" s="106" t="s">
        <v>611</v>
      </c>
      <c r="I138" s="106" t="s">
        <v>612</v>
      </c>
      <c r="J138" s="50"/>
      <c r="K138" s="50"/>
      <c r="L138" s="50"/>
      <c r="M138" s="50"/>
      <c r="N138" s="50"/>
      <c r="O138" s="50"/>
      <c r="P138" s="50"/>
      <c r="Q138" s="50"/>
      <c r="R138" s="50"/>
      <c r="S138" s="50"/>
      <c r="T138" s="50"/>
      <c r="U138" s="50"/>
      <c r="V138" s="763" t="s">
        <v>52</v>
      </c>
      <c r="W138" s="1653">
        <f>$W$6</f>
        <v>43252</v>
      </c>
      <c r="X138" s="1653">
        <f>$X$6</f>
        <v>43465</v>
      </c>
      <c r="Y138" s="1653">
        <f>$Y$6</f>
        <v>43800</v>
      </c>
      <c r="Z138" s="1653">
        <f>$Z$6</f>
        <v>43862</v>
      </c>
      <c r="AA138" s="1653">
        <f>$AA$6</f>
        <v>44013</v>
      </c>
      <c r="AB138" s="1653">
        <f>$AB$6</f>
        <v>44166</v>
      </c>
      <c r="AC138" s="1651">
        <f>$AC$6</f>
        <v>44531</v>
      </c>
      <c r="AD138" s="1651">
        <f>$AD$6</f>
        <v>44774</v>
      </c>
      <c r="AE138" s="1651">
        <f>$AE$6</f>
        <v>45139</v>
      </c>
      <c r="AF138" s="1651">
        <f>$AF$6</f>
        <v>45672</v>
      </c>
      <c r="AG138" s="1651" t="str">
        <f>$AG$6</f>
        <v>-</v>
      </c>
      <c r="AH138" s="50"/>
      <c r="DG138" s="50"/>
      <c r="DH138" s="50"/>
      <c r="DI138" s="144"/>
      <c r="DJ138" s="1125"/>
    </row>
    <row r="139" spans="1:114" s="73" customFormat="1" ht="24.75" hidden="1" outlineLevel="1" x14ac:dyDescent="0.25">
      <c r="A139" s="522"/>
      <c r="B139" s="50"/>
      <c r="C139" s="100"/>
      <c r="D139" s="1314" t="s">
        <v>770</v>
      </c>
      <c r="E139" s="1314" t="s">
        <v>765</v>
      </c>
      <c r="F139" s="1375" t="s">
        <v>765</v>
      </c>
      <c r="G139" s="1649">
        <v>7</v>
      </c>
      <c r="H139" s="1306" t="s">
        <v>771</v>
      </c>
      <c r="I139" s="1890" t="s">
        <v>772</v>
      </c>
      <c r="J139" s="50"/>
      <c r="K139" s="531"/>
      <c r="L139" s="531"/>
      <c r="M139" s="50"/>
      <c r="N139" s="169"/>
      <c r="O139" s="50"/>
      <c r="P139" s="50"/>
      <c r="Q139" s="50"/>
      <c r="R139" s="50"/>
      <c r="S139" s="50"/>
      <c r="T139" s="50"/>
      <c r="U139" s="50"/>
      <c r="V139" s="1314" t="str">
        <f>D139</f>
        <v>WattsBase</v>
      </c>
      <c r="W139" s="1484"/>
      <c r="X139" s="1484"/>
      <c r="Y139" s="1484"/>
      <c r="Z139" s="1484"/>
      <c r="AA139" s="1484"/>
      <c r="AB139" s="137"/>
      <c r="AC139" s="137"/>
      <c r="AD139" s="136"/>
      <c r="AE139" s="136"/>
      <c r="AF139" s="258">
        <f t="shared" ref="AF139:AF147" si="15">IF(G139&lt;&gt;"",G139,"")</f>
        <v>7</v>
      </c>
      <c r="AG139" s="1484"/>
      <c r="DG139" s="50"/>
      <c r="DH139" s="50"/>
      <c r="DI139" s="144"/>
      <c r="DJ139" s="1125"/>
    </row>
    <row r="140" spans="1:114" s="73" customFormat="1" hidden="1" outlineLevel="1" x14ac:dyDescent="0.25">
      <c r="A140" s="522"/>
      <c r="B140" s="50"/>
      <c r="C140" s="100"/>
      <c r="D140" s="1314" t="s">
        <v>773</v>
      </c>
      <c r="E140" s="1314" t="s">
        <v>765</v>
      </c>
      <c r="F140" s="1295" t="s">
        <v>765</v>
      </c>
      <c r="G140" s="1641">
        <v>0.3</v>
      </c>
      <c r="H140" s="1306" t="s">
        <v>774</v>
      </c>
      <c r="I140" s="1306" t="s">
        <v>775</v>
      </c>
      <c r="J140" s="50"/>
      <c r="K140" s="143"/>
      <c r="L140" s="143"/>
      <c r="M140" s="50"/>
      <c r="N140" s="169"/>
      <c r="O140" s="50"/>
      <c r="P140" s="50"/>
      <c r="Q140" s="50"/>
      <c r="R140" s="50"/>
      <c r="S140" s="50"/>
      <c r="T140" s="50"/>
      <c r="U140" s="50"/>
      <c r="V140" s="1314" t="str">
        <f t="shared" ref="V140:V147" si="16">D140</f>
        <v>WattsEE</v>
      </c>
      <c r="W140" s="1484"/>
      <c r="X140" s="1484"/>
      <c r="Y140" s="1484"/>
      <c r="Z140" s="1484"/>
      <c r="AA140" s="1484"/>
      <c r="AB140" s="137"/>
      <c r="AC140" s="137"/>
      <c r="AD140" s="136"/>
      <c r="AE140" s="136"/>
      <c r="AF140" s="258">
        <f t="shared" si="15"/>
        <v>0.3</v>
      </c>
      <c r="AG140" s="1484"/>
      <c r="DG140" s="50"/>
      <c r="DH140" s="50"/>
      <c r="DI140" s="144"/>
      <c r="DJ140" s="1125"/>
    </row>
    <row r="141" spans="1:114" s="73" customFormat="1" ht="12.95" hidden="1" customHeight="1" outlineLevel="1" x14ac:dyDescent="0.25">
      <c r="A141" s="522"/>
      <c r="B141" s="50"/>
      <c r="C141" s="100"/>
      <c r="D141" s="1314" t="s">
        <v>140</v>
      </c>
      <c r="E141" s="1306" t="s">
        <v>776</v>
      </c>
      <c r="F141" s="1295" t="s">
        <v>777</v>
      </c>
      <c r="G141" s="1643">
        <v>4380</v>
      </c>
      <c r="H141" s="1297" t="s">
        <v>771</v>
      </c>
      <c r="I141" s="1890" t="s">
        <v>778</v>
      </c>
      <c r="J141" s="50"/>
      <c r="K141" s="143"/>
      <c r="L141" s="143"/>
      <c r="M141" s="50"/>
      <c r="N141" s="169"/>
      <c r="O141" s="50"/>
      <c r="P141" s="50"/>
      <c r="Q141" s="50"/>
      <c r="R141" s="50"/>
      <c r="S141" s="50"/>
      <c r="T141" s="50"/>
      <c r="U141" s="50"/>
      <c r="V141" s="1314" t="str">
        <f t="shared" si="16"/>
        <v>Hours</v>
      </c>
      <c r="W141" s="1487"/>
      <c r="X141" s="148"/>
      <c r="Y141" s="148"/>
      <c r="Z141" s="148"/>
      <c r="AA141" s="148"/>
      <c r="AB141" s="149"/>
      <c r="AC141" s="135"/>
      <c r="AD141" s="131"/>
      <c r="AE141" s="131"/>
      <c r="AF141" s="258">
        <f t="shared" si="15"/>
        <v>4380</v>
      </c>
      <c r="AG141" s="1487"/>
      <c r="DG141" s="50"/>
      <c r="DH141" s="50"/>
      <c r="DI141" s="144"/>
      <c r="DJ141" s="1125"/>
    </row>
    <row r="142" spans="1:114" s="73" customFormat="1" hidden="1" outlineLevel="1" x14ac:dyDescent="0.25">
      <c r="A142" s="522"/>
      <c r="B142" s="50"/>
      <c r="C142" s="100"/>
      <c r="D142" s="138">
        <v>1000</v>
      </c>
      <c r="E142" s="744" t="s">
        <v>779</v>
      </c>
      <c r="F142" s="139" t="s">
        <v>591</v>
      </c>
      <c r="G142" s="1664">
        <v>1000</v>
      </c>
      <c r="H142" s="1306" t="s">
        <v>779</v>
      </c>
      <c r="I142" s="1306"/>
      <c r="J142" s="50"/>
      <c r="K142" s="143"/>
      <c r="L142" s="143"/>
      <c r="M142" s="50"/>
      <c r="N142" s="169"/>
      <c r="O142" s="50"/>
      <c r="P142" s="50"/>
      <c r="Q142" s="50"/>
      <c r="R142" s="50"/>
      <c r="S142" s="50"/>
      <c r="T142" s="50"/>
      <c r="U142" s="50"/>
      <c r="V142" s="1314">
        <f t="shared" si="16"/>
        <v>1000</v>
      </c>
      <c r="W142" s="1485"/>
      <c r="X142" s="139"/>
      <c r="Y142" s="139"/>
      <c r="Z142" s="139"/>
      <c r="AA142" s="139"/>
      <c r="AB142" s="139"/>
      <c r="AC142" s="139"/>
      <c r="AD142" s="139"/>
      <c r="AE142" s="139"/>
      <c r="AF142" s="258">
        <f t="shared" si="15"/>
        <v>1000</v>
      </c>
      <c r="AG142" s="1485"/>
      <c r="DG142" s="50"/>
      <c r="DH142" s="50"/>
      <c r="DI142" s="144"/>
      <c r="DJ142" s="1125"/>
    </row>
    <row r="143" spans="1:114" s="73" customFormat="1" ht="14.45" hidden="1" customHeight="1" outlineLevel="1" x14ac:dyDescent="0.25">
      <c r="A143" s="522"/>
      <c r="B143" s="50"/>
      <c r="C143" s="100"/>
      <c r="D143" s="1314" t="s">
        <v>780</v>
      </c>
      <c r="E143" s="744" t="s">
        <v>781</v>
      </c>
      <c r="F143" s="1295" t="s">
        <v>782</v>
      </c>
      <c r="G143" s="1631">
        <v>0.99</v>
      </c>
      <c r="H143" s="1306" t="s">
        <v>783</v>
      </c>
      <c r="I143" s="1306" t="s">
        <v>784</v>
      </c>
      <c r="J143" s="50"/>
      <c r="K143" s="143"/>
      <c r="L143" s="143"/>
      <c r="M143" s="50"/>
      <c r="N143" s="169"/>
      <c r="O143" s="50"/>
      <c r="P143" s="50"/>
      <c r="Q143" s="50"/>
      <c r="R143" s="50"/>
      <c r="S143" s="50"/>
      <c r="T143" s="50"/>
      <c r="U143" s="50"/>
      <c r="V143" s="1314" t="str">
        <f t="shared" si="16"/>
        <v>WHF</v>
      </c>
      <c r="W143" s="1390"/>
      <c r="X143" s="113"/>
      <c r="Y143" s="1295"/>
      <c r="Z143" s="1295"/>
      <c r="AA143" s="1295"/>
      <c r="AB143" s="1295"/>
      <c r="AC143" s="1295"/>
      <c r="AD143" s="1295"/>
      <c r="AE143" s="1295"/>
      <c r="AF143" s="258">
        <f t="shared" si="15"/>
        <v>0.99</v>
      </c>
      <c r="AG143" s="1390"/>
      <c r="DG143" s="50"/>
      <c r="DH143" s="50"/>
      <c r="DI143" s="144"/>
      <c r="DJ143" s="1125"/>
    </row>
    <row r="144" spans="1:114" s="73" customFormat="1" ht="45" hidden="1" outlineLevel="1" x14ac:dyDescent="0.25">
      <c r="A144" s="522"/>
      <c r="B144" s="50"/>
      <c r="C144" s="100"/>
      <c r="D144" s="1306" t="s">
        <v>785</v>
      </c>
      <c r="E144" s="744" t="s">
        <v>786</v>
      </c>
      <c r="F144" s="1295" t="s">
        <v>787</v>
      </c>
      <c r="G144" s="1666">
        <v>0</v>
      </c>
      <c r="H144" s="1306" t="s">
        <v>788</v>
      </c>
      <c r="I144" s="1375" t="s">
        <v>789</v>
      </c>
      <c r="J144" s="393"/>
      <c r="K144" s="525"/>
      <c r="L144" s="525"/>
      <c r="M144" s="50"/>
      <c r="N144" s="169"/>
      <c r="O144" s="50"/>
      <c r="P144" s="50"/>
      <c r="Q144" s="50"/>
      <c r="R144" s="50"/>
      <c r="S144" s="50"/>
      <c r="T144" s="50"/>
      <c r="U144" s="50"/>
      <c r="V144" s="1314" t="str">
        <f t="shared" si="16"/>
        <v>Leakage</v>
      </c>
      <c r="W144" s="1486"/>
      <c r="X144" s="140"/>
      <c r="Y144" s="140"/>
      <c r="Z144" s="140"/>
      <c r="AA144" s="140"/>
      <c r="AB144" s="140"/>
      <c r="AC144" s="761"/>
      <c r="AD144" s="761"/>
      <c r="AE144" s="761"/>
      <c r="AF144" s="258">
        <f t="shared" si="15"/>
        <v>0</v>
      </c>
      <c r="AG144" s="1486"/>
      <c r="DG144" s="50"/>
      <c r="DH144" s="50"/>
      <c r="DI144" s="144"/>
      <c r="DJ144" s="1125"/>
    </row>
    <row r="145" spans="1:114" s="73" customFormat="1" ht="165" hidden="1" outlineLevel="1" x14ac:dyDescent="0.25">
      <c r="A145" s="522"/>
      <c r="B145" s="50"/>
      <c r="C145" s="100"/>
      <c r="D145" s="1314" t="s">
        <v>104</v>
      </c>
      <c r="E145" s="744" t="s">
        <v>679</v>
      </c>
      <c r="F145" s="1295" t="s">
        <v>787</v>
      </c>
      <c r="G145" s="1891">
        <v>0.8</v>
      </c>
      <c r="H145" s="1306" t="s">
        <v>790</v>
      </c>
      <c r="I145" s="1306"/>
      <c r="J145" s="525"/>
      <c r="K145" s="525"/>
      <c r="L145" s="525"/>
      <c r="M145" s="50"/>
      <c r="N145" s="169"/>
      <c r="O145" s="50"/>
      <c r="P145" s="50"/>
      <c r="Q145" s="50"/>
      <c r="R145" s="50"/>
      <c r="S145" s="50"/>
      <c r="T145" s="50"/>
      <c r="U145" s="50"/>
      <c r="V145" s="1314" t="str">
        <f t="shared" si="16"/>
        <v>ISR</v>
      </c>
      <c r="W145" s="292"/>
      <c r="X145" s="142"/>
      <c r="Y145" s="142"/>
      <c r="Z145" s="142"/>
      <c r="AA145" s="142"/>
      <c r="AB145" s="142"/>
      <c r="AC145" s="141"/>
      <c r="AD145" s="141"/>
      <c r="AE145" s="141"/>
      <c r="AF145" s="258">
        <f t="shared" si="15"/>
        <v>0.8</v>
      </c>
      <c r="AG145" s="292"/>
      <c r="DG145" s="50"/>
      <c r="DH145" s="50"/>
      <c r="DI145" s="144"/>
      <c r="DJ145" s="1125"/>
    </row>
    <row r="146" spans="1:114" s="73" customFormat="1" ht="18" hidden="1" customHeight="1" outlineLevel="1" x14ac:dyDescent="0.25">
      <c r="A146" s="522"/>
      <c r="B146" s="561"/>
      <c r="C146" s="127"/>
      <c r="D146" s="1350" t="s">
        <v>791</v>
      </c>
      <c r="E146" s="1350" t="s">
        <v>792</v>
      </c>
      <c r="F146" s="1295" t="s">
        <v>777</v>
      </c>
      <c r="G146" s="1892">
        <v>8</v>
      </c>
      <c r="H146" s="338"/>
      <c r="I146" s="1890" t="s">
        <v>793</v>
      </c>
      <c r="J146" s="525"/>
      <c r="K146" s="270"/>
      <c r="L146" s="270"/>
      <c r="M146" s="588"/>
      <c r="N146" s="270"/>
      <c r="O146" s="270"/>
      <c r="P146" s="270"/>
      <c r="Q146" s="270"/>
      <c r="R146" s="50"/>
      <c r="S146" s="50"/>
      <c r="T146" s="50"/>
      <c r="U146" s="50"/>
      <c r="V146" s="1314" t="str">
        <f t="shared" si="16"/>
        <v xml:space="preserve">EUL </v>
      </c>
      <c r="W146" s="128"/>
      <c r="X146" s="128"/>
      <c r="Y146" s="128"/>
      <c r="Z146" s="128"/>
      <c r="AA146" s="128"/>
      <c r="AB146" s="128"/>
      <c r="AC146" s="128"/>
      <c r="AD146" s="128"/>
      <c r="AE146" s="128"/>
      <c r="AF146" s="258">
        <f t="shared" si="15"/>
        <v>8</v>
      </c>
      <c r="AG146" s="128"/>
      <c r="DG146" s="50"/>
      <c r="DH146" s="50"/>
      <c r="DI146" s="144"/>
      <c r="DJ146" s="1125"/>
    </row>
    <row r="147" spans="1:114" s="73" customFormat="1" ht="30" hidden="1" outlineLevel="1" x14ac:dyDescent="0.25">
      <c r="A147" s="522"/>
      <c r="B147" s="561"/>
      <c r="C147" s="127"/>
      <c r="D147" s="1321" t="s">
        <v>50</v>
      </c>
      <c r="E147" s="1321" t="s">
        <v>682</v>
      </c>
      <c r="F147" s="1295" t="s">
        <v>777</v>
      </c>
      <c r="G147" s="1893">
        <v>3.35</v>
      </c>
      <c r="H147" s="1336" t="s">
        <v>794</v>
      </c>
      <c r="I147" s="1890" t="s">
        <v>795</v>
      </c>
      <c r="J147" s="525"/>
      <c r="K147" s="270"/>
      <c r="L147" s="270"/>
      <c r="M147" s="588"/>
      <c r="N147" s="270"/>
      <c r="O147" s="270"/>
      <c r="P147" s="270"/>
      <c r="Q147" s="270"/>
      <c r="R147" s="50"/>
      <c r="S147" s="50"/>
      <c r="T147" s="50"/>
      <c r="U147" s="50"/>
      <c r="V147" s="1314" t="str">
        <f t="shared" si="16"/>
        <v>Inc. Cost</v>
      </c>
      <c r="W147" s="128"/>
      <c r="X147" s="128"/>
      <c r="Y147" s="128"/>
      <c r="Z147" s="128"/>
      <c r="AA147" s="128"/>
      <c r="AB147" s="128"/>
      <c r="AC147" s="160"/>
      <c r="AD147" s="128"/>
      <c r="AE147" s="128"/>
      <c r="AF147" s="258">
        <f t="shared" si="15"/>
        <v>3.35</v>
      </c>
      <c r="AG147" s="128"/>
      <c r="DG147" s="50"/>
      <c r="DH147" s="50"/>
      <c r="DI147" s="144"/>
      <c r="DJ147" s="1125"/>
    </row>
    <row r="148" spans="1:114" collapsed="1" x14ac:dyDescent="0.25">
      <c r="A148" s="522"/>
      <c r="DJ148" s="1127"/>
    </row>
    <row r="149" spans="1:114" x14ac:dyDescent="0.25">
      <c r="A149" s="522"/>
      <c r="DJ149" s="1127"/>
    </row>
    <row r="150" spans="1:114" x14ac:dyDescent="0.25">
      <c r="A150" s="522"/>
      <c r="DJ150" s="1127"/>
    </row>
    <row r="151" spans="1:114" x14ac:dyDescent="0.25">
      <c r="A151" s="522"/>
      <c r="DJ151" s="1127"/>
    </row>
    <row r="152" spans="1:114" x14ac:dyDescent="0.25">
      <c r="A152" s="522"/>
      <c r="DJ152" s="1127"/>
    </row>
    <row r="153" spans="1:114" x14ac:dyDescent="0.25">
      <c r="A153" s="522"/>
      <c r="DJ153" s="1127"/>
    </row>
    <row r="154" spans="1:114" x14ac:dyDescent="0.25">
      <c r="A154" s="522"/>
      <c r="DJ154" s="1127"/>
    </row>
    <row r="155" spans="1:114" x14ac:dyDescent="0.25">
      <c r="A155" s="522"/>
      <c r="DJ155" s="1127"/>
    </row>
    <row r="156" spans="1:114" x14ac:dyDescent="0.25">
      <c r="A156" s="522"/>
      <c r="DJ156" s="1127"/>
    </row>
    <row r="157" spans="1:114" x14ac:dyDescent="0.25">
      <c r="A157" s="522"/>
      <c r="DJ157" s="1127"/>
    </row>
    <row r="158" spans="1:114" x14ac:dyDescent="0.25">
      <c r="A158" s="522"/>
      <c r="DJ158" s="1127"/>
    </row>
    <row r="159" spans="1:114" x14ac:dyDescent="0.25">
      <c r="A159" s="522"/>
      <c r="DJ159" s="1127"/>
    </row>
    <row r="160" spans="1:114" x14ac:dyDescent="0.25">
      <c r="A160" s="522"/>
      <c r="DJ160" s="1127"/>
    </row>
    <row r="161" spans="1:114" x14ac:dyDescent="0.25">
      <c r="A161" s="522"/>
      <c r="DJ161" s="1127"/>
    </row>
    <row r="162" spans="1:114" x14ac:dyDescent="0.25">
      <c r="A162" s="522"/>
      <c r="DJ162" s="1127"/>
    </row>
    <row r="163" spans="1:114" x14ac:dyDescent="0.25">
      <c r="A163" s="522"/>
      <c r="DJ163" s="1127"/>
    </row>
    <row r="164" spans="1:114" x14ac:dyDescent="0.25">
      <c r="A164" s="522"/>
      <c r="DJ164" s="1127"/>
    </row>
    <row r="165" spans="1:114" x14ac:dyDescent="0.25">
      <c r="A165" s="522"/>
      <c r="DJ165" s="1127"/>
    </row>
    <row r="166" spans="1:114" x14ac:dyDescent="0.25">
      <c r="A166" s="522"/>
      <c r="DJ166" s="1127"/>
    </row>
    <row r="167" spans="1:114" x14ac:dyDescent="0.25">
      <c r="A167" s="522"/>
      <c r="DJ167" s="1127"/>
    </row>
    <row r="168" spans="1:114" x14ac:dyDescent="0.25">
      <c r="A168" s="522"/>
      <c r="DJ168" s="1127"/>
    </row>
    <row r="169" spans="1:114" x14ac:dyDescent="0.25">
      <c r="A169" s="522"/>
      <c r="DJ169" s="1127"/>
    </row>
    <row r="170" spans="1:114" x14ac:dyDescent="0.25">
      <c r="A170" s="522"/>
      <c r="DJ170" s="1127"/>
    </row>
    <row r="171" spans="1:114" x14ac:dyDescent="0.25">
      <c r="A171" s="522"/>
      <c r="DJ171" s="1127"/>
    </row>
    <row r="172" spans="1:114" x14ac:dyDescent="0.25">
      <c r="A172" s="522"/>
      <c r="DJ172" s="1127"/>
    </row>
    <row r="173" spans="1:114" x14ac:dyDescent="0.25">
      <c r="A173" s="522"/>
      <c r="DJ173" s="1127"/>
    </row>
    <row r="174" spans="1:114" x14ac:dyDescent="0.25">
      <c r="A174" s="522"/>
      <c r="DJ174" s="1127"/>
    </row>
    <row r="175" spans="1:114" x14ac:dyDescent="0.25">
      <c r="A175" s="522"/>
      <c r="DJ175" s="1127"/>
    </row>
    <row r="176" spans="1:114" x14ac:dyDescent="0.25">
      <c r="A176" s="522"/>
      <c r="DJ176" s="1127"/>
    </row>
    <row r="177" spans="1:114" x14ac:dyDescent="0.25">
      <c r="A177" s="522"/>
      <c r="DJ177" s="1127"/>
    </row>
    <row r="178" spans="1:114" x14ac:dyDescent="0.25">
      <c r="A178" s="522"/>
      <c r="DJ178" s="1127"/>
    </row>
    <row r="179" spans="1:114" x14ac:dyDescent="0.25">
      <c r="A179" s="522"/>
      <c r="DJ179" s="1127"/>
    </row>
    <row r="180" spans="1:114" x14ac:dyDescent="0.25">
      <c r="A180" s="522"/>
      <c r="DJ180" s="1127"/>
    </row>
    <row r="181" spans="1:114" x14ac:dyDescent="0.25">
      <c r="A181" s="522"/>
      <c r="DJ181" s="1127"/>
    </row>
    <row r="182" spans="1:114" x14ac:dyDescent="0.25">
      <c r="A182" s="522"/>
      <c r="DJ182" s="1127"/>
    </row>
    <row r="183" spans="1:114" x14ac:dyDescent="0.25">
      <c r="A183" s="522"/>
      <c r="DJ183" s="1127"/>
    </row>
    <row r="184" spans="1:114" x14ac:dyDescent="0.25">
      <c r="A184" s="522"/>
      <c r="DJ184" s="1127"/>
    </row>
    <row r="185" spans="1:114" x14ac:dyDescent="0.25">
      <c r="A185" s="522"/>
      <c r="DJ185" s="1127"/>
    </row>
    <row r="186" spans="1:114" x14ac:dyDescent="0.25">
      <c r="A186" s="522"/>
      <c r="DJ186" s="1127"/>
    </row>
    <row r="187" spans="1:114" x14ac:dyDescent="0.25">
      <c r="A187" s="522"/>
      <c r="DJ187" s="1127"/>
    </row>
    <row r="188" spans="1:114" x14ac:dyDescent="0.25">
      <c r="A188" s="522"/>
      <c r="DJ188" s="1127"/>
    </row>
    <row r="189" spans="1:114" x14ac:dyDescent="0.25">
      <c r="A189" s="522"/>
      <c r="DJ189" s="1127"/>
    </row>
    <row r="190" spans="1:114" x14ac:dyDescent="0.25">
      <c r="A190" s="522"/>
      <c r="DJ190" s="1127"/>
    </row>
    <row r="191" spans="1:114" x14ac:dyDescent="0.25">
      <c r="A191" s="522"/>
      <c r="DJ191" s="1127"/>
    </row>
    <row r="192" spans="1:114" x14ac:dyDescent="0.25">
      <c r="A192" s="522"/>
      <c r="DJ192" s="1127"/>
    </row>
    <row r="193" spans="1:114" x14ac:dyDescent="0.25">
      <c r="A193" s="522"/>
      <c r="DJ193" s="1127"/>
    </row>
    <row r="194" spans="1:114" x14ac:dyDescent="0.25">
      <c r="A194" s="522"/>
      <c r="DJ194" s="1127"/>
    </row>
    <row r="195" spans="1:114" x14ac:dyDescent="0.25">
      <c r="A195" s="522"/>
      <c r="DJ195" s="1127"/>
    </row>
    <row r="196" spans="1:114" x14ac:dyDescent="0.25">
      <c r="A196" s="522"/>
      <c r="DJ196" s="1127"/>
    </row>
    <row r="197" spans="1:114" x14ac:dyDescent="0.25">
      <c r="A197" s="522"/>
      <c r="DJ197" s="1127"/>
    </row>
    <row r="198" spans="1:114" x14ac:dyDescent="0.25">
      <c r="A198" s="522"/>
      <c r="DJ198" s="1127"/>
    </row>
    <row r="199" spans="1:114" x14ac:dyDescent="0.25">
      <c r="A199" s="522"/>
      <c r="DJ199" s="1127"/>
    </row>
    <row r="200" spans="1:114" x14ac:dyDescent="0.25">
      <c r="A200" s="522"/>
      <c r="DJ200" s="1127"/>
    </row>
    <row r="201" spans="1:114" x14ac:dyDescent="0.25">
      <c r="A201" s="522"/>
      <c r="DJ201" s="1127"/>
    </row>
    <row r="202" spans="1:114" x14ac:dyDescent="0.25">
      <c r="A202" s="522"/>
      <c r="DJ202" s="1127"/>
    </row>
    <row r="203" spans="1:114" x14ac:dyDescent="0.25">
      <c r="A203" s="522"/>
      <c r="DJ203" s="1127"/>
    </row>
    <row r="204" spans="1:114" x14ac:dyDescent="0.25">
      <c r="A204" s="522"/>
      <c r="DJ204" s="1127"/>
    </row>
    <row r="205" spans="1:114" x14ac:dyDescent="0.25">
      <c r="A205" s="522"/>
      <c r="DJ205" s="1127"/>
    </row>
    <row r="206" spans="1:114" x14ac:dyDescent="0.25">
      <c r="A206" s="522"/>
      <c r="DJ206" s="1127"/>
    </row>
    <row r="207" spans="1:114" x14ac:dyDescent="0.25">
      <c r="A207" s="522"/>
      <c r="DJ207" s="1127"/>
    </row>
    <row r="208" spans="1:114" x14ac:dyDescent="0.25">
      <c r="A208" s="522"/>
      <c r="DJ208" s="1127"/>
    </row>
    <row r="209" spans="1:114" x14ac:dyDescent="0.25">
      <c r="A209" s="522"/>
      <c r="DJ209" s="1127"/>
    </row>
    <row r="210" spans="1:114" x14ac:dyDescent="0.25">
      <c r="A210" s="522"/>
      <c r="DJ210" s="1127"/>
    </row>
    <row r="211" spans="1:114" x14ac:dyDescent="0.25">
      <c r="A211" s="522"/>
      <c r="DJ211" s="1127"/>
    </row>
    <row r="212" spans="1:114" x14ac:dyDescent="0.25">
      <c r="A212" s="522"/>
      <c r="DJ212" s="1127"/>
    </row>
    <row r="213" spans="1:114" x14ac:dyDescent="0.25">
      <c r="A213" s="522"/>
      <c r="DJ213" s="1127"/>
    </row>
    <row r="214" spans="1:114" x14ac:dyDescent="0.25">
      <c r="A214" s="522"/>
      <c r="DJ214" s="1127"/>
    </row>
    <row r="215" spans="1:114" x14ac:dyDescent="0.25">
      <c r="A215" s="522"/>
      <c r="DJ215" s="1127"/>
    </row>
    <row r="216" spans="1:114" x14ac:dyDescent="0.25">
      <c r="A216" s="522"/>
      <c r="DJ216" s="1127"/>
    </row>
    <row r="217" spans="1:114" x14ac:dyDescent="0.25">
      <c r="A217" s="522"/>
      <c r="DJ217" s="1127"/>
    </row>
    <row r="218" spans="1:114" x14ac:dyDescent="0.25">
      <c r="A218" s="522"/>
      <c r="DJ218" s="1127"/>
    </row>
    <row r="219" spans="1:114" x14ac:dyDescent="0.25">
      <c r="A219" s="522"/>
      <c r="DJ219" s="1127"/>
    </row>
    <row r="220" spans="1:114" x14ac:dyDescent="0.25">
      <c r="A220" s="522"/>
      <c r="DJ220" s="1127"/>
    </row>
    <row r="221" spans="1:114" x14ac:dyDescent="0.25">
      <c r="A221" s="522"/>
      <c r="DJ221" s="1127"/>
    </row>
    <row r="222" spans="1:114" x14ac:dyDescent="0.25">
      <c r="A222" s="522"/>
      <c r="DJ222" s="1127"/>
    </row>
    <row r="223" spans="1:114" x14ac:dyDescent="0.25">
      <c r="A223" s="522"/>
      <c r="DJ223" s="1127"/>
    </row>
    <row r="224" spans="1:114" x14ac:dyDescent="0.25">
      <c r="A224" s="522"/>
      <c r="DJ224" s="1127"/>
    </row>
    <row r="225" spans="1:114" x14ac:dyDescent="0.25">
      <c r="A225" s="522"/>
      <c r="DJ225" s="1127"/>
    </row>
    <row r="226" spans="1:114" x14ac:dyDescent="0.25">
      <c r="A226" s="522"/>
      <c r="DJ226" s="1127"/>
    </row>
    <row r="227" spans="1:114" x14ac:dyDescent="0.25">
      <c r="A227" s="522"/>
      <c r="DJ227" s="1127"/>
    </row>
    <row r="228" spans="1:114" x14ac:dyDescent="0.25">
      <c r="A228" s="522"/>
      <c r="DJ228" s="1127"/>
    </row>
    <row r="229" spans="1:114" x14ac:dyDescent="0.25">
      <c r="A229" s="522"/>
      <c r="DJ229" s="1127"/>
    </row>
    <row r="230" spans="1:114" x14ac:dyDescent="0.25">
      <c r="A230" s="522"/>
      <c r="DJ230" s="1127"/>
    </row>
    <row r="231" spans="1:114" x14ac:dyDescent="0.25">
      <c r="A231" s="522"/>
      <c r="DJ231" s="1127"/>
    </row>
    <row r="232" spans="1:114" x14ac:dyDescent="0.25">
      <c r="A232" s="522"/>
      <c r="DJ232" s="1127"/>
    </row>
    <row r="233" spans="1:114" x14ac:dyDescent="0.25">
      <c r="A233" s="522"/>
      <c r="DJ233" s="1127"/>
    </row>
    <row r="234" spans="1:114" x14ac:dyDescent="0.25">
      <c r="A234" s="522"/>
      <c r="DJ234" s="1127"/>
    </row>
    <row r="235" spans="1:114" x14ac:dyDescent="0.25">
      <c r="A235" s="522"/>
      <c r="DJ235" s="1127"/>
    </row>
    <row r="236" spans="1:114" x14ac:dyDescent="0.25">
      <c r="A236" s="522"/>
      <c r="DJ236" s="1127"/>
    </row>
    <row r="237" spans="1:114" x14ac:dyDescent="0.25">
      <c r="A237" s="522"/>
      <c r="DJ237" s="1127"/>
    </row>
    <row r="238" spans="1:114" x14ac:dyDescent="0.25">
      <c r="A238" s="522"/>
      <c r="DJ238" s="1127"/>
    </row>
    <row r="239" spans="1:114" x14ac:dyDescent="0.25">
      <c r="A239" s="522"/>
      <c r="DJ239" s="1127"/>
    </row>
    <row r="240" spans="1:114" x14ac:dyDescent="0.25">
      <c r="A240" s="522"/>
      <c r="DJ240" s="1127"/>
    </row>
    <row r="241" spans="1:114" x14ac:dyDescent="0.25">
      <c r="A241" s="522"/>
      <c r="DJ241" s="1127"/>
    </row>
    <row r="242" spans="1:114" x14ac:dyDescent="0.25">
      <c r="A242" s="522"/>
      <c r="DJ242" s="1127"/>
    </row>
    <row r="243" spans="1:114" x14ac:dyDescent="0.25">
      <c r="A243" s="522"/>
      <c r="DJ243" s="1127"/>
    </row>
    <row r="244" spans="1:114" x14ac:dyDescent="0.25">
      <c r="A244" s="522"/>
      <c r="DJ244" s="1127"/>
    </row>
    <row r="245" spans="1:114" x14ac:dyDescent="0.25">
      <c r="A245" s="522"/>
      <c r="DJ245" s="1127"/>
    </row>
    <row r="246" spans="1:114" x14ac:dyDescent="0.25">
      <c r="A246" s="522"/>
      <c r="DJ246" s="1127"/>
    </row>
    <row r="247" spans="1:114" x14ac:dyDescent="0.25">
      <c r="A247" s="522"/>
      <c r="DJ247" s="1127"/>
    </row>
    <row r="248" spans="1:114" x14ac:dyDescent="0.25">
      <c r="A248" s="522"/>
      <c r="DJ248" s="1127"/>
    </row>
    <row r="249" spans="1:114" x14ac:dyDescent="0.25">
      <c r="A249" s="522"/>
      <c r="DJ249" s="1127"/>
    </row>
    <row r="250" spans="1:114" x14ac:dyDescent="0.25">
      <c r="A250" s="522"/>
    </row>
    <row r="251" spans="1:114" x14ac:dyDescent="0.25">
      <c r="A251" s="522"/>
    </row>
    <row r="252" spans="1:114" x14ac:dyDescent="0.25">
      <c r="A252" s="522"/>
    </row>
    <row r="253" spans="1:114" x14ac:dyDescent="0.25">
      <c r="A253" s="522"/>
    </row>
    <row r="254" spans="1:114" x14ac:dyDescent="0.25">
      <c r="A254" s="522"/>
    </row>
    <row r="255" spans="1:114" x14ac:dyDescent="0.25">
      <c r="A255" s="522"/>
    </row>
    <row r="256" spans="1:114" x14ac:dyDescent="0.25">
      <c r="A256" s="522"/>
    </row>
    <row r="257" spans="1:1" x14ac:dyDescent="0.25">
      <c r="A257" s="522"/>
    </row>
    <row r="258" spans="1:1" x14ac:dyDescent="0.25">
      <c r="A258" s="522"/>
    </row>
    <row r="259" spans="1:1" x14ac:dyDescent="0.25">
      <c r="A259" s="522"/>
    </row>
    <row r="260" spans="1:1" x14ac:dyDescent="0.25">
      <c r="A260" s="522"/>
    </row>
    <row r="261" spans="1:1" x14ac:dyDescent="0.25">
      <c r="A261" s="522"/>
    </row>
    <row r="262" spans="1:1" x14ac:dyDescent="0.25">
      <c r="A262" s="522"/>
    </row>
    <row r="263" spans="1:1" x14ac:dyDescent="0.25">
      <c r="A263" s="522"/>
    </row>
    <row r="264" spans="1:1" x14ac:dyDescent="0.25">
      <c r="A264" s="522"/>
    </row>
    <row r="265" spans="1:1" x14ac:dyDescent="0.25">
      <c r="A265" s="522"/>
    </row>
    <row r="266" spans="1:1" x14ac:dyDescent="0.25">
      <c r="A266" s="522"/>
    </row>
    <row r="267" spans="1:1" x14ac:dyDescent="0.25">
      <c r="A267" s="522"/>
    </row>
    <row r="268" spans="1:1" x14ac:dyDescent="0.25">
      <c r="A268" s="522"/>
    </row>
    <row r="269" spans="1:1" x14ac:dyDescent="0.25">
      <c r="A269" s="522"/>
    </row>
    <row r="270" spans="1:1" x14ac:dyDescent="0.25">
      <c r="A270" s="522"/>
    </row>
    <row r="271" spans="1:1" x14ac:dyDescent="0.25">
      <c r="A271" s="522"/>
    </row>
    <row r="272" spans="1:1" x14ac:dyDescent="0.25">
      <c r="A272" s="522"/>
    </row>
    <row r="273" spans="1:1" x14ac:dyDescent="0.25">
      <c r="A273" s="522"/>
    </row>
    <row r="274" spans="1:1" x14ac:dyDescent="0.25">
      <c r="A274" s="522"/>
    </row>
    <row r="275" spans="1:1" x14ac:dyDescent="0.25">
      <c r="A275" s="522"/>
    </row>
    <row r="276" spans="1:1" x14ac:dyDescent="0.25">
      <c r="A276" s="522"/>
    </row>
    <row r="277" spans="1:1" x14ac:dyDescent="0.25">
      <c r="A277" s="522"/>
    </row>
    <row r="278" spans="1:1" x14ac:dyDescent="0.25">
      <c r="A278" s="522"/>
    </row>
    <row r="279" spans="1:1" x14ac:dyDescent="0.25">
      <c r="A279" s="522"/>
    </row>
    <row r="280" spans="1:1" x14ac:dyDescent="0.25">
      <c r="A280" s="522"/>
    </row>
    <row r="281" spans="1:1" x14ac:dyDescent="0.25">
      <c r="A281" s="522"/>
    </row>
    <row r="282" spans="1:1" x14ac:dyDescent="0.25">
      <c r="A282" s="522"/>
    </row>
    <row r="283" spans="1:1" x14ac:dyDescent="0.25">
      <c r="A283" s="522"/>
    </row>
    <row r="284" spans="1:1" x14ac:dyDescent="0.25">
      <c r="A284" s="522"/>
    </row>
    <row r="285" spans="1:1" x14ac:dyDescent="0.25">
      <c r="A285" s="522"/>
    </row>
    <row r="286" spans="1:1" x14ac:dyDescent="0.25">
      <c r="A286" s="522"/>
    </row>
    <row r="287" spans="1:1" x14ac:dyDescent="0.25">
      <c r="A287" s="522"/>
    </row>
    <row r="288" spans="1:1" x14ac:dyDescent="0.25">
      <c r="A288" s="522"/>
    </row>
    <row r="289" spans="1:1" x14ac:dyDescent="0.25">
      <c r="A289" s="522"/>
    </row>
    <row r="290" spans="1:1" x14ac:dyDescent="0.25">
      <c r="A290" s="522"/>
    </row>
    <row r="291" spans="1:1" x14ac:dyDescent="0.25">
      <c r="A291" s="522"/>
    </row>
    <row r="292" spans="1:1" x14ac:dyDescent="0.25">
      <c r="A292" s="522"/>
    </row>
    <row r="293" spans="1:1" x14ac:dyDescent="0.25">
      <c r="A293" s="522"/>
    </row>
    <row r="294" spans="1:1" x14ac:dyDescent="0.25">
      <c r="A294" s="522"/>
    </row>
    <row r="295" spans="1:1" x14ac:dyDescent="0.25">
      <c r="A295" s="522"/>
    </row>
    <row r="296" spans="1:1" x14ac:dyDescent="0.25">
      <c r="A296" s="522"/>
    </row>
    <row r="297" spans="1:1" x14ac:dyDescent="0.25">
      <c r="A297" s="522"/>
    </row>
    <row r="298" spans="1:1" x14ac:dyDescent="0.25">
      <c r="A298" s="522"/>
    </row>
    <row r="299" spans="1:1" x14ac:dyDescent="0.25">
      <c r="A299" s="522"/>
    </row>
    <row r="300" spans="1:1" x14ac:dyDescent="0.25">
      <c r="A300" s="522"/>
    </row>
    <row r="301" spans="1:1" x14ac:dyDescent="0.25">
      <c r="A301" s="522"/>
    </row>
    <row r="302" spans="1:1" x14ac:dyDescent="0.25">
      <c r="A302" s="522"/>
    </row>
    <row r="303" spans="1:1" x14ac:dyDescent="0.25">
      <c r="A303" s="522"/>
    </row>
    <row r="304" spans="1:1" x14ac:dyDescent="0.25">
      <c r="A304" s="522"/>
    </row>
    <row r="305" spans="1:1" x14ac:dyDescent="0.25">
      <c r="A305" s="522"/>
    </row>
    <row r="306" spans="1:1" x14ac:dyDescent="0.25">
      <c r="A306" s="522"/>
    </row>
    <row r="307" spans="1:1" x14ac:dyDescent="0.25">
      <c r="A307" s="522"/>
    </row>
    <row r="308" spans="1:1" x14ac:dyDescent="0.25">
      <c r="A308" s="522"/>
    </row>
    <row r="309" spans="1:1" x14ac:dyDescent="0.25">
      <c r="A309" s="522"/>
    </row>
    <row r="310" spans="1:1" x14ac:dyDescent="0.25">
      <c r="A310" s="522"/>
    </row>
    <row r="311" spans="1:1" x14ac:dyDescent="0.25">
      <c r="A311" s="522"/>
    </row>
    <row r="312" spans="1:1" x14ac:dyDescent="0.25">
      <c r="A312" s="522"/>
    </row>
    <row r="313" spans="1:1" x14ac:dyDescent="0.25">
      <c r="A313" s="522"/>
    </row>
    <row r="314" spans="1:1" x14ac:dyDescent="0.25">
      <c r="A314" s="522"/>
    </row>
    <row r="315" spans="1:1" x14ac:dyDescent="0.25">
      <c r="A315" s="522"/>
    </row>
    <row r="316" spans="1:1" x14ac:dyDescent="0.25">
      <c r="A316" s="522"/>
    </row>
    <row r="317" spans="1:1" x14ac:dyDescent="0.25">
      <c r="A317" s="522"/>
    </row>
    <row r="318" spans="1:1" x14ac:dyDescent="0.25">
      <c r="A318" s="522"/>
    </row>
    <row r="319" spans="1:1" x14ac:dyDescent="0.25">
      <c r="A319" s="522"/>
    </row>
    <row r="320" spans="1:1" x14ac:dyDescent="0.25">
      <c r="A320" s="522"/>
    </row>
    <row r="321" spans="1:1" x14ac:dyDescent="0.25">
      <c r="A321" s="522"/>
    </row>
    <row r="322" spans="1:1" x14ac:dyDescent="0.25">
      <c r="A322" s="522"/>
    </row>
    <row r="323" spans="1:1" x14ac:dyDescent="0.25">
      <c r="A323" s="522"/>
    </row>
    <row r="324" spans="1:1" x14ac:dyDescent="0.25">
      <c r="A324" s="522"/>
    </row>
    <row r="325" spans="1:1" x14ac:dyDescent="0.25">
      <c r="A325" s="522"/>
    </row>
    <row r="326" spans="1:1" x14ac:dyDescent="0.25">
      <c r="A326" s="522"/>
    </row>
    <row r="327" spans="1:1" x14ac:dyDescent="0.25">
      <c r="A327" s="522"/>
    </row>
    <row r="328" spans="1:1" x14ac:dyDescent="0.25">
      <c r="A328" s="522"/>
    </row>
    <row r="329" spans="1:1" x14ac:dyDescent="0.25">
      <c r="A329" s="522"/>
    </row>
    <row r="330" spans="1:1" x14ac:dyDescent="0.25">
      <c r="A330" s="522"/>
    </row>
    <row r="331" spans="1:1" x14ac:dyDescent="0.25">
      <c r="A331" s="522"/>
    </row>
    <row r="332" spans="1:1" x14ac:dyDescent="0.25">
      <c r="A332" s="522"/>
    </row>
    <row r="333" spans="1:1" x14ac:dyDescent="0.25">
      <c r="A333" s="522"/>
    </row>
    <row r="334" spans="1:1" x14ac:dyDescent="0.25">
      <c r="A334" s="522"/>
    </row>
    <row r="335" spans="1:1" x14ac:dyDescent="0.25">
      <c r="A335" s="522"/>
    </row>
    <row r="336" spans="1:1" x14ac:dyDescent="0.25">
      <c r="A336" s="522"/>
    </row>
    <row r="337" spans="1:1" x14ac:dyDescent="0.25">
      <c r="A337" s="522"/>
    </row>
    <row r="338" spans="1:1" x14ac:dyDescent="0.25">
      <c r="A338" s="522"/>
    </row>
    <row r="339" spans="1:1" x14ac:dyDescent="0.25">
      <c r="A339" s="522"/>
    </row>
    <row r="340" spans="1:1" x14ac:dyDescent="0.25">
      <c r="A340" s="522"/>
    </row>
    <row r="341" spans="1:1" x14ac:dyDescent="0.25">
      <c r="A341" s="522"/>
    </row>
    <row r="342" spans="1:1" x14ac:dyDescent="0.25">
      <c r="A342" s="522"/>
    </row>
    <row r="343" spans="1:1" x14ac:dyDescent="0.25">
      <c r="A343" s="522"/>
    </row>
    <row r="344" spans="1:1" x14ac:dyDescent="0.25">
      <c r="A344" s="522"/>
    </row>
    <row r="345" spans="1:1" x14ac:dyDescent="0.25">
      <c r="A345" s="522"/>
    </row>
    <row r="346" spans="1:1" x14ac:dyDescent="0.25">
      <c r="A346" s="522"/>
    </row>
    <row r="347" spans="1:1" x14ac:dyDescent="0.25">
      <c r="A347" s="522"/>
    </row>
    <row r="348" spans="1:1" x14ac:dyDescent="0.25">
      <c r="A348" s="522"/>
    </row>
    <row r="349" spans="1:1" x14ac:dyDescent="0.25">
      <c r="A349" s="522"/>
    </row>
    <row r="350" spans="1:1" x14ac:dyDescent="0.25">
      <c r="A350" s="522"/>
    </row>
    <row r="351" spans="1:1" x14ac:dyDescent="0.25">
      <c r="A351" s="522"/>
    </row>
    <row r="352" spans="1:1" x14ac:dyDescent="0.25">
      <c r="A352" s="522"/>
    </row>
    <row r="353" spans="1:1" x14ac:dyDescent="0.25">
      <c r="A353" s="522"/>
    </row>
    <row r="354" spans="1:1" x14ac:dyDescent="0.25">
      <c r="A354" s="522"/>
    </row>
    <row r="355" spans="1:1" x14ac:dyDescent="0.25">
      <c r="A355" s="522"/>
    </row>
    <row r="356" spans="1:1" x14ac:dyDescent="0.25">
      <c r="A356" s="522"/>
    </row>
    <row r="357" spans="1:1" x14ac:dyDescent="0.25">
      <c r="A357" s="522"/>
    </row>
    <row r="358" spans="1:1" x14ac:dyDescent="0.25">
      <c r="A358" s="522"/>
    </row>
    <row r="359" spans="1:1" x14ac:dyDescent="0.25">
      <c r="A359" s="522"/>
    </row>
    <row r="360" spans="1:1" x14ac:dyDescent="0.25">
      <c r="A360" s="522"/>
    </row>
    <row r="361" spans="1:1" x14ac:dyDescent="0.25">
      <c r="A361" s="522"/>
    </row>
    <row r="362" spans="1:1" x14ac:dyDescent="0.25">
      <c r="A362" s="522"/>
    </row>
    <row r="363" spans="1:1" x14ac:dyDescent="0.25">
      <c r="A363" s="522"/>
    </row>
    <row r="364" spans="1:1" x14ac:dyDescent="0.25">
      <c r="A364" s="522"/>
    </row>
    <row r="365" spans="1:1" x14ac:dyDescent="0.25">
      <c r="A365" s="522"/>
    </row>
    <row r="366" spans="1:1" x14ac:dyDescent="0.25">
      <c r="A366" s="522"/>
    </row>
    <row r="367" spans="1:1" x14ac:dyDescent="0.25">
      <c r="A367" s="522"/>
    </row>
    <row r="368" spans="1:1" x14ac:dyDescent="0.25">
      <c r="A368" s="522"/>
    </row>
    <row r="369" spans="1:1" x14ac:dyDescent="0.25">
      <c r="A369" s="522"/>
    </row>
    <row r="370" spans="1:1" x14ac:dyDescent="0.25">
      <c r="A370" s="522"/>
    </row>
    <row r="371" spans="1:1" x14ac:dyDescent="0.25">
      <c r="A371" s="522"/>
    </row>
    <row r="372" spans="1:1" x14ac:dyDescent="0.25">
      <c r="A372" s="522"/>
    </row>
    <row r="373" spans="1:1" x14ac:dyDescent="0.25">
      <c r="A373" s="522"/>
    </row>
    <row r="374" spans="1:1" x14ac:dyDescent="0.25">
      <c r="A374" s="522"/>
    </row>
    <row r="375" spans="1:1" x14ac:dyDescent="0.25">
      <c r="A375" s="522"/>
    </row>
    <row r="376" spans="1:1" x14ac:dyDescent="0.25">
      <c r="A376" s="522"/>
    </row>
    <row r="377" spans="1:1" x14ac:dyDescent="0.25">
      <c r="A377" s="522"/>
    </row>
    <row r="378" spans="1:1" x14ac:dyDescent="0.25">
      <c r="A378" s="522"/>
    </row>
    <row r="379" spans="1:1" x14ac:dyDescent="0.25">
      <c r="A379" s="522"/>
    </row>
    <row r="380" spans="1:1" x14ac:dyDescent="0.25">
      <c r="A380" s="522"/>
    </row>
    <row r="381" spans="1:1" x14ac:dyDescent="0.25">
      <c r="A381" s="522"/>
    </row>
    <row r="382" spans="1:1" x14ac:dyDescent="0.25">
      <c r="A382" s="522"/>
    </row>
    <row r="383" spans="1:1" x14ac:dyDescent="0.25">
      <c r="A383" s="522"/>
    </row>
    <row r="384" spans="1:1" x14ac:dyDescent="0.25">
      <c r="A384" s="522"/>
    </row>
    <row r="385" spans="1:1" x14ac:dyDescent="0.25">
      <c r="A385" s="522"/>
    </row>
    <row r="386" spans="1:1" x14ac:dyDescent="0.25">
      <c r="A386" s="522"/>
    </row>
    <row r="387" spans="1:1" x14ac:dyDescent="0.25">
      <c r="A387" s="522"/>
    </row>
    <row r="388" spans="1:1" x14ac:dyDescent="0.25">
      <c r="A388" s="522"/>
    </row>
    <row r="389" spans="1:1" x14ac:dyDescent="0.25">
      <c r="A389" s="522"/>
    </row>
    <row r="390" spans="1:1" x14ac:dyDescent="0.25">
      <c r="A390" s="522"/>
    </row>
    <row r="391" spans="1:1" x14ac:dyDescent="0.25">
      <c r="A391" s="522"/>
    </row>
    <row r="392" spans="1:1" x14ac:dyDescent="0.25">
      <c r="A392" s="522"/>
    </row>
    <row r="393" spans="1:1" x14ac:dyDescent="0.25">
      <c r="A393" s="522"/>
    </row>
    <row r="394" spans="1:1" x14ac:dyDescent="0.25">
      <c r="A394" s="522"/>
    </row>
    <row r="395" spans="1:1" x14ac:dyDescent="0.25">
      <c r="A395" s="522"/>
    </row>
    <row r="396" spans="1:1" x14ac:dyDescent="0.25">
      <c r="A396" s="522"/>
    </row>
    <row r="397" spans="1:1" x14ac:dyDescent="0.25">
      <c r="A397" s="522"/>
    </row>
    <row r="398" spans="1:1" x14ac:dyDescent="0.25">
      <c r="A398" s="522"/>
    </row>
    <row r="399" spans="1:1" x14ac:dyDescent="0.25">
      <c r="A399" s="522"/>
    </row>
    <row r="400" spans="1:1" x14ac:dyDescent="0.25">
      <c r="A400" s="522"/>
    </row>
    <row r="401" spans="1:1" x14ac:dyDescent="0.25">
      <c r="A401" s="522"/>
    </row>
    <row r="402" spans="1:1" x14ac:dyDescent="0.25">
      <c r="A402" s="522"/>
    </row>
    <row r="403" spans="1:1" x14ac:dyDescent="0.25">
      <c r="A403" s="522"/>
    </row>
    <row r="404" spans="1:1" x14ac:dyDescent="0.25">
      <c r="A404" s="522"/>
    </row>
    <row r="405" spans="1:1" x14ac:dyDescent="0.25">
      <c r="A405" s="522"/>
    </row>
    <row r="406" spans="1:1" x14ac:dyDescent="0.25">
      <c r="A406" s="522"/>
    </row>
    <row r="407" spans="1:1" x14ac:dyDescent="0.25">
      <c r="A407" s="522"/>
    </row>
    <row r="408" spans="1:1" x14ac:dyDescent="0.25">
      <c r="A408" s="522"/>
    </row>
    <row r="409" spans="1:1" x14ac:dyDescent="0.25">
      <c r="A409" s="522"/>
    </row>
    <row r="410" spans="1:1" x14ac:dyDescent="0.25">
      <c r="A410" s="522"/>
    </row>
    <row r="411" spans="1:1" x14ac:dyDescent="0.25">
      <c r="A411" s="522"/>
    </row>
    <row r="412" spans="1:1" x14ac:dyDescent="0.25">
      <c r="A412" s="522"/>
    </row>
    <row r="413" spans="1:1" x14ac:dyDescent="0.25">
      <c r="A413" s="522"/>
    </row>
    <row r="414" spans="1:1" x14ac:dyDescent="0.25">
      <c r="A414" s="522"/>
    </row>
    <row r="415" spans="1:1" x14ac:dyDescent="0.25">
      <c r="A415" s="522"/>
    </row>
    <row r="416" spans="1:1" x14ac:dyDescent="0.25">
      <c r="A416" s="522"/>
    </row>
    <row r="417" spans="1:1" x14ac:dyDescent="0.25">
      <c r="A417" s="522"/>
    </row>
    <row r="418" spans="1:1" x14ac:dyDescent="0.25">
      <c r="A418" s="522"/>
    </row>
    <row r="419" spans="1:1" x14ac:dyDescent="0.25">
      <c r="A419" s="522"/>
    </row>
    <row r="420" spans="1:1" x14ac:dyDescent="0.25">
      <c r="A420" s="522"/>
    </row>
    <row r="421" spans="1:1" x14ac:dyDescent="0.25">
      <c r="A421" s="522"/>
    </row>
    <row r="422" spans="1:1" x14ac:dyDescent="0.25">
      <c r="A422" s="522"/>
    </row>
    <row r="423" spans="1:1" x14ac:dyDescent="0.25">
      <c r="A423" s="522"/>
    </row>
    <row r="424" spans="1:1" x14ac:dyDescent="0.25">
      <c r="A424" s="522"/>
    </row>
    <row r="425" spans="1:1" x14ac:dyDescent="0.25">
      <c r="A425" s="522"/>
    </row>
    <row r="426" spans="1:1" x14ac:dyDescent="0.25">
      <c r="A426" s="522"/>
    </row>
    <row r="427" spans="1:1" x14ac:dyDescent="0.25">
      <c r="A427" s="522"/>
    </row>
    <row r="428" spans="1:1" x14ac:dyDescent="0.25">
      <c r="A428" s="522"/>
    </row>
    <row r="429" spans="1:1" x14ac:dyDescent="0.25">
      <c r="A429" s="522"/>
    </row>
    <row r="430" spans="1:1" x14ac:dyDescent="0.25">
      <c r="A430" s="522"/>
    </row>
    <row r="431" spans="1:1" x14ac:dyDescent="0.25">
      <c r="A431" s="522"/>
    </row>
    <row r="432" spans="1:1" x14ac:dyDescent="0.25">
      <c r="A432" s="522"/>
    </row>
    <row r="433" spans="1:1" x14ac:dyDescent="0.25">
      <c r="A433" s="522"/>
    </row>
    <row r="434" spans="1:1" x14ac:dyDescent="0.25">
      <c r="A434" s="522"/>
    </row>
    <row r="435" spans="1:1" x14ac:dyDescent="0.25">
      <c r="A435" s="522"/>
    </row>
    <row r="436" spans="1:1" x14ac:dyDescent="0.25">
      <c r="A436" s="522"/>
    </row>
    <row r="437" spans="1:1" x14ac:dyDescent="0.25">
      <c r="A437" s="522"/>
    </row>
    <row r="438" spans="1:1" x14ac:dyDescent="0.25">
      <c r="A438" s="522"/>
    </row>
    <row r="439" spans="1:1" x14ac:dyDescent="0.25">
      <c r="A439" s="522"/>
    </row>
    <row r="440" spans="1:1" x14ac:dyDescent="0.25">
      <c r="A440" s="522"/>
    </row>
    <row r="441" spans="1:1" x14ac:dyDescent="0.25">
      <c r="A441" s="522"/>
    </row>
    <row r="442" spans="1:1" x14ac:dyDescent="0.25">
      <c r="A442" s="522"/>
    </row>
    <row r="443" spans="1:1" x14ac:dyDescent="0.25">
      <c r="A443" s="522"/>
    </row>
    <row r="444" spans="1:1" x14ac:dyDescent="0.25">
      <c r="A444" s="522"/>
    </row>
    <row r="445" spans="1:1" x14ac:dyDescent="0.25">
      <c r="A445" s="522"/>
    </row>
    <row r="446" spans="1:1" x14ac:dyDescent="0.25">
      <c r="A446" s="522"/>
    </row>
    <row r="447" spans="1:1" x14ac:dyDescent="0.25">
      <c r="A447" s="522"/>
    </row>
    <row r="448" spans="1:1" x14ac:dyDescent="0.25">
      <c r="A448" s="522"/>
    </row>
    <row r="449" spans="1:1" x14ac:dyDescent="0.25">
      <c r="A449" s="522"/>
    </row>
    <row r="450" spans="1:1" x14ac:dyDescent="0.25">
      <c r="A450" s="522"/>
    </row>
    <row r="451" spans="1:1" x14ac:dyDescent="0.25">
      <c r="A451" s="522"/>
    </row>
    <row r="452" spans="1:1" x14ac:dyDescent="0.25">
      <c r="A452" s="522"/>
    </row>
    <row r="453" spans="1:1" x14ac:dyDescent="0.25">
      <c r="A453" s="522"/>
    </row>
    <row r="454" spans="1:1" x14ac:dyDescent="0.25">
      <c r="A454" s="522"/>
    </row>
    <row r="455" spans="1:1" x14ac:dyDescent="0.25">
      <c r="A455" s="522"/>
    </row>
    <row r="456" spans="1:1" x14ac:dyDescent="0.25">
      <c r="A456" s="522"/>
    </row>
    <row r="457" spans="1:1" x14ac:dyDescent="0.25">
      <c r="A457" s="522"/>
    </row>
    <row r="458" spans="1:1" x14ac:dyDescent="0.25">
      <c r="A458" s="522"/>
    </row>
    <row r="459" spans="1:1" x14ac:dyDescent="0.25">
      <c r="A459" s="522"/>
    </row>
    <row r="460" spans="1:1" x14ac:dyDescent="0.25">
      <c r="A460" s="522"/>
    </row>
    <row r="461" spans="1:1" x14ac:dyDescent="0.25">
      <c r="A461" s="522"/>
    </row>
    <row r="462" spans="1:1" x14ac:dyDescent="0.25">
      <c r="A462" s="522"/>
    </row>
    <row r="463" spans="1:1" x14ac:dyDescent="0.25">
      <c r="A463" s="522"/>
    </row>
    <row r="464" spans="1:1" x14ac:dyDescent="0.25">
      <c r="A464" s="522"/>
    </row>
    <row r="465" spans="1:1" x14ac:dyDescent="0.25">
      <c r="A465" s="522"/>
    </row>
    <row r="466" spans="1:1" x14ac:dyDescent="0.25">
      <c r="A466" s="522"/>
    </row>
    <row r="467" spans="1:1" x14ac:dyDescent="0.25">
      <c r="A467" s="522"/>
    </row>
    <row r="468" spans="1:1" x14ac:dyDescent="0.25">
      <c r="A468" s="522"/>
    </row>
    <row r="469" spans="1:1" x14ac:dyDescent="0.25">
      <c r="A469" s="522"/>
    </row>
    <row r="470" spans="1:1" x14ac:dyDescent="0.25">
      <c r="A470" s="522"/>
    </row>
    <row r="471" spans="1:1" x14ac:dyDescent="0.25">
      <c r="A471" s="522"/>
    </row>
    <row r="472" spans="1:1" x14ac:dyDescent="0.25">
      <c r="A472" s="522"/>
    </row>
    <row r="473" spans="1:1" x14ac:dyDescent="0.25">
      <c r="A473" s="522"/>
    </row>
    <row r="474" spans="1:1" x14ac:dyDescent="0.25">
      <c r="A474" s="522"/>
    </row>
    <row r="475" spans="1:1" x14ac:dyDescent="0.25">
      <c r="A475" s="522"/>
    </row>
    <row r="476" spans="1:1" x14ac:dyDescent="0.25">
      <c r="A476" s="522"/>
    </row>
    <row r="477" spans="1:1" x14ac:dyDescent="0.25">
      <c r="A477" s="522"/>
    </row>
    <row r="478" spans="1:1" x14ac:dyDescent="0.25">
      <c r="A478" s="522"/>
    </row>
    <row r="479" spans="1:1" x14ac:dyDescent="0.25">
      <c r="A479" s="522"/>
    </row>
    <row r="480" spans="1:1" x14ac:dyDescent="0.25">
      <c r="A480" s="522"/>
    </row>
    <row r="481" spans="1:1" x14ac:dyDescent="0.25">
      <c r="A481" s="522"/>
    </row>
    <row r="482" spans="1:1" x14ac:dyDescent="0.25">
      <c r="A482" s="522"/>
    </row>
    <row r="483" spans="1:1" x14ac:dyDescent="0.25">
      <c r="A483" s="522"/>
    </row>
    <row r="484" spans="1:1" x14ac:dyDescent="0.25">
      <c r="A484" s="522"/>
    </row>
    <row r="485" spans="1:1" x14ac:dyDescent="0.25">
      <c r="A485" s="522"/>
    </row>
    <row r="486" spans="1:1" x14ac:dyDescent="0.25">
      <c r="A486" s="522"/>
    </row>
    <row r="487" spans="1:1" x14ac:dyDescent="0.25">
      <c r="A487" s="522"/>
    </row>
    <row r="488" spans="1:1" x14ac:dyDescent="0.25">
      <c r="A488" s="522"/>
    </row>
    <row r="489" spans="1:1" x14ac:dyDescent="0.25">
      <c r="A489" s="522"/>
    </row>
    <row r="490" spans="1:1" x14ac:dyDescent="0.25">
      <c r="A490" s="522"/>
    </row>
    <row r="491" spans="1:1" x14ac:dyDescent="0.25">
      <c r="A491" s="522"/>
    </row>
    <row r="492" spans="1:1" x14ac:dyDescent="0.25">
      <c r="A492" s="522"/>
    </row>
    <row r="493" spans="1:1" x14ac:dyDescent="0.25">
      <c r="A493" s="522"/>
    </row>
    <row r="494" spans="1:1" x14ac:dyDescent="0.25">
      <c r="A494" s="522"/>
    </row>
    <row r="495" spans="1:1" x14ac:dyDescent="0.25">
      <c r="A495" s="522"/>
    </row>
    <row r="496" spans="1:1" x14ac:dyDescent="0.25">
      <c r="A496" s="522"/>
    </row>
    <row r="497" spans="1:1" x14ac:dyDescent="0.25">
      <c r="A497" s="522"/>
    </row>
    <row r="498" spans="1:1" x14ac:dyDescent="0.25">
      <c r="A498" s="522"/>
    </row>
    <row r="499" spans="1:1" x14ac:dyDescent="0.25">
      <c r="A499" s="522"/>
    </row>
    <row r="500" spans="1:1" x14ac:dyDescent="0.25">
      <c r="A500" s="522"/>
    </row>
    <row r="501" spans="1:1" x14ac:dyDescent="0.25">
      <c r="A501" s="522"/>
    </row>
    <row r="502" spans="1:1" x14ac:dyDescent="0.25">
      <c r="A502" s="522"/>
    </row>
    <row r="503" spans="1:1" x14ac:dyDescent="0.25">
      <c r="A503" s="522"/>
    </row>
    <row r="504" spans="1:1" x14ac:dyDescent="0.25">
      <c r="A504" s="522"/>
    </row>
    <row r="505" spans="1:1" x14ac:dyDescent="0.25">
      <c r="A505" s="522"/>
    </row>
    <row r="506" spans="1:1" x14ac:dyDescent="0.25">
      <c r="A506" s="522"/>
    </row>
    <row r="507" spans="1:1" x14ac:dyDescent="0.25">
      <c r="A507" s="522"/>
    </row>
    <row r="508" spans="1:1" x14ac:dyDescent="0.25">
      <c r="A508" s="522"/>
    </row>
    <row r="509" spans="1:1" x14ac:dyDescent="0.25">
      <c r="A509" s="522"/>
    </row>
    <row r="510" spans="1:1" x14ac:dyDescent="0.25">
      <c r="A510" s="522"/>
    </row>
    <row r="511" spans="1:1" x14ac:dyDescent="0.25">
      <c r="A511" s="522"/>
    </row>
    <row r="512" spans="1:1" x14ac:dyDescent="0.25">
      <c r="A512" s="522"/>
    </row>
    <row r="513" spans="1:1" x14ac:dyDescent="0.25">
      <c r="A513" s="522"/>
    </row>
    <row r="514" spans="1:1" x14ac:dyDescent="0.25">
      <c r="A514" s="522"/>
    </row>
    <row r="515" spans="1:1" x14ac:dyDescent="0.25">
      <c r="A515" s="522"/>
    </row>
    <row r="516" spans="1:1" x14ac:dyDescent="0.25">
      <c r="A516" s="522"/>
    </row>
    <row r="517" spans="1:1" x14ac:dyDescent="0.25">
      <c r="A517" s="522"/>
    </row>
    <row r="518" spans="1:1" x14ac:dyDescent="0.25">
      <c r="A518" s="522"/>
    </row>
    <row r="519" spans="1:1" x14ac:dyDescent="0.25">
      <c r="A519" s="522"/>
    </row>
    <row r="520" spans="1:1" x14ac:dyDescent="0.25">
      <c r="A520" s="522"/>
    </row>
    <row r="521" spans="1:1" x14ac:dyDescent="0.25">
      <c r="A521" s="522"/>
    </row>
    <row r="522" spans="1:1" x14ac:dyDescent="0.25">
      <c r="A522" s="522"/>
    </row>
    <row r="523" spans="1:1" x14ac:dyDescent="0.25">
      <c r="A523" s="522"/>
    </row>
    <row r="524" spans="1:1" x14ac:dyDescent="0.25">
      <c r="A524" s="522"/>
    </row>
    <row r="525" spans="1:1" x14ac:dyDescent="0.25">
      <c r="A525" s="522"/>
    </row>
    <row r="526" spans="1:1" x14ac:dyDescent="0.25">
      <c r="A526" s="522"/>
    </row>
    <row r="527" spans="1:1" x14ac:dyDescent="0.25">
      <c r="A527" s="522"/>
    </row>
    <row r="528" spans="1:1" x14ac:dyDescent="0.25">
      <c r="A528" s="522"/>
    </row>
    <row r="529" spans="1:1" x14ac:dyDescent="0.25">
      <c r="A529" s="522"/>
    </row>
    <row r="530" spans="1:1" x14ac:dyDescent="0.25">
      <c r="A530" s="522"/>
    </row>
    <row r="531" spans="1:1" x14ac:dyDescent="0.25">
      <c r="A531" s="522"/>
    </row>
    <row r="532" spans="1:1" x14ac:dyDescent="0.25">
      <c r="A532" s="522"/>
    </row>
    <row r="533" spans="1:1" x14ac:dyDescent="0.25">
      <c r="A533" s="522"/>
    </row>
    <row r="534" spans="1:1" x14ac:dyDescent="0.25">
      <c r="A534" s="522"/>
    </row>
    <row r="535" spans="1:1" x14ac:dyDescent="0.25">
      <c r="A535" s="522"/>
    </row>
    <row r="536" spans="1:1" x14ac:dyDescent="0.25">
      <c r="A536" s="522"/>
    </row>
    <row r="537" spans="1:1" x14ac:dyDescent="0.25">
      <c r="A537" s="522"/>
    </row>
    <row r="538" spans="1:1" x14ac:dyDescent="0.25">
      <c r="A538" s="522"/>
    </row>
    <row r="539" spans="1:1" x14ac:dyDescent="0.25">
      <c r="A539" s="522"/>
    </row>
    <row r="540" spans="1:1" x14ac:dyDescent="0.25">
      <c r="A540" s="522"/>
    </row>
    <row r="541" spans="1:1" x14ac:dyDescent="0.25">
      <c r="A541" s="522"/>
    </row>
    <row r="542" spans="1:1" x14ac:dyDescent="0.25">
      <c r="A542" s="522"/>
    </row>
    <row r="543" spans="1:1" x14ac:dyDescent="0.25">
      <c r="A543" s="522"/>
    </row>
    <row r="544" spans="1:1" x14ac:dyDescent="0.25">
      <c r="A544" s="522"/>
    </row>
    <row r="545" spans="1:1" x14ac:dyDescent="0.25">
      <c r="A545" s="522"/>
    </row>
    <row r="546" spans="1:1" x14ac:dyDescent="0.25">
      <c r="A546" s="522"/>
    </row>
    <row r="547" spans="1:1" x14ac:dyDescent="0.25">
      <c r="A547" s="522"/>
    </row>
    <row r="548" spans="1:1" x14ac:dyDescent="0.25">
      <c r="A548" s="522"/>
    </row>
    <row r="549" spans="1:1" x14ac:dyDescent="0.25">
      <c r="A549" s="522"/>
    </row>
    <row r="550" spans="1:1" x14ac:dyDescent="0.25">
      <c r="A550" s="522"/>
    </row>
    <row r="551" spans="1:1" x14ac:dyDescent="0.25">
      <c r="A551" s="522"/>
    </row>
    <row r="552" spans="1:1" x14ac:dyDescent="0.25">
      <c r="A552" s="522"/>
    </row>
    <row r="553" spans="1:1" x14ac:dyDescent="0.25">
      <c r="A553" s="522"/>
    </row>
    <row r="554" spans="1:1" x14ac:dyDescent="0.25">
      <c r="A554" s="522"/>
    </row>
    <row r="555" spans="1:1" x14ac:dyDescent="0.25">
      <c r="A555" s="522"/>
    </row>
    <row r="556" spans="1:1" x14ac:dyDescent="0.25">
      <c r="A556" s="522"/>
    </row>
    <row r="557" spans="1:1" x14ac:dyDescent="0.25">
      <c r="A557" s="522"/>
    </row>
    <row r="558" spans="1:1" x14ac:dyDescent="0.25">
      <c r="A558" s="522"/>
    </row>
    <row r="559" spans="1:1" x14ac:dyDescent="0.25">
      <c r="A559" s="522"/>
    </row>
    <row r="560" spans="1:1" x14ac:dyDescent="0.25">
      <c r="A560" s="522"/>
    </row>
    <row r="561" spans="1:1" x14ac:dyDescent="0.25">
      <c r="A561" s="522"/>
    </row>
    <row r="562" spans="1:1" x14ac:dyDescent="0.25">
      <c r="A562" s="522"/>
    </row>
    <row r="563" spans="1:1" x14ac:dyDescent="0.25">
      <c r="A563" s="522"/>
    </row>
    <row r="564" spans="1:1" x14ac:dyDescent="0.25">
      <c r="A564" s="522"/>
    </row>
    <row r="565" spans="1:1" x14ac:dyDescent="0.25">
      <c r="A565" s="522"/>
    </row>
    <row r="566" spans="1:1" x14ac:dyDescent="0.25">
      <c r="A566" s="522"/>
    </row>
    <row r="567" spans="1:1" x14ac:dyDescent="0.25">
      <c r="A567" s="522"/>
    </row>
    <row r="568" spans="1:1" x14ac:dyDescent="0.25">
      <c r="A568" s="522"/>
    </row>
    <row r="569" spans="1:1" x14ac:dyDescent="0.25">
      <c r="A569" s="522"/>
    </row>
    <row r="570" spans="1:1" x14ac:dyDescent="0.25">
      <c r="A570" s="522"/>
    </row>
    <row r="571" spans="1:1" x14ac:dyDescent="0.25">
      <c r="A571" s="522"/>
    </row>
    <row r="572" spans="1:1" x14ac:dyDescent="0.25">
      <c r="A572" s="522"/>
    </row>
    <row r="573" spans="1:1" x14ac:dyDescent="0.25">
      <c r="A573" s="522"/>
    </row>
    <row r="574" spans="1:1" x14ac:dyDescent="0.25">
      <c r="A574" s="522"/>
    </row>
    <row r="575" spans="1:1" x14ac:dyDescent="0.25">
      <c r="A575" s="522"/>
    </row>
    <row r="576" spans="1:1" x14ac:dyDescent="0.25">
      <c r="A576" s="522"/>
    </row>
    <row r="577" spans="1:1" x14ac:dyDescent="0.25">
      <c r="A577" s="522"/>
    </row>
    <row r="578" spans="1:1" x14ac:dyDescent="0.25">
      <c r="A578" s="522"/>
    </row>
    <row r="579" spans="1:1" x14ac:dyDescent="0.25">
      <c r="A579" s="522"/>
    </row>
    <row r="580" spans="1:1" x14ac:dyDescent="0.25">
      <c r="A580" s="522"/>
    </row>
    <row r="581" spans="1:1" x14ac:dyDescent="0.25">
      <c r="A581" s="522"/>
    </row>
    <row r="582" spans="1:1" x14ac:dyDescent="0.25">
      <c r="A582" s="522"/>
    </row>
    <row r="583" spans="1:1" x14ac:dyDescent="0.25">
      <c r="A583" s="522"/>
    </row>
    <row r="584" spans="1:1" x14ac:dyDescent="0.25">
      <c r="A584" s="522"/>
    </row>
    <row r="585" spans="1:1" x14ac:dyDescent="0.25">
      <c r="A585" s="522"/>
    </row>
    <row r="586" spans="1:1" x14ac:dyDescent="0.25">
      <c r="A586" s="522"/>
    </row>
    <row r="587" spans="1:1" x14ac:dyDescent="0.25">
      <c r="A587" s="522"/>
    </row>
    <row r="588" spans="1:1" x14ac:dyDescent="0.25">
      <c r="A588" s="522"/>
    </row>
    <row r="589" spans="1:1" x14ac:dyDescent="0.25">
      <c r="A589" s="522"/>
    </row>
    <row r="590" spans="1:1" x14ac:dyDescent="0.25">
      <c r="A590" s="522"/>
    </row>
    <row r="591" spans="1:1" x14ac:dyDescent="0.25">
      <c r="A591" s="522"/>
    </row>
    <row r="592" spans="1:1" x14ac:dyDescent="0.25">
      <c r="A592" s="522"/>
    </row>
    <row r="593" spans="1:1" x14ac:dyDescent="0.25">
      <c r="A593" s="522"/>
    </row>
    <row r="594" spans="1:1" x14ac:dyDescent="0.25">
      <c r="A594" s="522"/>
    </row>
    <row r="595" spans="1:1" x14ac:dyDescent="0.25">
      <c r="A595" s="522"/>
    </row>
    <row r="596" spans="1:1" x14ac:dyDescent="0.25">
      <c r="A596" s="522"/>
    </row>
    <row r="597" spans="1:1" x14ac:dyDescent="0.25">
      <c r="A597" s="522"/>
    </row>
    <row r="598" spans="1:1" x14ac:dyDescent="0.25">
      <c r="A598" s="522"/>
    </row>
    <row r="599" spans="1:1" x14ac:dyDescent="0.25">
      <c r="A599" s="522"/>
    </row>
    <row r="600" spans="1:1" x14ac:dyDescent="0.25">
      <c r="A600" s="522"/>
    </row>
    <row r="601" spans="1:1" x14ac:dyDescent="0.25">
      <c r="A601" s="522"/>
    </row>
    <row r="602" spans="1:1" x14ac:dyDescent="0.25">
      <c r="A602" s="522"/>
    </row>
    <row r="603" spans="1:1" x14ac:dyDescent="0.25">
      <c r="A603" s="522"/>
    </row>
    <row r="604" spans="1:1" x14ac:dyDescent="0.25">
      <c r="A604" s="522"/>
    </row>
    <row r="605" spans="1:1" x14ac:dyDescent="0.25">
      <c r="A605" s="522"/>
    </row>
    <row r="606" spans="1:1" x14ac:dyDescent="0.25">
      <c r="A606" s="522"/>
    </row>
    <row r="607" spans="1:1" x14ac:dyDescent="0.25">
      <c r="A607" s="522"/>
    </row>
    <row r="608" spans="1:1" x14ac:dyDescent="0.25">
      <c r="A608" s="522"/>
    </row>
    <row r="609" spans="1:1" x14ac:dyDescent="0.25">
      <c r="A609" s="522"/>
    </row>
    <row r="610" spans="1:1" x14ac:dyDescent="0.25">
      <c r="A610" s="522"/>
    </row>
    <row r="611" spans="1:1" x14ac:dyDescent="0.25">
      <c r="A611" s="522"/>
    </row>
    <row r="612" spans="1:1" x14ac:dyDescent="0.25">
      <c r="A612" s="522"/>
    </row>
    <row r="613" spans="1:1" x14ac:dyDescent="0.25">
      <c r="A613" s="522"/>
    </row>
    <row r="614" spans="1:1" x14ac:dyDescent="0.25">
      <c r="A614" s="522"/>
    </row>
    <row r="615" spans="1:1" x14ac:dyDescent="0.25">
      <c r="A615" s="522"/>
    </row>
    <row r="616" spans="1:1" x14ac:dyDescent="0.25">
      <c r="A616" s="522"/>
    </row>
    <row r="617" spans="1:1" x14ac:dyDescent="0.25">
      <c r="A617" s="522"/>
    </row>
    <row r="618" spans="1:1" x14ac:dyDescent="0.25">
      <c r="A618" s="522"/>
    </row>
    <row r="619" spans="1:1" x14ac:dyDescent="0.25">
      <c r="A619" s="522"/>
    </row>
    <row r="620" spans="1:1" x14ac:dyDescent="0.25">
      <c r="A620" s="522"/>
    </row>
    <row r="621" spans="1:1" x14ac:dyDescent="0.25">
      <c r="A621" s="522"/>
    </row>
    <row r="622" spans="1:1" x14ac:dyDescent="0.25">
      <c r="A622" s="522"/>
    </row>
    <row r="623" spans="1:1" x14ac:dyDescent="0.25">
      <c r="A623" s="522"/>
    </row>
    <row r="624" spans="1:1" x14ac:dyDescent="0.25">
      <c r="A624" s="522"/>
    </row>
    <row r="625" spans="1:1" x14ac:dyDescent="0.25">
      <c r="A625" s="522"/>
    </row>
    <row r="626" spans="1:1" x14ac:dyDescent="0.25">
      <c r="A626" s="522"/>
    </row>
    <row r="627" spans="1:1" x14ac:dyDescent="0.25">
      <c r="A627" s="522"/>
    </row>
    <row r="628" spans="1:1" x14ac:dyDescent="0.25">
      <c r="A628" s="522"/>
    </row>
    <row r="629" spans="1:1" x14ac:dyDescent="0.25">
      <c r="A629" s="522"/>
    </row>
    <row r="630" spans="1:1" x14ac:dyDescent="0.25">
      <c r="A630" s="522"/>
    </row>
    <row r="631" spans="1:1" x14ac:dyDescent="0.25">
      <c r="A631" s="522"/>
    </row>
    <row r="632" spans="1:1" x14ac:dyDescent="0.25">
      <c r="A632" s="522"/>
    </row>
    <row r="633" spans="1:1" x14ac:dyDescent="0.25">
      <c r="A633" s="522"/>
    </row>
    <row r="634" spans="1:1" x14ac:dyDescent="0.25">
      <c r="A634" s="522"/>
    </row>
    <row r="635" spans="1:1" x14ac:dyDescent="0.25">
      <c r="A635" s="522"/>
    </row>
    <row r="636" spans="1:1" x14ac:dyDescent="0.25">
      <c r="A636" s="522"/>
    </row>
    <row r="637" spans="1:1" x14ac:dyDescent="0.25">
      <c r="A637" s="522"/>
    </row>
    <row r="638" spans="1:1" x14ac:dyDescent="0.25">
      <c r="A638" s="522"/>
    </row>
    <row r="639" spans="1:1" x14ac:dyDescent="0.25">
      <c r="A639" s="522"/>
    </row>
    <row r="640" spans="1:1" x14ac:dyDescent="0.25">
      <c r="A640" s="522"/>
    </row>
    <row r="641" spans="1:1" x14ac:dyDescent="0.25">
      <c r="A641" s="522"/>
    </row>
    <row r="642" spans="1:1" x14ac:dyDescent="0.25">
      <c r="A642" s="522"/>
    </row>
    <row r="643" spans="1:1" x14ac:dyDescent="0.25">
      <c r="A643" s="522"/>
    </row>
    <row r="644" spans="1:1" x14ac:dyDescent="0.25">
      <c r="A644" s="522"/>
    </row>
    <row r="645" spans="1:1" x14ac:dyDescent="0.25">
      <c r="A645" s="522"/>
    </row>
    <row r="646" spans="1:1" x14ac:dyDescent="0.25">
      <c r="A646" s="522"/>
    </row>
    <row r="647" spans="1:1" x14ac:dyDescent="0.25">
      <c r="A647" s="522"/>
    </row>
    <row r="648" spans="1:1" x14ac:dyDescent="0.25">
      <c r="A648" s="522"/>
    </row>
    <row r="649" spans="1:1" x14ac:dyDescent="0.25">
      <c r="A649" s="522"/>
    </row>
    <row r="650" spans="1:1" x14ac:dyDescent="0.25">
      <c r="A650" s="522"/>
    </row>
    <row r="651" spans="1:1" x14ac:dyDescent="0.25">
      <c r="A651" s="522"/>
    </row>
    <row r="652" spans="1:1" x14ac:dyDescent="0.25">
      <c r="A652" s="522"/>
    </row>
    <row r="653" spans="1:1" x14ac:dyDescent="0.25">
      <c r="A653" s="522"/>
    </row>
    <row r="654" spans="1:1" x14ac:dyDescent="0.25">
      <c r="A654" s="522"/>
    </row>
    <row r="655" spans="1:1" x14ac:dyDescent="0.25">
      <c r="A655" s="522"/>
    </row>
    <row r="656" spans="1:1" x14ac:dyDescent="0.25">
      <c r="A656" s="522"/>
    </row>
    <row r="657" spans="1:1" x14ac:dyDescent="0.25">
      <c r="A657" s="522"/>
    </row>
    <row r="658" spans="1:1" x14ac:dyDescent="0.25">
      <c r="A658" s="522"/>
    </row>
    <row r="659" spans="1:1" x14ac:dyDescent="0.25">
      <c r="A659" s="522"/>
    </row>
    <row r="660" spans="1:1" x14ac:dyDescent="0.25">
      <c r="A660" s="522"/>
    </row>
    <row r="661" spans="1:1" x14ac:dyDescent="0.25">
      <c r="A661" s="522"/>
    </row>
    <row r="662" spans="1:1" x14ac:dyDescent="0.25">
      <c r="A662" s="522"/>
    </row>
    <row r="663" spans="1:1" x14ac:dyDescent="0.25">
      <c r="A663" s="522"/>
    </row>
    <row r="664" spans="1:1" x14ac:dyDescent="0.25">
      <c r="A664" s="522"/>
    </row>
    <row r="665" spans="1:1" x14ac:dyDescent="0.25">
      <c r="A665" s="522"/>
    </row>
    <row r="666" spans="1:1" x14ac:dyDescent="0.25">
      <c r="A666" s="522"/>
    </row>
    <row r="667" spans="1:1" x14ac:dyDescent="0.25">
      <c r="A667" s="522"/>
    </row>
    <row r="668" spans="1:1" x14ac:dyDescent="0.25">
      <c r="A668" s="522"/>
    </row>
    <row r="669" spans="1:1" x14ac:dyDescent="0.25">
      <c r="A669" s="522"/>
    </row>
    <row r="670" spans="1:1" x14ac:dyDescent="0.25">
      <c r="A670" s="522"/>
    </row>
    <row r="671" spans="1:1" x14ac:dyDescent="0.25">
      <c r="A671" s="522"/>
    </row>
    <row r="672" spans="1:1" x14ac:dyDescent="0.25">
      <c r="A672" s="522"/>
    </row>
    <row r="673" spans="1:1" x14ac:dyDescent="0.25">
      <c r="A673" s="522"/>
    </row>
    <row r="674" spans="1:1" x14ac:dyDescent="0.25">
      <c r="A674" s="522"/>
    </row>
    <row r="675" spans="1:1" x14ac:dyDescent="0.25">
      <c r="A675" s="522"/>
    </row>
    <row r="676" spans="1:1" x14ac:dyDescent="0.25">
      <c r="A676" s="522"/>
    </row>
    <row r="677" spans="1:1" x14ac:dyDescent="0.25">
      <c r="A677" s="522"/>
    </row>
    <row r="678" spans="1:1" x14ac:dyDescent="0.25">
      <c r="A678" s="522"/>
    </row>
    <row r="679" spans="1:1" x14ac:dyDescent="0.25">
      <c r="A679" s="522"/>
    </row>
    <row r="680" spans="1:1" x14ac:dyDescent="0.25">
      <c r="A680" s="522"/>
    </row>
    <row r="681" spans="1:1" x14ac:dyDescent="0.25">
      <c r="A681" s="522"/>
    </row>
    <row r="682" spans="1:1" x14ac:dyDescent="0.25">
      <c r="A682" s="522"/>
    </row>
    <row r="683" spans="1:1" x14ac:dyDescent="0.25">
      <c r="A683" s="522"/>
    </row>
    <row r="684" spans="1:1" x14ac:dyDescent="0.25">
      <c r="A684" s="522"/>
    </row>
    <row r="685" spans="1:1" x14ac:dyDescent="0.25">
      <c r="A685" s="522"/>
    </row>
    <row r="686" spans="1:1" x14ac:dyDescent="0.25">
      <c r="A686" s="522"/>
    </row>
    <row r="687" spans="1:1" x14ac:dyDescent="0.25">
      <c r="A687" s="522"/>
    </row>
    <row r="688" spans="1:1" x14ac:dyDescent="0.25">
      <c r="A688" s="522"/>
    </row>
    <row r="689" spans="1:1" x14ac:dyDescent="0.25">
      <c r="A689" s="522"/>
    </row>
    <row r="690" spans="1:1" x14ac:dyDescent="0.25">
      <c r="A690" s="522"/>
    </row>
    <row r="691" spans="1:1" x14ac:dyDescent="0.25">
      <c r="A691" s="522"/>
    </row>
    <row r="692" spans="1:1" x14ac:dyDescent="0.25">
      <c r="A692" s="522"/>
    </row>
    <row r="693" spans="1:1" x14ac:dyDescent="0.25">
      <c r="A693" s="522"/>
    </row>
    <row r="694" spans="1:1" x14ac:dyDescent="0.25">
      <c r="A694" s="522"/>
    </row>
    <row r="695" spans="1:1" x14ac:dyDescent="0.25">
      <c r="A695" s="522"/>
    </row>
    <row r="696" spans="1:1" x14ac:dyDescent="0.25">
      <c r="A696" s="522"/>
    </row>
    <row r="697" spans="1:1" x14ac:dyDescent="0.25">
      <c r="A697" s="522"/>
    </row>
    <row r="698" spans="1:1" x14ac:dyDescent="0.25">
      <c r="A698" s="522"/>
    </row>
    <row r="699" spans="1:1" x14ac:dyDescent="0.25">
      <c r="A699" s="522"/>
    </row>
    <row r="700" spans="1:1" x14ac:dyDescent="0.25">
      <c r="A700" s="522"/>
    </row>
    <row r="701" spans="1:1" x14ac:dyDescent="0.25">
      <c r="A701" s="522"/>
    </row>
    <row r="702" spans="1:1" x14ac:dyDescent="0.25">
      <c r="A702" s="522"/>
    </row>
    <row r="703" spans="1:1" x14ac:dyDescent="0.25">
      <c r="A703" s="522"/>
    </row>
    <row r="704" spans="1:1" x14ac:dyDescent="0.25">
      <c r="A704" s="522"/>
    </row>
    <row r="705" spans="1:1" x14ac:dyDescent="0.25">
      <c r="A705" s="522"/>
    </row>
    <row r="706" spans="1:1" x14ac:dyDescent="0.25">
      <c r="A706" s="522"/>
    </row>
    <row r="707" spans="1:1" x14ac:dyDescent="0.25">
      <c r="A707" s="522"/>
    </row>
    <row r="708" spans="1:1" x14ac:dyDescent="0.25">
      <c r="A708" s="522"/>
    </row>
    <row r="709" spans="1:1" x14ac:dyDescent="0.25">
      <c r="A709" s="522"/>
    </row>
    <row r="710" spans="1:1" x14ac:dyDescent="0.25">
      <c r="A710" s="522"/>
    </row>
    <row r="711" spans="1:1" x14ac:dyDescent="0.25">
      <c r="A711" s="522"/>
    </row>
    <row r="712" spans="1:1" x14ac:dyDescent="0.25">
      <c r="A712" s="522"/>
    </row>
    <row r="713" spans="1:1" x14ac:dyDescent="0.25">
      <c r="A713" s="522"/>
    </row>
    <row r="714" spans="1:1" x14ac:dyDescent="0.25">
      <c r="A714" s="522"/>
    </row>
    <row r="715" spans="1:1" x14ac:dyDescent="0.25">
      <c r="A715" s="522"/>
    </row>
    <row r="716" spans="1:1" x14ac:dyDescent="0.25">
      <c r="A716" s="522"/>
    </row>
    <row r="717" spans="1:1" x14ac:dyDescent="0.25">
      <c r="A717" s="522"/>
    </row>
    <row r="718" spans="1:1" x14ac:dyDescent="0.25">
      <c r="A718" s="522"/>
    </row>
    <row r="719" spans="1:1" x14ac:dyDescent="0.25">
      <c r="A719" s="522"/>
    </row>
    <row r="720" spans="1:1" x14ac:dyDescent="0.25">
      <c r="A720" s="522"/>
    </row>
    <row r="721" spans="1:1" x14ac:dyDescent="0.25">
      <c r="A721" s="522"/>
    </row>
    <row r="722" spans="1:1" x14ac:dyDescent="0.25">
      <c r="A722" s="522"/>
    </row>
    <row r="723" spans="1:1" x14ac:dyDescent="0.25">
      <c r="A723" s="522"/>
    </row>
    <row r="724" spans="1:1" x14ac:dyDescent="0.25">
      <c r="A724" s="522"/>
    </row>
    <row r="725" spans="1:1" x14ac:dyDescent="0.25">
      <c r="A725" s="522"/>
    </row>
    <row r="726" spans="1:1" x14ac:dyDescent="0.25">
      <c r="A726" s="522"/>
    </row>
    <row r="727" spans="1:1" x14ac:dyDescent="0.25">
      <c r="A727" s="522"/>
    </row>
    <row r="728" spans="1:1" x14ac:dyDescent="0.25">
      <c r="A728" s="522"/>
    </row>
    <row r="729" spans="1:1" x14ac:dyDescent="0.25">
      <c r="A729" s="522"/>
    </row>
    <row r="730" spans="1:1" x14ac:dyDescent="0.25">
      <c r="A730" s="522"/>
    </row>
    <row r="731" spans="1:1" x14ac:dyDescent="0.25">
      <c r="A731" s="522"/>
    </row>
    <row r="732" spans="1:1" x14ac:dyDescent="0.25">
      <c r="A732" s="522"/>
    </row>
    <row r="733" spans="1:1" x14ac:dyDescent="0.25">
      <c r="A733" s="522"/>
    </row>
    <row r="734" spans="1:1" x14ac:dyDescent="0.25">
      <c r="A734" s="522"/>
    </row>
    <row r="735" spans="1:1" x14ac:dyDescent="0.25">
      <c r="A735" s="522"/>
    </row>
    <row r="736" spans="1:1" x14ac:dyDescent="0.25">
      <c r="A736" s="522"/>
    </row>
    <row r="737" spans="1:1" x14ac:dyDescent="0.25">
      <c r="A737" s="522"/>
    </row>
    <row r="738" spans="1:1" x14ac:dyDescent="0.25">
      <c r="A738" s="522"/>
    </row>
    <row r="739" spans="1:1" x14ac:dyDescent="0.25">
      <c r="A739" s="522"/>
    </row>
    <row r="740" spans="1:1" x14ac:dyDescent="0.25">
      <c r="A740" s="522"/>
    </row>
    <row r="741" spans="1:1" x14ac:dyDescent="0.25">
      <c r="A741" s="522"/>
    </row>
    <row r="742" spans="1:1" x14ac:dyDescent="0.25">
      <c r="A742" s="522"/>
    </row>
    <row r="743" spans="1:1" x14ac:dyDescent="0.25">
      <c r="A743" s="522"/>
    </row>
    <row r="744" spans="1:1" x14ac:dyDescent="0.25">
      <c r="A744" s="522"/>
    </row>
    <row r="745" spans="1:1" x14ac:dyDescent="0.25">
      <c r="A745" s="522"/>
    </row>
    <row r="746" spans="1:1" x14ac:dyDescent="0.25">
      <c r="A746" s="522"/>
    </row>
    <row r="747" spans="1:1" x14ac:dyDescent="0.25">
      <c r="A747" s="522"/>
    </row>
    <row r="748" spans="1:1" x14ac:dyDescent="0.25">
      <c r="A748" s="522"/>
    </row>
    <row r="749" spans="1:1" x14ac:dyDescent="0.25">
      <c r="A749" s="522"/>
    </row>
    <row r="750" spans="1:1" x14ac:dyDescent="0.25">
      <c r="A750" s="522"/>
    </row>
    <row r="751" spans="1:1" x14ac:dyDescent="0.25">
      <c r="A751" s="522"/>
    </row>
    <row r="752" spans="1:1" x14ac:dyDescent="0.25">
      <c r="A752" s="522"/>
    </row>
    <row r="753" spans="1:1" x14ac:dyDescent="0.25">
      <c r="A753" s="522"/>
    </row>
    <row r="754" spans="1:1" x14ac:dyDescent="0.25">
      <c r="A754" s="522"/>
    </row>
    <row r="755" spans="1:1" x14ac:dyDescent="0.25">
      <c r="A755" s="522"/>
    </row>
    <row r="756" spans="1:1" x14ac:dyDescent="0.25">
      <c r="A756" s="522"/>
    </row>
    <row r="757" spans="1:1" x14ac:dyDescent="0.25">
      <c r="A757" s="522"/>
    </row>
    <row r="758" spans="1:1" x14ac:dyDescent="0.25">
      <c r="A758" s="522"/>
    </row>
    <row r="759" spans="1:1" x14ac:dyDescent="0.25">
      <c r="A759" s="522"/>
    </row>
    <row r="760" spans="1:1" x14ac:dyDescent="0.25">
      <c r="A760" s="522"/>
    </row>
    <row r="761" spans="1:1" x14ac:dyDescent="0.25">
      <c r="A761" s="522"/>
    </row>
    <row r="762" spans="1:1" x14ac:dyDescent="0.25">
      <c r="A762" s="522"/>
    </row>
    <row r="763" spans="1:1" x14ac:dyDescent="0.25">
      <c r="A763" s="522"/>
    </row>
    <row r="764" spans="1:1" x14ac:dyDescent="0.25">
      <c r="A764" s="522"/>
    </row>
    <row r="765" spans="1:1" x14ac:dyDescent="0.25">
      <c r="A765" s="522"/>
    </row>
    <row r="766" spans="1:1" x14ac:dyDescent="0.25">
      <c r="A766" s="522"/>
    </row>
    <row r="767" spans="1:1" x14ac:dyDescent="0.25">
      <c r="A767" s="522"/>
    </row>
    <row r="768" spans="1:1" x14ac:dyDescent="0.25">
      <c r="A768" s="522"/>
    </row>
    <row r="769" spans="1:1" x14ac:dyDescent="0.25">
      <c r="A769" s="522"/>
    </row>
    <row r="770" spans="1:1" x14ac:dyDescent="0.25">
      <c r="A770" s="522"/>
    </row>
    <row r="771" spans="1:1" x14ac:dyDescent="0.25">
      <c r="A771" s="522"/>
    </row>
    <row r="772" spans="1:1" x14ac:dyDescent="0.25">
      <c r="A772" s="522"/>
    </row>
    <row r="773" spans="1:1" x14ac:dyDescent="0.25">
      <c r="A773" s="522"/>
    </row>
    <row r="774" spans="1:1" x14ac:dyDescent="0.25">
      <c r="A774" s="522"/>
    </row>
    <row r="775" spans="1:1" x14ac:dyDescent="0.25">
      <c r="A775" s="522"/>
    </row>
    <row r="776" spans="1:1" x14ac:dyDescent="0.25">
      <c r="A776" s="522"/>
    </row>
    <row r="777" spans="1:1" x14ac:dyDescent="0.25">
      <c r="A777" s="522"/>
    </row>
    <row r="778" spans="1:1" x14ac:dyDescent="0.25">
      <c r="A778" s="522"/>
    </row>
    <row r="779" spans="1:1" x14ac:dyDescent="0.25">
      <c r="A779" s="522"/>
    </row>
    <row r="780" spans="1:1" x14ac:dyDescent="0.25">
      <c r="A780" s="522"/>
    </row>
    <row r="781" spans="1:1" x14ac:dyDescent="0.25">
      <c r="A781" s="522"/>
    </row>
    <row r="782" spans="1:1" x14ac:dyDescent="0.25">
      <c r="A782" s="522"/>
    </row>
    <row r="783" spans="1:1" x14ac:dyDescent="0.25">
      <c r="A783" s="522"/>
    </row>
    <row r="784" spans="1:1" x14ac:dyDescent="0.25">
      <c r="A784" s="522"/>
    </row>
    <row r="785" spans="1:1" x14ac:dyDescent="0.25">
      <c r="A785" s="522"/>
    </row>
    <row r="786" spans="1:1" x14ac:dyDescent="0.25">
      <c r="A786" s="522"/>
    </row>
    <row r="787" spans="1:1" x14ac:dyDescent="0.25">
      <c r="A787" s="522"/>
    </row>
    <row r="788" spans="1:1" x14ac:dyDescent="0.25">
      <c r="A788" s="522"/>
    </row>
    <row r="789" spans="1:1" x14ac:dyDescent="0.25">
      <c r="A789" s="522"/>
    </row>
    <row r="790" spans="1:1" x14ac:dyDescent="0.25">
      <c r="A790" s="522"/>
    </row>
    <row r="791" spans="1:1" x14ac:dyDescent="0.25">
      <c r="A791" s="522"/>
    </row>
    <row r="792" spans="1:1" x14ac:dyDescent="0.25">
      <c r="A792" s="522"/>
    </row>
    <row r="793" spans="1:1" x14ac:dyDescent="0.25">
      <c r="A793" s="522"/>
    </row>
    <row r="794" spans="1:1" x14ac:dyDescent="0.25">
      <c r="A794" s="522"/>
    </row>
    <row r="795" spans="1:1" x14ac:dyDescent="0.25">
      <c r="A795" s="522"/>
    </row>
    <row r="796" spans="1:1" x14ac:dyDescent="0.25">
      <c r="A796" s="522"/>
    </row>
    <row r="797" spans="1:1" x14ac:dyDescent="0.25">
      <c r="A797" s="522"/>
    </row>
    <row r="798" spans="1:1" x14ac:dyDescent="0.25">
      <c r="A798" s="522"/>
    </row>
    <row r="799" spans="1:1" x14ac:dyDescent="0.25">
      <c r="A799" s="522"/>
    </row>
    <row r="800" spans="1:1" x14ac:dyDescent="0.25">
      <c r="A800" s="522"/>
    </row>
    <row r="801" spans="1:1" x14ac:dyDescent="0.25">
      <c r="A801" s="522"/>
    </row>
    <row r="802" spans="1:1" x14ac:dyDescent="0.25">
      <c r="A802" s="522"/>
    </row>
    <row r="803" spans="1:1" x14ac:dyDescent="0.25">
      <c r="A803" s="522"/>
    </row>
    <row r="804" spans="1:1" x14ac:dyDescent="0.25">
      <c r="A804" s="522"/>
    </row>
    <row r="805" spans="1:1" x14ac:dyDescent="0.25">
      <c r="A805" s="522"/>
    </row>
    <row r="806" spans="1:1" x14ac:dyDescent="0.25">
      <c r="A806" s="522"/>
    </row>
    <row r="807" spans="1:1" x14ac:dyDescent="0.25">
      <c r="A807" s="522"/>
    </row>
    <row r="808" spans="1:1" x14ac:dyDescent="0.25">
      <c r="A808" s="522"/>
    </row>
    <row r="809" spans="1:1" x14ac:dyDescent="0.25">
      <c r="A809" s="522"/>
    </row>
    <row r="810" spans="1:1" x14ac:dyDescent="0.25">
      <c r="A810" s="522"/>
    </row>
    <row r="811" spans="1:1" x14ac:dyDescent="0.25">
      <c r="A811" s="522"/>
    </row>
    <row r="812" spans="1:1" x14ac:dyDescent="0.25">
      <c r="A812" s="522"/>
    </row>
    <row r="813" spans="1:1" x14ac:dyDescent="0.25">
      <c r="A813" s="522"/>
    </row>
    <row r="814" spans="1:1" x14ac:dyDescent="0.25">
      <c r="A814" s="522"/>
    </row>
    <row r="815" spans="1:1" x14ac:dyDescent="0.25">
      <c r="A815" s="522"/>
    </row>
    <row r="816" spans="1:1" x14ac:dyDescent="0.25">
      <c r="A816" s="522"/>
    </row>
    <row r="817" spans="1:1" x14ac:dyDescent="0.25">
      <c r="A817" s="522"/>
    </row>
    <row r="818" spans="1:1" x14ac:dyDescent="0.25">
      <c r="A818" s="522"/>
    </row>
    <row r="819" spans="1:1" x14ac:dyDescent="0.25">
      <c r="A819" s="522"/>
    </row>
    <row r="820" spans="1:1" x14ac:dyDescent="0.25">
      <c r="A820" s="522"/>
    </row>
    <row r="821" spans="1:1" x14ac:dyDescent="0.25">
      <c r="A821" s="522"/>
    </row>
    <row r="822" spans="1:1" x14ac:dyDescent="0.25">
      <c r="A822" s="522"/>
    </row>
    <row r="823" spans="1:1" x14ac:dyDescent="0.25">
      <c r="A823" s="522"/>
    </row>
    <row r="824" spans="1:1" x14ac:dyDescent="0.25">
      <c r="A824" s="522"/>
    </row>
    <row r="825" spans="1:1" x14ac:dyDescent="0.25">
      <c r="A825" s="522"/>
    </row>
    <row r="826" spans="1:1" x14ac:dyDescent="0.25">
      <c r="A826" s="522"/>
    </row>
    <row r="827" spans="1:1" x14ac:dyDescent="0.25">
      <c r="A827" s="522"/>
    </row>
    <row r="828" spans="1:1" x14ac:dyDescent="0.25">
      <c r="A828" s="522"/>
    </row>
    <row r="829" spans="1:1" x14ac:dyDescent="0.25">
      <c r="A829" s="522"/>
    </row>
    <row r="830" spans="1:1" x14ac:dyDescent="0.25">
      <c r="A830" s="522"/>
    </row>
    <row r="831" spans="1:1" x14ac:dyDescent="0.25">
      <c r="A831" s="522"/>
    </row>
    <row r="832" spans="1:1" x14ac:dyDescent="0.25">
      <c r="A832" s="522"/>
    </row>
    <row r="833" spans="1:1" x14ac:dyDescent="0.25">
      <c r="A833" s="522"/>
    </row>
    <row r="834" spans="1:1" x14ac:dyDescent="0.25">
      <c r="A834" s="522"/>
    </row>
    <row r="835" spans="1:1" x14ac:dyDescent="0.25">
      <c r="A835" s="522"/>
    </row>
    <row r="836" spans="1:1" x14ac:dyDescent="0.25">
      <c r="A836" s="522"/>
    </row>
    <row r="837" spans="1:1" x14ac:dyDescent="0.25">
      <c r="A837" s="522"/>
    </row>
    <row r="838" spans="1:1" x14ac:dyDescent="0.25">
      <c r="A838" s="522"/>
    </row>
    <row r="839" spans="1:1" x14ac:dyDescent="0.25">
      <c r="A839" s="522"/>
    </row>
    <row r="840" spans="1:1" x14ac:dyDescent="0.25">
      <c r="A840" s="522"/>
    </row>
    <row r="841" spans="1:1" x14ac:dyDescent="0.25">
      <c r="A841" s="522"/>
    </row>
    <row r="842" spans="1:1" x14ac:dyDescent="0.25">
      <c r="A842" s="522"/>
    </row>
    <row r="843" spans="1:1" x14ac:dyDescent="0.25">
      <c r="A843" s="522"/>
    </row>
    <row r="844" spans="1:1" x14ac:dyDescent="0.25">
      <c r="A844" s="522"/>
    </row>
    <row r="845" spans="1:1" x14ac:dyDescent="0.25">
      <c r="A845" s="522"/>
    </row>
    <row r="846" spans="1:1" x14ac:dyDescent="0.25">
      <c r="A846" s="522"/>
    </row>
    <row r="847" spans="1:1" x14ac:dyDescent="0.25">
      <c r="A847" s="522"/>
    </row>
    <row r="848" spans="1:1" x14ac:dyDescent="0.25">
      <c r="A848" s="522"/>
    </row>
    <row r="849" spans="1:1" x14ac:dyDescent="0.25">
      <c r="A849" s="522"/>
    </row>
    <row r="850" spans="1:1" x14ac:dyDescent="0.25">
      <c r="A850" s="522"/>
    </row>
    <row r="851" spans="1:1" x14ac:dyDescent="0.25">
      <c r="A851" s="522"/>
    </row>
    <row r="852" spans="1:1" x14ac:dyDescent="0.25">
      <c r="A852" s="522"/>
    </row>
    <row r="853" spans="1:1" x14ac:dyDescent="0.25">
      <c r="A853" s="522"/>
    </row>
    <row r="854" spans="1:1" x14ac:dyDescent="0.25">
      <c r="A854" s="522"/>
    </row>
    <row r="855" spans="1:1" x14ac:dyDescent="0.25">
      <c r="A855" s="522"/>
    </row>
    <row r="856" spans="1:1" x14ac:dyDescent="0.25">
      <c r="A856" s="522"/>
    </row>
    <row r="857" spans="1:1" x14ac:dyDescent="0.25">
      <c r="A857" s="522"/>
    </row>
    <row r="858" spans="1:1" x14ac:dyDescent="0.25">
      <c r="A858" s="522"/>
    </row>
    <row r="859" spans="1:1" x14ac:dyDescent="0.25">
      <c r="A859" s="522"/>
    </row>
    <row r="860" spans="1:1" x14ac:dyDescent="0.25">
      <c r="A860" s="522"/>
    </row>
    <row r="861" spans="1:1" x14ac:dyDescent="0.25">
      <c r="A861" s="522"/>
    </row>
    <row r="862" spans="1:1" x14ac:dyDescent="0.25">
      <c r="A862" s="522"/>
    </row>
    <row r="863" spans="1:1" x14ac:dyDescent="0.25">
      <c r="A863" s="522"/>
    </row>
    <row r="864" spans="1:1" x14ac:dyDescent="0.25">
      <c r="A864" s="522"/>
    </row>
    <row r="865" spans="1:1" x14ac:dyDescent="0.25">
      <c r="A865" s="522"/>
    </row>
    <row r="866" spans="1:1" x14ac:dyDescent="0.25">
      <c r="A866" s="522"/>
    </row>
    <row r="867" spans="1:1" x14ac:dyDescent="0.25">
      <c r="A867" s="522"/>
    </row>
    <row r="868" spans="1:1" x14ac:dyDescent="0.25">
      <c r="A868" s="522"/>
    </row>
    <row r="869" spans="1:1" x14ac:dyDescent="0.25">
      <c r="A869" s="522"/>
    </row>
    <row r="870" spans="1:1" x14ac:dyDescent="0.25">
      <c r="A870" s="522"/>
    </row>
    <row r="871" spans="1:1" x14ac:dyDescent="0.25">
      <c r="A871" s="522"/>
    </row>
    <row r="872" spans="1:1" x14ac:dyDescent="0.25">
      <c r="A872" s="522"/>
    </row>
    <row r="873" spans="1:1" x14ac:dyDescent="0.25">
      <c r="A873" s="522"/>
    </row>
    <row r="874" spans="1:1" x14ac:dyDescent="0.25">
      <c r="A874" s="522"/>
    </row>
    <row r="875" spans="1:1" x14ac:dyDescent="0.25">
      <c r="A875" s="522"/>
    </row>
    <row r="876" spans="1:1" x14ac:dyDescent="0.25">
      <c r="A876" s="522"/>
    </row>
    <row r="877" spans="1:1" x14ac:dyDescent="0.25">
      <c r="A877" s="522"/>
    </row>
    <row r="878" spans="1:1" x14ac:dyDescent="0.25">
      <c r="A878" s="522"/>
    </row>
    <row r="879" spans="1:1" x14ac:dyDescent="0.25">
      <c r="A879" s="522"/>
    </row>
    <row r="880" spans="1:1" x14ac:dyDescent="0.25">
      <c r="A880" s="522"/>
    </row>
    <row r="881" spans="1:1" x14ac:dyDescent="0.25">
      <c r="A881" s="522"/>
    </row>
    <row r="882" spans="1:1" x14ac:dyDescent="0.25">
      <c r="A882" s="522"/>
    </row>
    <row r="883" spans="1:1" x14ac:dyDescent="0.25">
      <c r="A883" s="522"/>
    </row>
    <row r="884" spans="1:1" x14ac:dyDescent="0.25">
      <c r="A884" s="522"/>
    </row>
    <row r="885" spans="1:1" x14ac:dyDescent="0.25">
      <c r="A885" s="522"/>
    </row>
    <row r="886" spans="1:1" x14ac:dyDescent="0.25">
      <c r="A886" s="522"/>
    </row>
    <row r="887" spans="1:1" x14ac:dyDescent="0.25">
      <c r="A887" s="522"/>
    </row>
    <row r="888" spans="1:1" x14ac:dyDescent="0.25">
      <c r="A888" s="522"/>
    </row>
    <row r="889" spans="1:1" x14ac:dyDescent="0.25">
      <c r="A889" s="522"/>
    </row>
    <row r="890" spans="1:1" x14ac:dyDescent="0.25">
      <c r="A890" s="522"/>
    </row>
    <row r="891" spans="1:1" x14ac:dyDescent="0.25">
      <c r="A891" s="522"/>
    </row>
    <row r="892" spans="1:1" x14ac:dyDescent="0.25">
      <c r="A892" s="522"/>
    </row>
    <row r="893" spans="1:1" x14ac:dyDescent="0.25">
      <c r="A893" s="522"/>
    </row>
    <row r="894" spans="1:1" x14ac:dyDescent="0.25">
      <c r="A894" s="522"/>
    </row>
    <row r="895" spans="1:1" x14ac:dyDescent="0.25">
      <c r="A895" s="522"/>
    </row>
    <row r="896" spans="1:1" x14ac:dyDescent="0.25">
      <c r="A896" s="522"/>
    </row>
    <row r="897" spans="1:1" x14ac:dyDescent="0.25">
      <c r="A897" s="522"/>
    </row>
    <row r="898" spans="1:1" x14ac:dyDescent="0.25">
      <c r="A898" s="522"/>
    </row>
    <row r="899" spans="1:1" x14ac:dyDescent="0.25">
      <c r="A899" s="522"/>
    </row>
    <row r="900" spans="1:1" x14ac:dyDescent="0.25">
      <c r="A900" s="522"/>
    </row>
    <row r="901" spans="1:1" x14ac:dyDescent="0.25">
      <c r="A901" s="522"/>
    </row>
    <row r="902" spans="1:1" x14ac:dyDescent="0.25">
      <c r="A902" s="522"/>
    </row>
    <row r="903" spans="1:1" x14ac:dyDescent="0.25">
      <c r="A903" s="522"/>
    </row>
    <row r="904" spans="1:1" x14ac:dyDescent="0.25">
      <c r="A904" s="522"/>
    </row>
    <row r="905" spans="1:1" x14ac:dyDescent="0.25">
      <c r="A905" s="522"/>
    </row>
    <row r="906" spans="1:1" x14ac:dyDescent="0.25">
      <c r="A906" s="522"/>
    </row>
    <row r="907" spans="1:1" x14ac:dyDescent="0.25">
      <c r="A907" s="522"/>
    </row>
    <row r="908" spans="1:1" x14ac:dyDescent="0.25">
      <c r="A908" s="522"/>
    </row>
    <row r="909" spans="1:1" x14ac:dyDescent="0.25">
      <c r="A909" s="522"/>
    </row>
    <row r="910" spans="1:1" x14ac:dyDescent="0.25">
      <c r="A910" s="522"/>
    </row>
    <row r="911" spans="1:1" x14ac:dyDescent="0.25">
      <c r="A911" s="522"/>
    </row>
    <row r="912" spans="1:1" x14ac:dyDescent="0.25">
      <c r="A912" s="522"/>
    </row>
    <row r="913" spans="1:1" x14ac:dyDescent="0.25">
      <c r="A913" s="522"/>
    </row>
    <row r="914" spans="1:1" x14ac:dyDescent="0.25">
      <c r="A914" s="522"/>
    </row>
    <row r="915" spans="1:1" x14ac:dyDescent="0.25">
      <c r="A915" s="522"/>
    </row>
    <row r="916" spans="1:1" x14ac:dyDescent="0.25">
      <c r="A916" s="522"/>
    </row>
    <row r="917" spans="1:1" x14ac:dyDescent="0.25">
      <c r="A917" s="522"/>
    </row>
    <row r="918" spans="1:1" x14ac:dyDescent="0.25">
      <c r="A918" s="522"/>
    </row>
    <row r="919" spans="1:1" x14ac:dyDescent="0.25">
      <c r="A919" s="522"/>
    </row>
    <row r="920" spans="1:1" x14ac:dyDescent="0.25">
      <c r="A920" s="522"/>
    </row>
    <row r="921" spans="1:1" x14ac:dyDescent="0.25">
      <c r="A921" s="522"/>
    </row>
    <row r="922" spans="1:1" x14ac:dyDescent="0.25">
      <c r="A922" s="522"/>
    </row>
    <row r="923" spans="1:1" x14ac:dyDescent="0.25">
      <c r="A923" s="522"/>
    </row>
    <row r="924" spans="1:1" x14ac:dyDescent="0.25">
      <c r="A924" s="522"/>
    </row>
    <row r="925" spans="1:1" x14ac:dyDescent="0.25">
      <c r="A925" s="522"/>
    </row>
    <row r="926" spans="1:1" x14ac:dyDescent="0.25">
      <c r="A926" s="522"/>
    </row>
    <row r="927" spans="1:1" x14ac:dyDescent="0.25">
      <c r="A927" s="522"/>
    </row>
    <row r="928" spans="1:1" x14ac:dyDescent="0.25">
      <c r="A928" s="522"/>
    </row>
    <row r="929" spans="1:1" x14ac:dyDescent="0.25">
      <c r="A929" s="522"/>
    </row>
    <row r="930" spans="1:1" x14ac:dyDescent="0.25">
      <c r="A930" s="522"/>
    </row>
    <row r="931" spans="1:1" x14ac:dyDescent="0.25">
      <c r="A931" s="522"/>
    </row>
    <row r="932" spans="1:1" x14ac:dyDescent="0.25">
      <c r="A932" s="522"/>
    </row>
    <row r="933" spans="1:1" x14ac:dyDescent="0.25">
      <c r="A933" s="522"/>
    </row>
    <row r="934" spans="1:1" x14ac:dyDescent="0.25">
      <c r="A934" s="522"/>
    </row>
    <row r="935" spans="1:1" x14ac:dyDescent="0.25">
      <c r="A935" s="522"/>
    </row>
    <row r="936" spans="1:1" x14ac:dyDescent="0.25">
      <c r="A936" s="522"/>
    </row>
    <row r="937" spans="1:1" x14ac:dyDescent="0.25">
      <c r="A937" s="522"/>
    </row>
    <row r="938" spans="1:1" x14ac:dyDescent="0.25">
      <c r="A938" s="522"/>
    </row>
    <row r="939" spans="1:1" x14ac:dyDescent="0.25">
      <c r="A939" s="522"/>
    </row>
    <row r="940" spans="1:1" x14ac:dyDescent="0.25">
      <c r="A940" s="522"/>
    </row>
    <row r="941" spans="1:1" x14ac:dyDescent="0.25">
      <c r="A941" s="522"/>
    </row>
    <row r="942" spans="1:1" x14ac:dyDescent="0.25">
      <c r="A942" s="522"/>
    </row>
    <row r="943" spans="1:1" x14ac:dyDescent="0.25">
      <c r="A943" s="522"/>
    </row>
    <row r="944" spans="1:1" x14ac:dyDescent="0.25">
      <c r="A944" s="522"/>
    </row>
    <row r="945" spans="1:1" x14ac:dyDescent="0.25">
      <c r="A945" s="522"/>
    </row>
    <row r="946" spans="1:1" x14ac:dyDescent="0.25">
      <c r="A946" s="522"/>
    </row>
    <row r="947" spans="1:1" x14ac:dyDescent="0.25">
      <c r="A947" s="522"/>
    </row>
    <row r="948" spans="1:1" x14ac:dyDescent="0.25">
      <c r="A948" s="522"/>
    </row>
    <row r="949" spans="1:1" x14ac:dyDescent="0.25">
      <c r="A949" s="522"/>
    </row>
    <row r="950" spans="1:1" x14ac:dyDescent="0.25">
      <c r="A950" s="522"/>
    </row>
    <row r="951" spans="1:1" x14ac:dyDescent="0.25">
      <c r="A951" s="522"/>
    </row>
    <row r="952" spans="1:1" x14ac:dyDescent="0.25">
      <c r="A952" s="522"/>
    </row>
    <row r="953" spans="1:1" x14ac:dyDescent="0.25">
      <c r="A953" s="522"/>
    </row>
    <row r="954" spans="1:1" x14ac:dyDescent="0.25">
      <c r="A954" s="522"/>
    </row>
    <row r="955" spans="1:1" x14ac:dyDescent="0.25">
      <c r="A955" s="522"/>
    </row>
    <row r="956" spans="1:1" x14ac:dyDescent="0.25">
      <c r="A956" s="522"/>
    </row>
    <row r="957" spans="1:1" x14ac:dyDescent="0.25">
      <c r="A957" s="522"/>
    </row>
    <row r="958" spans="1:1" x14ac:dyDescent="0.25">
      <c r="A958" s="522"/>
    </row>
    <row r="959" spans="1:1" x14ac:dyDescent="0.25">
      <c r="A959" s="522"/>
    </row>
    <row r="960" spans="1:1" x14ac:dyDescent="0.25">
      <c r="A960" s="522"/>
    </row>
    <row r="961" spans="1:1" x14ac:dyDescent="0.25">
      <c r="A961" s="522"/>
    </row>
    <row r="962" spans="1:1" x14ac:dyDescent="0.25">
      <c r="A962" s="522"/>
    </row>
    <row r="963" spans="1:1" x14ac:dyDescent="0.25">
      <c r="A963" s="522"/>
    </row>
    <row r="964" spans="1:1" x14ac:dyDescent="0.25">
      <c r="A964" s="522"/>
    </row>
    <row r="965" spans="1:1" x14ac:dyDescent="0.25">
      <c r="A965" s="522"/>
    </row>
    <row r="966" spans="1:1" x14ac:dyDescent="0.25">
      <c r="A966" s="522"/>
    </row>
    <row r="967" spans="1:1" x14ac:dyDescent="0.25">
      <c r="A967" s="522"/>
    </row>
    <row r="968" spans="1:1" x14ac:dyDescent="0.25">
      <c r="A968" s="522"/>
    </row>
    <row r="969" spans="1:1" x14ac:dyDescent="0.25">
      <c r="A969" s="522"/>
    </row>
    <row r="970" spans="1:1" x14ac:dyDescent="0.25">
      <c r="A970" s="522"/>
    </row>
    <row r="971" spans="1:1" x14ac:dyDescent="0.25">
      <c r="A971" s="522"/>
    </row>
    <row r="972" spans="1:1" x14ac:dyDescent="0.25">
      <c r="A972" s="522"/>
    </row>
    <row r="973" spans="1:1" x14ac:dyDescent="0.25">
      <c r="A973" s="522"/>
    </row>
    <row r="974" spans="1:1" x14ac:dyDescent="0.25">
      <c r="A974" s="522"/>
    </row>
    <row r="975" spans="1:1" x14ac:dyDescent="0.25">
      <c r="A975" s="522"/>
    </row>
    <row r="976" spans="1:1" x14ac:dyDescent="0.25">
      <c r="A976" s="522"/>
    </row>
    <row r="977" spans="1:1" x14ac:dyDescent="0.25">
      <c r="A977" s="522"/>
    </row>
    <row r="978" spans="1:1" x14ac:dyDescent="0.25">
      <c r="A978" s="522"/>
    </row>
    <row r="979" spans="1:1" x14ac:dyDescent="0.25">
      <c r="A979" s="522"/>
    </row>
    <row r="980" spans="1:1" x14ac:dyDescent="0.25">
      <c r="A980" s="522"/>
    </row>
    <row r="981" spans="1:1" x14ac:dyDescent="0.25">
      <c r="A981" s="522"/>
    </row>
    <row r="982" spans="1:1" x14ac:dyDescent="0.25">
      <c r="A982" s="522"/>
    </row>
    <row r="983" spans="1:1" x14ac:dyDescent="0.25">
      <c r="A983" s="522"/>
    </row>
    <row r="984" spans="1:1" x14ac:dyDescent="0.25">
      <c r="A984" s="522"/>
    </row>
    <row r="985" spans="1:1" x14ac:dyDescent="0.25">
      <c r="A985" s="522"/>
    </row>
    <row r="986" spans="1:1" x14ac:dyDescent="0.25">
      <c r="A986" s="522"/>
    </row>
    <row r="987" spans="1:1" x14ac:dyDescent="0.25">
      <c r="A987" s="522"/>
    </row>
    <row r="988" spans="1:1" x14ac:dyDescent="0.25">
      <c r="A988" s="522"/>
    </row>
    <row r="989" spans="1:1" x14ac:dyDescent="0.25">
      <c r="A989" s="522"/>
    </row>
    <row r="990" spans="1:1" x14ac:dyDescent="0.25">
      <c r="A990" s="522"/>
    </row>
    <row r="991" spans="1:1" x14ac:dyDescent="0.25">
      <c r="A991" s="522"/>
    </row>
    <row r="992" spans="1:1" x14ac:dyDescent="0.25">
      <c r="A992" s="522"/>
    </row>
    <row r="993" spans="1:1" x14ac:dyDescent="0.25">
      <c r="A993" s="522"/>
    </row>
    <row r="994" spans="1:1" x14ac:dyDescent="0.25">
      <c r="A994" s="522"/>
    </row>
    <row r="995" spans="1:1" x14ac:dyDescent="0.25">
      <c r="A995" s="522"/>
    </row>
    <row r="996" spans="1:1" x14ac:dyDescent="0.25">
      <c r="A996" s="522"/>
    </row>
    <row r="997" spans="1:1" x14ac:dyDescent="0.25">
      <c r="A997" s="522"/>
    </row>
    <row r="998" spans="1:1" x14ac:dyDescent="0.25">
      <c r="A998" s="522"/>
    </row>
    <row r="999" spans="1:1" x14ac:dyDescent="0.25">
      <c r="A999" s="522"/>
    </row>
    <row r="1000" spans="1:1" x14ac:dyDescent="0.25">
      <c r="A1000" s="522"/>
    </row>
    <row r="1001" spans="1:1" x14ac:dyDescent="0.25">
      <c r="A1001" s="522"/>
    </row>
    <row r="1002" spans="1:1" x14ac:dyDescent="0.25">
      <c r="A1002" s="522"/>
    </row>
    <row r="1003" spans="1:1" x14ac:dyDescent="0.25">
      <c r="A1003" s="522"/>
    </row>
    <row r="1004" spans="1:1" x14ac:dyDescent="0.25">
      <c r="A1004" s="522"/>
    </row>
    <row r="1005" spans="1:1" x14ac:dyDescent="0.25">
      <c r="A1005" s="522"/>
    </row>
    <row r="1006" spans="1:1" x14ac:dyDescent="0.25">
      <c r="A1006" s="522"/>
    </row>
    <row r="1007" spans="1:1" x14ac:dyDescent="0.25">
      <c r="A1007" s="522"/>
    </row>
    <row r="1008" spans="1:1" x14ac:dyDescent="0.25">
      <c r="A1008" s="522"/>
    </row>
    <row r="1009" spans="1:1" x14ac:dyDescent="0.25">
      <c r="A1009" s="522"/>
    </row>
    <row r="1010" spans="1:1" x14ac:dyDescent="0.25">
      <c r="A1010" s="522"/>
    </row>
    <row r="1011" spans="1:1" x14ac:dyDescent="0.25">
      <c r="A1011" s="522"/>
    </row>
    <row r="1012" spans="1:1" x14ac:dyDescent="0.25">
      <c r="A1012" s="522"/>
    </row>
    <row r="1013" spans="1:1" x14ac:dyDescent="0.25">
      <c r="A1013" s="522"/>
    </row>
    <row r="1014" spans="1:1" x14ac:dyDescent="0.25">
      <c r="A1014" s="522"/>
    </row>
    <row r="1015" spans="1:1" x14ac:dyDescent="0.25">
      <c r="A1015" s="522"/>
    </row>
    <row r="1016" spans="1:1" x14ac:dyDescent="0.25">
      <c r="A1016" s="522"/>
    </row>
    <row r="1017" spans="1:1" x14ac:dyDescent="0.25">
      <c r="A1017" s="522"/>
    </row>
    <row r="1018" spans="1:1" x14ac:dyDescent="0.25">
      <c r="A1018" s="522"/>
    </row>
    <row r="1019" spans="1:1" x14ac:dyDescent="0.25">
      <c r="A1019" s="522"/>
    </row>
    <row r="1020" spans="1:1" x14ac:dyDescent="0.25">
      <c r="A1020" s="522"/>
    </row>
    <row r="1021" spans="1:1" x14ac:dyDescent="0.25">
      <c r="A1021" s="522"/>
    </row>
    <row r="1022" spans="1:1" x14ac:dyDescent="0.25">
      <c r="A1022" s="522"/>
    </row>
    <row r="1023" spans="1:1" x14ac:dyDescent="0.25">
      <c r="A1023" s="522"/>
    </row>
    <row r="1024" spans="1:1" x14ac:dyDescent="0.25">
      <c r="A1024" s="522"/>
    </row>
    <row r="1025" spans="1:1" x14ac:dyDescent="0.25">
      <c r="A1025" s="522"/>
    </row>
    <row r="1026" spans="1:1" x14ac:dyDescent="0.25">
      <c r="A1026" s="522"/>
    </row>
    <row r="1027" spans="1:1" x14ac:dyDescent="0.25">
      <c r="A1027" s="522"/>
    </row>
    <row r="1028" spans="1:1" x14ac:dyDescent="0.25">
      <c r="A1028" s="522"/>
    </row>
    <row r="1029" spans="1:1" x14ac:dyDescent="0.25">
      <c r="A1029" s="522"/>
    </row>
    <row r="1030" spans="1:1" x14ac:dyDescent="0.25">
      <c r="A1030" s="522"/>
    </row>
    <row r="1031" spans="1:1" x14ac:dyDescent="0.25">
      <c r="A1031" s="522"/>
    </row>
    <row r="1032" spans="1:1" x14ac:dyDescent="0.25">
      <c r="A1032" s="522"/>
    </row>
    <row r="1033" spans="1:1" x14ac:dyDescent="0.25">
      <c r="A1033" s="522"/>
    </row>
    <row r="1034" spans="1:1" x14ac:dyDescent="0.25">
      <c r="A1034" s="522"/>
    </row>
    <row r="1035" spans="1:1" x14ac:dyDescent="0.25">
      <c r="A1035" s="522"/>
    </row>
    <row r="1036" spans="1:1" x14ac:dyDescent="0.25">
      <c r="A1036" s="522"/>
    </row>
    <row r="1037" spans="1:1" x14ac:dyDescent="0.25">
      <c r="A1037" s="522"/>
    </row>
    <row r="1038" spans="1:1" x14ac:dyDescent="0.25">
      <c r="A1038" s="522"/>
    </row>
    <row r="1039" spans="1:1" x14ac:dyDescent="0.25">
      <c r="A1039" s="522"/>
    </row>
    <row r="1040" spans="1:1" x14ac:dyDescent="0.25">
      <c r="A1040" s="522"/>
    </row>
    <row r="1041" spans="1:1" x14ac:dyDescent="0.25">
      <c r="A1041" s="522"/>
    </row>
    <row r="1042" spans="1:1" x14ac:dyDescent="0.25">
      <c r="A1042" s="522"/>
    </row>
    <row r="1043" spans="1:1" x14ac:dyDescent="0.25">
      <c r="A1043" s="522"/>
    </row>
    <row r="1044" spans="1:1" x14ac:dyDescent="0.25">
      <c r="A1044" s="522"/>
    </row>
    <row r="1045" spans="1:1" x14ac:dyDescent="0.25">
      <c r="A1045" s="522"/>
    </row>
    <row r="1046" spans="1:1" x14ac:dyDescent="0.25">
      <c r="A1046" s="522"/>
    </row>
    <row r="1047" spans="1:1" x14ac:dyDescent="0.25">
      <c r="A1047" s="522"/>
    </row>
    <row r="1048" spans="1:1" x14ac:dyDescent="0.25">
      <c r="A1048" s="522"/>
    </row>
    <row r="1049" spans="1:1" x14ac:dyDescent="0.25">
      <c r="A1049" s="522"/>
    </row>
    <row r="1050" spans="1:1" x14ac:dyDescent="0.25">
      <c r="A1050" s="522"/>
    </row>
    <row r="1051" spans="1:1" x14ac:dyDescent="0.25">
      <c r="A1051" s="522"/>
    </row>
    <row r="1052" spans="1:1" x14ac:dyDescent="0.25">
      <c r="A1052" s="522"/>
    </row>
    <row r="1053" spans="1:1" x14ac:dyDescent="0.25">
      <c r="A1053" s="522"/>
    </row>
    <row r="1054" spans="1:1" x14ac:dyDescent="0.25">
      <c r="A1054" s="522"/>
    </row>
    <row r="1055" spans="1:1" x14ac:dyDescent="0.25">
      <c r="A1055" s="522"/>
    </row>
    <row r="1056" spans="1:1" x14ac:dyDescent="0.25">
      <c r="A1056" s="522"/>
    </row>
    <row r="1057" spans="1:1" x14ac:dyDescent="0.25">
      <c r="A1057" s="522"/>
    </row>
    <row r="1058" spans="1:1" x14ac:dyDescent="0.25">
      <c r="A1058" s="522"/>
    </row>
    <row r="1059" spans="1:1" x14ac:dyDescent="0.25">
      <c r="A1059" s="522"/>
    </row>
    <row r="1060" spans="1:1" x14ac:dyDescent="0.25">
      <c r="A1060" s="522"/>
    </row>
    <row r="1061" spans="1:1" x14ac:dyDescent="0.25">
      <c r="A1061" s="522"/>
    </row>
    <row r="1062" spans="1:1" x14ac:dyDescent="0.25">
      <c r="A1062" s="522"/>
    </row>
    <row r="1063" spans="1:1" x14ac:dyDescent="0.25">
      <c r="A1063" s="522"/>
    </row>
    <row r="1064" spans="1:1" x14ac:dyDescent="0.25">
      <c r="A1064" s="522"/>
    </row>
    <row r="1065" spans="1:1" x14ac:dyDescent="0.25">
      <c r="A1065" s="522"/>
    </row>
    <row r="1066" spans="1:1" x14ac:dyDescent="0.25">
      <c r="A1066" s="522"/>
    </row>
    <row r="1067" spans="1:1" x14ac:dyDescent="0.25">
      <c r="A1067" s="522"/>
    </row>
    <row r="1068" spans="1:1" x14ac:dyDescent="0.25">
      <c r="A1068" s="522"/>
    </row>
    <row r="1069" spans="1:1" x14ac:dyDescent="0.25">
      <c r="A1069" s="522"/>
    </row>
    <row r="1070" spans="1:1" x14ac:dyDescent="0.25">
      <c r="A1070" s="522"/>
    </row>
    <row r="1071" spans="1:1" x14ac:dyDescent="0.25">
      <c r="A1071" s="522"/>
    </row>
    <row r="1072" spans="1:1" x14ac:dyDescent="0.25">
      <c r="A1072" s="522"/>
    </row>
    <row r="1073" spans="1:1" x14ac:dyDescent="0.25">
      <c r="A1073" s="522"/>
    </row>
    <row r="1074" spans="1:1" x14ac:dyDescent="0.25">
      <c r="A1074" s="522"/>
    </row>
    <row r="1075" spans="1:1" x14ac:dyDescent="0.25">
      <c r="A1075" s="522"/>
    </row>
    <row r="1076" spans="1:1" x14ac:dyDescent="0.25">
      <c r="A1076" s="522"/>
    </row>
    <row r="1077" spans="1:1" x14ac:dyDescent="0.25">
      <c r="A1077" s="522"/>
    </row>
    <row r="1078" spans="1:1" x14ac:dyDescent="0.25">
      <c r="A1078" s="522"/>
    </row>
    <row r="1079" spans="1:1" x14ac:dyDescent="0.25">
      <c r="A1079" s="522"/>
    </row>
    <row r="1080" spans="1:1" x14ac:dyDescent="0.25">
      <c r="A1080" s="522"/>
    </row>
    <row r="1081" spans="1:1" x14ac:dyDescent="0.25">
      <c r="A1081" s="522"/>
    </row>
    <row r="1082" spans="1:1" x14ac:dyDescent="0.25">
      <c r="A1082" s="522"/>
    </row>
    <row r="1083" spans="1:1" x14ac:dyDescent="0.25">
      <c r="A1083" s="522"/>
    </row>
    <row r="1084" spans="1:1" x14ac:dyDescent="0.25">
      <c r="A1084" s="522"/>
    </row>
    <row r="1085" spans="1:1" x14ac:dyDescent="0.25">
      <c r="A1085" s="522"/>
    </row>
    <row r="1086" spans="1:1" x14ac:dyDescent="0.25">
      <c r="A1086" s="522"/>
    </row>
    <row r="1087" spans="1:1" x14ac:dyDescent="0.25">
      <c r="A1087" s="522"/>
    </row>
    <row r="1088" spans="1:1" x14ac:dyDescent="0.25">
      <c r="A1088" s="522"/>
    </row>
    <row r="1089" spans="1:1" x14ac:dyDescent="0.25">
      <c r="A1089" s="522"/>
    </row>
    <row r="1090" spans="1:1" x14ac:dyDescent="0.25">
      <c r="A1090" s="522"/>
    </row>
    <row r="1091" spans="1:1" x14ac:dyDescent="0.25">
      <c r="A1091" s="522"/>
    </row>
    <row r="1092" spans="1:1" x14ac:dyDescent="0.25">
      <c r="A1092" s="522"/>
    </row>
    <row r="1093" spans="1:1" x14ac:dyDescent="0.25">
      <c r="A1093" s="522"/>
    </row>
    <row r="1094" spans="1:1" x14ac:dyDescent="0.25">
      <c r="A1094" s="522"/>
    </row>
    <row r="1095" spans="1:1" x14ac:dyDescent="0.25">
      <c r="A1095" s="522"/>
    </row>
    <row r="1096" spans="1:1" x14ac:dyDescent="0.25">
      <c r="A1096" s="522"/>
    </row>
    <row r="1097" spans="1:1" x14ac:dyDescent="0.25">
      <c r="A1097" s="522"/>
    </row>
    <row r="1098" spans="1:1" x14ac:dyDescent="0.25">
      <c r="A1098" s="522"/>
    </row>
    <row r="1099" spans="1:1" x14ac:dyDescent="0.25">
      <c r="A1099" s="522"/>
    </row>
    <row r="1100" spans="1:1" x14ac:dyDescent="0.25">
      <c r="A1100" s="522"/>
    </row>
    <row r="1101" spans="1:1" x14ac:dyDescent="0.25">
      <c r="A1101" s="522"/>
    </row>
    <row r="1102" spans="1:1" x14ac:dyDescent="0.25">
      <c r="A1102" s="522"/>
    </row>
    <row r="1103" spans="1:1" x14ac:dyDescent="0.25">
      <c r="A1103" s="522"/>
    </row>
    <row r="1104" spans="1:1" x14ac:dyDescent="0.25">
      <c r="A1104" s="522"/>
    </row>
    <row r="1105" spans="1:1" x14ac:dyDescent="0.25">
      <c r="A1105" s="522"/>
    </row>
    <row r="1106" spans="1:1" x14ac:dyDescent="0.25">
      <c r="A1106" s="522"/>
    </row>
    <row r="1107" spans="1:1" x14ac:dyDescent="0.25">
      <c r="A1107" s="522"/>
    </row>
    <row r="1108" spans="1:1" x14ac:dyDescent="0.25">
      <c r="A1108" s="522"/>
    </row>
    <row r="1109" spans="1:1" x14ac:dyDescent="0.25">
      <c r="A1109" s="522"/>
    </row>
    <row r="1110" spans="1:1" x14ac:dyDescent="0.25">
      <c r="A1110" s="522"/>
    </row>
    <row r="1111" spans="1:1" x14ac:dyDescent="0.25">
      <c r="A1111" s="522"/>
    </row>
    <row r="1112" spans="1:1" x14ac:dyDescent="0.25">
      <c r="A1112" s="522"/>
    </row>
    <row r="1113" spans="1:1" x14ac:dyDescent="0.25">
      <c r="A1113" s="522"/>
    </row>
    <row r="1114" spans="1:1" x14ac:dyDescent="0.25">
      <c r="A1114" s="522"/>
    </row>
    <row r="1115" spans="1:1" x14ac:dyDescent="0.25">
      <c r="A1115" s="522"/>
    </row>
    <row r="1116" spans="1:1" x14ac:dyDescent="0.25">
      <c r="A1116" s="522"/>
    </row>
    <row r="1117" spans="1:1" x14ac:dyDescent="0.25">
      <c r="A1117" s="522"/>
    </row>
    <row r="1118" spans="1:1" x14ac:dyDescent="0.25">
      <c r="A1118" s="522"/>
    </row>
    <row r="1119" spans="1:1" x14ac:dyDescent="0.25">
      <c r="A1119" s="522"/>
    </row>
    <row r="1120" spans="1:1" x14ac:dyDescent="0.25">
      <c r="A1120" s="522"/>
    </row>
    <row r="1121" spans="1:1" x14ac:dyDescent="0.25">
      <c r="A1121" s="522"/>
    </row>
    <row r="1122" spans="1:1" x14ac:dyDescent="0.25">
      <c r="A1122" s="522"/>
    </row>
    <row r="1123" spans="1:1" x14ac:dyDescent="0.25">
      <c r="A1123" s="522"/>
    </row>
    <row r="1124" spans="1:1" x14ac:dyDescent="0.25">
      <c r="A1124" s="522"/>
    </row>
    <row r="1125" spans="1:1" x14ac:dyDescent="0.25">
      <c r="A1125" s="522"/>
    </row>
    <row r="1126" spans="1:1" x14ac:dyDescent="0.25">
      <c r="A1126" s="522"/>
    </row>
    <row r="1127" spans="1:1" x14ac:dyDescent="0.25">
      <c r="A1127" s="522"/>
    </row>
    <row r="1128" spans="1:1" x14ac:dyDescent="0.25">
      <c r="A1128" s="522"/>
    </row>
    <row r="1129" spans="1:1" x14ac:dyDescent="0.25">
      <c r="A1129" s="522"/>
    </row>
    <row r="1130" spans="1:1" x14ac:dyDescent="0.25">
      <c r="A1130" s="522"/>
    </row>
    <row r="1131" spans="1:1" x14ac:dyDescent="0.25">
      <c r="A1131" s="522"/>
    </row>
    <row r="1132" spans="1:1" x14ac:dyDescent="0.25">
      <c r="A1132" s="522"/>
    </row>
    <row r="1133" spans="1:1" x14ac:dyDescent="0.25">
      <c r="A1133" s="522"/>
    </row>
    <row r="1134" spans="1:1" x14ac:dyDescent="0.25">
      <c r="A1134" s="522"/>
    </row>
    <row r="1135" spans="1:1" x14ac:dyDescent="0.25">
      <c r="A1135" s="522"/>
    </row>
    <row r="1136" spans="1:1" x14ac:dyDescent="0.25">
      <c r="A1136" s="522"/>
    </row>
    <row r="1137" spans="1:1" x14ac:dyDescent="0.25">
      <c r="A1137" s="522"/>
    </row>
    <row r="1138" spans="1:1" x14ac:dyDescent="0.25">
      <c r="A1138" s="522"/>
    </row>
    <row r="1139" spans="1:1" x14ac:dyDescent="0.25">
      <c r="A1139" s="522"/>
    </row>
    <row r="1140" spans="1:1" x14ac:dyDescent="0.25">
      <c r="A1140" s="522"/>
    </row>
    <row r="1141" spans="1:1" x14ac:dyDescent="0.25">
      <c r="A1141" s="522"/>
    </row>
    <row r="1142" spans="1:1" x14ac:dyDescent="0.25">
      <c r="A1142" s="522"/>
    </row>
    <row r="1143" spans="1:1" x14ac:dyDescent="0.25">
      <c r="A1143" s="522"/>
    </row>
    <row r="1144" spans="1:1" x14ac:dyDescent="0.25">
      <c r="A1144" s="522"/>
    </row>
    <row r="1145" spans="1:1" x14ac:dyDescent="0.25">
      <c r="A1145" s="522"/>
    </row>
    <row r="1146" spans="1:1" x14ac:dyDescent="0.25">
      <c r="A1146" s="522"/>
    </row>
    <row r="1147" spans="1:1" x14ac:dyDescent="0.25">
      <c r="A1147" s="522"/>
    </row>
    <row r="1148" spans="1:1" x14ac:dyDescent="0.25">
      <c r="A1148" s="522"/>
    </row>
    <row r="1149" spans="1:1" x14ac:dyDescent="0.25">
      <c r="A1149" s="522"/>
    </row>
    <row r="1150" spans="1:1" x14ac:dyDescent="0.25">
      <c r="A1150" s="522"/>
    </row>
    <row r="1151" spans="1:1" x14ac:dyDescent="0.25">
      <c r="A1151" s="522"/>
    </row>
    <row r="1152" spans="1:1" x14ac:dyDescent="0.25">
      <c r="A1152" s="522"/>
    </row>
    <row r="1153" spans="1:1" x14ac:dyDescent="0.25">
      <c r="A1153" s="522"/>
    </row>
    <row r="1154" spans="1:1" x14ac:dyDescent="0.25">
      <c r="A1154" s="522"/>
    </row>
    <row r="1155" spans="1:1" x14ac:dyDescent="0.25">
      <c r="A1155" s="522"/>
    </row>
    <row r="1156" spans="1:1" x14ac:dyDescent="0.25">
      <c r="A1156" s="522"/>
    </row>
    <row r="1157" spans="1:1" x14ac:dyDescent="0.25">
      <c r="A1157" s="522"/>
    </row>
    <row r="1158" spans="1:1" x14ac:dyDescent="0.25">
      <c r="A1158" s="522"/>
    </row>
    <row r="1159" spans="1:1" x14ac:dyDescent="0.25">
      <c r="A1159" s="522"/>
    </row>
    <row r="1160" spans="1:1" x14ac:dyDescent="0.25">
      <c r="A1160" s="522"/>
    </row>
    <row r="1161" spans="1:1" x14ac:dyDescent="0.25">
      <c r="A1161" s="522"/>
    </row>
    <row r="1162" spans="1:1" x14ac:dyDescent="0.25">
      <c r="A1162" s="522"/>
    </row>
    <row r="1163" spans="1:1" x14ac:dyDescent="0.25">
      <c r="A1163" s="522"/>
    </row>
    <row r="1164" spans="1:1" x14ac:dyDescent="0.25">
      <c r="A1164" s="522"/>
    </row>
    <row r="1165" spans="1:1" x14ac:dyDescent="0.25">
      <c r="A1165" s="522"/>
    </row>
    <row r="1166" spans="1:1" x14ac:dyDescent="0.25">
      <c r="A1166" s="522"/>
    </row>
    <row r="1167" spans="1:1" x14ac:dyDescent="0.25">
      <c r="A1167" s="522"/>
    </row>
    <row r="1168" spans="1:1" x14ac:dyDescent="0.25">
      <c r="A1168" s="522"/>
    </row>
    <row r="1169" spans="1:1" x14ac:dyDescent="0.25">
      <c r="A1169" s="522"/>
    </row>
    <row r="1170" spans="1:1" x14ac:dyDescent="0.25">
      <c r="A1170" s="522"/>
    </row>
    <row r="1171" spans="1:1" x14ac:dyDescent="0.25">
      <c r="A1171" s="522"/>
    </row>
    <row r="1172" spans="1:1" x14ac:dyDescent="0.25">
      <c r="A1172" s="522"/>
    </row>
    <row r="1173" spans="1:1" x14ac:dyDescent="0.25">
      <c r="A1173" s="522"/>
    </row>
    <row r="1174" spans="1:1" x14ac:dyDescent="0.25">
      <c r="A1174" s="522"/>
    </row>
    <row r="1175" spans="1:1" x14ac:dyDescent="0.25">
      <c r="A1175" s="522"/>
    </row>
    <row r="1176" spans="1:1" x14ac:dyDescent="0.25">
      <c r="A1176" s="522"/>
    </row>
    <row r="1177" spans="1:1" x14ac:dyDescent="0.25">
      <c r="A1177" s="522"/>
    </row>
    <row r="1178" spans="1:1" x14ac:dyDescent="0.25">
      <c r="A1178" s="522"/>
    </row>
    <row r="1179" spans="1:1" x14ac:dyDescent="0.25">
      <c r="A1179" s="522"/>
    </row>
    <row r="1180" spans="1:1" x14ac:dyDescent="0.25">
      <c r="A1180" s="522"/>
    </row>
    <row r="1181" spans="1:1" x14ac:dyDescent="0.25">
      <c r="A1181" s="522"/>
    </row>
    <row r="1182" spans="1:1" x14ac:dyDescent="0.25">
      <c r="A1182" s="522"/>
    </row>
    <row r="1183" spans="1:1" x14ac:dyDescent="0.25">
      <c r="A1183" s="522"/>
    </row>
    <row r="1184" spans="1:1" x14ac:dyDescent="0.25">
      <c r="A1184" s="522"/>
    </row>
    <row r="1185" spans="1:1" x14ac:dyDescent="0.25">
      <c r="A1185" s="522"/>
    </row>
    <row r="1186" spans="1:1" x14ac:dyDescent="0.25">
      <c r="A1186" s="522"/>
    </row>
    <row r="1187" spans="1:1" x14ac:dyDescent="0.25">
      <c r="A1187" s="522"/>
    </row>
    <row r="1188" spans="1:1" x14ac:dyDescent="0.25">
      <c r="A1188" s="522"/>
    </row>
    <row r="1189" spans="1:1" x14ac:dyDescent="0.25">
      <c r="A1189" s="522"/>
    </row>
    <row r="1190" spans="1:1" x14ac:dyDescent="0.25">
      <c r="A1190" s="522"/>
    </row>
    <row r="1191" spans="1:1" x14ac:dyDescent="0.25">
      <c r="A1191" s="522"/>
    </row>
    <row r="1192" spans="1:1" x14ac:dyDescent="0.25">
      <c r="A1192" s="522"/>
    </row>
    <row r="1193" spans="1:1" x14ac:dyDescent="0.25">
      <c r="A1193" s="522"/>
    </row>
    <row r="1194" spans="1:1" x14ac:dyDescent="0.25">
      <c r="A1194" s="522"/>
    </row>
    <row r="1195" spans="1:1" x14ac:dyDescent="0.25">
      <c r="A1195" s="522"/>
    </row>
    <row r="1196" spans="1:1" x14ac:dyDescent="0.25">
      <c r="A1196" s="522"/>
    </row>
    <row r="1197" spans="1:1" x14ac:dyDescent="0.25">
      <c r="A1197" s="522"/>
    </row>
    <row r="1198" spans="1:1" x14ac:dyDescent="0.25">
      <c r="A1198" s="522"/>
    </row>
    <row r="1199" spans="1:1" x14ac:dyDescent="0.25">
      <c r="A1199" s="522"/>
    </row>
    <row r="1200" spans="1:1" x14ac:dyDescent="0.25">
      <c r="A1200" s="522"/>
    </row>
    <row r="1201" spans="1:1" x14ac:dyDescent="0.25">
      <c r="A1201" s="522"/>
    </row>
    <row r="1202" spans="1:1" x14ac:dyDescent="0.25">
      <c r="A1202" s="522"/>
    </row>
    <row r="1203" spans="1:1" x14ac:dyDescent="0.25">
      <c r="A1203" s="522"/>
    </row>
    <row r="1204" spans="1:1" x14ac:dyDescent="0.25">
      <c r="A1204" s="522"/>
    </row>
    <row r="1205" spans="1:1" x14ac:dyDescent="0.25">
      <c r="A1205" s="522"/>
    </row>
    <row r="1206" spans="1:1" x14ac:dyDescent="0.25">
      <c r="A1206" s="522"/>
    </row>
    <row r="1207" spans="1:1" x14ac:dyDescent="0.25">
      <c r="A1207" s="522"/>
    </row>
    <row r="1208" spans="1:1" x14ac:dyDescent="0.25">
      <c r="A1208" s="522"/>
    </row>
    <row r="1209" spans="1:1" x14ac:dyDescent="0.25">
      <c r="A1209" s="522"/>
    </row>
    <row r="1210" spans="1:1" x14ac:dyDescent="0.25">
      <c r="A1210" s="522"/>
    </row>
    <row r="1211" spans="1:1" x14ac:dyDescent="0.25">
      <c r="A1211" s="522"/>
    </row>
    <row r="1212" spans="1:1" x14ac:dyDescent="0.25">
      <c r="A1212" s="522"/>
    </row>
    <row r="1213" spans="1:1" x14ac:dyDescent="0.25">
      <c r="A1213" s="522"/>
    </row>
    <row r="1214" spans="1:1" x14ac:dyDescent="0.25">
      <c r="A1214" s="522"/>
    </row>
    <row r="1215" spans="1:1" x14ac:dyDescent="0.25">
      <c r="A1215" s="522"/>
    </row>
    <row r="1216" spans="1:1" x14ac:dyDescent="0.25">
      <c r="A1216" s="522"/>
    </row>
    <row r="1217" spans="1:1" x14ac:dyDescent="0.25">
      <c r="A1217" s="522"/>
    </row>
    <row r="1218" spans="1:1" x14ac:dyDescent="0.25">
      <c r="A1218" s="522"/>
    </row>
    <row r="1219" spans="1:1" x14ac:dyDescent="0.25">
      <c r="A1219" s="522"/>
    </row>
    <row r="1220" spans="1:1" x14ac:dyDescent="0.25">
      <c r="A1220" s="522"/>
    </row>
    <row r="1221" spans="1:1" x14ac:dyDescent="0.25">
      <c r="A1221" s="522"/>
    </row>
    <row r="1222" spans="1:1" x14ac:dyDescent="0.25">
      <c r="A1222" s="522"/>
    </row>
    <row r="1223" spans="1:1" x14ac:dyDescent="0.25">
      <c r="A1223" s="522"/>
    </row>
    <row r="1224" spans="1:1" x14ac:dyDescent="0.25">
      <c r="A1224" s="522"/>
    </row>
    <row r="1225" spans="1:1" x14ac:dyDescent="0.25">
      <c r="A1225" s="522"/>
    </row>
    <row r="1226" spans="1:1" x14ac:dyDescent="0.25">
      <c r="A1226" s="522"/>
    </row>
    <row r="1227" spans="1:1" x14ac:dyDescent="0.25">
      <c r="A1227" s="522"/>
    </row>
    <row r="1228" spans="1:1" x14ac:dyDescent="0.25">
      <c r="A1228" s="522"/>
    </row>
    <row r="1229" spans="1:1" x14ac:dyDescent="0.25">
      <c r="A1229" s="522"/>
    </row>
    <row r="1230" spans="1:1" x14ac:dyDescent="0.25">
      <c r="A1230" s="522"/>
    </row>
    <row r="1231" spans="1:1" x14ac:dyDescent="0.25">
      <c r="A1231" s="522"/>
    </row>
    <row r="1232" spans="1:1" x14ac:dyDescent="0.25">
      <c r="A1232" s="522"/>
    </row>
    <row r="1233" spans="1:1" x14ac:dyDescent="0.25">
      <c r="A1233" s="522"/>
    </row>
    <row r="1234" spans="1:1" x14ac:dyDescent="0.25">
      <c r="A1234" s="522"/>
    </row>
    <row r="1235" spans="1:1" x14ac:dyDescent="0.25">
      <c r="A1235" s="522"/>
    </row>
    <row r="1236" spans="1:1" x14ac:dyDescent="0.25">
      <c r="A1236" s="522"/>
    </row>
    <row r="1237" spans="1:1" x14ac:dyDescent="0.25">
      <c r="A1237" s="522"/>
    </row>
    <row r="1238" spans="1:1" x14ac:dyDescent="0.25">
      <c r="A1238" s="522"/>
    </row>
    <row r="1239" spans="1:1" x14ac:dyDescent="0.25">
      <c r="A1239" s="522"/>
    </row>
    <row r="1240" spans="1:1" x14ac:dyDescent="0.25">
      <c r="A1240" s="522"/>
    </row>
    <row r="1241" spans="1:1" x14ac:dyDescent="0.25">
      <c r="A1241" s="522"/>
    </row>
    <row r="1242" spans="1:1" x14ac:dyDescent="0.25">
      <c r="A1242" s="522"/>
    </row>
    <row r="1243" spans="1:1" x14ac:dyDescent="0.25">
      <c r="A1243" s="522"/>
    </row>
    <row r="1244" spans="1:1" x14ac:dyDescent="0.25">
      <c r="A1244" s="522"/>
    </row>
    <row r="1245" spans="1:1" x14ac:dyDescent="0.25">
      <c r="A1245" s="522"/>
    </row>
    <row r="1246" spans="1:1" x14ac:dyDescent="0.25">
      <c r="A1246" s="522"/>
    </row>
    <row r="1247" spans="1:1" x14ac:dyDescent="0.25">
      <c r="A1247" s="522"/>
    </row>
    <row r="1248" spans="1:1" x14ac:dyDescent="0.25">
      <c r="A1248" s="522"/>
    </row>
    <row r="1249" spans="1:1" x14ac:dyDescent="0.25">
      <c r="A1249" s="522"/>
    </row>
    <row r="1250" spans="1:1" x14ac:dyDescent="0.25">
      <c r="A1250" s="522"/>
    </row>
    <row r="1251" spans="1:1" x14ac:dyDescent="0.25">
      <c r="A1251" s="522"/>
    </row>
    <row r="1252" spans="1:1" x14ac:dyDescent="0.25">
      <c r="A1252" s="522"/>
    </row>
    <row r="1253" spans="1:1" x14ac:dyDescent="0.25">
      <c r="A1253" s="522"/>
    </row>
    <row r="1254" spans="1:1" x14ac:dyDescent="0.25">
      <c r="A1254" s="522"/>
    </row>
    <row r="1255" spans="1:1" x14ac:dyDescent="0.25">
      <c r="A1255" s="522"/>
    </row>
    <row r="1256" spans="1:1" x14ac:dyDescent="0.25">
      <c r="A1256" s="522"/>
    </row>
    <row r="1257" spans="1:1" x14ac:dyDescent="0.25">
      <c r="A1257" s="522"/>
    </row>
    <row r="1258" spans="1:1" x14ac:dyDescent="0.25">
      <c r="A1258" s="522"/>
    </row>
    <row r="1259" spans="1:1" x14ac:dyDescent="0.25">
      <c r="A1259" s="522"/>
    </row>
    <row r="1260" spans="1:1" x14ac:dyDescent="0.25">
      <c r="A1260" s="522"/>
    </row>
    <row r="1261" spans="1:1" x14ac:dyDescent="0.25">
      <c r="A1261" s="522"/>
    </row>
    <row r="1262" spans="1:1" x14ac:dyDescent="0.25">
      <c r="A1262" s="522"/>
    </row>
    <row r="1263" spans="1:1" x14ac:dyDescent="0.25">
      <c r="A1263" s="522"/>
    </row>
    <row r="1264" spans="1:1" x14ac:dyDescent="0.25">
      <c r="A1264" s="522"/>
    </row>
    <row r="1265" spans="1:1" x14ac:dyDescent="0.25">
      <c r="A1265" s="522"/>
    </row>
    <row r="1266" spans="1:1" x14ac:dyDescent="0.25">
      <c r="A1266" s="522"/>
    </row>
    <row r="1267" spans="1:1" x14ac:dyDescent="0.25">
      <c r="A1267" s="522"/>
    </row>
    <row r="1268" spans="1:1" x14ac:dyDescent="0.25">
      <c r="A1268" s="522"/>
    </row>
    <row r="1269" spans="1:1" x14ac:dyDescent="0.25">
      <c r="A1269" s="522"/>
    </row>
    <row r="1270" spans="1:1" x14ac:dyDescent="0.25">
      <c r="A1270" s="522"/>
    </row>
    <row r="1271" spans="1:1" x14ac:dyDescent="0.25">
      <c r="A1271" s="522"/>
    </row>
    <row r="1272" spans="1:1" x14ac:dyDescent="0.25">
      <c r="A1272" s="522"/>
    </row>
    <row r="1273" spans="1:1" x14ac:dyDescent="0.25">
      <c r="A1273" s="522"/>
    </row>
    <row r="1274" spans="1:1" x14ac:dyDescent="0.25">
      <c r="A1274" s="522"/>
    </row>
    <row r="1275" spans="1:1" x14ac:dyDescent="0.25">
      <c r="A1275" s="522"/>
    </row>
    <row r="1276" spans="1:1" x14ac:dyDescent="0.25">
      <c r="A1276" s="522"/>
    </row>
    <row r="1277" spans="1:1" x14ac:dyDescent="0.25">
      <c r="A1277" s="522"/>
    </row>
    <row r="1278" spans="1:1" x14ac:dyDescent="0.25">
      <c r="A1278" s="522"/>
    </row>
    <row r="1279" spans="1:1" x14ac:dyDescent="0.25">
      <c r="A1279" s="522"/>
    </row>
    <row r="1280" spans="1:1" x14ac:dyDescent="0.25">
      <c r="A1280" s="522"/>
    </row>
    <row r="1281" spans="1:1" x14ac:dyDescent="0.25">
      <c r="A1281" s="522"/>
    </row>
    <row r="1282" spans="1:1" x14ac:dyDescent="0.25">
      <c r="A1282" s="522"/>
    </row>
    <row r="1283" spans="1:1" x14ac:dyDescent="0.25">
      <c r="A1283" s="522"/>
    </row>
    <row r="1284" spans="1:1" x14ac:dyDescent="0.25">
      <c r="A1284" s="522"/>
    </row>
    <row r="1285" spans="1:1" x14ac:dyDescent="0.25">
      <c r="A1285" s="522"/>
    </row>
    <row r="1286" spans="1:1" x14ac:dyDescent="0.25">
      <c r="A1286" s="522"/>
    </row>
    <row r="1287" spans="1:1" x14ac:dyDescent="0.25">
      <c r="A1287" s="522"/>
    </row>
    <row r="1288" spans="1:1" x14ac:dyDescent="0.25">
      <c r="A1288" s="522"/>
    </row>
    <row r="1289" spans="1:1" x14ac:dyDescent="0.25">
      <c r="A1289" s="522"/>
    </row>
    <row r="1290" spans="1:1" x14ac:dyDescent="0.25">
      <c r="A1290" s="522"/>
    </row>
    <row r="1291" spans="1:1" x14ac:dyDescent="0.25">
      <c r="A1291" s="522"/>
    </row>
    <row r="1292" spans="1:1" x14ac:dyDescent="0.25">
      <c r="A1292" s="522"/>
    </row>
    <row r="1293" spans="1:1" x14ac:dyDescent="0.25">
      <c r="A1293" s="522"/>
    </row>
    <row r="1294" spans="1:1" x14ac:dyDescent="0.25">
      <c r="A1294" s="522"/>
    </row>
    <row r="1295" spans="1:1" x14ac:dyDescent="0.25">
      <c r="A1295" s="522"/>
    </row>
    <row r="1296" spans="1:1" x14ac:dyDescent="0.25">
      <c r="A1296" s="522"/>
    </row>
    <row r="1297" spans="1:1" x14ac:dyDescent="0.25">
      <c r="A1297" s="522"/>
    </row>
    <row r="1298" spans="1:1" x14ac:dyDescent="0.25">
      <c r="A1298" s="522"/>
    </row>
    <row r="1299" spans="1:1" x14ac:dyDescent="0.25">
      <c r="A1299" s="522"/>
    </row>
    <row r="1300" spans="1:1" x14ac:dyDescent="0.25">
      <c r="A1300" s="522"/>
    </row>
    <row r="1301" spans="1:1" x14ac:dyDescent="0.25">
      <c r="A1301" s="522"/>
    </row>
    <row r="1302" spans="1:1" x14ac:dyDescent="0.25">
      <c r="A1302" s="522"/>
    </row>
    <row r="1303" spans="1:1" x14ac:dyDescent="0.25">
      <c r="A1303" s="522"/>
    </row>
    <row r="1304" spans="1:1" x14ac:dyDescent="0.25">
      <c r="A1304" s="522"/>
    </row>
    <row r="1305" spans="1:1" x14ac:dyDescent="0.25">
      <c r="A1305" s="522"/>
    </row>
    <row r="1306" spans="1:1" x14ac:dyDescent="0.25">
      <c r="A1306" s="522"/>
    </row>
    <row r="1307" spans="1:1" x14ac:dyDescent="0.25">
      <c r="A1307" s="522"/>
    </row>
    <row r="1308" spans="1:1" x14ac:dyDescent="0.25">
      <c r="A1308" s="522"/>
    </row>
    <row r="1309" spans="1:1" x14ac:dyDescent="0.25">
      <c r="A1309" s="522"/>
    </row>
    <row r="1310" spans="1:1" x14ac:dyDescent="0.25">
      <c r="A1310" s="522"/>
    </row>
    <row r="1311" spans="1:1" x14ac:dyDescent="0.25">
      <c r="A1311" s="522"/>
    </row>
    <row r="1312" spans="1:1" x14ac:dyDescent="0.25">
      <c r="A1312" s="522"/>
    </row>
    <row r="1313" spans="1:1" x14ac:dyDescent="0.25">
      <c r="A1313" s="522"/>
    </row>
    <row r="1314" spans="1:1" x14ac:dyDescent="0.25">
      <c r="A1314" s="522"/>
    </row>
    <row r="1315" spans="1:1" x14ac:dyDescent="0.25">
      <c r="A1315" s="522"/>
    </row>
    <row r="1316" spans="1:1" x14ac:dyDescent="0.25">
      <c r="A1316" s="522"/>
    </row>
    <row r="1317" spans="1:1" x14ac:dyDescent="0.25">
      <c r="A1317" s="522"/>
    </row>
    <row r="1318" spans="1:1" x14ac:dyDescent="0.25">
      <c r="A1318" s="522"/>
    </row>
    <row r="1319" spans="1:1" x14ac:dyDescent="0.25">
      <c r="A1319" s="522"/>
    </row>
    <row r="1320" spans="1:1" x14ac:dyDescent="0.25">
      <c r="A1320" s="522"/>
    </row>
    <row r="1321" spans="1:1" x14ac:dyDescent="0.25">
      <c r="A1321" s="522"/>
    </row>
    <row r="1322" spans="1:1" x14ac:dyDescent="0.25">
      <c r="A1322" s="522"/>
    </row>
    <row r="1323" spans="1:1" x14ac:dyDescent="0.25">
      <c r="A1323" s="522"/>
    </row>
    <row r="1324" spans="1:1" x14ac:dyDescent="0.25">
      <c r="A1324" s="522"/>
    </row>
    <row r="1325" spans="1:1" x14ac:dyDescent="0.25">
      <c r="A1325" s="522"/>
    </row>
    <row r="1326" spans="1:1" x14ac:dyDescent="0.25">
      <c r="A1326" s="522"/>
    </row>
    <row r="1327" spans="1:1" x14ac:dyDescent="0.25">
      <c r="A1327" s="522"/>
    </row>
    <row r="1328" spans="1:1" x14ac:dyDescent="0.25">
      <c r="A1328" s="522"/>
    </row>
    <row r="1329" spans="1:1" x14ac:dyDescent="0.25">
      <c r="A1329" s="522"/>
    </row>
    <row r="1330" spans="1:1" x14ac:dyDescent="0.25">
      <c r="A1330" s="522"/>
    </row>
    <row r="1331" spans="1:1" x14ac:dyDescent="0.25">
      <c r="A1331" s="522"/>
    </row>
    <row r="1332" spans="1:1" x14ac:dyDescent="0.25">
      <c r="A1332" s="522"/>
    </row>
    <row r="1333" spans="1:1" x14ac:dyDescent="0.25">
      <c r="A1333" s="522"/>
    </row>
    <row r="1334" spans="1:1" x14ac:dyDescent="0.25">
      <c r="A1334" s="522"/>
    </row>
    <row r="1335" spans="1:1" x14ac:dyDescent="0.25">
      <c r="A1335" s="522"/>
    </row>
    <row r="1336" spans="1:1" x14ac:dyDescent="0.25">
      <c r="A1336" s="522"/>
    </row>
    <row r="1337" spans="1:1" x14ac:dyDescent="0.25">
      <c r="A1337" s="522"/>
    </row>
    <row r="1338" spans="1:1" x14ac:dyDescent="0.25">
      <c r="A1338" s="522"/>
    </row>
    <row r="1339" spans="1:1" x14ac:dyDescent="0.25">
      <c r="A1339" s="522"/>
    </row>
    <row r="1340" spans="1:1" x14ac:dyDescent="0.25">
      <c r="A1340" s="522"/>
    </row>
    <row r="1341" spans="1:1" x14ac:dyDescent="0.25">
      <c r="A1341" s="522"/>
    </row>
    <row r="1342" spans="1:1" x14ac:dyDescent="0.25">
      <c r="A1342" s="522"/>
    </row>
    <row r="1343" spans="1:1" x14ac:dyDescent="0.25">
      <c r="A1343" s="522"/>
    </row>
    <row r="1344" spans="1:1" x14ac:dyDescent="0.25">
      <c r="A1344" s="522"/>
    </row>
    <row r="1345" spans="1:1" x14ac:dyDescent="0.25">
      <c r="A1345" s="522"/>
    </row>
    <row r="1346" spans="1:1" x14ac:dyDescent="0.25">
      <c r="A1346" s="522"/>
    </row>
    <row r="1347" spans="1:1" x14ac:dyDescent="0.25">
      <c r="A1347" s="522"/>
    </row>
    <row r="1348" spans="1:1" x14ac:dyDescent="0.25">
      <c r="A1348" s="522"/>
    </row>
    <row r="1349" spans="1:1" x14ac:dyDescent="0.25">
      <c r="A1349" s="522"/>
    </row>
    <row r="1350" spans="1:1" x14ac:dyDescent="0.25">
      <c r="A1350" s="522"/>
    </row>
    <row r="1351" spans="1:1" x14ac:dyDescent="0.25">
      <c r="A1351" s="522"/>
    </row>
    <row r="1352" spans="1:1" x14ac:dyDescent="0.25">
      <c r="A1352" s="522"/>
    </row>
    <row r="1353" spans="1:1" x14ac:dyDescent="0.25">
      <c r="A1353" s="522"/>
    </row>
    <row r="1354" spans="1:1" x14ac:dyDescent="0.25">
      <c r="A1354" s="522"/>
    </row>
    <row r="1355" spans="1:1" x14ac:dyDescent="0.25">
      <c r="A1355" s="522"/>
    </row>
    <row r="1356" spans="1:1" x14ac:dyDescent="0.25">
      <c r="A1356" s="522"/>
    </row>
    <row r="1357" spans="1:1" x14ac:dyDescent="0.25">
      <c r="A1357" s="522"/>
    </row>
    <row r="1358" spans="1:1" x14ac:dyDescent="0.25">
      <c r="A1358" s="522"/>
    </row>
    <row r="1359" spans="1:1" x14ac:dyDescent="0.25">
      <c r="A1359" s="522"/>
    </row>
    <row r="1360" spans="1:1" x14ac:dyDescent="0.25">
      <c r="A1360" s="522"/>
    </row>
    <row r="1361" spans="1:1" x14ac:dyDescent="0.25">
      <c r="A1361" s="522"/>
    </row>
    <row r="1362" spans="1:1" x14ac:dyDescent="0.25">
      <c r="A1362" s="522"/>
    </row>
    <row r="1363" spans="1:1" x14ac:dyDescent="0.25">
      <c r="A1363" s="522"/>
    </row>
    <row r="1364" spans="1:1" x14ac:dyDescent="0.25">
      <c r="A1364" s="522"/>
    </row>
    <row r="1365" spans="1:1" x14ac:dyDescent="0.25">
      <c r="A1365" s="522"/>
    </row>
    <row r="1366" spans="1:1" x14ac:dyDescent="0.25">
      <c r="A1366" s="522"/>
    </row>
    <row r="1367" spans="1:1" x14ac:dyDescent="0.25">
      <c r="A1367" s="522"/>
    </row>
    <row r="1368" spans="1:1" x14ac:dyDescent="0.25">
      <c r="A1368" s="522"/>
    </row>
    <row r="1369" spans="1:1" x14ac:dyDescent="0.25">
      <c r="A1369" s="522"/>
    </row>
    <row r="1370" spans="1:1" x14ac:dyDescent="0.25">
      <c r="A1370" s="522"/>
    </row>
    <row r="1371" spans="1:1" x14ac:dyDescent="0.25">
      <c r="A1371" s="522"/>
    </row>
    <row r="1372" spans="1:1" x14ac:dyDescent="0.25">
      <c r="A1372" s="522"/>
    </row>
    <row r="1373" spans="1:1" x14ac:dyDescent="0.25">
      <c r="A1373" s="522"/>
    </row>
    <row r="1374" spans="1:1" x14ac:dyDescent="0.25">
      <c r="A1374" s="522"/>
    </row>
    <row r="1375" spans="1:1" x14ac:dyDescent="0.25">
      <c r="A1375" s="522"/>
    </row>
    <row r="1376" spans="1:1" x14ac:dyDescent="0.25">
      <c r="A1376" s="522"/>
    </row>
    <row r="1377" spans="1:1" x14ac:dyDescent="0.25">
      <c r="A1377" s="522"/>
    </row>
    <row r="1378" spans="1:1" x14ac:dyDescent="0.25">
      <c r="A1378" s="522"/>
    </row>
    <row r="1379" spans="1:1" x14ac:dyDescent="0.25">
      <c r="A1379" s="522"/>
    </row>
    <row r="1380" spans="1:1" x14ac:dyDescent="0.25">
      <c r="A1380" s="522"/>
    </row>
    <row r="1381" spans="1:1" x14ac:dyDescent="0.25">
      <c r="A1381" s="522"/>
    </row>
    <row r="1382" spans="1:1" x14ac:dyDescent="0.25">
      <c r="A1382" s="522"/>
    </row>
    <row r="1383" spans="1:1" x14ac:dyDescent="0.25">
      <c r="A1383" s="522"/>
    </row>
    <row r="1384" spans="1:1" x14ac:dyDescent="0.25">
      <c r="A1384" s="522"/>
    </row>
    <row r="1385" spans="1:1" x14ac:dyDescent="0.25">
      <c r="A1385" s="522"/>
    </row>
    <row r="1386" spans="1:1" x14ac:dyDescent="0.25">
      <c r="A1386" s="522"/>
    </row>
    <row r="1387" spans="1:1" x14ac:dyDescent="0.25">
      <c r="A1387" s="522"/>
    </row>
    <row r="1388" spans="1:1" x14ac:dyDescent="0.25">
      <c r="A1388" s="522"/>
    </row>
    <row r="1389" spans="1:1" x14ac:dyDescent="0.25">
      <c r="A1389" s="522"/>
    </row>
    <row r="1390" spans="1:1" x14ac:dyDescent="0.25">
      <c r="A1390" s="522"/>
    </row>
    <row r="1391" spans="1:1" x14ac:dyDescent="0.25">
      <c r="A1391" s="522"/>
    </row>
    <row r="1392" spans="1:1" x14ac:dyDescent="0.25">
      <c r="A1392" s="522"/>
    </row>
    <row r="1393" spans="1:1" x14ac:dyDescent="0.25">
      <c r="A1393" s="522"/>
    </row>
    <row r="1394" spans="1:1" x14ac:dyDescent="0.25">
      <c r="A1394" s="522"/>
    </row>
    <row r="1395" spans="1:1" x14ac:dyDescent="0.25">
      <c r="A1395" s="522"/>
    </row>
    <row r="1396" spans="1:1" x14ac:dyDescent="0.25">
      <c r="A1396" s="522"/>
    </row>
    <row r="1397" spans="1:1" x14ac:dyDescent="0.25">
      <c r="A1397" s="522"/>
    </row>
    <row r="1398" spans="1:1" x14ac:dyDescent="0.25">
      <c r="A1398" s="522"/>
    </row>
    <row r="1399" spans="1:1" x14ac:dyDescent="0.25">
      <c r="A1399" s="522"/>
    </row>
    <row r="1400" spans="1:1" x14ac:dyDescent="0.25">
      <c r="A1400" s="522"/>
    </row>
    <row r="1401" spans="1:1" x14ac:dyDescent="0.25">
      <c r="A1401" s="522"/>
    </row>
    <row r="1402" spans="1:1" x14ac:dyDescent="0.25">
      <c r="A1402" s="522"/>
    </row>
    <row r="1403" spans="1:1" x14ac:dyDescent="0.25">
      <c r="A1403" s="522"/>
    </row>
    <row r="1404" spans="1:1" x14ac:dyDescent="0.25">
      <c r="A1404" s="522"/>
    </row>
    <row r="1405" spans="1:1" x14ac:dyDescent="0.25">
      <c r="A1405" s="522"/>
    </row>
    <row r="1406" spans="1:1" x14ac:dyDescent="0.25">
      <c r="A1406" s="522"/>
    </row>
    <row r="1407" spans="1:1" x14ac:dyDescent="0.25">
      <c r="A1407" s="522"/>
    </row>
    <row r="1408" spans="1:1" x14ac:dyDescent="0.25">
      <c r="A1408" s="522"/>
    </row>
    <row r="1409" spans="1:1" x14ac:dyDescent="0.25">
      <c r="A1409" s="522"/>
    </row>
    <row r="1410" spans="1:1" x14ac:dyDescent="0.25">
      <c r="A1410" s="522"/>
    </row>
    <row r="1411" spans="1:1" x14ac:dyDescent="0.25">
      <c r="A1411" s="522"/>
    </row>
    <row r="1412" spans="1:1" x14ac:dyDescent="0.25">
      <c r="A1412" s="522"/>
    </row>
    <row r="1413" spans="1:1" x14ac:dyDescent="0.25">
      <c r="A1413" s="522"/>
    </row>
    <row r="1414" spans="1:1" x14ac:dyDescent="0.25">
      <c r="A1414" s="522"/>
    </row>
    <row r="1415" spans="1:1" x14ac:dyDescent="0.25">
      <c r="A1415" s="522"/>
    </row>
    <row r="1416" spans="1:1" x14ac:dyDescent="0.25">
      <c r="A1416" s="522"/>
    </row>
    <row r="1417" spans="1:1" x14ac:dyDescent="0.25">
      <c r="A1417" s="522"/>
    </row>
    <row r="1418" spans="1:1" x14ac:dyDescent="0.25">
      <c r="A1418" s="522"/>
    </row>
    <row r="1419" spans="1:1" x14ac:dyDescent="0.25">
      <c r="A1419" s="522"/>
    </row>
    <row r="1420" spans="1:1" x14ac:dyDescent="0.25">
      <c r="A1420" s="522"/>
    </row>
    <row r="1421" spans="1:1" x14ac:dyDescent="0.25">
      <c r="A1421" s="522"/>
    </row>
    <row r="1422" spans="1:1" x14ac:dyDescent="0.25">
      <c r="A1422" s="522"/>
    </row>
    <row r="1423" spans="1:1" x14ac:dyDescent="0.25">
      <c r="A1423" s="522"/>
    </row>
    <row r="1424" spans="1:1" x14ac:dyDescent="0.25">
      <c r="A1424" s="522"/>
    </row>
    <row r="1425" spans="1:1" x14ac:dyDescent="0.25">
      <c r="A1425" s="522"/>
    </row>
    <row r="1426" spans="1:1" x14ac:dyDescent="0.25">
      <c r="A1426" s="522"/>
    </row>
    <row r="1427" spans="1:1" x14ac:dyDescent="0.25">
      <c r="A1427" s="522"/>
    </row>
    <row r="1428" spans="1:1" x14ac:dyDescent="0.25">
      <c r="A1428" s="522"/>
    </row>
    <row r="1429" spans="1:1" x14ac:dyDescent="0.25">
      <c r="A1429" s="522"/>
    </row>
    <row r="1430" spans="1:1" x14ac:dyDescent="0.25">
      <c r="A1430" s="522"/>
    </row>
    <row r="1431" spans="1:1" x14ac:dyDescent="0.25">
      <c r="A1431" s="522"/>
    </row>
    <row r="1432" spans="1:1" x14ac:dyDescent="0.25">
      <c r="A1432" s="522"/>
    </row>
    <row r="1433" spans="1:1" x14ac:dyDescent="0.25">
      <c r="A1433" s="522"/>
    </row>
    <row r="1434" spans="1:1" x14ac:dyDescent="0.25">
      <c r="A1434" s="522"/>
    </row>
    <row r="1435" spans="1:1" x14ac:dyDescent="0.25">
      <c r="A1435" s="522"/>
    </row>
    <row r="1436" spans="1:1" x14ac:dyDescent="0.25">
      <c r="A1436" s="522"/>
    </row>
    <row r="1437" spans="1:1" x14ac:dyDescent="0.25">
      <c r="A1437" s="522"/>
    </row>
    <row r="1438" spans="1:1" x14ac:dyDescent="0.25">
      <c r="A1438" s="522"/>
    </row>
    <row r="1439" spans="1:1" x14ac:dyDescent="0.25">
      <c r="A1439" s="522"/>
    </row>
    <row r="1440" spans="1:1" x14ac:dyDescent="0.25">
      <c r="A1440" s="522"/>
    </row>
    <row r="1441" spans="1:1" x14ac:dyDescent="0.25">
      <c r="A1441" s="522"/>
    </row>
    <row r="1442" spans="1:1" x14ac:dyDescent="0.25">
      <c r="A1442" s="522"/>
    </row>
    <row r="1443" spans="1:1" x14ac:dyDescent="0.25">
      <c r="A1443" s="522"/>
    </row>
    <row r="1444" spans="1:1" x14ac:dyDescent="0.25">
      <c r="A1444" s="522"/>
    </row>
    <row r="1445" spans="1:1" x14ac:dyDescent="0.25">
      <c r="A1445" s="522"/>
    </row>
    <row r="1446" spans="1:1" x14ac:dyDescent="0.25">
      <c r="A1446" s="522"/>
    </row>
    <row r="1447" spans="1:1" x14ac:dyDescent="0.25">
      <c r="A1447" s="522"/>
    </row>
    <row r="1448" spans="1:1" x14ac:dyDescent="0.25">
      <c r="A1448" s="522"/>
    </row>
    <row r="1449" spans="1:1" x14ac:dyDescent="0.25">
      <c r="A1449" s="522"/>
    </row>
    <row r="1450" spans="1:1" x14ac:dyDescent="0.25">
      <c r="A1450" s="522"/>
    </row>
    <row r="1451" spans="1:1" x14ac:dyDescent="0.25">
      <c r="A1451" s="522"/>
    </row>
    <row r="1452" spans="1:1" x14ac:dyDescent="0.25">
      <c r="A1452" s="522"/>
    </row>
    <row r="1453" spans="1:1" x14ac:dyDescent="0.25">
      <c r="A1453" s="522"/>
    </row>
    <row r="1454" spans="1:1" x14ac:dyDescent="0.25">
      <c r="A1454" s="522"/>
    </row>
    <row r="1455" spans="1:1" x14ac:dyDescent="0.25">
      <c r="A1455" s="522"/>
    </row>
    <row r="1456" spans="1:1" x14ac:dyDescent="0.25">
      <c r="A1456" s="522"/>
    </row>
    <row r="1457" spans="1:1" x14ac:dyDescent="0.25">
      <c r="A1457" s="522"/>
    </row>
    <row r="1458" spans="1:1" x14ac:dyDescent="0.25">
      <c r="A1458" s="522"/>
    </row>
    <row r="1459" spans="1:1" x14ac:dyDescent="0.25">
      <c r="A1459" s="522"/>
    </row>
    <row r="1460" spans="1:1" x14ac:dyDescent="0.25">
      <c r="A1460" s="522"/>
    </row>
    <row r="1461" spans="1:1" x14ac:dyDescent="0.25">
      <c r="A1461" s="522"/>
    </row>
    <row r="1462" spans="1:1" x14ac:dyDescent="0.25">
      <c r="A1462" s="522"/>
    </row>
    <row r="1463" spans="1:1" x14ac:dyDescent="0.25">
      <c r="A1463" s="522"/>
    </row>
    <row r="1464" spans="1:1" x14ac:dyDescent="0.25">
      <c r="A1464" s="522"/>
    </row>
    <row r="1465" spans="1:1" x14ac:dyDescent="0.25">
      <c r="A1465" s="522"/>
    </row>
    <row r="1466" spans="1:1" x14ac:dyDescent="0.25">
      <c r="A1466" s="522"/>
    </row>
    <row r="1467" spans="1:1" x14ac:dyDescent="0.25">
      <c r="A1467" s="522"/>
    </row>
    <row r="1468" spans="1:1" x14ac:dyDescent="0.25">
      <c r="A1468" s="522"/>
    </row>
    <row r="1469" spans="1:1" x14ac:dyDescent="0.25">
      <c r="A1469" s="522"/>
    </row>
    <row r="1470" spans="1:1" x14ac:dyDescent="0.25">
      <c r="A1470" s="522"/>
    </row>
    <row r="1471" spans="1:1" x14ac:dyDescent="0.25">
      <c r="A1471" s="522"/>
    </row>
    <row r="1472" spans="1:1" x14ac:dyDescent="0.25">
      <c r="A1472" s="522"/>
    </row>
    <row r="1473" spans="1:1" x14ac:dyDescent="0.25">
      <c r="A1473" s="522"/>
    </row>
    <row r="1474" spans="1:1" x14ac:dyDescent="0.25">
      <c r="A1474" s="522"/>
    </row>
    <row r="1475" spans="1:1" x14ac:dyDescent="0.25">
      <c r="A1475" s="522"/>
    </row>
    <row r="1476" spans="1:1" x14ac:dyDescent="0.25">
      <c r="A1476" s="522"/>
    </row>
    <row r="1477" spans="1:1" x14ac:dyDescent="0.25">
      <c r="A1477" s="522"/>
    </row>
    <row r="1478" spans="1:1" x14ac:dyDescent="0.25">
      <c r="A1478" s="522"/>
    </row>
    <row r="1479" spans="1:1" x14ac:dyDescent="0.25">
      <c r="A1479" s="522"/>
    </row>
    <row r="1480" spans="1:1" x14ac:dyDescent="0.25">
      <c r="A1480" s="522"/>
    </row>
    <row r="1481" spans="1:1" x14ac:dyDescent="0.25">
      <c r="A1481" s="522"/>
    </row>
    <row r="1482" spans="1:1" x14ac:dyDescent="0.25">
      <c r="A1482" s="522"/>
    </row>
    <row r="1483" spans="1:1" x14ac:dyDescent="0.25">
      <c r="A1483" s="522"/>
    </row>
    <row r="1484" spans="1:1" x14ac:dyDescent="0.25">
      <c r="A1484" s="522"/>
    </row>
    <row r="1485" spans="1:1" x14ac:dyDescent="0.25">
      <c r="A1485" s="522"/>
    </row>
    <row r="1486" spans="1:1" x14ac:dyDescent="0.25">
      <c r="A1486" s="522"/>
    </row>
    <row r="1487" spans="1:1" x14ac:dyDescent="0.25">
      <c r="A1487" s="522"/>
    </row>
    <row r="1488" spans="1:1" x14ac:dyDescent="0.25">
      <c r="A1488" s="522"/>
    </row>
    <row r="1489" spans="1:1" x14ac:dyDescent="0.25">
      <c r="A1489" s="522"/>
    </row>
    <row r="1490" spans="1:1" x14ac:dyDescent="0.25">
      <c r="A1490" s="522"/>
    </row>
    <row r="1491" spans="1:1" x14ac:dyDescent="0.25">
      <c r="A1491" s="522"/>
    </row>
    <row r="1492" spans="1:1" x14ac:dyDescent="0.25">
      <c r="A1492" s="522"/>
    </row>
    <row r="1493" spans="1:1" x14ac:dyDescent="0.25">
      <c r="A1493" s="522"/>
    </row>
    <row r="1494" spans="1:1" x14ac:dyDescent="0.25">
      <c r="A1494" s="522"/>
    </row>
    <row r="1495" spans="1:1" x14ac:dyDescent="0.25">
      <c r="A1495" s="522"/>
    </row>
    <row r="1496" spans="1:1" x14ac:dyDescent="0.25">
      <c r="A1496" s="522"/>
    </row>
    <row r="1497" spans="1:1" x14ac:dyDescent="0.25">
      <c r="A1497" s="522"/>
    </row>
    <row r="1498" spans="1:1" x14ac:dyDescent="0.25">
      <c r="A1498" s="522"/>
    </row>
    <row r="1499" spans="1:1" x14ac:dyDescent="0.25">
      <c r="A1499" s="522"/>
    </row>
    <row r="1500" spans="1:1" x14ac:dyDescent="0.25">
      <c r="A1500" s="522"/>
    </row>
    <row r="1501" spans="1:1" x14ac:dyDescent="0.25">
      <c r="A1501" s="522"/>
    </row>
    <row r="1502" spans="1:1" x14ac:dyDescent="0.25">
      <c r="A1502" s="522"/>
    </row>
    <row r="1503" spans="1:1" x14ac:dyDescent="0.25">
      <c r="A1503" s="522"/>
    </row>
    <row r="1504" spans="1:1" x14ac:dyDescent="0.25">
      <c r="A1504" s="522"/>
    </row>
    <row r="1505" spans="1:1" x14ac:dyDescent="0.25">
      <c r="A1505" s="522"/>
    </row>
    <row r="1506" spans="1:1" x14ac:dyDescent="0.25">
      <c r="A1506" s="522"/>
    </row>
    <row r="1507" spans="1:1" x14ac:dyDescent="0.25">
      <c r="A1507" s="522"/>
    </row>
    <row r="1508" spans="1:1" x14ac:dyDescent="0.25">
      <c r="A1508" s="522"/>
    </row>
    <row r="1509" spans="1:1" x14ac:dyDescent="0.25">
      <c r="A1509" s="522"/>
    </row>
    <row r="1510" spans="1:1" x14ac:dyDescent="0.25">
      <c r="A1510" s="522"/>
    </row>
    <row r="1511" spans="1:1" x14ac:dyDescent="0.25">
      <c r="A1511" s="522"/>
    </row>
    <row r="1512" spans="1:1" x14ac:dyDescent="0.25">
      <c r="A1512" s="522"/>
    </row>
    <row r="1513" spans="1:1" x14ac:dyDescent="0.25">
      <c r="A1513" s="522"/>
    </row>
    <row r="1514" spans="1:1" x14ac:dyDescent="0.25">
      <c r="A1514" s="522"/>
    </row>
    <row r="1515" spans="1:1" x14ac:dyDescent="0.25">
      <c r="A1515" s="522"/>
    </row>
    <row r="1516" spans="1:1" x14ac:dyDescent="0.25">
      <c r="A1516" s="522"/>
    </row>
    <row r="1517" spans="1:1" x14ac:dyDescent="0.25">
      <c r="A1517" s="522"/>
    </row>
    <row r="1518" spans="1:1" x14ac:dyDescent="0.25">
      <c r="A1518" s="522"/>
    </row>
    <row r="1519" spans="1:1" x14ac:dyDescent="0.25">
      <c r="A1519" s="522"/>
    </row>
    <row r="1520" spans="1:1" x14ac:dyDescent="0.25">
      <c r="A1520" s="522"/>
    </row>
    <row r="1521" spans="1:1" x14ac:dyDescent="0.25">
      <c r="A1521" s="522"/>
    </row>
    <row r="1522" spans="1:1" x14ac:dyDescent="0.25">
      <c r="A1522" s="522"/>
    </row>
    <row r="1523" spans="1:1" x14ac:dyDescent="0.25">
      <c r="A1523" s="522"/>
    </row>
    <row r="1524" spans="1:1" x14ac:dyDescent="0.25">
      <c r="A1524" s="522"/>
    </row>
    <row r="1525" spans="1:1" x14ac:dyDescent="0.25">
      <c r="A1525" s="522"/>
    </row>
    <row r="1526" spans="1:1" x14ac:dyDescent="0.25">
      <c r="A1526" s="522"/>
    </row>
    <row r="1527" spans="1:1" x14ac:dyDescent="0.25">
      <c r="A1527" s="522"/>
    </row>
    <row r="1528" spans="1:1" x14ac:dyDescent="0.25">
      <c r="A1528" s="522"/>
    </row>
    <row r="1529" spans="1:1" x14ac:dyDescent="0.25">
      <c r="A1529" s="522"/>
    </row>
    <row r="1530" spans="1:1" x14ac:dyDescent="0.25">
      <c r="A1530" s="522"/>
    </row>
    <row r="1531" spans="1:1" x14ac:dyDescent="0.25">
      <c r="A1531" s="522"/>
    </row>
    <row r="1532" spans="1:1" x14ac:dyDescent="0.25">
      <c r="A1532" s="522"/>
    </row>
    <row r="1533" spans="1:1" x14ac:dyDescent="0.25">
      <c r="A1533" s="522"/>
    </row>
    <row r="1534" spans="1:1" x14ac:dyDescent="0.25">
      <c r="A1534" s="522"/>
    </row>
    <row r="1535" spans="1:1" x14ac:dyDescent="0.25">
      <c r="A1535" s="522"/>
    </row>
    <row r="1536" spans="1:1" x14ac:dyDescent="0.25">
      <c r="A1536" s="522"/>
    </row>
    <row r="1537" spans="1:1" x14ac:dyDescent="0.25">
      <c r="A1537" s="522"/>
    </row>
    <row r="1538" spans="1:1" x14ac:dyDescent="0.25">
      <c r="A1538" s="522"/>
    </row>
    <row r="1539" spans="1:1" x14ac:dyDescent="0.25">
      <c r="A1539" s="522"/>
    </row>
    <row r="1540" spans="1:1" x14ac:dyDescent="0.25">
      <c r="A1540" s="522"/>
    </row>
    <row r="1541" spans="1:1" x14ac:dyDescent="0.25">
      <c r="A1541" s="522"/>
    </row>
    <row r="1542" spans="1:1" x14ac:dyDescent="0.25">
      <c r="A1542" s="522"/>
    </row>
    <row r="1543" spans="1:1" x14ac:dyDescent="0.25">
      <c r="A1543" s="522"/>
    </row>
    <row r="1544" spans="1:1" x14ac:dyDescent="0.25">
      <c r="A1544" s="522"/>
    </row>
    <row r="1545" spans="1:1" x14ac:dyDescent="0.25">
      <c r="A1545" s="522"/>
    </row>
    <row r="1546" spans="1:1" x14ac:dyDescent="0.25">
      <c r="A1546" s="522"/>
    </row>
    <row r="1547" spans="1:1" x14ac:dyDescent="0.25">
      <c r="A1547" s="522"/>
    </row>
    <row r="1548" spans="1:1" x14ac:dyDescent="0.25">
      <c r="A1548" s="522"/>
    </row>
    <row r="1549" spans="1:1" x14ac:dyDescent="0.25">
      <c r="A1549" s="522"/>
    </row>
    <row r="1550" spans="1:1" x14ac:dyDescent="0.25">
      <c r="A1550" s="522"/>
    </row>
    <row r="1551" spans="1:1" x14ac:dyDescent="0.25">
      <c r="A1551" s="522"/>
    </row>
    <row r="1552" spans="1:1" x14ac:dyDescent="0.25">
      <c r="A1552" s="522"/>
    </row>
    <row r="1553" spans="1:1" x14ac:dyDescent="0.25">
      <c r="A1553" s="522"/>
    </row>
    <row r="1554" spans="1:1" x14ac:dyDescent="0.25">
      <c r="A1554" s="522"/>
    </row>
    <row r="1555" spans="1:1" x14ac:dyDescent="0.25">
      <c r="A1555" s="522"/>
    </row>
    <row r="1556" spans="1:1" x14ac:dyDescent="0.25">
      <c r="A1556" s="522"/>
    </row>
    <row r="1557" spans="1:1" x14ac:dyDescent="0.25">
      <c r="A1557" s="522"/>
    </row>
    <row r="1558" spans="1:1" x14ac:dyDescent="0.25">
      <c r="A1558" s="522"/>
    </row>
    <row r="1559" spans="1:1" x14ac:dyDescent="0.25">
      <c r="A1559" s="522"/>
    </row>
    <row r="1560" spans="1:1" x14ac:dyDescent="0.25">
      <c r="A1560" s="522"/>
    </row>
    <row r="1561" spans="1:1" x14ac:dyDescent="0.25">
      <c r="A1561" s="522"/>
    </row>
    <row r="1562" spans="1:1" x14ac:dyDescent="0.25">
      <c r="A1562" s="522"/>
    </row>
    <row r="1563" spans="1:1" x14ac:dyDescent="0.25">
      <c r="A1563" s="522"/>
    </row>
    <row r="1564" spans="1:1" x14ac:dyDescent="0.25">
      <c r="A1564" s="522"/>
    </row>
    <row r="1565" spans="1:1" x14ac:dyDescent="0.25">
      <c r="A1565" s="522"/>
    </row>
    <row r="1566" spans="1:1" x14ac:dyDescent="0.25">
      <c r="A1566" s="522"/>
    </row>
    <row r="1567" spans="1:1" x14ac:dyDescent="0.25">
      <c r="A1567" s="522"/>
    </row>
    <row r="1568" spans="1:1" x14ac:dyDescent="0.25">
      <c r="A1568" s="522"/>
    </row>
    <row r="1569" spans="1:1" x14ac:dyDescent="0.25">
      <c r="A1569" s="522"/>
    </row>
    <row r="1570" spans="1:1" x14ac:dyDescent="0.25">
      <c r="A1570" s="522"/>
    </row>
    <row r="1571" spans="1:1" x14ac:dyDescent="0.25">
      <c r="A1571" s="522"/>
    </row>
    <row r="1572" spans="1:1" x14ac:dyDescent="0.25">
      <c r="A1572" s="522"/>
    </row>
    <row r="1573" spans="1:1" x14ac:dyDescent="0.25">
      <c r="A1573" s="522"/>
    </row>
    <row r="1574" spans="1:1" x14ac:dyDescent="0.25">
      <c r="A1574" s="522"/>
    </row>
    <row r="1575" spans="1:1" x14ac:dyDescent="0.25">
      <c r="A1575" s="522"/>
    </row>
    <row r="1576" spans="1:1" x14ac:dyDescent="0.25">
      <c r="A1576" s="522"/>
    </row>
    <row r="1577" spans="1:1" x14ac:dyDescent="0.25">
      <c r="A1577" s="522"/>
    </row>
    <row r="1578" spans="1:1" x14ac:dyDescent="0.25">
      <c r="A1578" s="522"/>
    </row>
    <row r="1579" spans="1:1" x14ac:dyDescent="0.25">
      <c r="A1579" s="522"/>
    </row>
    <row r="1580" spans="1:1" x14ac:dyDescent="0.25">
      <c r="A1580" s="522"/>
    </row>
    <row r="1581" spans="1:1" x14ac:dyDescent="0.25">
      <c r="A1581" s="522"/>
    </row>
    <row r="1582" spans="1:1" x14ac:dyDescent="0.25">
      <c r="A1582" s="522"/>
    </row>
    <row r="1583" spans="1:1" x14ac:dyDescent="0.25">
      <c r="A1583" s="522"/>
    </row>
    <row r="1584" spans="1:1" x14ac:dyDescent="0.25">
      <c r="A1584" s="522"/>
    </row>
    <row r="1585" spans="1:1" x14ac:dyDescent="0.25">
      <c r="A1585" s="522"/>
    </row>
    <row r="1586" spans="1:1" x14ac:dyDescent="0.25">
      <c r="A1586" s="522"/>
    </row>
    <row r="1587" spans="1:1" x14ac:dyDescent="0.25">
      <c r="A1587" s="522"/>
    </row>
    <row r="1588" spans="1:1" x14ac:dyDescent="0.25">
      <c r="A1588" s="522"/>
    </row>
    <row r="1589" spans="1:1" x14ac:dyDescent="0.25">
      <c r="A1589" s="522"/>
    </row>
    <row r="1590" spans="1:1" x14ac:dyDescent="0.25">
      <c r="A1590" s="522"/>
    </row>
    <row r="1591" spans="1:1" x14ac:dyDescent="0.25">
      <c r="A1591" s="522"/>
    </row>
    <row r="1592" spans="1:1" x14ac:dyDescent="0.25">
      <c r="A1592" s="522"/>
    </row>
    <row r="1593" spans="1:1" x14ac:dyDescent="0.25">
      <c r="A1593" s="522"/>
    </row>
    <row r="1594" spans="1:1" x14ac:dyDescent="0.25">
      <c r="A1594" s="522"/>
    </row>
    <row r="1595" spans="1:1" x14ac:dyDescent="0.25">
      <c r="A1595" s="522"/>
    </row>
    <row r="1596" spans="1:1" x14ac:dyDescent="0.25">
      <c r="A1596" s="522"/>
    </row>
    <row r="1597" spans="1:1" x14ac:dyDescent="0.25">
      <c r="A1597" s="522"/>
    </row>
    <row r="1598" spans="1:1" x14ac:dyDescent="0.25">
      <c r="A1598" s="522"/>
    </row>
    <row r="1599" spans="1:1" x14ac:dyDescent="0.25">
      <c r="A1599" s="522"/>
    </row>
    <row r="1600" spans="1:1" x14ac:dyDescent="0.25">
      <c r="A1600" s="522"/>
    </row>
    <row r="1601" spans="1:1" x14ac:dyDescent="0.25">
      <c r="A1601" s="522"/>
    </row>
    <row r="1602" spans="1:1" x14ac:dyDescent="0.25">
      <c r="A1602" s="522"/>
    </row>
    <row r="1603" spans="1:1" x14ac:dyDescent="0.25">
      <c r="A1603" s="522"/>
    </row>
    <row r="1604" spans="1:1" x14ac:dyDescent="0.25">
      <c r="A1604" s="522"/>
    </row>
    <row r="1605" spans="1:1" x14ac:dyDescent="0.25">
      <c r="A1605" s="522"/>
    </row>
    <row r="1606" spans="1:1" x14ac:dyDescent="0.25">
      <c r="A1606" s="522"/>
    </row>
    <row r="1607" spans="1:1" x14ac:dyDescent="0.25">
      <c r="A1607" s="522"/>
    </row>
    <row r="1608" spans="1:1" x14ac:dyDescent="0.25">
      <c r="A1608" s="522"/>
    </row>
    <row r="1609" spans="1:1" x14ac:dyDescent="0.25">
      <c r="A1609" s="522"/>
    </row>
    <row r="1610" spans="1:1" x14ac:dyDescent="0.25">
      <c r="A1610" s="522"/>
    </row>
    <row r="1611" spans="1:1" x14ac:dyDescent="0.25">
      <c r="A1611" s="522"/>
    </row>
    <row r="1612" spans="1:1" x14ac:dyDescent="0.25">
      <c r="A1612" s="522"/>
    </row>
    <row r="1613" spans="1:1" x14ac:dyDescent="0.25">
      <c r="A1613" s="522"/>
    </row>
    <row r="1614" spans="1:1" x14ac:dyDescent="0.25">
      <c r="A1614" s="522"/>
    </row>
    <row r="1615" spans="1:1" x14ac:dyDescent="0.25">
      <c r="A1615" s="522"/>
    </row>
    <row r="1616" spans="1:1" x14ac:dyDescent="0.25">
      <c r="A1616" s="522"/>
    </row>
    <row r="1617" spans="1:1" x14ac:dyDescent="0.25">
      <c r="A1617" s="522"/>
    </row>
    <row r="1618" spans="1:1" x14ac:dyDescent="0.25">
      <c r="A1618" s="522"/>
    </row>
    <row r="1619" spans="1:1" x14ac:dyDescent="0.25">
      <c r="A1619" s="522"/>
    </row>
    <row r="1620" spans="1:1" x14ac:dyDescent="0.25">
      <c r="A1620" s="522"/>
    </row>
    <row r="1621" spans="1:1" x14ac:dyDescent="0.25">
      <c r="A1621" s="522"/>
    </row>
    <row r="1622" spans="1:1" x14ac:dyDescent="0.25">
      <c r="A1622" s="522"/>
    </row>
    <row r="1623" spans="1:1" x14ac:dyDescent="0.25">
      <c r="A1623" s="522"/>
    </row>
    <row r="1624" spans="1:1" x14ac:dyDescent="0.25">
      <c r="A1624" s="522"/>
    </row>
    <row r="1625" spans="1:1" x14ac:dyDescent="0.25">
      <c r="A1625" s="522"/>
    </row>
    <row r="1626" spans="1:1" x14ac:dyDescent="0.25">
      <c r="A1626" s="522"/>
    </row>
    <row r="1627" spans="1:1" x14ac:dyDescent="0.25">
      <c r="A1627" s="522"/>
    </row>
    <row r="1628" spans="1:1" x14ac:dyDescent="0.25">
      <c r="A1628" s="522"/>
    </row>
    <row r="1629" spans="1:1" x14ac:dyDescent="0.25">
      <c r="A1629" s="522"/>
    </row>
    <row r="1630" spans="1:1" x14ac:dyDescent="0.25">
      <c r="A1630" s="522"/>
    </row>
    <row r="1631" spans="1:1" x14ac:dyDescent="0.25">
      <c r="A1631" s="522"/>
    </row>
    <row r="1632" spans="1:1" x14ac:dyDescent="0.25">
      <c r="A1632" s="522"/>
    </row>
    <row r="1633" spans="1:1" x14ac:dyDescent="0.25">
      <c r="A1633" s="522"/>
    </row>
    <row r="1634" spans="1:1" x14ac:dyDescent="0.25">
      <c r="A1634" s="522"/>
    </row>
    <row r="1635" spans="1:1" x14ac:dyDescent="0.25">
      <c r="A1635" s="522"/>
    </row>
    <row r="1636" spans="1:1" x14ac:dyDescent="0.25">
      <c r="A1636" s="522"/>
    </row>
    <row r="1637" spans="1:1" x14ac:dyDescent="0.25">
      <c r="A1637" s="522"/>
    </row>
    <row r="1638" spans="1:1" x14ac:dyDescent="0.25">
      <c r="A1638" s="522"/>
    </row>
    <row r="1639" spans="1:1" x14ac:dyDescent="0.25">
      <c r="A1639" s="522"/>
    </row>
    <row r="1640" spans="1:1" x14ac:dyDescent="0.25">
      <c r="A1640" s="522"/>
    </row>
    <row r="1641" spans="1:1" x14ac:dyDescent="0.25">
      <c r="A1641" s="522"/>
    </row>
    <row r="1642" spans="1:1" x14ac:dyDescent="0.25">
      <c r="A1642" s="522"/>
    </row>
    <row r="1643" spans="1:1" x14ac:dyDescent="0.25">
      <c r="A1643" s="522"/>
    </row>
    <row r="1644" spans="1:1" x14ac:dyDescent="0.25">
      <c r="A1644" s="522"/>
    </row>
    <row r="1645" spans="1:1" x14ac:dyDescent="0.25">
      <c r="A1645" s="522"/>
    </row>
    <row r="1646" spans="1:1" x14ac:dyDescent="0.25">
      <c r="A1646" s="522"/>
    </row>
    <row r="1647" spans="1:1" x14ac:dyDescent="0.25">
      <c r="A1647" s="522"/>
    </row>
    <row r="1648" spans="1:1" x14ac:dyDescent="0.25">
      <c r="A1648" s="522"/>
    </row>
    <row r="1649" spans="1:1" x14ac:dyDescent="0.25">
      <c r="A1649" s="522"/>
    </row>
    <row r="1650" spans="1:1" x14ac:dyDescent="0.25">
      <c r="A1650" s="522"/>
    </row>
    <row r="1651" spans="1:1" x14ac:dyDescent="0.25">
      <c r="A1651" s="522"/>
    </row>
    <row r="1652" spans="1:1" x14ac:dyDescent="0.25">
      <c r="A1652" s="522"/>
    </row>
    <row r="1653" spans="1:1" x14ac:dyDescent="0.25">
      <c r="A1653" s="522"/>
    </row>
    <row r="1654" spans="1:1" x14ac:dyDescent="0.25">
      <c r="A1654" s="522"/>
    </row>
    <row r="1655" spans="1:1" x14ac:dyDescent="0.25">
      <c r="A1655" s="522"/>
    </row>
    <row r="1656" spans="1:1" x14ac:dyDescent="0.25">
      <c r="A1656" s="522"/>
    </row>
    <row r="1657" spans="1:1" x14ac:dyDescent="0.25">
      <c r="A1657" s="522"/>
    </row>
    <row r="1658" spans="1:1" x14ac:dyDescent="0.25">
      <c r="A1658" s="522"/>
    </row>
    <row r="1659" spans="1:1" x14ac:dyDescent="0.25">
      <c r="A1659" s="522"/>
    </row>
    <row r="1660" spans="1:1" x14ac:dyDescent="0.25">
      <c r="A1660" s="522"/>
    </row>
    <row r="1661" spans="1:1" x14ac:dyDescent="0.25">
      <c r="A1661" s="522"/>
    </row>
    <row r="1662" spans="1:1" x14ac:dyDescent="0.25">
      <c r="A1662" s="522"/>
    </row>
    <row r="1663" spans="1:1" x14ac:dyDescent="0.25">
      <c r="A1663" s="522"/>
    </row>
    <row r="1664" spans="1:1" x14ac:dyDescent="0.25">
      <c r="A1664" s="522"/>
    </row>
    <row r="1665" spans="1:1" x14ac:dyDescent="0.25">
      <c r="A1665" s="522"/>
    </row>
    <row r="1666" spans="1:1" x14ac:dyDescent="0.25">
      <c r="A1666" s="522"/>
    </row>
    <row r="1667" spans="1:1" x14ac:dyDescent="0.25">
      <c r="A1667" s="522"/>
    </row>
    <row r="1668" spans="1:1" x14ac:dyDescent="0.25">
      <c r="A1668" s="522"/>
    </row>
    <row r="1669" spans="1:1" x14ac:dyDescent="0.25">
      <c r="A1669" s="522"/>
    </row>
    <row r="1670" spans="1:1" x14ac:dyDescent="0.25">
      <c r="A1670" s="522"/>
    </row>
    <row r="1671" spans="1:1" x14ac:dyDescent="0.25">
      <c r="A1671" s="522"/>
    </row>
    <row r="1672" spans="1:1" x14ac:dyDescent="0.25">
      <c r="A1672" s="522"/>
    </row>
    <row r="1673" spans="1:1" x14ac:dyDescent="0.25">
      <c r="A1673" s="522"/>
    </row>
    <row r="1674" spans="1:1" x14ac:dyDescent="0.25">
      <c r="A1674" s="522"/>
    </row>
    <row r="1675" spans="1:1" x14ac:dyDescent="0.25">
      <c r="A1675" s="522"/>
    </row>
    <row r="1676" spans="1:1" x14ac:dyDescent="0.25">
      <c r="A1676" s="522"/>
    </row>
    <row r="1677" spans="1:1" x14ac:dyDescent="0.25">
      <c r="A1677" s="522"/>
    </row>
    <row r="1678" spans="1:1" x14ac:dyDescent="0.25">
      <c r="A1678" s="522"/>
    </row>
    <row r="1679" spans="1:1" x14ac:dyDescent="0.25">
      <c r="A1679" s="522"/>
    </row>
    <row r="1680" spans="1:1" x14ac:dyDescent="0.25">
      <c r="A1680" s="522"/>
    </row>
    <row r="1681" spans="1:1" x14ac:dyDescent="0.25">
      <c r="A1681" s="522"/>
    </row>
    <row r="1682" spans="1:1" x14ac:dyDescent="0.25">
      <c r="A1682" s="522"/>
    </row>
    <row r="1683" spans="1:1" x14ac:dyDescent="0.25">
      <c r="A1683" s="522"/>
    </row>
    <row r="1684" spans="1:1" x14ac:dyDescent="0.25">
      <c r="A1684" s="522"/>
    </row>
    <row r="1685" spans="1:1" x14ac:dyDescent="0.25">
      <c r="A1685" s="522"/>
    </row>
    <row r="1686" spans="1:1" x14ac:dyDescent="0.25">
      <c r="A1686" s="522"/>
    </row>
    <row r="1687" spans="1:1" x14ac:dyDescent="0.25">
      <c r="A1687" s="522"/>
    </row>
    <row r="1688" spans="1:1" x14ac:dyDescent="0.25">
      <c r="A1688" s="522"/>
    </row>
    <row r="1689" spans="1:1" x14ac:dyDescent="0.25">
      <c r="A1689" s="522"/>
    </row>
    <row r="1690" spans="1:1" x14ac:dyDescent="0.25">
      <c r="A1690" s="522"/>
    </row>
    <row r="1691" spans="1:1" x14ac:dyDescent="0.25">
      <c r="A1691" s="522"/>
    </row>
    <row r="1692" spans="1:1" x14ac:dyDescent="0.25">
      <c r="A1692" s="522"/>
    </row>
    <row r="1693" spans="1:1" x14ac:dyDescent="0.25">
      <c r="A1693" s="522"/>
    </row>
    <row r="1694" spans="1:1" x14ac:dyDescent="0.25">
      <c r="A1694" s="522"/>
    </row>
    <row r="1695" spans="1:1" x14ac:dyDescent="0.25">
      <c r="A1695" s="522"/>
    </row>
    <row r="1696" spans="1:1" x14ac:dyDescent="0.25">
      <c r="A1696" s="522"/>
    </row>
    <row r="1697" spans="1:1" x14ac:dyDescent="0.25">
      <c r="A1697" s="522"/>
    </row>
    <row r="1698" spans="1:1" x14ac:dyDescent="0.25">
      <c r="A1698" s="522"/>
    </row>
    <row r="1699" spans="1:1" x14ac:dyDescent="0.25">
      <c r="A1699" s="522"/>
    </row>
    <row r="1700" spans="1:1" x14ac:dyDescent="0.25">
      <c r="A1700" s="522"/>
    </row>
    <row r="1701" spans="1:1" x14ac:dyDescent="0.25">
      <c r="A1701" s="522"/>
    </row>
    <row r="1702" spans="1:1" x14ac:dyDescent="0.25">
      <c r="A1702" s="522"/>
    </row>
    <row r="1703" spans="1:1" x14ac:dyDescent="0.25">
      <c r="A1703" s="522"/>
    </row>
    <row r="1704" spans="1:1" x14ac:dyDescent="0.25">
      <c r="A1704" s="522"/>
    </row>
    <row r="1705" spans="1:1" x14ac:dyDescent="0.25">
      <c r="A1705" s="522"/>
    </row>
    <row r="1706" spans="1:1" x14ac:dyDescent="0.25">
      <c r="A1706" s="522"/>
    </row>
    <row r="1707" spans="1:1" x14ac:dyDescent="0.25">
      <c r="A1707" s="522"/>
    </row>
    <row r="1708" spans="1:1" x14ac:dyDescent="0.25">
      <c r="A1708" s="522"/>
    </row>
    <row r="1709" spans="1:1" x14ac:dyDescent="0.25">
      <c r="A1709" s="522"/>
    </row>
    <row r="1710" spans="1:1" x14ac:dyDescent="0.25">
      <c r="A1710" s="522"/>
    </row>
    <row r="1711" spans="1:1" x14ac:dyDescent="0.25">
      <c r="A1711" s="522"/>
    </row>
    <row r="1712" spans="1:1" x14ac:dyDescent="0.25">
      <c r="A1712" s="522"/>
    </row>
    <row r="1713" spans="1:1" x14ac:dyDescent="0.25">
      <c r="A1713" s="522"/>
    </row>
    <row r="1714" spans="1:1" x14ac:dyDescent="0.25">
      <c r="A1714" s="522"/>
    </row>
    <row r="1715" spans="1:1" x14ac:dyDescent="0.25">
      <c r="A1715" s="522"/>
    </row>
    <row r="1716" spans="1:1" x14ac:dyDescent="0.25">
      <c r="A1716" s="522"/>
    </row>
    <row r="1717" spans="1:1" x14ac:dyDescent="0.25">
      <c r="A1717" s="522"/>
    </row>
    <row r="1718" spans="1:1" x14ac:dyDescent="0.25">
      <c r="A1718" s="522"/>
    </row>
    <row r="1719" spans="1:1" x14ac:dyDescent="0.25">
      <c r="A1719" s="522"/>
    </row>
    <row r="1720" spans="1:1" x14ac:dyDescent="0.25">
      <c r="A1720" s="522"/>
    </row>
    <row r="1721" spans="1:1" x14ac:dyDescent="0.25">
      <c r="A1721" s="522"/>
    </row>
    <row r="1722" spans="1:1" x14ac:dyDescent="0.25">
      <c r="A1722" s="522"/>
    </row>
    <row r="1723" spans="1:1" x14ac:dyDescent="0.25">
      <c r="A1723" s="522"/>
    </row>
    <row r="1724" spans="1:1" x14ac:dyDescent="0.25">
      <c r="A1724" s="522"/>
    </row>
    <row r="1725" spans="1:1" x14ac:dyDescent="0.25">
      <c r="A1725" s="522"/>
    </row>
    <row r="1726" spans="1:1" x14ac:dyDescent="0.25">
      <c r="A1726" s="522"/>
    </row>
    <row r="1727" spans="1:1" x14ac:dyDescent="0.25">
      <c r="A1727" s="522"/>
    </row>
    <row r="1728" spans="1:1" x14ac:dyDescent="0.25">
      <c r="A1728" s="522"/>
    </row>
    <row r="1729" spans="1:1" x14ac:dyDescent="0.25">
      <c r="A1729" s="522"/>
    </row>
    <row r="1730" spans="1:1" x14ac:dyDescent="0.25">
      <c r="A1730" s="522"/>
    </row>
    <row r="1731" spans="1:1" x14ac:dyDescent="0.25">
      <c r="A1731" s="522"/>
    </row>
    <row r="1732" spans="1:1" x14ac:dyDescent="0.25">
      <c r="A1732" s="522"/>
    </row>
    <row r="1733" spans="1:1" x14ac:dyDescent="0.25">
      <c r="A1733" s="522"/>
    </row>
    <row r="1734" spans="1:1" x14ac:dyDescent="0.25">
      <c r="A1734" s="522"/>
    </row>
    <row r="1735" spans="1:1" x14ac:dyDescent="0.25">
      <c r="A1735" s="522"/>
    </row>
    <row r="1736" spans="1:1" x14ac:dyDescent="0.25">
      <c r="A1736" s="522"/>
    </row>
    <row r="1737" spans="1:1" x14ac:dyDescent="0.25">
      <c r="A1737" s="522"/>
    </row>
    <row r="1738" spans="1:1" x14ac:dyDescent="0.25">
      <c r="A1738" s="522"/>
    </row>
    <row r="1739" spans="1:1" x14ac:dyDescent="0.25">
      <c r="A1739" s="522"/>
    </row>
    <row r="1740" spans="1:1" x14ac:dyDescent="0.25">
      <c r="A1740" s="522"/>
    </row>
    <row r="1741" spans="1:1" x14ac:dyDescent="0.25">
      <c r="A1741" s="522"/>
    </row>
    <row r="1742" spans="1:1" x14ac:dyDescent="0.25">
      <c r="A1742" s="522"/>
    </row>
    <row r="1743" spans="1:1" x14ac:dyDescent="0.25">
      <c r="A1743" s="522"/>
    </row>
    <row r="1744" spans="1:1" x14ac:dyDescent="0.25">
      <c r="A1744" s="522"/>
    </row>
    <row r="1745" spans="1:1" x14ac:dyDescent="0.25">
      <c r="A1745" s="522"/>
    </row>
    <row r="1746" spans="1:1" x14ac:dyDescent="0.25">
      <c r="A1746" s="522"/>
    </row>
    <row r="1747" spans="1:1" x14ac:dyDescent="0.25">
      <c r="A1747" s="522"/>
    </row>
    <row r="1748" spans="1:1" x14ac:dyDescent="0.25">
      <c r="A1748" s="522"/>
    </row>
    <row r="1749" spans="1:1" x14ac:dyDescent="0.25">
      <c r="A1749" s="522"/>
    </row>
    <row r="1750" spans="1:1" x14ac:dyDescent="0.25">
      <c r="A1750" s="522"/>
    </row>
    <row r="1751" spans="1:1" x14ac:dyDescent="0.25">
      <c r="A1751" s="522"/>
    </row>
    <row r="1752" spans="1:1" x14ac:dyDescent="0.25">
      <c r="A1752" s="522"/>
    </row>
    <row r="1753" spans="1:1" x14ac:dyDescent="0.25">
      <c r="A1753" s="522"/>
    </row>
    <row r="1754" spans="1:1" x14ac:dyDescent="0.25">
      <c r="A1754" s="522"/>
    </row>
    <row r="1755" spans="1:1" x14ac:dyDescent="0.25">
      <c r="A1755" s="522"/>
    </row>
    <row r="1756" spans="1:1" x14ac:dyDescent="0.25">
      <c r="A1756" s="522"/>
    </row>
    <row r="1757" spans="1:1" x14ac:dyDescent="0.25">
      <c r="A1757" s="522"/>
    </row>
    <row r="1758" spans="1:1" x14ac:dyDescent="0.25">
      <c r="A1758" s="522"/>
    </row>
    <row r="1759" spans="1:1" x14ac:dyDescent="0.25">
      <c r="A1759" s="522"/>
    </row>
    <row r="1760" spans="1:1" x14ac:dyDescent="0.25">
      <c r="A1760" s="522"/>
    </row>
    <row r="1761" spans="1:1" x14ac:dyDescent="0.25">
      <c r="A1761" s="522"/>
    </row>
    <row r="1762" spans="1:1" x14ac:dyDescent="0.25">
      <c r="A1762" s="522"/>
    </row>
    <row r="1763" spans="1:1" x14ac:dyDescent="0.25">
      <c r="A1763" s="522"/>
    </row>
    <row r="1764" spans="1:1" x14ac:dyDescent="0.25">
      <c r="A1764" s="522"/>
    </row>
    <row r="1765" spans="1:1" x14ac:dyDescent="0.25">
      <c r="A1765" s="522"/>
    </row>
    <row r="1766" spans="1:1" x14ac:dyDescent="0.25">
      <c r="A1766" s="522"/>
    </row>
    <row r="1767" spans="1:1" x14ac:dyDescent="0.25">
      <c r="A1767" s="522"/>
    </row>
    <row r="1768" spans="1:1" x14ac:dyDescent="0.25">
      <c r="A1768" s="522"/>
    </row>
    <row r="1769" spans="1:1" x14ac:dyDescent="0.25">
      <c r="A1769" s="522"/>
    </row>
    <row r="1770" spans="1:1" x14ac:dyDescent="0.25">
      <c r="A1770" s="522"/>
    </row>
    <row r="1771" spans="1:1" x14ac:dyDescent="0.25">
      <c r="A1771" s="522"/>
    </row>
    <row r="1772" spans="1:1" x14ac:dyDescent="0.25">
      <c r="A1772" s="522"/>
    </row>
    <row r="1773" spans="1:1" x14ac:dyDescent="0.25">
      <c r="A1773" s="522"/>
    </row>
    <row r="1774" spans="1:1" x14ac:dyDescent="0.25">
      <c r="A1774" s="522"/>
    </row>
    <row r="1775" spans="1:1" x14ac:dyDescent="0.25">
      <c r="A1775" s="522"/>
    </row>
    <row r="1776" spans="1:1" x14ac:dyDescent="0.25">
      <c r="A1776" s="522"/>
    </row>
    <row r="1777" spans="1:1" x14ac:dyDescent="0.25">
      <c r="A1777" s="522"/>
    </row>
    <row r="1778" spans="1:1" x14ac:dyDescent="0.25">
      <c r="A1778" s="522"/>
    </row>
    <row r="1779" spans="1:1" x14ac:dyDescent="0.25">
      <c r="A1779" s="522"/>
    </row>
    <row r="1780" spans="1:1" x14ac:dyDescent="0.25">
      <c r="A1780" s="522"/>
    </row>
    <row r="1781" spans="1:1" x14ac:dyDescent="0.25">
      <c r="A1781" s="522"/>
    </row>
    <row r="1782" spans="1:1" x14ac:dyDescent="0.25">
      <c r="A1782" s="522"/>
    </row>
    <row r="1783" spans="1:1" x14ac:dyDescent="0.25">
      <c r="A1783" s="522"/>
    </row>
    <row r="1784" spans="1:1" x14ac:dyDescent="0.25">
      <c r="A1784" s="522"/>
    </row>
    <row r="1785" spans="1:1" x14ac:dyDescent="0.25">
      <c r="A1785" s="522"/>
    </row>
    <row r="1786" spans="1:1" x14ac:dyDescent="0.25">
      <c r="A1786" s="522"/>
    </row>
    <row r="1787" spans="1:1" x14ac:dyDescent="0.25">
      <c r="A1787" s="522"/>
    </row>
    <row r="1788" spans="1:1" x14ac:dyDescent="0.25">
      <c r="A1788" s="522"/>
    </row>
    <row r="1789" spans="1:1" x14ac:dyDescent="0.25">
      <c r="A1789" s="522"/>
    </row>
    <row r="1790" spans="1:1" x14ac:dyDescent="0.25">
      <c r="A1790" s="522"/>
    </row>
    <row r="1791" spans="1:1" x14ac:dyDescent="0.25">
      <c r="A1791" s="522"/>
    </row>
    <row r="1792" spans="1:1" x14ac:dyDescent="0.25">
      <c r="A1792" s="522"/>
    </row>
    <row r="1793" spans="1:1" x14ac:dyDescent="0.25">
      <c r="A1793" s="522"/>
    </row>
    <row r="1794" spans="1:1" x14ac:dyDescent="0.25">
      <c r="A1794" s="522"/>
    </row>
    <row r="1795" spans="1:1" x14ac:dyDescent="0.25">
      <c r="A1795" s="522"/>
    </row>
    <row r="1796" spans="1:1" x14ac:dyDescent="0.25">
      <c r="A1796" s="522"/>
    </row>
    <row r="1797" spans="1:1" x14ac:dyDescent="0.25">
      <c r="A1797" s="522"/>
    </row>
    <row r="1798" spans="1:1" x14ac:dyDescent="0.25">
      <c r="A1798" s="522"/>
    </row>
    <row r="1799" spans="1:1" x14ac:dyDescent="0.25">
      <c r="A1799" s="522"/>
    </row>
    <row r="1800" spans="1:1" x14ac:dyDescent="0.25">
      <c r="A1800" s="522"/>
    </row>
    <row r="1801" spans="1:1" x14ac:dyDescent="0.25">
      <c r="A1801" s="522"/>
    </row>
    <row r="1802" spans="1:1" x14ac:dyDescent="0.25">
      <c r="A1802" s="522"/>
    </row>
    <row r="1803" spans="1:1" x14ac:dyDescent="0.25">
      <c r="A1803" s="522"/>
    </row>
    <row r="1804" spans="1:1" x14ac:dyDescent="0.25">
      <c r="A1804" s="522"/>
    </row>
    <row r="1805" spans="1:1" x14ac:dyDescent="0.25">
      <c r="A1805" s="522"/>
    </row>
    <row r="1806" spans="1:1" x14ac:dyDescent="0.25">
      <c r="A1806" s="522"/>
    </row>
    <row r="1807" spans="1:1" x14ac:dyDescent="0.25">
      <c r="A1807" s="522"/>
    </row>
    <row r="1808" spans="1:1" x14ac:dyDescent="0.25">
      <c r="A1808" s="522"/>
    </row>
    <row r="1809" spans="1:1" x14ac:dyDescent="0.25">
      <c r="A1809" s="522"/>
    </row>
    <row r="1810" spans="1:1" x14ac:dyDescent="0.25">
      <c r="A1810" s="522"/>
    </row>
    <row r="1811" spans="1:1" x14ac:dyDescent="0.25">
      <c r="A1811" s="522"/>
    </row>
    <row r="1812" spans="1:1" x14ac:dyDescent="0.25">
      <c r="A1812" s="522"/>
    </row>
    <row r="1813" spans="1:1" x14ac:dyDescent="0.25">
      <c r="A1813" s="522"/>
    </row>
    <row r="1814" spans="1:1" x14ac:dyDescent="0.25">
      <c r="A1814" s="522"/>
    </row>
    <row r="1815" spans="1:1" x14ac:dyDescent="0.25">
      <c r="A1815" s="522"/>
    </row>
    <row r="1816" spans="1:1" x14ac:dyDescent="0.25">
      <c r="A1816" s="522"/>
    </row>
    <row r="1817" spans="1:1" x14ac:dyDescent="0.25">
      <c r="A1817" s="522"/>
    </row>
    <row r="1818" spans="1:1" x14ac:dyDescent="0.25">
      <c r="A1818" s="522"/>
    </row>
    <row r="1819" spans="1:1" x14ac:dyDescent="0.25">
      <c r="A1819" s="522"/>
    </row>
    <row r="1820" spans="1:1" x14ac:dyDescent="0.25">
      <c r="A1820" s="522"/>
    </row>
    <row r="1821" spans="1:1" x14ac:dyDescent="0.25">
      <c r="A1821" s="522"/>
    </row>
    <row r="1822" spans="1:1" x14ac:dyDescent="0.25">
      <c r="A1822" s="522"/>
    </row>
    <row r="1823" spans="1:1" x14ac:dyDescent="0.25">
      <c r="A1823" s="522"/>
    </row>
    <row r="1824" spans="1:1" x14ac:dyDescent="0.25">
      <c r="A1824" s="522"/>
    </row>
    <row r="1825" spans="1:1" x14ac:dyDescent="0.25">
      <c r="A1825" s="522"/>
    </row>
    <row r="1826" spans="1:1" x14ac:dyDescent="0.25">
      <c r="A1826" s="522"/>
    </row>
    <row r="1827" spans="1:1" x14ac:dyDescent="0.25">
      <c r="A1827" s="522"/>
    </row>
    <row r="1828" spans="1:1" x14ac:dyDescent="0.25">
      <c r="A1828" s="522"/>
    </row>
    <row r="1829" spans="1:1" x14ac:dyDescent="0.25">
      <c r="A1829" s="522"/>
    </row>
    <row r="1830" spans="1:1" x14ac:dyDescent="0.25">
      <c r="A1830" s="522"/>
    </row>
    <row r="1831" spans="1:1" x14ac:dyDescent="0.25">
      <c r="A1831" s="522"/>
    </row>
    <row r="1832" spans="1:1" x14ac:dyDescent="0.25">
      <c r="A1832" s="522"/>
    </row>
    <row r="1833" spans="1:1" x14ac:dyDescent="0.25">
      <c r="A1833" s="522"/>
    </row>
    <row r="1834" spans="1:1" x14ac:dyDescent="0.25">
      <c r="A1834" s="522"/>
    </row>
    <row r="1835" spans="1:1" x14ac:dyDescent="0.25">
      <c r="A1835" s="522"/>
    </row>
    <row r="1836" spans="1:1" x14ac:dyDescent="0.25">
      <c r="A1836" s="522"/>
    </row>
    <row r="1837" spans="1:1" x14ac:dyDescent="0.25">
      <c r="A1837" s="522"/>
    </row>
    <row r="1838" spans="1:1" x14ac:dyDescent="0.25">
      <c r="A1838" s="522"/>
    </row>
    <row r="1839" spans="1:1" x14ac:dyDescent="0.25">
      <c r="A1839" s="522"/>
    </row>
    <row r="1840" spans="1:1" x14ac:dyDescent="0.25">
      <c r="A1840" s="522"/>
    </row>
    <row r="1841" spans="1:1" x14ac:dyDescent="0.25">
      <c r="A1841" s="522"/>
    </row>
    <row r="1842" spans="1:1" x14ac:dyDescent="0.25">
      <c r="A1842" s="522"/>
    </row>
    <row r="1843" spans="1:1" x14ac:dyDescent="0.25">
      <c r="A1843" s="522"/>
    </row>
    <row r="1844" spans="1:1" x14ac:dyDescent="0.25">
      <c r="A1844" s="522"/>
    </row>
    <row r="1845" spans="1:1" x14ac:dyDescent="0.25">
      <c r="A1845" s="522"/>
    </row>
    <row r="1846" spans="1:1" x14ac:dyDescent="0.25">
      <c r="A1846" s="522"/>
    </row>
    <row r="1847" spans="1:1" x14ac:dyDescent="0.25">
      <c r="A1847" s="522"/>
    </row>
    <row r="1848" spans="1:1" x14ac:dyDescent="0.25">
      <c r="A1848" s="522"/>
    </row>
    <row r="1849" spans="1:1" x14ac:dyDescent="0.25">
      <c r="A1849" s="522"/>
    </row>
    <row r="1850" spans="1:1" x14ac:dyDescent="0.25">
      <c r="A1850" s="522"/>
    </row>
    <row r="1851" spans="1:1" x14ac:dyDescent="0.25">
      <c r="A1851" s="522"/>
    </row>
    <row r="1852" spans="1:1" x14ac:dyDescent="0.25">
      <c r="A1852" s="522"/>
    </row>
    <row r="1853" spans="1:1" x14ac:dyDescent="0.25">
      <c r="A1853" s="522"/>
    </row>
    <row r="1854" spans="1:1" x14ac:dyDescent="0.25">
      <c r="A1854" s="522"/>
    </row>
    <row r="1855" spans="1:1" x14ac:dyDescent="0.25">
      <c r="A1855" s="522"/>
    </row>
    <row r="1856" spans="1:1" x14ac:dyDescent="0.25">
      <c r="A1856" s="522"/>
    </row>
    <row r="1857" spans="1:1" x14ac:dyDescent="0.25">
      <c r="A1857" s="522"/>
    </row>
    <row r="1858" spans="1:1" x14ac:dyDescent="0.25">
      <c r="A1858" s="522"/>
    </row>
    <row r="1859" spans="1:1" x14ac:dyDescent="0.25">
      <c r="A1859" s="522"/>
    </row>
    <row r="1860" spans="1:1" x14ac:dyDescent="0.25">
      <c r="A1860" s="522"/>
    </row>
    <row r="1861" spans="1:1" x14ac:dyDescent="0.25">
      <c r="A1861" s="522"/>
    </row>
    <row r="1862" spans="1:1" x14ac:dyDescent="0.25">
      <c r="A1862" s="522"/>
    </row>
    <row r="1863" spans="1:1" x14ac:dyDescent="0.25">
      <c r="A1863" s="522"/>
    </row>
    <row r="1864" spans="1:1" x14ac:dyDescent="0.25">
      <c r="A1864" s="522"/>
    </row>
    <row r="1865" spans="1:1" x14ac:dyDescent="0.25">
      <c r="A1865" s="522"/>
    </row>
    <row r="1866" spans="1:1" x14ac:dyDescent="0.25">
      <c r="A1866" s="522"/>
    </row>
    <row r="1867" spans="1:1" x14ac:dyDescent="0.25">
      <c r="A1867" s="522"/>
    </row>
    <row r="1868" spans="1:1" x14ac:dyDescent="0.25">
      <c r="A1868" s="522"/>
    </row>
    <row r="1869" spans="1:1" x14ac:dyDescent="0.25">
      <c r="A1869" s="522"/>
    </row>
    <row r="1870" spans="1:1" x14ac:dyDescent="0.25">
      <c r="A1870" s="522"/>
    </row>
    <row r="1871" spans="1:1" x14ac:dyDescent="0.25">
      <c r="A1871" s="522"/>
    </row>
    <row r="1872" spans="1:1" x14ac:dyDescent="0.25">
      <c r="A1872" s="522"/>
    </row>
    <row r="1873" spans="1:1" x14ac:dyDescent="0.25">
      <c r="A1873" s="522"/>
    </row>
    <row r="1874" spans="1:1" x14ac:dyDescent="0.25">
      <c r="A1874" s="522"/>
    </row>
    <row r="1875" spans="1:1" x14ac:dyDescent="0.25">
      <c r="A1875" s="522"/>
    </row>
    <row r="1876" spans="1:1" x14ac:dyDescent="0.25">
      <c r="A1876" s="522"/>
    </row>
    <row r="1877" spans="1:1" x14ac:dyDescent="0.25">
      <c r="A1877" s="522"/>
    </row>
    <row r="1878" spans="1:1" x14ac:dyDescent="0.25">
      <c r="A1878" s="522"/>
    </row>
    <row r="1879" spans="1:1" x14ac:dyDescent="0.25">
      <c r="A1879" s="522"/>
    </row>
    <row r="1880" spans="1:1" x14ac:dyDescent="0.25">
      <c r="A1880" s="522"/>
    </row>
    <row r="1881" spans="1:1" x14ac:dyDescent="0.25">
      <c r="A1881" s="522"/>
    </row>
    <row r="1882" spans="1:1" x14ac:dyDescent="0.25">
      <c r="A1882" s="522"/>
    </row>
    <row r="1883" spans="1:1" x14ac:dyDescent="0.25">
      <c r="A1883" s="522"/>
    </row>
    <row r="1884" spans="1:1" x14ac:dyDescent="0.25">
      <c r="A1884" s="522"/>
    </row>
    <row r="1885" spans="1:1" x14ac:dyDescent="0.25">
      <c r="A1885" s="522"/>
    </row>
    <row r="1886" spans="1:1" x14ac:dyDescent="0.25">
      <c r="A1886" s="522"/>
    </row>
    <row r="1887" spans="1:1" x14ac:dyDescent="0.25">
      <c r="A1887" s="522"/>
    </row>
    <row r="1888" spans="1:1" x14ac:dyDescent="0.25">
      <c r="A1888" s="522"/>
    </row>
    <row r="1889" spans="1:1" x14ac:dyDescent="0.25">
      <c r="A1889" s="522"/>
    </row>
    <row r="1890" spans="1:1" x14ac:dyDescent="0.25">
      <c r="A1890" s="522"/>
    </row>
    <row r="1891" spans="1:1" x14ac:dyDescent="0.25">
      <c r="A1891" s="522"/>
    </row>
    <row r="1892" spans="1:1" x14ac:dyDescent="0.25">
      <c r="A1892" s="522"/>
    </row>
    <row r="1893" spans="1:1" x14ac:dyDescent="0.25">
      <c r="A1893" s="522"/>
    </row>
    <row r="1894" spans="1:1" x14ac:dyDescent="0.25">
      <c r="A1894" s="522"/>
    </row>
    <row r="1895" spans="1:1" x14ac:dyDescent="0.25">
      <c r="A1895" s="522"/>
    </row>
    <row r="1896" spans="1:1" x14ac:dyDescent="0.25">
      <c r="A1896" s="522"/>
    </row>
    <row r="1897" spans="1:1" x14ac:dyDescent="0.25">
      <c r="A1897" s="522"/>
    </row>
    <row r="1898" spans="1:1" x14ac:dyDescent="0.25">
      <c r="A1898" s="522"/>
    </row>
    <row r="1899" spans="1:1" x14ac:dyDescent="0.25">
      <c r="A1899" s="522"/>
    </row>
    <row r="1900" spans="1:1" x14ac:dyDescent="0.25">
      <c r="A1900" s="522"/>
    </row>
    <row r="1901" spans="1:1" x14ac:dyDescent="0.25">
      <c r="A1901" s="522"/>
    </row>
    <row r="1902" spans="1:1" x14ac:dyDescent="0.25">
      <c r="A1902" s="522"/>
    </row>
    <row r="1903" spans="1:1" x14ac:dyDescent="0.25">
      <c r="A1903" s="522"/>
    </row>
    <row r="1904" spans="1:1" x14ac:dyDescent="0.25">
      <c r="A1904" s="522"/>
    </row>
    <row r="1905" spans="1:1" x14ac:dyDescent="0.25">
      <c r="A1905" s="522"/>
    </row>
    <row r="1906" spans="1:1" x14ac:dyDescent="0.25">
      <c r="A1906" s="522"/>
    </row>
    <row r="1907" spans="1:1" x14ac:dyDescent="0.25">
      <c r="A1907" s="522"/>
    </row>
    <row r="1908" spans="1:1" x14ac:dyDescent="0.25">
      <c r="A1908" s="522"/>
    </row>
    <row r="1909" spans="1:1" x14ac:dyDescent="0.25">
      <c r="A1909" s="522"/>
    </row>
    <row r="1910" spans="1:1" x14ac:dyDescent="0.25">
      <c r="A1910" s="522"/>
    </row>
    <row r="1911" spans="1:1" x14ac:dyDescent="0.25">
      <c r="A1911" s="522"/>
    </row>
    <row r="1912" spans="1:1" x14ac:dyDescent="0.25">
      <c r="A1912" s="522"/>
    </row>
    <row r="1913" spans="1:1" x14ac:dyDescent="0.25">
      <c r="A1913" s="522"/>
    </row>
    <row r="1914" spans="1:1" x14ac:dyDescent="0.25">
      <c r="A1914" s="522"/>
    </row>
    <row r="1915" spans="1:1" x14ac:dyDescent="0.25">
      <c r="A1915" s="522"/>
    </row>
    <row r="1916" spans="1:1" x14ac:dyDescent="0.25">
      <c r="A1916" s="522"/>
    </row>
    <row r="1917" spans="1:1" x14ac:dyDescent="0.25">
      <c r="A1917" s="522"/>
    </row>
    <row r="1918" spans="1:1" x14ac:dyDescent="0.25">
      <c r="A1918" s="522"/>
    </row>
    <row r="1919" spans="1:1" x14ac:dyDescent="0.25">
      <c r="A1919" s="522"/>
    </row>
    <row r="1920" spans="1:1" x14ac:dyDescent="0.25">
      <c r="A1920" s="522"/>
    </row>
    <row r="1921" spans="1:1" x14ac:dyDescent="0.25">
      <c r="A1921" s="522"/>
    </row>
    <row r="1922" spans="1:1" x14ac:dyDescent="0.25">
      <c r="A1922" s="522"/>
    </row>
    <row r="1923" spans="1:1" x14ac:dyDescent="0.25">
      <c r="A1923" s="522"/>
    </row>
    <row r="1924" spans="1:1" x14ac:dyDescent="0.25">
      <c r="A1924" s="522"/>
    </row>
    <row r="1925" spans="1:1" x14ac:dyDescent="0.25">
      <c r="A1925" s="522"/>
    </row>
    <row r="1926" spans="1:1" x14ac:dyDescent="0.25">
      <c r="A1926" s="522"/>
    </row>
    <row r="1927" spans="1:1" x14ac:dyDescent="0.25">
      <c r="A1927" s="522"/>
    </row>
    <row r="1928" spans="1:1" x14ac:dyDescent="0.25">
      <c r="A1928" s="522"/>
    </row>
    <row r="1929" spans="1:1" x14ac:dyDescent="0.25">
      <c r="A1929" s="522"/>
    </row>
    <row r="1930" spans="1:1" x14ac:dyDescent="0.25">
      <c r="A1930" s="522"/>
    </row>
    <row r="1931" spans="1:1" x14ac:dyDescent="0.25">
      <c r="A1931" s="522"/>
    </row>
    <row r="1932" spans="1:1" x14ac:dyDescent="0.25">
      <c r="A1932" s="522"/>
    </row>
    <row r="1933" spans="1:1" x14ac:dyDescent="0.25">
      <c r="A1933" s="522"/>
    </row>
    <row r="1934" spans="1:1" x14ac:dyDescent="0.25">
      <c r="A1934" s="522"/>
    </row>
    <row r="1935" spans="1:1" x14ac:dyDescent="0.25">
      <c r="A1935" s="522"/>
    </row>
    <row r="1936" spans="1:1" x14ac:dyDescent="0.25">
      <c r="A1936" s="522"/>
    </row>
    <row r="1937" spans="1:1" x14ac:dyDescent="0.25">
      <c r="A1937" s="522"/>
    </row>
    <row r="1938" spans="1:1" x14ac:dyDescent="0.25">
      <c r="A1938" s="522"/>
    </row>
    <row r="1939" spans="1:1" x14ac:dyDescent="0.25">
      <c r="A1939" s="522"/>
    </row>
    <row r="1940" spans="1:1" x14ac:dyDescent="0.25">
      <c r="A1940" s="522"/>
    </row>
    <row r="1941" spans="1:1" x14ac:dyDescent="0.25">
      <c r="A1941" s="522"/>
    </row>
    <row r="1942" spans="1:1" x14ac:dyDescent="0.25">
      <c r="A1942" s="522"/>
    </row>
    <row r="1943" spans="1:1" x14ac:dyDescent="0.25">
      <c r="A1943" s="522"/>
    </row>
    <row r="1944" spans="1:1" x14ac:dyDescent="0.25">
      <c r="A1944" s="522"/>
    </row>
    <row r="1945" spans="1:1" x14ac:dyDescent="0.25">
      <c r="A1945" s="522"/>
    </row>
    <row r="1946" spans="1:1" x14ac:dyDescent="0.25">
      <c r="A1946" s="522"/>
    </row>
    <row r="1947" spans="1:1" x14ac:dyDescent="0.25">
      <c r="A1947" s="522"/>
    </row>
    <row r="1948" spans="1:1" x14ac:dyDescent="0.25">
      <c r="A1948" s="522"/>
    </row>
    <row r="1949" spans="1:1" x14ac:dyDescent="0.25">
      <c r="A1949" s="522"/>
    </row>
    <row r="1950" spans="1:1" x14ac:dyDescent="0.25">
      <c r="A1950" s="522"/>
    </row>
    <row r="1951" spans="1:1" x14ac:dyDescent="0.25">
      <c r="A1951" s="522"/>
    </row>
    <row r="1952" spans="1:1" x14ac:dyDescent="0.25">
      <c r="A1952" s="522"/>
    </row>
    <row r="1953" spans="1:1" x14ac:dyDescent="0.25">
      <c r="A1953" s="522"/>
    </row>
    <row r="1954" spans="1:1" x14ac:dyDescent="0.25">
      <c r="A1954" s="522"/>
    </row>
    <row r="1955" spans="1:1" x14ac:dyDescent="0.25">
      <c r="A1955" s="522"/>
    </row>
    <row r="1956" spans="1:1" x14ac:dyDescent="0.25">
      <c r="A1956" s="522"/>
    </row>
    <row r="1957" spans="1:1" x14ac:dyDescent="0.25">
      <c r="A1957" s="522"/>
    </row>
    <row r="1958" spans="1:1" x14ac:dyDescent="0.25">
      <c r="A1958" s="522"/>
    </row>
    <row r="1959" spans="1:1" x14ac:dyDescent="0.25">
      <c r="A1959" s="522"/>
    </row>
    <row r="1960" spans="1:1" x14ac:dyDescent="0.25">
      <c r="A1960" s="522"/>
    </row>
    <row r="1961" spans="1:1" x14ac:dyDescent="0.25">
      <c r="A1961" s="522"/>
    </row>
    <row r="1962" spans="1:1" x14ac:dyDescent="0.25">
      <c r="A1962" s="522"/>
    </row>
    <row r="1963" spans="1:1" x14ac:dyDescent="0.25">
      <c r="A1963" s="522"/>
    </row>
    <row r="1964" spans="1:1" x14ac:dyDescent="0.25">
      <c r="A1964" s="522"/>
    </row>
    <row r="1965" spans="1:1" x14ac:dyDescent="0.25">
      <c r="A1965" s="522"/>
    </row>
    <row r="1966" spans="1:1" x14ac:dyDescent="0.25">
      <c r="A1966" s="522"/>
    </row>
    <row r="1967" spans="1:1" x14ac:dyDescent="0.25">
      <c r="A1967" s="522"/>
    </row>
    <row r="1968" spans="1:1" x14ac:dyDescent="0.25">
      <c r="A1968" s="522"/>
    </row>
    <row r="1969" spans="1:1" x14ac:dyDescent="0.25">
      <c r="A1969" s="522"/>
    </row>
    <row r="1970" spans="1:1" x14ac:dyDescent="0.25">
      <c r="A1970" s="522"/>
    </row>
    <row r="1971" spans="1:1" x14ac:dyDescent="0.25">
      <c r="A1971" s="522"/>
    </row>
    <row r="1972" spans="1:1" x14ac:dyDescent="0.25">
      <c r="A1972" s="522"/>
    </row>
    <row r="1973" spans="1:1" x14ac:dyDescent="0.25">
      <c r="A1973" s="522"/>
    </row>
    <row r="1974" spans="1:1" x14ac:dyDescent="0.25">
      <c r="A1974" s="522"/>
    </row>
    <row r="1975" spans="1:1" x14ac:dyDescent="0.25">
      <c r="A1975" s="522"/>
    </row>
    <row r="1976" spans="1:1" x14ac:dyDescent="0.25">
      <c r="A1976" s="522"/>
    </row>
    <row r="1977" spans="1:1" x14ac:dyDescent="0.25">
      <c r="A1977" s="522"/>
    </row>
    <row r="1978" spans="1:1" x14ac:dyDescent="0.25">
      <c r="A1978" s="522"/>
    </row>
    <row r="1979" spans="1:1" x14ac:dyDescent="0.25">
      <c r="A1979" s="522"/>
    </row>
    <row r="1980" spans="1:1" x14ac:dyDescent="0.25">
      <c r="A1980" s="522"/>
    </row>
    <row r="1981" spans="1:1" x14ac:dyDescent="0.25">
      <c r="A1981" s="522"/>
    </row>
    <row r="1982" spans="1:1" x14ac:dyDescent="0.25">
      <c r="A1982" s="522"/>
    </row>
    <row r="1983" spans="1:1" x14ac:dyDescent="0.25">
      <c r="A1983" s="522"/>
    </row>
    <row r="1984" spans="1:1" x14ac:dyDescent="0.25">
      <c r="A1984" s="522"/>
    </row>
    <row r="1985" spans="1:1" x14ac:dyDescent="0.25">
      <c r="A1985" s="522"/>
    </row>
    <row r="1986" spans="1:1" x14ac:dyDescent="0.25">
      <c r="A1986" s="522"/>
    </row>
    <row r="1987" spans="1:1" x14ac:dyDescent="0.25">
      <c r="A1987" s="522"/>
    </row>
    <row r="1988" spans="1:1" x14ac:dyDescent="0.25">
      <c r="A1988" s="522"/>
    </row>
    <row r="1989" spans="1:1" x14ac:dyDescent="0.25">
      <c r="A1989" s="522"/>
    </row>
    <row r="1990" spans="1:1" x14ac:dyDescent="0.25">
      <c r="A1990" s="522"/>
    </row>
    <row r="1991" spans="1:1" x14ac:dyDescent="0.25">
      <c r="A1991" s="522"/>
    </row>
    <row r="1992" spans="1:1" x14ac:dyDescent="0.25">
      <c r="A1992" s="522"/>
    </row>
    <row r="1993" spans="1:1" x14ac:dyDescent="0.25">
      <c r="A1993" s="522"/>
    </row>
    <row r="1994" spans="1:1" x14ac:dyDescent="0.25">
      <c r="A1994" s="522"/>
    </row>
    <row r="1995" spans="1:1" x14ac:dyDescent="0.25">
      <c r="A1995" s="522"/>
    </row>
    <row r="1996" spans="1:1" x14ac:dyDescent="0.25">
      <c r="A1996" s="522"/>
    </row>
    <row r="1997" spans="1:1" x14ac:dyDescent="0.25">
      <c r="A1997" s="522"/>
    </row>
    <row r="1998" spans="1:1" x14ac:dyDescent="0.25">
      <c r="A1998" s="522"/>
    </row>
    <row r="1999" spans="1:1" x14ac:dyDescent="0.25">
      <c r="A1999" s="522"/>
    </row>
    <row r="2000" spans="1:1" x14ac:dyDescent="0.25">
      <c r="A2000" s="522"/>
    </row>
    <row r="2001" spans="1:1" x14ac:dyDescent="0.25">
      <c r="A2001" s="522"/>
    </row>
    <row r="2002" spans="1:1" x14ac:dyDescent="0.25">
      <c r="A2002" s="522"/>
    </row>
    <row r="2003" spans="1:1" x14ac:dyDescent="0.25">
      <c r="A2003" s="522"/>
    </row>
    <row r="2004" spans="1:1" x14ac:dyDescent="0.25">
      <c r="A2004" s="522"/>
    </row>
    <row r="2005" spans="1:1" x14ac:dyDescent="0.25">
      <c r="A2005" s="522"/>
    </row>
    <row r="2006" spans="1:1" x14ac:dyDescent="0.25">
      <c r="A2006" s="522"/>
    </row>
    <row r="2007" spans="1:1" x14ac:dyDescent="0.25">
      <c r="A2007" s="522"/>
    </row>
    <row r="2008" spans="1:1" x14ac:dyDescent="0.25">
      <c r="A2008" s="522"/>
    </row>
    <row r="2009" spans="1:1" x14ac:dyDescent="0.25">
      <c r="A2009" s="522"/>
    </row>
    <row r="2010" spans="1:1" x14ac:dyDescent="0.25">
      <c r="A2010" s="522"/>
    </row>
    <row r="2011" spans="1:1" x14ac:dyDescent="0.25">
      <c r="A2011" s="522"/>
    </row>
    <row r="2012" spans="1:1" x14ac:dyDescent="0.25">
      <c r="A2012" s="522"/>
    </row>
    <row r="2013" spans="1:1" x14ac:dyDescent="0.25">
      <c r="A2013" s="522"/>
    </row>
    <row r="2014" spans="1:1" x14ac:dyDescent="0.25">
      <c r="A2014" s="522"/>
    </row>
    <row r="2015" spans="1:1" x14ac:dyDescent="0.25">
      <c r="A2015" s="522"/>
    </row>
    <row r="2016" spans="1:1" x14ac:dyDescent="0.25">
      <c r="A2016" s="522"/>
    </row>
    <row r="2017" spans="1:1" x14ac:dyDescent="0.25">
      <c r="A2017" s="522"/>
    </row>
    <row r="2018" spans="1:1" x14ac:dyDescent="0.25">
      <c r="A2018" s="522"/>
    </row>
    <row r="2019" spans="1:1" x14ac:dyDescent="0.25">
      <c r="A2019" s="522"/>
    </row>
    <row r="2020" spans="1:1" x14ac:dyDescent="0.25">
      <c r="A2020" s="522"/>
    </row>
    <row r="2021" spans="1:1" x14ac:dyDescent="0.25">
      <c r="A2021" s="522"/>
    </row>
    <row r="2022" spans="1:1" x14ac:dyDescent="0.25">
      <c r="A2022" s="522"/>
    </row>
    <row r="2023" spans="1:1" x14ac:dyDescent="0.25">
      <c r="A2023" s="522"/>
    </row>
    <row r="2024" spans="1:1" x14ac:dyDescent="0.25">
      <c r="A2024" s="522"/>
    </row>
    <row r="2025" spans="1:1" x14ac:dyDescent="0.25">
      <c r="A2025" s="522"/>
    </row>
    <row r="2026" spans="1:1" x14ac:dyDescent="0.25">
      <c r="A2026" s="522"/>
    </row>
    <row r="2027" spans="1:1" x14ac:dyDescent="0.25">
      <c r="A2027" s="522"/>
    </row>
    <row r="2028" spans="1:1" x14ac:dyDescent="0.25">
      <c r="A2028" s="522"/>
    </row>
    <row r="2029" spans="1:1" x14ac:dyDescent="0.25">
      <c r="A2029" s="522"/>
    </row>
    <row r="2030" spans="1:1" x14ac:dyDescent="0.25">
      <c r="A2030" s="522"/>
    </row>
    <row r="2031" spans="1:1" x14ac:dyDescent="0.25">
      <c r="A2031" s="522"/>
    </row>
    <row r="2032" spans="1:1" x14ac:dyDescent="0.25">
      <c r="A2032" s="522"/>
    </row>
    <row r="2033" spans="1:1" x14ac:dyDescent="0.25">
      <c r="A2033" s="522"/>
    </row>
    <row r="2034" spans="1:1" x14ac:dyDescent="0.25">
      <c r="A2034" s="522"/>
    </row>
    <row r="2035" spans="1:1" x14ac:dyDescent="0.25">
      <c r="A2035" s="522"/>
    </row>
    <row r="2036" spans="1:1" x14ac:dyDescent="0.25">
      <c r="A2036" s="522"/>
    </row>
    <row r="2037" spans="1:1" x14ac:dyDescent="0.25">
      <c r="A2037" s="522"/>
    </row>
    <row r="2038" spans="1:1" x14ac:dyDescent="0.25">
      <c r="A2038" s="522"/>
    </row>
    <row r="2039" spans="1:1" x14ac:dyDescent="0.25">
      <c r="A2039" s="522"/>
    </row>
    <row r="2040" spans="1:1" x14ac:dyDescent="0.25">
      <c r="A2040" s="522"/>
    </row>
    <row r="2041" spans="1:1" x14ac:dyDescent="0.25">
      <c r="A2041" s="522"/>
    </row>
    <row r="2042" spans="1:1" x14ac:dyDescent="0.25">
      <c r="A2042" s="522"/>
    </row>
    <row r="2043" spans="1:1" x14ac:dyDescent="0.25">
      <c r="A2043" s="522"/>
    </row>
    <row r="2044" spans="1:1" x14ac:dyDescent="0.25">
      <c r="A2044" s="522"/>
    </row>
    <row r="2045" spans="1:1" x14ac:dyDescent="0.25">
      <c r="A2045" s="522"/>
    </row>
    <row r="2046" spans="1:1" x14ac:dyDescent="0.25">
      <c r="A2046" s="522"/>
    </row>
    <row r="2047" spans="1:1" x14ac:dyDescent="0.25">
      <c r="A2047" s="522"/>
    </row>
    <row r="2048" spans="1:1" x14ac:dyDescent="0.25">
      <c r="A2048" s="522"/>
    </row>
    <row r="2049" spans="1:1" x14ac:dyDescent="0.25">
      <c r="A2049" s="522"/>
    </row>
    <row r="2050" spans="1:1" x14ac:dyDescent="0.25">
      <c r="A2050" s="522"/>
    </row>
    <row r="2051" spans="1:1" x14ac:dyDescent="0.25">
      <c r="A2051" s="522"/>
    </row>
    <row r="2052" spans="1:1" x14ac:dyDescent="0.25">
      <c r="A2052" s="522"/>
    </row>
    <row r="2053" spans="1:1" x14ac:dyDescent="0.25">
      <c r="A2053" s="522"/>
    </row>
    <row r="2054" spans="1:1" x14ac:dyDescent="0.25">
      <c r="A2054" s="522"/>
    </row>
    <row r="2055" spans="1:1" x14ac:dyDescent="0.25">
      <c r="A2055" s="522"/>
    </row>
    <row r="2056" spans="1:1" x14ac:dyDescent="0.25">
      <c r="A2056" s="522"/>
    </row>
    <row r="2057" spans="1:1" x14ac:dyDescent="0.25">
      <c r="A2057" s="522"/>
    </row>
    <row r="2058" spans="1:1" x14ac:dyDescent="0.25">
      <c r="A2058" s="522"/>
    </row>
    <row r="2059" spans="1:1" x14ac:dyDescent="0.25">
      <c r="A2059" s="522"/>
    </row>
    <row r="2060" spans="1:1" x14ac:dyDescent="0.25">
      <c r="A2060" s="522"/>
    </row>
    <row r="2061" spans="1:1" x14ac:dyDescent="0.25">
      <c r="A2061" s="522"/>
    </row>
    <row r="2062" spans="1:1" x14ac:dyDescent="0.25">
      <c r="A2062" s="522"/>
    </row>
    <row r="2063" spans="1:1" x14ac:dyDescent="0.25">
      <c r="A2063" s="522"/>
    </row>
    <row r="2064" spans="1:1" x14ac:dyDescent="0.25">
      <c r="A2064" s="522"/>
    </row>
    <row r="2065" spans="1:1" x14ac:dyDescent="0.25">
      <c r="A2065" s="522"/>
    </row>
    <row r="2066" spans="1:1" x14ac:dyDescent="0.25">
      <c r="A2066" s="522"/>
    </row>
    <row r="2067" spans="1:1" x14ac:dyDescent="0.25">
      <c r="A2067" s="522"/>
    </row>
    <row r="2068" spans="1:1" x14ac:dyDescent="0.25">
      <c r="A2068" s="522"/>
    </row>
    <row r="2069" spans="1:1" x14ac:dyDescent="0.25">
      <c r="A2069" s="522"/>
    </row>
    <row r="2070" spans="1:1" x14ac:dyDescent="0.25">
      <c r="A2070" s="522"/>
    </row>
    <row r="2071" spans="1:1" x14ac:dyDescent="0.25">
      <c r="A2071" s="522"/>
    </row>
    <row r="2072" spans="1:1" x14ac:dyDescent="0.25">
      <c r="A2072" s="522"/>
    </row>
    <row r="2073" spans="1:1" x14ac:dyDescent="0.25">
      <c r="A2073" s="522"/>
    </row>
    <row r="2074" spans="1:1" x14ac:dyDescent="0.25">
      <c r="A2074" s="522"/>
    </row>
    <row r="2075" spans="1:1" x14ac:dyDescent="0.25">
      <c r="A2075" s="522"/>
    </row>
    <row r="2076" spans="1:1" x14ac:dyDescent="0.25">
      <c r="A2076" s="522"/>
    </row>
    <row r="2077" spans="1:1" x14ac:dyDescent="0.25">
      <c r="A2077" s="522"/>
    </row>
    <row r="2078" spans="1:1" x14ac:dyDescent="0.25">
      <c r="A2078" s="522"/>
    </row>
    <row r="2079" spans="1:1" x14ac:dyDescent="0.25">
      <c r="A2079" s="522"/>
    </row>
    <row r="2080" spans="1:1" x14ac:dyDescent="0.25">
      <c r="A2080" s="522"/>
    </row>
    <row r="2081" spans="1:1" x14ac:dyDescent="0.25">
      <c r="A2081" s="522"/>
    </row>
    <row r="2082" spans="1:1" x14ac:dyDescent="0.25">
      <c r="A2082" s="522"/>
    </row>
    <row r="2083" spans="1:1" x14ac:dyDescent="0.25">
      <c r="A2083" s="522"/>
    </row>
    <row r="2084" spans="1:1" x14ac:dyDescent="0.25">
      <c r="A2084" s="522"/>
    </row>
    <row r="2085" spans="1:1" x14ac:dyDescent="0.25">
      <c r="A2085" s="522"/>
    </row>
    <row r="2086" spans="1:1" x14ac:dyDescent="0.25">
      <c r="A2086" s="522"/>
    </row>
    <row r="2087" spans="1:1" x14ac:dyDescent="0.25">
      <c r="A2087" s="522"/>
    </row>
    <row r="2088" spans="1:1" x14ac:dyDescent="0.25">
      <c r="A2088" s="522"/>
    </row>
    <row r="2089" spans="1:1" x14ac:dyDescent="0.25">
      <c r="A2089" s="522"/>
    </row>
    <row r="2090" spans="1:1" x14ac:dyDescent="0.25">
      <c r="A2090" s="522"/>
    </row>
    <row r="2091" spans="1:1" x14ac:dyDescent="0.25">
      <c r="A2091" s="522"/>
    </row>
    <row r="2092" spans="1:1" x14ac:dyDescent="0.25">
      <c r="A2092" s="522"/>
    </row>
    <row r="2093" spans="1:1" x14ac:dyDescent="0.25">
      <c r="A2093" s="522"/>
    </row>
    <row r="2094" spans="1:1" x14ac:dyDescent="0.25">
      <c r="A2094" s="522"/>
    </row>
    <row r="2095" spans="1:1" x14ac:dyDescent="0.25">
      <c r="A2095" s="522"/>
    </row>
    <row r="2096" spans="1:1" x14ac:dyDescent="0.25">
      <c r="A2096" s="522"/>
    </row>
    <row r="2097" spans="1:1" x14ac:dyDescent="0.25">
      <c r="A2097" s="522"/>
    </row>
    <row r="2098" spans="1:1" x14ac:dyDescent="0.25">
      <c r="A2098" s="522"/>
    </row>
    <row r="2099" spans="1:1" x14ac:dyDescent="0.25">
      <c r="A2099" s="522"/>
    </row>
    <row r="2100" spans="1:1" x14ac:dyDescent="0.25">
      <c r="A2100" s="522"/>
    </row>
    <row r="2101" spans="1:1" x14ac:dyDescent="0.25">
      <c r="A2101" s="522"/>
    </row>
    <row r="2102" spans="1:1" x14ac:dyDescent="0.25">
      <c r="A2102" s="522"/>
    </row>
    <row r="2103" spans="1:1" x14ac:dyDescent="0.25">
      <c r="A2103" s="522"/>
    </row>
    <row r="2104" spans="1:1" x14ac:dyDescent="0.25">
      <c r="A2104" s="522"/>
    </row>
    <row r="2105" spans="1:1" x14ac:dyDescent="0.25">
      <c r="A2105" s="522"/>
    </row>
    <row r="2106" spans="1:1" x14ac:dyDescent="0.25">
      <c r="A2106" s="522"/>
    </row>
    <row r="2107" spans="1:1" x14ac:dyDescent="0.25">
      <c r="A2107" s="522"/>
    </row>
    <row r="2108" spans="1:1" x14ac:dyDescent="0.25">
      <c r="A2108" s="522"/>
    </row>
    <row r="2109" spans="1:1" x14ac:dyDescent="0.25">
      <c r="A2109" s="522"/>
    </row>
    <row r="2110" spans="1:1" x14ac:dyDescent="0.25">
      <c r="A2110" s="522"/>
    </row>
    <row r="2111" spans="1:1" x14ac:dyDescent="0.25">
      <c r="A2111" s="522"/>
    </row>
    <row r="2112" spans="1:1" x14ac:dyDescent="0.25">
      <c r="A2112" s="522"/>
    </row>
    <row r="2113" spans="1:1" x14ac:dyDescent="0.25">
      <c r="A2113" s="522"/>
    </row>
    <row r="2114" spans="1:1" x14ac:dyDescent="0.25">
      <c r="A2114" s="522"/>
    </row>
    <row r="2115" spans="1:1" x14ac:dyDescent="0.25">
      <c r="A2115" s="522"/>
    </row>
    <row r="2116" spans="1:1" x14ac:dyDescent="0.25">
      <c r="A2116" s="522"/>
    </row>
    <row r="2117" spans="1:1" x14ac:dyDescent="0.25">
      <c r="A2117" s="522"/>
    </row>
    <row r="2118" spans="1:1" x14ac:dyDescent="0.25">
      <c r="A2118" s="522"/>
    </row>
    <row r="2119" spans="1:1" x14ac:dyDescent="0.25">
      <c r="A2119" s="522"/>
    </row>
    <row r="2120" spans="1:1" x14ac:dyDescent="0.25">
      <c r="A2120" s="522"/>
    </row>
    <row r="2121" spans="1:1" x14ac:dyDescent="0.25">
      <c r="A2121" s="522"/>
    </row>
    <row r="2122" spans="1:1" x14ac:dyDescent="0.25">
      <c r="A2122" s="522"/>
    </row>
    <row r="2123" spans="1:1" x14ac:dyDescent="0.25">
      <c r="A2123" s="522"/>
    </row>
    <row r="2124" spans="1:1" x14ac:dyDescent="0.25">
      <c r="A2124" s="522"/>
    </row>
    <row r="2125" spans="1:1" x14ac:dyDescent="0.25">
      <c r="A2125" s="522"/>
    </row>
    <row r="2126" spans="1:1" x14ac:dyDescent="0.25">
      <c r="A2126" s="522"/>
    </row>
    <row r="2127" spans="1:1" x14ac:dyDescent="0.25">
      <c r="A2127" s="522"/>
    </row>
    <row r="2128" spans="1:1" x14ac:dyDescent="0.25">
      <c r="A2128" s="522"/>
    </row>
    <row r="2129" spans="1:1" x14ac:dyDescent="0.25">
      <c r="A2129" s="522"/>
    </row>
    <row r="2130" spans="1:1" x14ac:dyDescent="0.25">
      <c r="A2130" s="522"/>
    </row>
    <row r="2131" spans="1:1" x14ac:dyDescent="0.25">
      <c r="A2131" s="522"/>
    </row>
    <row r="2132" spans="1:1" x14ac:dyDescent="0.25">
      <c r="A2132" s="522"/>
    </row>
    <row r="2133" spans="1:1" x14ac:dyDescent="0.25">
      <c r="A2133" s="522"/>
    </row>
    <row r="2134" spans="1:1" x14ac:dyDescent="0.25">
      <c r="A2134" s="522"/>
    </row>
    <row r="2135" spans="1:1" x14ac:dyDescent="0.25">
      <c r="A2135" s="522"/>
    </row>
    <row r="2136" spans="1:1" x14ac:dyDescent="0.25">
      <c r="A2136" s="522"/>
    </row>
    <row r="2137" spans="1:1" x14ac:dyDescent="0.25">
      <c r="A2137" s="522"/>
    </row>
    <row r="2138" spans="1:1" x14ac:dyDescent="0.25">
      <c r="A2138" s="522"/>
    </row>
    <row r="2139" spans="1:1" x14ac:dyDescent="0.25">
      <c r="A2139" s="522"/>
    </row>
    <row r="2140" spans="1:1" x14ac:dyDescent="0.25">
      <c r="A2140" s="522"/>
    </row>
    <row r="2141" spans="1:1" x14ac:dyDescent="0.25">
      <c r="A2141" s="522"/>
    </row>
    <row r="2142" spans="1:1" x14ac:dyDescent="0.25">
      <c r="A2142" s="522"/>
    </row>
    <row r="2143" spans="1:1" x14ac:dyDescent="0.25">
      <c r="A2143" s="522"/>
    </row>
    <row r="2144" spans="1:1" x14ac:dyDescent="0.25">
      <c r="A2144" s="522"/>
    </row>
    <row r="2145" spans="1:1" x14ac:dyDescent="0.25">
      <c r="A2145" s="522"/>
    </row>
    <row r="2146" spans="1:1" x14ac:dyDescent="0.25">
      <c r="A2146" s="522"/>
    </row>
    <row r="2147" spans="1:1" x14ac:dyDescent="0.25">
      <c r="A2147" s="522"/>
    </row>
    <row r="2148" spans="1:1" x14ac:dyDescent="0.25">
      <c r="A2148" s="522"/>
    </row>
    <row r="2149" spans="1:1" x14ac:dyDescent="0.25">
      <c r="A2149" s="522"/>
    </row>
    <row r="2150" spans="1:1" x14ac:dyDescent="0.25">
      <c r="A2150" s="522"/>
    </row>
    <row r="2151" spans="1:1" x14ac:dyDescent="0.25">
      <c r="A2151" s="522"/>
    </row>
    <row r="2152" spans="1:1" x14ac:dyDescent="0.25">
      <c r="A2152" s="522"/>
    </row>
    <row r="2153" spans="1:1" x14ac:dyDescent="0.25">
      <c r="A2153" s="522"/>
    </row>
    <row r="2154" spans="1:1" x14ac:dyDescent="0.25">
      <c r="A2154" s="522"/>
    </row>
    <row r="2155" spans="1:1" x14ac:dyDescent="0.25">
      <c r="A2155" s="522"/>
    </row>
    <row r="2156" spans="1:1" x14ac:dyDescent="0.25">
      <c r="A2156" s="522"/>
    </row>
    <row r="2157" spans="1:1" x14ac:dyDescent="0.25">
      <c r="A2157" s="522"/>
    </row>
    <row r="2158" spans="1:1" x14ac:dyDescent="0.25">
      <c r="A2158" s="522"/>
    </row>
    <row r="2159" spans="1:1" x14ac:dyDescent="0.25">
      <c r="A2159" s="522"/>
    </row>
    <row r="2160" spans="1:1" x14ac:dyDescent="0.25">
      <c r="A2160" s="522"/>
    </row>
    <row r="2161" spans="1:1" x14ac:dyDescent="0.25">
      <c r="A2161" s="522"/>
    </row>
    <row r="2162" spans="1:1" x14ac:dyDescent="0.25">
      <c r="A2162" s="522"/>
    </row>
    <row r="2163" spans="1:1" x14ac:dyDescent="0.25">
      <c r="A2163" s="522"/>
    </row>
    <row r="2164" spans="1:1" x14ac:dyDescent="0.25">
      <c r="A2164" s="522"/>
    </row>
    <row r="2165" spans="1:1" x14ac:dyDescent="0.25">
      <c r="A2165" s="522"/>
    </row>
    <row r="2166" spans="1:1" x14ac:dyDescent="0.25">
      <c r="A2166" s="522"/>
    </row>
    <row r="2167" spans="1:1" x14ac:dyDescent="0.25">
      <c r="A2167" s="522"/>
    </row>
    <row r="2168" spans="1:1" x14ac:dyDescent="0.25">
      <c r="A2168" s="522"/>
    </row>
    <row r="2169" spans="1:1" x14ac:dyDescent="0.25">
      <c r="A2169" s="522"/>
    </row>
    <row r="2170" spans="1:1" x14ac:dyDescent="0.25">
      <c r="A2170" s="522"/>
    </row>
    <row r="2171" spans="1:1" x14ac:dyDescent="0.25">
      <c r="A2171" s="522"/>
    </row>
    <row r="2172" spans="1:1" x14ac:dyDescent="0.25">
      <c r="A2172" s="522"/>
    </row>
    <row r="2173" spans="1:1" x14ac:dyDescent="0.25">
      <c r="A2173" s="522"/>
    </row>
    <row r="2174" spans="1:1" x14ac:dyDescent="0.25">
      <c r="A2174" s="522"/>
    </row>
    <row r="2175" spans="1:1" x14ac:dyDescent="0.25">
      <c r="A2175" s="522"/>
    </row>
    <row r="2176" spans="1:1" x14ac:dyDescent="0.25">
      <c r="A2176" s="522"/>
    </row>
    <row r="2177" spans="1:1" x14ac:dyDescent="0.25">
      <c r="A2177" s="522"/>
    </row>
    <row r="2178" spans="1:1" x14ac:dyDescent="0.25">
      <c r="A2178" s="522"/>
    </row>
    <row r="2179" spans="1:1" x14ac:dyDescent="0.25">
      <c r="A2179" s="522"/>
    </row>
    <row r="2180" spans="1:1" x14ac:dyDescent="0.25">
      <c r="A2180" s="522"/>
    </row>
    <row r="2181" spans="1:1" x14ac:dyDescent="0.25">
      <c r="A2181" s="522"/>
    </row>
    <row r="2182" spans="1:1" x14ac:dyDescent="0.25">
      <c r="A2182" s="522"/>
    </row>
    <row r="2183" spans="1:1" x14ac:dyDescent="0.25">
      <c r="A2183" s="522"/>
    </row>
    <row r="2184" spans="1:1" x14ac:dyDescent="0.25">
      <c r="A2184" s="522"/>
    </row>
    <row r="2185" spans="1:1" x14ac:dyDescent="0.25">
      <c r="A2185" s="522"/>
    </row>
    <row r="2186" spans="1:1" x14ac:dyDescent="0.25">
      <c r="A2186" s="522"/>
    </row>
    <row r="2187" spans="1:1" x14ac:dyDescent="0.25">
      <c r="A2187" s="522"/>
    </row>
    <row r="2188" spans="1:1" x14ac:dyDescent="0.25">
      <c r="A2188" s="522"/>
    </row>
    <row r="2189" spans="1:1" x14ac:dyDescent="0.25">
      <c r="A2189" s="522"/>
    </row>
    <row r="2190" spans="1:1" x14ac:dyDescent="0.25">
      <c r="A2190" s="522"/>
    </row>
    <row r="2191" spans="1:1" x14ac:dyDescent="0.25">
      <c r="A2191" s="522"/>
    </row>
    <row r="2192" spans="1:1" x14ac:dyDescent="0.25">
      <c r="A2192" s="522"/>
    </row>
    <row r="2193" spans="1:1" x14ac:dyDescent="0.25">
      <c r="A2193" s="522"/>
    </row>
    <row r="2194" spans="1:1" x14ac:dyDescent="0.25">
      <c r="A2194" s="522"/>
    </row>
    <row r="2195" spans="1:1" x14ac:dyDescent="0.25">
      <c r="A2195" s="522"/>
    </row>
    <row r="2196" spans="1:1" x14ac:dyDescent="0.25">
      <c r="A2196" s="522"/>
    </row>
    <row r="2197" spans="1:1" x14ac:dyDescent="0.25">
      <c r="A2197" s="522"/>
    </row>
    <row r="2198" spans="1:1" x14ac:dyDescent="0.25">
      <c r="A2198" s="522"/>
    </row>
    <row r="2199" spans="1:1" x14ac:dyDescent="0.25">
      <c r="A2199" s="522"/>
    </row>
    <row r="2200" spans="1:1" x14ac:dyDescent="0.25">
      <c r="A2200" s="522"/>
    </row>
    <row r="2201" spans="1:1" x14ac:dyDescent="0.25">
      <c r="A2201" s="522"/>
    </row>
    <row r="2202" spans="1:1" x14ac:dyDescent="0.25">
      <c r="A2202" s="522"/>
    </row>
    <row r="2203" spans="1:1" x14ac:dyDescent="0.25">
      <c r="A2203" s="522"/>
    </row>
    <row r="2204" spans="1:1" x14ac:dyDescent="0.25">
      <c r="A2204" s="522"/>
    </row>
    <row r="2205" spans="1:1" x14ac:dyDescent="0.25">
      <c r="A2205" s="522"/>
    </row>
    <row r="2206" spans="1:1" x14ac:dyDescent="0.25">
      <c r="A2206" s="522"/>
    </row>
    <row r="2207" spans="1:1" x14ac:dyDescent="0.25">
      <c r="A2207" s="522"/>
    </row>
    <row r="2208" spans="1:1" x14ac:dyDescent="0.25">
      <c r="A2208" s="522"/>
    </row>
    <row r="2209" spans="1:1" x14ac:dyDescent="0.25">
      <c r="A2209" s="522"/>
    </row>
    <row r="2210" spans="1:1" x14ac:dyDescent="0.25">
      <c r="A2210" s="522"/>
    </row>
    <row r="2211" spans="1:1" x14ac:dyDescent="0.25">
      <c r="A2211" s="522"/>
    </row>
    <row r="2212" spans="1:1" x14ac:dyDescent="0.25">
      <c r="A2212" s="522"/>
    </row>
    <row r="2213" spans="1:1" x14ac:dyDescent="0.25">
      <c r="A2213" s="522"/>
    </row>
    <row r="2214" spans="1:1" x14ac:dyDescent="0.25">
      <c r="A2214" s="522"/>
    </row>
    <row r="2215" spans="1:1" x14ac:dyDescent="0.25">
      <c r="A2215" s="522"/>
    </row>
    <row r="2216" spans="1:1" x14ac:dyDescent="0.25">
      <c r="A2216" s="522"/>
    </row>
    <row r="2217" spans="1:1" x14ac:dyDescent="0.25">
      <c r="A2217" s="522"/>
    </row>
    <row r="2218" spans="1:1" x14ac:dyDescent="0.25">
      <c r="A2218" s="522"/>
    </row>
    <row r="2219" spans="1:1" x14ac:dyDescent="0.25">
      <c r="A2219" s="522"/>
    </row>
    <row r="2220" spans="1:1" x14ac:dyDescent="0.25">
      <c r="A2220" s="522"/>
    </row>
    <row r="2221" spans="1:1" x14ac:dyDescent="0.25">
      <c r="A2221" s="522"/>
    </row>
    <row r="2222" spans="1:1" x14ac:dyDescent="0.25">
      <c r="A2222" s="522"/>
    </row>
    <row r="2223" spans="1:1" x14ac:dyDescent="0.25">
      <c r="A2223" s="522"/>
    </row>
    <row r="2224" spans="1:1" x14ac:dyDescent="0.25">
      <c r="A2224" s="522"/>
    </row>
    <row r="2225" spans="1:1" x14ac:dyDescent="0.25">
      <c r="A2225" s="522"/>
    </row>
    <row r="2226" spans="1:1" x14ac:dyDescent="0.25">
      <c r="A2226" s="522"/>
    </row>
    <row r="2227" spans="1:1" x14ac:dyDescent="0.25">
      <c r="A2227" s="522"/>
    </row>
    <row r="2228" spans="1:1" x14ac:dyDescent="0.25">
      <c r="A2228" s="522"/>
    </row>
    <row r="2229" spans="1:1" x14ac:dyDescent="0.25">
      <c r="A2229" s="522"/>
    </row>
    <row r="2230" spans="1:1" x14ac:dyDescent="0.25">
      <c r="A2230" s="522"/>
    </row>
    <row r="2231" spans="1:1" x14ac:dyDescent="0.25">
      <c r="A2231" s="522"/>
    </row>
    <row r="2232" spans="1:1" x14ac:dyDescent="0.25">
      <c r="A2232" s="522"/>
    </row>
    <row r="2233" spans="1:1" x14ac:dyDescent="0.25">
      <c r="A2233" s="522"/>
    </row>
    <row r="2234" spans="1:1" x14ac:dyDescent="0.25">
      <c r="A2234" s="522"/>
    </row>
    <row r="2235" spans="1:1" x14ac:dyDescent="0.25">
      <c r="A2235" s="522"/>
    </row>
    <row r="2236" spans="1:1" x14ac:dyDescent="0.25">
      <c r="A2236" s="522"/>
    </row>
    <row r="2237" spans="1:1" x14ac:dyDescent="0.25">
      <c r="A2237" s="522"/>
    </row>
    <row r="2238" spans="1:1" x14ac:dyDescent="0.25">
      <c r="A2238" s="522"/>
    </row>
    <row r="2239" spans="1:1" x14ac:dyDescent="0.25">
      <c r="A2239" s="522"/>
    </row>
    <row r="2240" spans="1:1" x14ac:dyDescent="0.25">
      <c r="A2240" s="522"/>
    </row>
    <row r="2241" spans="1:1" x14ac:dyDescent="0.25">
      <c r="A2241" s="522"/>
    </row>
    <row r="2242" spans="1:1" x14ac:dyDescent="0.25">
      <c r="A2242" s="522"/>
    </row>
    <row r="2243" spans="1:1" x14ac:dyDescent="0.25">
      <c r="A2243" s="522"/>
    </row>
    <row r="2244" spans="1:1" x14ac:dyDescent="0.25">
      <c r="A2244" s="522"/>
    </row>
    <row r="2245" spans="1:1" x14ac:dyDescent="0.25">
      <c r="A2245" s="522"/>
    </row>
    <row r="2246" spans="1:1" x14ac:dyDescent="0.25">
      <c r="A2246" s="522"/>
    </row>
    <row r="2247" spans="1:1" x14ac:dyDescent="0.25">
      <c r="A2247" s="522"/>
    </row>
    <row r="2248" spans="1:1" x14ac:dyDescent="0.25">
      <c r="A2248" s="522"/>
    </row>
    <row r="2249" spans="1:1" x14ac:dyDescent="0.25">
      <c r="A2249" s="522"/>
    </row>
    <row r="2250" spans="1:1" x14ac:dyDescent="0.25">
      <c r="A2250" s="522"/>
    </row>
    <row r="2251" spans="1:1" x14ac:dyDescent="0.25">
      <c r="A2251" s="522"/>
    </row>
    <row r="2252" spans="1:1" x14ac:dyDescent="0.25">
      <c r="A2252" s="522"/>
    </row>
    <row r="2253" spans="1:1" x14ac:dyDescent="0.25">
      <c r="A2253" s="522"/>
    </row>
    <row r="2254" spans="1:1" x14ac:dyDescent="0.25">
      <c r="A2254" s="522"/>
    </row>
    <row r="2255" spans="1:1" x14ac:dyDescent="0.25">
      <c r="A2255" s="522"/>
    </row>
    <row r="2256" spans="1:1" x14ac:dyDescent="0.25">
      <c r="A2256" s="522"/>
    </row>
    <row r="2257" spans="1:1" x14ac:dyDescent="0.25">
      <c r="A2257" s="522"/>
    </row>
    <row r="2258" spans="1:1" x14ac:dyDescent="0.25">
      <c r="A2258" s="522"/>
    </row>
    <row r="2259" spans="1:1" x14ac:dyDescent="0.25">
      <c r="A2259" s="522"/>
    </row>
    <row r="2260" spans="1:1" x14ac:dyDescent="0.25">
      <c r="A2260" s="522"/>
    </row>
    <row r="2261" spans="1:1" x14ac:dyDescent="0.25">
      <c r="A2261" s="522"/>
    </row>
    <row r="2262" spans="1:1" x14ac:dyDescent="0.25">
      <c r="A2262" s="522"/>
    </row>
    <row r="2263" spans="1:1" x14ac:dyDescent="0.25">
      <c r="A2263" s="522"/>
    </row>
    <row r="2264" spans="1:1" x14ac:dyDescent="0.25">
      <c r="A2264" s="522"/>
    </row>
    <row r="2265" spans="1:1" x14ac:dyDescent="0.25">
      <c r="A2265" s="522"/>
    </row>
    <row r="2266" spans="1:1" x14ac:dyDescent="0.25">
      <c r="A2266" s="522"/>
    </row>
    <row r="2267" spans="1:1" x14ac:dyDescent="0.25">
      <c r="A2267" s="522"/>
    </row>
    <row r="2268" spans="1:1" x14ac:dyDescent="0.25">
      <c r="A2268" s="522"/>
    </row>
    <row r="2269" spans="1:1" x14ac:dyDescent="0.25">
      <c r="A2269" s="522"/>
    </row>
    <row r="2270" spans="1:1" x14ac:dyDescent="0.25">
      <c r="A2270" s="522"/>
    </row>
    <row r="2271" spans="1:1" x14ac:dyDescent="0.25">
      <c r="A2271" s="522"/>
    </row>
    <row r="2272" spans="1:1" x14ac:dyDescent="0.25">
      <c r="A2272" s="522"/>
    </row>
    <row r="2273" spans="1:1" x14ac:dyDescent="0.25">
      <c r="A2273" s="522"/>
    </row>
    <row r="2274" spans="1:1" x14ac:dyDescent="0.25">
      <c r="A2274" s="522"/>
    </row>
    <row r="2275" spans="1:1" x14ac:dyDescent="0.25">
      <c r="A2275" s="522"/>
    </row>
    <row r="2276" spans="1:1" x14ac:dyDescent="0.25">
      <c r="A2276" s="522"/>
    </row>
    <row r="2277" spans="1:1" x14ac:dyDescent="0.25">
      <c r="A2277" s="522"/>
    </row>
    <row r="2278" spans="1:1" x14ac:dyDescent="0.25">
      <c r="A2278" s="522"/>
    </row>
    <row r="2279" spans="1:1" x14ac:dyDescent="0.25">
      <c r="A2279" s="522"/>
    </row>
    <row r="2280" spans="1:1" x14ac:dyDescent="0.25">
      <c r="A2280" s="522"/>
    </row>
    <row r="2281" spans="1:1" x14ac:dyDescent="0.25">
      <c r="A2281" s="522"/>
    </row>
    <row r="2282" spans="1:1" x14ac:dyDescent="0.25">
      <c r="A2282" s="522"/>
    </row>
    <row r="2283" spans="1:1" x14ac:dyDescent="0.25">
      <c r="A2283" s="522"/>
    </row>
    <row r="2284" spans="1:1" x14ac:dyDescent="0.25">
      <c r="A2284" s="522"/>
    </row>
    <row r="2285" spans="1:1" x14ac:dyDescent="0.25">
      <c r="A2285" s="522"/>
    </row>
    <row r="2286" spans="1:1" x14ac:dyDescent="0.25">
      <c r="A2286" s="522"/>
    </row>
    <row r="2287" spans="1:1" x14ac:dyDescent="0.25">
      <c r="A2287" s="522"/>
    </row>
    <row r="2288" spans="1:1" x14ac:dyDescent="0.25">
      <c r="A2288" s="522"/>
    </row>
    <row r="2289" spans="1:1" x14ac:dyDescent="0.25">
      <c r="A2289" s="522"/>
    </row>
    <row r="2290" spans="1:1" x14ac:dyDescent="0.25">
      <c r="A2290" s="522"/>
    </row>
    <row r="2291" spans="1:1" x14ac:dyDescent="0.25">
      <c r="A2291" s="522"/>
    </row>
    <row r="2292" spans="1:1" x14ac:dyDescent="0.25">
      <c r="A2292" s="522"/>
    </row>
    <row r="2293" spans="1:1" x14ac:dyDescent="0.25">
      <c r="A2293" s="522"/>
    </row>
    <row r="2294" spans="1:1" x14ac:dyDescent="0.25">
      <c r="A2294" s="522"/>
    </row>
    <row r="2295" spans="1:1" x14ac:dyDescent="0.25">
      <c r="A2295" s="522"/>
    </row>
    <row r="2296" spans="1:1" x14ac:dyDescent="0.25">
      <c r="A2296" s="522"/>
    </row>
    <row r="2297" spans="1:1" x14ac:dyDescent="0.25">
      <c r="A2297" s="522"/>
    </row>
    <row r="2298" spans="1:1" x14ac:dyDescent="0.25">
      <c r="A2298" s="522"/>
    </row>
    <row r="2299" spans="1:1" x14ac:dyDescent="0.25">
      <c r="A2299" s="522"/>
    </row>
    <row r="2300" spans="1:1" x14ac:dyDescent="0.25">
      <c r="A2300" s="522"/>
    </row>
    <row r="2301" spans="1:1" x14ac:dyDescent="0.25">
      <c r="A2301" s="522"/>
    </row>
    <row r="2302" spans="1:1" x14ac:dyDescent="0.25">
      <c r="A2302" s="522"/>
    </row>
    <row r="2303" spans="1:1" x14ac:dyDescent="0.25">
      <c r="A2303" s="522"/>
    </row>
    <row r="2304" spans="1:1" x14ac:dyDescent="0.25">
      <c r="A2304" s="522"/>
    </row>
    <row r="2305" spans="1:1" x14ac:dyDescent="0.25">
      <c r="A2305" s="522"/>
    </row>
    <row r="2306" spans="1:1" x14ac:dyDescent="0.25">
      <c r="A2306" s="522"/>
    </row>
    <row r="2307" spans="1:1" x14ac:dyDescent="0.25">
      <c r="A2307" s="522"/>
    </row>
    <row r="2308" spans="1:1" x14ac:dyDescent="0.25">
      <c r="A2308" s="522"/>
    </row>
    <row r="2309" spans="1:1" x14ac:dyDescent="0.25">
      <c r="A2309" s="522"/>
    </row>
    <row r="2310" spans="1:1" x14ac:dyDescent="0.25">
      <c r="A2310" s="522"/>
    </row>
    <row r="2311" spans="1:1" x14ac:dyDescent="0.25">
      <c r="A2311" s="522"/>
    </row>
    <row r="2312" spans="1:1" x14ac:dyDescent="0.25">
      <c r="A2312" s="522"/>
    </row>
    <row r="2313" spans="1:1" x14ac:dyDescent="0.25">
      <c r="A2313" s="522"/>
    </row>
    <row r="2314" spans="1:1" x14ac:dyDescent="0.25">
      <c r="A2314" s="522"/>
    </row>
    <row r="2315" spans="1:1" x14ac:dyDescent="0.25">
      <c r="A2315" s="522"/>
    </row>
    <row r="2316" spans="1:1" x14ac:dyDescent="0.25">
      <c r="A2316" s="522"/>
    </row>
    <row r="2317" spans="1:1" x14ac:dyDescent="0.25">
      <c r="A2317" s="522"/>
    </row>
    <row r="2318" spans="1:1" x14ac:dyDescent="0.25">
      <c r="A2318" s="522"/>
    </row>
    <row r="2319" spans="1:1" x14ac:dyDescent="0.25">
      <c r="A2319" s="522"/>
    </row>
    <row r="2320" spans="1:1" x14ac:dyDescent="0.25">
      <c r="A2320" s="522"/>
    </row>
    <row r="2321" spans="1:1" x14ac:dyDescent="0.25">
      <c r="A2321" s="522"/>
    </row>
    <row r="2322" spans="1:1" x14ac:dyDescent="0.25">
      <c r="A2322" s="522"/>
    </row>
    <row r="2323" spans="1:1" x14ac:dyDescent="0.25">
      <c r="A2323" s="522"/>
    </row>
    <row r="2324" spans="1:1" x14ac:dyDescent="0.25">
      <c r="A2324" s="522"/>
    </row>
    <row r="2325" spans="1:1" x14ac:dyDescent="0.25">
      <c r="A2325" s="522"/>
    </row>
    <row r="2326" spans="1:1" x14ac:dyDescent="0.25">
      <c r="A2326" s="522"/>
    </row>
    <row r="2327" spans="1:1" x14ac:dyDescent="0.25">
      <c r="A2327" s="522"/>
    </row>
    <row r="2328" spans="1:1" x14ac:dyDescent="0.25">
      <c r="A2328" s="522"/>
    </row>
    <row r="2329" spans="1:1" x14ac:dyDescent="0.25">
      <c r="A2329" s="522"/>
    </row>
    <row r="2330" spans="1:1" x14ac:dyDescent="0.25">
      <c r="A2330" s="522"/>
    </row>
    <row r="2331" spans="1:1" x14ac:dyDescent="0.25">
      <c r="A2331" s="522"/>
    </row>
    <row r="2332" spans="1:1" x14ac:dyDescent="0.25">
      <c r="A2332" s="522"/>
    </row>
    <row r="2333" spans="1:1" x14ac:dyDescent="0.25">
      <c r="A2333" s="522"/>
    </row>
    <row r="2334" spans="1:1" x14ac:dyDescent="0.25">
      <c r="A2334" s="522"/>
    </row>
    <row r="2335" spans="1:1" x14ac:dyDescent="0.25">
      <c r="A2335" s="522"/>
    </row>
    <row r="2336" spans="1:1" x14ac:dyDescent="0.25">
      <c r="A2336" s="522"/>
    </row>
    <row r="2337" spans="1:1" x14ac:dyDescent="0.25">
      <c r="A2337" s="522"/>
    </row>
    <row r="2338" spans="1:1" x14ac:dyDescent="0.25">
      <c r="A2338" s="522"/>
    </row>
    <row r="2339" spans="1:1" x14ac:dyDescent="0.25">
      <c r="A2339" s="522"/>
    </row>
    <row r="2340" spans="1:1" x14ac:dyDescent="0.25">
      <c r="A2340" s="522"/>
    </row>
    <row r="2341" spans="1:1" x14ac:dyDescent="0.25">
      <c r="A2341" s="522"/>
    </row>
    <row r="2342" spans="1:1" x14ac:dyDescent="0.25">
      <c r="A2342" s="522"/>
    </row>
    <row r="2343" spans="1:1" x14ac:dyDescent="0.25">
      <c r="A2343" s="522"/>
    </row>
    <row r="2344" spans="1:1" x14ac:dyDescent="0.25">
      <c r="A2344" s="522"/>
    </row>
    <row r="2345" spans="1:1" x14ac:dyDescent="0.25">
      <c r="A2345" s="522"/>
    </row>
    <row r="2346" spans="1:1" x14ac:dyDescent="0.25">
      <c r="A2346" s="522"/>
    </row>
    <row r="2347" spans="1:1" x14ac:dyDescent="0.25">
      <c r="A2347" s="522"/>
    </row>
    <row r="2348" spans="1:1" x14ac:dyDescent="0.25">
      <c r="A2348" s="522"/>
    </row>
    <row r="2349" spans="1:1" x14ac:dyDescent="0.25">
      <c r="A2349" s="522"/>
    </row>
    <row r="2350" spans="1:1" x14ac:dyDescent="0.25">
      <c r="A2350" s="522"/>
    </row>
    <row r="2351" spans="1:1" x14ac:dyDescent="0.25">
      <c r="A2351" s="522"/>
    </row>
    <row r="2352" spans="1:1" x14ac:dyDescent="0.25">
      <c r="A2352" s="522"/>
    </row>
    <row r="2353" spans="1:1" x14ac:dyDescent="0.25">
      <c r="A2353" s="522"/>
    </row>
    <row r="2354" spans="1:1" x14ac:dyDescent="0.25">
      <c r="A2354" s="522"/>
    </row>
    <row r="2355" spans="1:1" x14ac:dyDescent="0.25">
      <c r="A2355" s="522"/>
    </row>
    <row r="2356" spans="1:1" x14ac:dyDescent="0.25">
      <c r="A2356" s="522"/>
    </row>
    <row r="2357" spans="1:1" x14ac:dyDescent="0.25">
      <c r="A2357" s="522"/>
    </row>
    <row r="2358" spans="1:1" x14ac:dyDescent="0.25">
      <c r="A2358" s="522"/>
    </row>
    <row r="2359" spans="1:1" x14ac:dyDescent="0.25">
      <c r="A2359" s="522"/>
    </row>
    <row r="2360" spans="1:1" x14ac:dyDescent="0.25">
      <c r="A2360" s="522"/>
    </row>
    <row r="2361" spans="1:1" x14ac:dyDescent="0.25">
      <c r="A2361" s="522"/>
    </row>
    <row r="2362" spans="1:1" x14ac:dyDescent="0.25">
      <c r="A2362" s="522"/>
    </row>
    <row r="2363" spans="1:1" x14ac:dyDescent="0.25">
      <c r="A2363" s="522"/>
    </row>
    <row r="2364" spans="1:1" x14ac:dyDescent="0.25">
      <c r="A2364" s="522"/>
    </row>
    <row r="2365" spans="1:1" x14ac:dyDescent="0.25">
      <c r="A2365" s="522"/>
    </row>
    <row r="2366" spans="1:1" x14ac:dyDescent="0.25">
      <c r="A2366" s="522"/>
    </row>
    <row r="2367" spans="1:1" x14ac:dyDescent="0.25">
      <c r="A2367" s="522"/>
    </row>
    <row r="2368" spans="1:1" x14ac:dyDescent="0.25">
      <c r="A2368" s="522"/>
    </row>
    <row r="2369" spans="1:1" x14ac:dyDescent="0.25">
      <c r="A2369" s="522"/>
    </row>
    <row r="2370" spans="1:1" x14ac:dyDescent="0.25">
      <c r="A2370" s="522"/>
    </row>
    <row r="2371" spans="1:1" x14ac:dyDescent="0.25">
      <c r="A2371" s="522"/>
    </row>
    <row r="2372" spans="1:1" x14ac:dyDescent="0.25">
      <c r="A2372" s="522"/>
    </row>
    <row r="2373" spans="1:1" x14ac:dyDescent="0.25">
      <c r="A2373" s="522"/>
    </row>
    <row r="2374" spans="1:1" x14ac:dyDescent="0.25">
      <c r="A2374" s="522"/>
    </row>
    <row r="2375" spans="1:1" x14ac:dyDescent="0.25">
      <c r="A2375" s="522"/>
    </row>
    <row r="2376" spans="1:1" x14ac:dyDescent="0.25">
      <c r="A2376" s="522"/>
    </row>
    <row r="2377" spans="1:1" x14ac:dyDescent="0.25">
      <c r="A2377" s="522"/>
    </row>
    <row r="2378" spans="1:1" x14ac:dyDescent="0.25">
      <c r="A2378" s="522"/>
    </row>
    <row r="2379" spans="1:1" x14ac:dyDescent="0.25">
      <c r="A2379" s="522"/>
    </row>
    <row r="2380" spans="1:1" x14ac:dyDescent="0.25">
      <c r="A2380" s="522"/>
    </row>
    <row r="2381" spans="1:1" x14ac:dyDescent="0.25">
      <c r="A2381" s="522"/>
    </row>
    <row r="2382" spans="1:1" x14ac:dyDescent="0.25">
      <c r="A2382" s="522"/>
    </row>
    <row r="2383" spans="1:1" x14ac:dyDescent="0.25">
      <c r="A2383" s="522"/>
    </row>
    <row r="2384" spans="1:1" x14ac:dyDescent="0.25">
      <c r="A2384" s="522"/>
    </row>
    <row r="2385" spans="1:1" x14ac:dyDescent="0.25">
      <c r="A2385" s="522"/>
    </row>
    <row r="2386" spans="1:1" x14ac:dyDescent="0.25">
      <c r="A2386" s="522"/>
    </row>
    <row r="2387" spans="1:1" x14ac:dyDescent="0.25">
      <c r="A2387" s="522"/>
    </row>
    <row r="2388" spans="1:1" x14ac:dyDescent="0.25">
      <c r="A2388" s="522"/>
    </row>
    <row r="2389" spans="1:1" x14ac:dyDescent="0.25">
      <c r="A2389" s="522"/>
    </row>
    <row r="2390" spans="1:1" x14ac:dyDescent="0.25">
      <c r="A2390" s="522"/>
    </row>
    <row r="2391" spans="1:1" x14ac:dyDescent="0.25">
      <c r="A2391" s="522"/>
    </row>
    <row r="2392" spans="1:1" x14ac:dyDescent="0.25">
      <c r="A2392" s="522"/>
    </row>
    <row r="2393" spans="1:1" x14ac:dyDescent="0.25">
      <c r="A2393" s="522"/>
    </row>
    <row r="2394" spans="1:1" x14ac:dyDescent="0.25">
      <c r="A2394" s="522"/>
    </row>
    <row r="2395" spans="1:1" x14ac:dyDescent="0.25">
      <c r="A2395" s="522"/>
    </row>
    <row r="2396" spans="1:1" x14ac:dyDescent="0.25">
      <c r="A2396" s="522"/>
    </row>
    <row r="2397" spans="1:1" x14ac:dyDescent="0.25">
      <c r="A2397" s="522"/>
    </row>
    <row r="2398" spans="1:1" x14ac:dyDescent="0.25">
      <c r="A2398" s="522"/>
    </row>
    <row r="2399" spans="1:1" x14ac:dyDescent="0.25">
      <c r="A2399" s="522"/>
    </row>
    <row r="2400" spans="1:1" x14ac:dyDescent="0.25">
      <c r="A2400" s="522"/>
    </row>
    <row r="2401" spans="1:1" x14ac:dyDescent="0.25">
      <c r="A2401" s="522"/>
    </row>
    <row r="2402" spans="1:1" x14ac:dyDescent="0.25">
      <c r="A2402" s="522"/>
    </row>
    <row r="2403" spans="1:1" x14ac:dyDescent="0.25">
      <c r="A2403" s="522"/>
    </row>
    <row r="2404" spans="1:1" x14ac:dyDescent="0.25">
      <c r="A2404" s="522"/>
    </row>
    <row r="2405" spans="1:1" x14ac:dyDescent="0.25">
      <c r="A2405" s="522"/>
    </row>
    <row r="2406" spans="1:1" x14ac:dyDescent="0.25">
      <c r="A2406" s="522"/>
    </row>
    <row r="2407" spans="1:1" x14ac:dyDescent="0.25">
      <c r="A2407" s="522"/>
    </row>
    <row r="2408" spans="1:1" x14ac:dyDescent="0.25">
      <c r="A2408" s="522"/>
    </row>
    <row r="2409" spans="1:1" x14ac:dyDescent="0.25">
      <c r="A2409" s="522"/>
    </row>
    <row r="2410" spans="1:1" x14ac:dyDescent="0.25">
      <c r="A2410" s="522"/>
    </row>
    <row r="2411" spans="1:1" x14ac:dyDescent="0.25">
      <c r="A2411" s="522"/>
    </row>
    <row r="2412" spans="1:1" x14ac:dyDescent="0.25">
      <c r="A2412" s="522"/>
    </row>
    <row r="2413" spans="1:1" x14ac:dyDescent="0.25">
      <c r="A2413" s="522"/>
    </row>
    <row r="2414" spans="1:1" x14ac:dyDescent="0.25">
      <c r="A2414" s="522"/>
    </row>
    <row r="2415" spans="1:1" x14ac:dyDescent="0.25">
      <c r="A2415" s="522"/>
    </row>
    <row r="2416" spans="1:1" x14ac:dyDescent="0.25">
      <c r="A2416" s="522"/>
    </row>
    <row r="2417" spans="1:1" x14ac:dyDescent="0.25">
      <c r="A2417" s="522"/>
    </row>
    <row r="2418" spans="1:1" x14ac:dyDescent="0.25">
      <c r="A2418" s="522"/>
    </row>
    <row r="2419" spans="1:1" x14ac:dyDescent="0.25">
      <c r="A2419" s="522"/>
    </row>
    <row r="2420" spans="1:1" x14ac:dyDescent="0.25">
      <c r="A2420" s="522"/>
    </row>
    <row r="2421" spans="1:1" x14ac:dyDescent="0.25">
      <c r="A2421" s="522"/>
    </row>
    <row r="2422" spans="1:1" x14ac:dyDescent="0.25">
      <c r="A2422" s="522"/>
    </row>
    <row r="2423" spans="1:1" x14ac:dyDescent="0.25">
      <c r="A2423" s="522"/>
    </row>
    <row r="2424" spans="1:1" x14ac:dyDescent="0.25">
      <c r="A2424" s="522"/>
    </row>
    <row r="2425" spans="1:1" x14ac:dyDescent="0.25">
      <c r="A2425" s="522"/>
    </row>
    <row r="2426" spans="1:1" x14ac:dyDescent="0.25">
      <c r="A2426" s="522"/>
    </row>
    <row r="2427" spans="1:1" x14ac:dyDescent="0.25">
      <c r="A2427" s="522"/>
    </row>
    <row r="2428" spans="1:1" x14ac:dyDescent="0.25">
      <c r="A2428" s="522"/>
    </row>
    <row r="2429" spans="1:1" x14ac:dyDescent="0.25">
      <c r="A2429" s="522"/>
    </row>
    <row r="2430" spans="1:1" x14ac:dyDescent="0.25">
      <c r="A2430" s="522"/>
    </row>
    <row r="2431" spans="1:1" x14ac:dyDescent="0.25">
      <c r="A2431" s="522"/>
    </row>
    <row r="2432" spans="1:1" x14ac:dyDescent="0.25">
      <c r="A2432" s="522"/>
    </row>
    <row r="2433" spans="1:1" x14ac:dyDescent="0.25">
      <c r="A2433" s="522"/>
    </row>
    <row r="2434" spans="1:1" x14ac:dyDescent="0.25">
      <c r="A2434" s="522"/>
    </row>
    <row r="2435" spans="1:1" x14ac:dyDescent="0.25">
      <c r="A2435" s="522"/>
    </row>
    <row r="2436" spans="1:1" x14ac:dyDescent="0.25">
      <c r="A2436" s="522"/>
    </row>
    <row r="2437" spans="1:1" x14ac:dyDescent="0.25">
      <c r="A2437" s="522"/>
    </row>
    <row r="2438" spans="1:1" x14ac:dyDescent="0.25">
      <c r="A2438" s="522"/>
    </row>
    <row r="2439" spans="1:1" x14ac:dyDescent="0.25">
      <c r="A2439" s="522"/>
    </row>
    <row r="2440" spans="1:1" x14ac:dyDescent="0.25">
      <c r="A2440" s="522"/>
    </row>
    <row r="2441" spans="1:1" x14ac:dyDescent="0.25">
      <c r="A2441" s="522"/>
    </row>
    <row r="2442" spans="1:1" x14ac:dyDescent="0.25">
      <c r="A2442" s="522"/>
    </row>
    <row r="2443" spans="1:1" x14ac:dyDescent="0.25">
      <c r="A2443" s="522"/>
    </row>
    <row r="2444" spans="1:1" x14ac:dyDescent="0.25">
      <c r="A2444" s="522"/>
    </row>
    <row r="2445" spans="1:1" x14ac:dyDescent="0.25">
      <c r="A2445" s="522"/>
    </row>
    <row r="2446" spans="1:1" x14ac:dyDescent="0.25">
      <c r="A2446" s="522"/>
    </row>
    <row r="2447" spans="1:1" x14ac:dyDescent="0.25">
      <c r="A2447" s="522"/>
    </row>
    <row r="2448" spans="1:1" x14ac:dyDescent="0.25">
      <c r="A2448" s="522"/>
    </row>
    <row r="2449" spans="1:1" x14ac:dyDescent="0.25">
      <c r="A2449" s="522"/>
    </row>
    <row r="2450" spans="1:1" x14ac:dyDescent="0.25">
      <c r="A2450" s="522"/>
    </row>
    <row r="2451" spans="1:1" x14ac:dyDescent="0.25">
      <c r="A2451" s="522"/>
    </row>
    <row r="2452" spans="1:1" x14ac:dyDescent="0.25">
      <c r="A2452" s="522"/>
    </row>
    <row r="2453" spans="1:1" x14ac:dyDescent="0.25">
      <c r="A2453" s="522"/>
    </row>
    <row r="2454" spans="1:1" x14ac:dyDescent="0.25">
      <c r="A2454" s="522"/>
    </row>
    <row r="2455" spans="1:1" x14ac:dyDescent="0.25">
      <c r="A2455" s="522"/>
    </row>
    <row r="2456" spans="1:1" x14ac:dyDescent="0.25">
      <c r="A2456" s="522"/>
    </row>
    <row r="2457" spans="1:1" x14ac:dyDescent="0.25">
      <c r="A2457" s="522"/>
    </row>
    <row r="2458" spans="1:1" x14ac:dyDescent="0.25">
      <c r="A2458" s="522"/>
    </row>
    <row r="2459" spans="1:1" x14ac:dyDescent="0.25">
      <c r="A2459" s="522"/>
    </row>
    <row r="2460" spans="1:1" x14ac:dyDescent="0.25">
      <c r="A2460" s="522"/>
    </row>
    <row r="2461" spans="1:1" x14ac:dyDescent="0.25">
      <c r="A2461" s="522"/>
    </row>
    <row r="2462" spans="1:1" x14ac:dyDescent="0.25">
      <c r="A2462" s="522"/>
    </row>
    <row r="2463" spans="1:1" x14ac:dyDescent="0.25">
      <c r="A2463" s="522"/>
    </row>
    <row r="2464" spans="1:1" x14ac:dyDescent="0.25">
      <c r="A2464" s="522"/>
    </row>
    <row r="2465" spans="1:1" x14ac:dyDescent="0.25">
      <c r="A2465" s="522"/>
    </row>
    <row r="2466" spans="1:1" x14ac:dyDescent="0.25">
      <c r="A2466" s="522"/>
    </row>
    <row r="2467" spans="1:1" x14ac:dyDescent="0.25">
      <c r="A2467" s="522"/>
    </row>
    <row r="2468" spans="1:1" x14ac:dyDescent="0.25">
      <c r="A2468" s="522"/>
    </row>
    <row r="2469" spans="1:1" x14ac:dyDescent="0.25">
      <c r="A2469" s="522"/>
    </row>
    <row r="2470" spans="1:1" x14ac:dyDescent="0.25">
      <c r="A2470" s="522"/>
    </row>
    <row r="2471" spans="1:1" x14ac:dyDescent="0.25">
      <c r="A2471" s="522"/>
    </row>
    <row r="2472" spans="1:1" x14ac:dyDescent="0.25">
      <c r="A2472" s="522"/>
    </row>
    <row r="2473" spans="1:1" x14ac:dyDescent="0.25">
      <c r="A2473" s="522"/>
    </row>
    <row r="2474" spans="1:1" x14ac:dyDescent="0.25">
      <c r="A2474" s="522"/>
    </row>
    <row r="2475" spans="1:1" x14ac:dyDescent="0.25">
      <c r="A2475" s="522"/>
    </row>
    <row r="2476" spans="1:1" x14ac:dyDescent="0.25">
      <c r="A2476" s="522"/>
    </row>
    <row r="2477" spans="1:1" x14ac:dyDescent="0.25">
      <c r="A2477" s="522"/>
    </row>
    <row r="2478" spans="1:1" x14ac:dyDescent="0.25">
      <c r="A2478" s="522"/>
    </row>
    <row r="2479" spans="1:1" x14ac:dyDescent="0.25">
      <c r="A2479" s="522"/>
    </row>
    <row r="2480" spans="1:1" x14ac:dyDescent="0.25">
      <c r="A2480" s="522"/>
    </row>
    <row r="2481" spans="1:1" x14ac:dyDescent="0.25">
      <c r="A2481" s="522"/>
    </row>
    <row r="2482" spans="1:1" x14ac:dyDescent="0.25">
      <c r="A2482" s="522"/>
    </row>
    <row r="2483" spans="1:1" x14ac:dyDescent="0.25">
      <c r="A2483" s="522"/>
    </row>
    <row r="2484" spans="1:1" x14ac:dyDescent="0.25">
      <c r="A2484" s="522"/>
    </row>
    <row r="2485" spans="1:1" x14ac:dyDescent="0.25">
      <c r="A2485" s="522"/>
    </row>
    <row r="2486" spans="1:1" x14ac:dyDescent="0.25">
      <c r="A2486" s="522"/>
    </row>
    <row r="2487" spans="1:1" x14ac:dyDescent="0.25">
      <c r="A2487" s="522"/>
    </row>
    <row r="2488" spans="1:1" x14ac:dyDescent="0.25">
      <c r="A2488" s="522"/>
    </row>
    <row r="2489" spans="1:1" x14ac:dyDescent="0.25">
      <c r="A2489" s="522"/>
    </row>
    <row r="2490" spans="1:1" x14ac:dyDescent="0.25">
      <c r="A2490" s="522"/>
    </row>
    <row r="2491" spans="1:1" x14ac:dyDescent="0.25">
      <c r="A2491" s="522"/>
    </row>
    <row r="2492" spans="1:1" x14ac:dyDescent="0.25">
      <c r="A2492" s="522"/>
    </row>
    <row r="2493" spans="1:1" x14ac:dyDescent="0.25">
      <c r="A2493" s="522"/>
    </row>
    <row r="2494" spans="1:1" x14ac:dyDescent="0.25">
      <c r="A2494" s="522"/>
    </row>
    <row r="2495" spans="1:1" x14ac:dyDescent="0.25">
      <c r="A2495" s="522"/>
    </row>
    <row r="2496" spans="1:1" x14ac:dyDescent="0.25">
      <c r="A2496" s="522"/>
    </row>
    <row r="2497" spans="1:1" x14ac:dyDescent="0.25">
      <c r="A2497" s="522"/>
    </row>
    <row r="2498" spans="1:1" x14ac:dyDescent="0.25">
      <c r="A2498" s="522"/>
    </row>
    <row r="2499" spans="1:1" x14ac:dyDescent="0.25">
      <c r="A2499" s="522"/>
    </row>
    <row r="2500" spans="1:1" x14ac:dyDescent="0.25">
      <c r="A2500" s="522"/>
    </row>
    <row r="2501" spans="1:1" x14ac:dyDescent="0.25">
      <c r="A2501" s="522"/>
    </row>
    <row r="2502" spans="1:1" x14ac:dyDescent="0.25">
      <c r="A2502" s="522"/>
    </row>
    <row r="2503" spans="1:1" x14ac:dyDescent="0.25">
      <c r="A2503" s="522"/>
    </row>
    <row r="2504" spans="1:1" x14ac:dyDescent="0.25">
      <c r="A2504" s="522"/>
    </row>
    <row r="2505" spans="1:1" x14ac:dyDescent="0.25">
      <c r="A2505" s="522"/>
    </row>
    <row r="2506" spans="1:1" x14ac:dyDescent="0.25">
      <c r="A2506" s="522"/>
    </row>
    <row r="2507" spans="1:1" x14ac:dyDescent="0.25">
      <c r="A2507" s="522"/>
    </row>
    <row r="2508" spans="1:1" x14ac:dyDescent="0.25">
      <c r="A2508" s="522"/>
    </row>
    <row r="2509" spans="1:1" x14ac:dyDescent="0.25">
      <c r="A2509" s="522"/>
    </row>
    <row r="2510" spans="1:1" x14ac:dyDescent="0.25">
      <c r="A2510" s="522"/>
    </row>
    <row r="2511" spans="1:1" x14ac:dyDescent="0.25">
      <c r="A2511" s="522"/>
    </row>
    <row r="2512" spans="1:1" x14ac:dyDescent="0.25">
      <c r="A2512" s="522"/>
    </row>
    <row r="2513" spans="1:1" x14ac:dyDescent="0.25">
      <c r="A2513" s="522"/>
    </row>
    <row r="2514" spans="1:1" x14ac:dyDescent="0.25">
      <c r="A2514" s="522"/>
    </row>
    <row r="2515" spans="1:1" x14ac:dyDescent="0.25">
      <c r="A2515" s="522"/>
    </row>
    <row r="2516" spans="1:1" x14ac:dyDescent="0.25">
      <c r="A2516" s="522"/>
    </row>
    <row r="2517" spans="1:1" x14ac:dyDescent="0.25">
      <c r="A2517" s="522"/>
    </row>
    <row r="2518" spans="1:1" x14ac:dyDescent="0.25">
      <c r="A2518" s="522"/>
    </row>
    <row r="2519" spans="1:1" x14ac:dyDescent="0.25">
      <c r="A2519" s="522"/>
    </row>
    <row r="2520" spans="1:1" x14ac:dyDescent="0.25">
      <c r="A2520" s="522"/>
    </row>
    <row r="2521" spans="1:1" x14ac:dyDescent="0.25">
      <c r="A2521" s="522"/>
    </row>
    <row r="2522" spans="1:1" x14ac:dyDescent="0.25">
      <c r="A2522" s="522"/>
    </row>
    <row r="2523" spans="1:1" x14ac:dyDescent="0.25">
      <c r="A2523" s="522"/>
    </row>
    <row r="2524" spans="1:1" x14ac:dyDescent="0.25">
      <c r="A2524" s="522"/>
    </row>
    <row r="2525" spans="1:1" x14ac:dyDescent="0.25">
      <c r="A2525" s="522"/>
    </row>
    <row r="2526" spans="1:1" x14ac:dyDescent="0.25">
      <c r="A2526" s="522"/>
    </row>
    <row r="2527" spans="1:1" x14ac:dyDescent="0.25">
      <c r="A2527" s="522"/>
    </row>
    <row r="2528" spans="1:1" x14ac:dyDescent="0.25">
      <c r="A2528" s="522"/>
    </row>
    <row r="2529" spans="1:1" x14ac:dyDescent="0.25">
      <c r="A2529" s="522"/>
    </row>
    <row r="2530" spans="1:1" x14ac:dyDescent="0.25">
      <c r="A2530" s="522"/>
    </row>
    <row r="2531" spans="1:1" x14ac:dyDescent="0.25">
      <c r="A2531" s="522"/>
    </row>
    <row r="2532" spans="1:1" x14ac:dyDescent="0.25">
      <c r="A2532" s="522"/>
    </row>
    <row r="2533" spans="1:1" x14ac:dyDescent="0.25">
      <c r="A2533" s="522"/>
    </row>
    <row r="2534" spans="1:1" x14ac:dyDescent="0.25">
      <c r="A2534" s="522"/>
    </row>
    <row r="2535" spans="1:1" x14ac:dyDescent="0.25">
      <c r="A2535" s="522"/>
    </row>
    <row r="2536" spans="1:1" x14ac:dyDescent="0.25">
      <c r="A2536" s="522"/>
    </row>
    <row r="2537" spans="1:1" x14ac:dyDescent="0.25">
      <c r="A2537" s="522"/>
    </row>
    <row r="2538" spans="1:1" x14ac:dyDescent="0.25">
      <c r="A2538" s="522"/>
    </row>
    <row r="2539" spans="1:1" x14ac:dyDescent="0.25">
      <c r="A2539" s="522"/>
    </row>
    <row r="2540" spans="1:1" x14ac:dyDescent="0.25">
      <c r="A2540" s="522"/>
    </row>
    <row r="2541" spans="1:1" x14ac:dyDescent="0.25">
      <c r="A2541" s="522"/>
    </row>
    <row r="2542" spans="1:1" x14ac:dyDescent="0.25">
      <c r="A2542" s="522"/>
    </row>
    <row r="2543" spans="1:1" x14ac:dyDescent="0.25">
      <c r="A2543" s="522"/>
    </row>
    <row r="2544" spans="1:1" x14ac:dyDescent="0.25">
      <c r="A2544" s="522"/>
    </row>
    <row r="2545" spans="1:1" x14ac:dyDescent="0.25">
      <c r="A2545" s="522"/>
    </row>
    <row r="2546" spans="1:1" x14ac:dyDescent="0.25">
      <c r="A2546" s="522"/>
    </row>
    <row r="2547" spans="1:1" x14ac:dyDescent="0.25">
      <c r="A2547" s="522"/>
    </row>
    <row r="2548" spans="1:1" x14ac:dyDescent="0.25">
      <c r="A2548" s="522"/>
    </row>
    <row r="2549" spans="1:1" x14ac:dyDescent="0.25">
      <c r="A2549" s="522"/>
    </row>
    <row r="2550" spans="1:1" x14ac:dyDescent="0.25">
      <c r="A2550" s="522"/>
    </row>
    <row r="2551" spans="1:1" x14ac:dyDescent="0.25">
      <c r="A2551" s="522"/>
    </row>
    <row r="2552" spans="1:1" x14ac:dyDescent="0.25">
      <c r="A2552" s="522"/>
    </row>
    <row r="2553" spans="1:1" x14ac:dyDescent="0.25">
      <c r="A2553" s="522"/>
    </row>
    <row r="2554" spans="1:1" x14ac:dyDescent="0.25">
      <c r="A2554" s="522"/>
    </row>
    <row r="2555" spans="1:1" x14ac:dyDescent="0.25">
      <c r="A2555" s="522"/>
    </row>
    <row r="2556" spans="1:1" x14ac:dyDescent="0.25">
      <c r="A2556" s="522"/>
    </row>
    <row r="2557" spans="1:1" x14ac:dyDescent="0.25">
      <c r="A2557" s="522"/>
    </row>
    <row r="2558" spans="1:1" x14ac:dyDescent="0.25">
      <c r="A2558" s="522"/>
    </row>
    <row r="2559" spans="1:1" x14ac:dyDescent="0.25">
      <c r="A2559" s="522"/>
    </row>
    <row r="2560" spans="1:1" x14ac:dyDescent="0.25">
      <c r="A2560" s="522"/>
    </row>
    <row r="2561" spans="1:1" x14ac:dyDescent="0.25">
      <c r="A2561" s="522"/>
    </row>
    <row r="2562" spans="1:1" x14ac:dyDescent="0.25">
      <c r="A2562" s="522"/>
    </row>
    <row r="2563" spans="1:1" x14ac:dyDescent="0.25">
      <c r="A2563" s="522"/>
    </row>
    <row r="2564" spans="1:1" x14ac:dyDescent="0.25">
      <c r="A2564" s="522"/>
    </row>
    <row r="2565" spans="1:1" x14ac:dyDescent="0.25">
      <c r="A2565" s="522"/>
    </row>
    <row r="2566" spans="1:1" x14ac:dyDescent="0.25">
      <c r="A2566" s="522"/>
    </row>
    <row r="2567" spans="1:1" x14ac:dyDescent="0.25">
      <c r="A2567" s="522"/>
    </row>
    <row r="2568" spans="1:1" x14ac:dyDescent="0.25">
      <c r="A2568" s="522"/>
    </row>
    <row r="2569" spans="1:1" x14ac:dyDescent="0.25">
      <c r="A2569" s="522"/>
    </row>
    <row r="2570" spans="1:1" x14ac:dyDescent="0.25">
      <c r="A2570" s="522"/>
    </row>
    <row r="2571" spans="1:1" x14ac:dyDescent="0.25">
      <c r="A2571" s="522"/>
    </row>
    <row r="2572" spans="1:1" x14ac:dyDescent="0.25">
      <c r="A2572" s="522"/>
    </row>
    <row r="2573" spans="1:1" x14ac:dyDescent="0.25">
      <c r="A2573" s="522"/>
    </row>
    <row r="2574" spans="1:1" x14ac:dyDescent="0.25">
      <c r="A2574" s="522"/>
    </row>
    <row r="2575" spans="1:1" x14ac:dyDescent="0.25">
      <c r="A2575" s="522"/>
    </row>
    <row r="2576" spans="1:1" x14ac:dyDescent="0.25">
      <c r="A2576" s="522"/>
    </row>
    <row r="2577" spans="1:1" x14ac:dyDescent="0.25">
      <c r="A2577" s="522"/>
    </row>
    <row r="2578" spans="1:1" x14ac:dyDescent="0.25">
      <c r="A2578" s="522"/>
    </row>
    <row r="2579" spans="1:1" x14ac:dyDescent="0.25">
      <c r="A2579" s="522"/>
    </row>
    <row r="2580" spans="1:1" x14ac:dyDescent="0.25">
      <c r="A2580" s="522"/>
    </row>
    <row r="2581" spans="1:1" x14ac:dyDescent="0.25">
      <c r="A2581" s="522"/>
    </row>
    <row r="2582" spans="1:1" x14ac:dyDescent="0.25">
      <c r="A2582" s="522"/>
    </row>
    <row r="2583" spans="1:1" x14ac:dyDescent="0.25">
      <c r="A2583" s="522"/>
    </row>
    <row r="2584" spans="1:1" x14ac:dyDescent="0.25">
      <c r="A2584" s="522"/>
    </row>
    <row r="2585" spans="1:1" x14ac:dyDescent="0.25">
      <c r="A2585" s="522"/>
    </row>
    <row r="2586" spans="1:1" x14ac:dyDescent="0.25">
      <c r="A2586" s="522"/>
    </row>
    <row r="2587" spans="1:1" x14ac:dyDescent="0.25">
      <c r="A2587" s="522"/>
    </row>
    <row r="2588" spans="1:1" x14ac:dyDescent="0.25">
      <c r="A2588" s="522"/>
    </row>
    <row r="2589" spans="1:1" x14ac:dyDescent="0.25">
      <c r="A2589" s="522"/>
    </row>
    <row r="2590" spans="1:1" x14ac:dyDescent="0.25">
      <c r="A2590" s="522"/>
    </row>
    <row r="2591" spans="1:1" x14ac:dyDescent="0.25">
      <c r="A2591" s="522"/>
    </row>
    <row r="2592" spans="1:1" x14ac:dyDescent="0.25">
      <c r="A2592" s="522"/>
    </row>
    <row r="2593" spans="1:1" x14ac:dyDescent="0.25">
      <c r="A2593" s="522"/>
    </row>
    <row r="2594" spans="1:1" x14ac:dyDescent="0.25">
      <c r="A2594" s="522"/>
    </row>
    <row r="2595" spans="1:1" x14ac:dyDescent="0.25">
      <c r="A2595" s="522"/>
    </row>
    <row r="2596" spans="1:1" x14ac:dyDescent="0.25">
      <c r="A2596" s="522"/>
    </row>
    <row r="2597" spans="1:1" x14ac:dyDescent="0.25">
      <c r="A2597" s="522"/>
    </row>
    <row r="2598" spans="1:1" x14ac:dyDescent="0.25">
      <c r="A2598" s="522"/>
    </row>
    <row r="2599" spans="1:1" x14ac:dyDescent="0.25">
      <c r="A2599" s="522"/>
    </row>
    <row r="2600" spans="1:1" x14ac:dyDescent="0.25">
      <c r="A2600" s="522"/>
    </row>
    <row r="2601" spans="1:1" x14ac:dyDescent="0.25">
      <c r="A2601" s="522"/>
    </row>
    <row r="2602" spans="1:1" x14ac:dyDescent="0.25">
      <c r="A2602" s="522"/>
    </row>
    <row r="2603" spans="1:1" x14ac:dyDescent="0.25">
      <c r="A2603" s="522"/>
    </row>
    <row r="2604" spans="1:1" x14ac:dyDescent="0.25">
      <c r="A2604" s="522"/>
    </row>
    <row r="2605" spans="1:1" x14ac:dyDescent="0.25">
      <c r="A2605" s="522"/>
    </row>
    <row r="2606" spans="1:1" x14ac:dyDescent="0.25">
      <c r="A2606" s="522"/>
    </row>
    <row r="2607" spans="1:1" x14ac:dyDescent="0.25">
      <c r="A2607" s="522"/>
    </row>
    <row r="2608" spans="1:1" x14ac:dyDescent="0.25">
      <c r="A2608" s="522"/>
    </row>
    <row r="2609" spans="1:1" x14ac:dyDescent="0.25">
      <c r="A2609" s="522"/>
    </row>
    <row r="2610" spans="1:1" x14ac:dyDescent="0.25">
      <c r="A2610" s="522"/>
    </row>
    <row r="2611" spans="1:1" x14ac:dyDescent="0.25">
      <c r="A2611" s="522"/>
    </row>
    <row r="2612" spans="1:1" x14ac:dyDescent="0.25">
      <c r="A2612" s="522"/>
    </row>
    <row r="2613" spans="1:1" x14ac:dyDescent="0.25">
      <c r="A2613" s="522"/>
    </row>
    <row r="2614" spans="1:1" x14ac:dyDescent="0.25">
      <c r="A2614" s="522"/>
    </row>
    <row r="2615" spans="1:1" x14ac:dyDescent="0.25">
      <c r="A2615" s="522"/>
    </row>
    <row r="2616" spans="1:1" x14ac:dyDescent="0.25">
      <c r="A2616" s="522"/>
    </row>
    <row r="2617" spans="1:1" x14ac:dyDescent="0.25">
      <c r="A2617" s="522"/>
    </row>
    <row r="2618" spans="1:1" x14ac:dyDescent="0.25">
      <c r="A2618" s="522"/>
    </row>
    <row r="2619" spans="1:1" x14ac:dyDescent="0.25">
      <c r="A2619" s="522"/>
    </row>
    <row r="2620" spans="1:1" x14ac:dyDescent="0.25">
      <c r="A2620" s="522"/>
    </row>
    <row r="2621" spans="1:1" x14ac:dyDescent="0.25">
      <c r="A2621" s="522"/>
    </row>
    <row r="2622" spans="1:1" x14ac:dyDescent="0.25">
      <c r="A2622" s="522"/>
    </row>
    <row r="2623" spans="1:1" x14ac:dyDescent="0.25">
      <c r="A2623" s="522"/>
    </row>
    <row r="2624" spans="1:1" x14ac:dyDescent="0.25">
      <c r="A2624" s="522"/>
    </row>
    <row r="2625" spans="1:1" x14ac:dyDescent="0.25">
      <c r="A2625" s="522"/>
    </row>
    <row r="2626" spans="1:1" x14ac:dyDescent="0.25">
      <c r="A2626" s="522"/>
    </row>
    <row r="2627" spans="1:1" x14ac:dyDescent="0.25">
      <c r="A2627" s="522"/>
    </row>
    <row r="2628" spans="1:1" x14ac:dyDescent="0.25">
      <c r="A2628" s="522"/>
    </row>
    <row r="2629" spans="1:1" x14ac:dyDescent="0.25">
      <c r="A2629" s="522"/>
    </row>
    <row r="2630" spans="1:1" x14ac:dyDescent="0.25">
      <c r="A2630" s="522"/>
    </row>
    <row r="2631" spans="1:1" x14ac:dyDescent="0.25">
      <c r="A2631" s="522"/>
    </row>
    <row r="2632" spans="1:1" x14ac:dyDescent="0.25">
      <c r="A2632" s="522"/>
    </row>
    <row r="2633" spans="1:1" x14ac:dyDescent="0.25">
      <c r="A2633" s="522"/>
    </row>
    <row r="2634" spans="1:1" x14ac:dyDescent="0.25">
      <c r="A2634" s="522"/>
    </row>
    <row r="2635" spans="1:1" x14ac:dyDescent="0.25">
      <c r="A2635" s="522"/>
    </row>
    <row r="2636" spans="1:1" x14ac:dyDescent="0.25">
      <c r="A2636" s="522"/>
    </row>
    <row r="2637" spans="1:1" x14ac:dyDescent="0.25">
      <c r="A2637" s="522"/>
    </row>
    <row r="2638" spans="1:1" x14ac:dyDescent="0.25">
      <c r="A2638" s="522"/>
    </row>
    <row r="2639" spans="1:1" x14ac:dyDescent="0.25">
      <c r="A2639" s="522"/>
    </row>
    <row r="2640" spans="1:1" x14ac:dyDescent="0.25">
      <c r="A2640" s="522"/>
    </row>
    <row r="2641" spans="1:1" x14ac:dyDescent="0.25">
      <c r="A2641" s="522"/>
    </row>
    <row r="2642" spans="1:1" x14ac:dyDescent="0.25">
      <c r="A2642" s="522"/>
    </row>
    <row r="2643" spans="1:1" x14ac:dyDescent="0.25">
      <c r="A2643" s="522"/>
    </row>
    <row r="2644" spans="1:1" x14ac:dyDescent="0.25">
      <c r="A2644" s="522"/>
    </row>
    <row r="2645" spans="1:1" x14ac:dyDescent="0.25">
      <c r="A2645" s="522"/>
    </row>
    <row r="2646" spans="1:1" x14ac:dyDescent="0.25">
      <c r="A2646" s="522"/>
    </row>
    <row r="2647" spans="1:1" x14ac:dyDescent="0.25">
      <c r="A2647" s="522"/>
    </row>
    <row r="2648" spans="1:1" x14ac:dyDescent="0.25">
      <c r="A2648" s="522"/>
    </row>
    <row r="2649" spans="1:1" x14ac:dyDescent="0.25">
      <c r="A2649" s="522"/>
    </row>
    <row r="2650" spans="1:1" x14ac:dyDescent="0.25">
      <c r="A2650" s="522"/>
    </row>
    <row r="2651" spans="1:1" x14ac:dyDescent="0.25">
      <c r="A2651" s="522"/>
    </row>
    <row r="2652" spans="1:1" x14ac:dyDescent="0.25">
      <c r="A2652" s="522"/>
    </row>
    <row r="2653" spans="1:1" x14ac:dyDescent="0.25">
      <c r="A2653" s="522"/>
    </row>
    <row r="2654" spans="1:1" x14ac:dyDescent="0.25">
      <c r="A2654" s="522"/>
    </row>
    <row r="2655" spans="1:1" x14ac:dyDescent="0.25">
      <c r="A2655" s="522"/>
    </row>
    <row r="2656" spans="1:1" x14ac:dyDescent="0.25">
      <c r="A2656" s="522"/>
    </row>
    <row r="2657" spans="1:1" x14ac:dyDescent="0.25">
      <c r="A2657" s="522"/>
    </row>
    <row r="2658" spans="1:1" x14ac:dyDescent="0.25">
      <c r="A2658" s="522"/>
    </row>
    <row r="2659" spans="1:1" x14ac:dyDescent="0.25">
      <c r="A2659" s="522"/>
    </row>
    <row r="2660" spans="1:1" x14ac:dyDescent="0.25">
      <c r="A2660" s="522"/>
    </row>
    <row r="2661" spans="1:1" x14ac:dyDescent="0.25">
      <c r="A2661" s="522"/>
    </row>
    <row r="2662" spans="1:1" x14ac:dyDescent="0.25">
      <c r="A2662" s="522"/>
    </row>
    <row r="2663" spans="1:1" x14ac:dyDescent="0.25">
      <c r="A2663" s="522"/>
    </row>
    <row r="2664" spans="1:1" x14ac:dyDescent="0.25">
      <c r="A2664" s="522"/>
    </row>
    <row r="2665" spans="1:1" x14ac:dyDescent="0.25">
      <c r="A2665" s="522"/>
    </row>
    <row r="2666" spans="1:1" x14ac:dyDescent="0.25">
      <c r="A2666" s="522"/>
    </row>
    <row r="2667" spans="1:1" x14ac:dyDescent="0.25">
      <c r="A2667" s="522"/>
    </row>
    <row r="2668" spans="1:1" x14ac:dyDescent="0.25">
      <c r="A2668" s="522"/>
    </row>
    <row r="2669" spans="1:1" x14ac:dyDescent="0.25">
      <c r="A2669" s="522"/>
    </row>
    <row r="2670" spans="1:1" x14ac:dyDescent="0.25">
      <c r="A2670" s="522"/>
    </row>
    <row r="2671" spans="1:1" x14ac:dyDescent="0.25">
      <c r="A2671" s="522"/>
    </row>
    <row r="2672" spans="1:1" x14ac:dyDescent="0.25">
      <c r="A2672" s="522"/>
    </row>
    <row r="2673" spans="1:1" x14ac:dyDescent="0.25">
      <c r="A2673" s="522"/>
    </row>
    <row r="2674" spans="1:1" x14ac:dyDescent="0.25">
      <c r="A2674" s="522"/>
    </row>
    <row r="2675" spans="1:1" x14ac:dyDescent="0.25">
      <c r="A2675" s="522"/>
    </row>
    <row r="2676" spans="1:1" x14ac:dyDescent="0.25">
      <c r="A2676" s="522"/>
    </row>
    <row r="2677" spans="1:1" x14ac:dyDescent="0.25">
      <c r="A2677" s="522"/>
    </row>
    <row r="2678" spans="1:1" x14ac:dyDescent="0.25">
      <c r="A2678" s="522"/>
    </row>
    <row r="2679" spans="1:1" x14ac:dyDescent="0.25">
      <c r="A2679" s="522"/>
    </row>
    <row r="2680" spans="1:1" x14ac:dyDescent="0.25">
      <c r="A2680" s="522"/>
    </row>
    <row r="2681" spans="1:1" x14ac:dyDescent="0.25">
      <c r="A2681" s="522"/>
    </row>
    <row r="2682" spans="1:1" x14ac:dyDescent="0.25">
      <c r="A2682" s="522"/>
    </row>
    <row r="2683" spans="1:1" x14ac:dyDescent="0.25">
      <c r="A2683" s="522"/>
    </row>
    <row r="2684" spans="1:1" x14ac:dyDescent="0.25">
      <c r="A2684" s="522"/>
    </row>
    <row r="2685" spans="1:1" x14ac:dyDescent="0.25">
      <c r="A2685" s="522"/>
    </row>
    <row r="2686" spans="1:1" x14ac:dyDescent="0.25">
      <c r="A2686" s="522"/>
    </row>
    <row r="2687" spans="1:1" x14ac:dyDescent="0.25">
      <c r="A2687" s="522"/>
    </row>
    <row r="2688" spans="1:1" x14ac:dyDescent="0.25">
      <c r="A2688" s="522"/>
    </row>
    <row r="2689" spans="1:1" x14ac:dyDescent="0.25">
      <c r="A2689" s="522"/>
    </row>
    <row r="2690" spans="1:1" x14ac:dyDescent="0.25">
      <c r="A2690" s="522"/>
    </row>
    <row r="2691" spans="1:1" x14ac:dyDescent="0.25">
      <c r="A2691" s="522"/>
    </row>
    <row r="2692" spans="1:1" x14ac:dyDescent="0.25">
      <c r="A2692" s="522"/>
    </row>
    <row r="2693" spans="1:1" x14ac:dyDescent="0.25">
      <c r="A2693" s="522"/>
    </row>
    <row r="2694" spans="1:1" x14ac:dyDescent="0.25">
      <c r="A2694" s="522"/>
    </row>
    <row r="2695" spans="1:1" x14ac:dyDescent="0.25">
      <c r="A2695" s="522"/>
    </row>
    <row r="2696" spans="1:1" x14ac:dyDescent="0.25">
      <c r="A2696" s="522"/>
    </row>
    <row r="2697" spans="1:1" x14ac:dyDescent="0.25">
      <c r="A2697" s="522"/>
    </row>
    <row r="2698" spans="1:1" x14ac:dyDescent="0.25">
      <c r="A2698" s="522"/>
    </row>
    <row r="2699" spans="1:1" x14ac:dyDescent="0.25">
      <c r="A2699" s="522"/>
    </row>
    <row r="2700" spans="1:1" x14ac:dyDescent="0.25">
      <c r="A2700" s="522"/>
    </row>
    <row r="2701" spans="1:1" x14ac:dyDescent="0.25">
      <c r="A2701" s="522"/>
    </row>
    <row r="2702" spans="1:1" x14ac:dyDescent="0.25">
      <c r="A2702" s="522"/>
    </row>
    <row r="2703" spans="1:1" x14ac:dyDescent="0.25">
      <c r="A2703" s="522"/>
    </row>
    <row r="2704" spans="1:1" x14ac:dyDescent="0.25">
      <c r="A2704" s="522"/>
    </row>
    <row r="2705" spans="1:1" x14ac:dyDescent="0.25">
      <c r="A2705" s="522"/>
    </row>
    <row r="2706" spans="1:1" x14ac:dyDescent="0.25">
      <c r="A2706" s="522"/>
    </row>
    <row r="2707" spans="1:1" x14ac:dyDescent="0.25">
      <c r="A2707" s="522"/>
    </row>
    <row r="2708" spans="1:1" x14ac:dyDescent="0.25">
      <c r="A2708" s="522"/>
    </row>
    <row r="2709" spans="1:1" x14ac:dyDescent="0.25">
      <c r="A2709" s="522"/>
    </row>
    <row r="2710" spans="1:1" x14ac:dyDescent="0.25">
      <c r="A2710" s="522"/>
    </row>
    <row r="2711" spans="1:1" x14ac:dyDescent="0.25">
      <c r="A2711" s="522"/>
    </row>
    <row r="2712" spans="1:1" x14ac:dyDescent="0.25">
      <c r="A2712" s="522"/>
    </row>
    <row r="2713" spans="1:1" x14ac:dyDescent="0.25">
      <c r="A2713" s="522"/>
    </row>
    <row r="2714" spans="1:1" x14ac:dyDescent="0.25">
      <c r="A2714" s="522"/>
    </row>
    <row r="2715" spans="1:1" x14ac:dyDescent="0.25">
      <c r="A2715" s="522"/>
    </row>
    <row r="2716" spans="1:1" x14ac:dyDescent="0.25">
      <c r="A2716" s="522"/>
    </row>
    <row r="2717" spans="1:1" x14ac:dyDescent="0.25">
      <c r="A2717" s="522"/>
    </row>
    <row r="2718" spans="1:1" x14ac:dyDescent="0.25">
      <c r="A2718" s="522"/>
    </row>
    <row r="2719" spans="1:1" x14ac:dyDescent="0.25">
      <c r="A2719" s="522"/>
    </row>
    <row r="2720" spans="1:1" x14ac:dyDescent="0.25">
      <c r="A2720" s="522"/>
    </row>
    <row r="2721" spans="1:1" x14ac:dyDescent="0.25">
      <c r="A2721" s="522"/>
    </row>
    <row r="2722" spans="1:1" x14ac:dyDescent="0.25">
      <c r="A2722" s="522"/>
    </row>
    <row r="2723" spans="1:1" x14ac:dyDescent="0.25">
      <c r="A2723" s="522"/>
    </row>
    <row r="2724" spans="1:1" x14ac:dyDescent="0.25">
      <c r="A2724" s="522"/>
    </row>
    <row r="2725" spans="1:1" x14ac:dyDescent="0.25">
      <c r="A2725" s="522"/>
    </row>
    <row r="2726" spans="1:1" x14ac:dyDescent="0.25">
      <c r="A2726" s="522"/>
    </row>
    <row r="2727" spans="1:1" x14ac:dyDescent="0.25">
      <c r="A2727" s="522"/>
    </row>
    <row r="2728" spans="1:1" x14ac:dyDescent="0.25">
      <c r="A2728" s="522"/>
    </row>
    <row r="2729" spans="1:1" x14ac:dyDescent="0.25">
      <c r="A2729" s="522"/>
    </row>
    <row r="2730" spans="1:1" x14ac:dyDescent="0.25">
      <c r="A2730" s="522"/>
    </row>
    <row r="2731" spans="1:1" x14ac:dyDescent="0.25">
      <c r="A2731" s="522"/>
    </row>
    <row r="2732" spans="1:1" x14ac:dyDescent="0.25">
      <c r="A2732" s="522"/>
    </row>
    <row r="2733" spans="1:1" x14ac:dyDescent="0.25">
      <c r="A2733" s="522"/>
    </row>
    <row r="2734" spans="1:1" x14ac:dyDescent="0.25">
      <c r="A2734" s="522"/>
    </row>
    <row r="2735" spans="1:1" x14ac:dyDescent="0.25">
      <c r="A2735" s="522"/>
    </row>
    <row r="2736" spans="1:1" x14ac:dyDescent="0.25">
      <c r="A2736" s="522"/>
    </row>
    <row r="2737" spans="1:1" x14ac:dyDescent="0.25">
      <c r="A2737" s="522"/>
    </row>
    <row r="2738" spans="1:1" x14ac:dyDescent="0.25">
      <c r="A2738" s="522"/>
    </row>
    <row r="2739" spans="1:1" x14ac:dyDescent="0.25">
      <c r="A2739" s="522"/>
    </row>
    <row r="2740" spans="1:1" x14ac:dyDescent="0.25">
      <c r="A2740" s="522"/>
    </row>
    <row r="2741" spans="1:1" x14ac:dyDescent="0.25">
      <c r="A2741" s="522"/>
    </row>
    <row r="2742" spans="1:1" x14ac:dyDescent="0.25">
      <c r="A2742" s="522"/>
    </row>
    <row r="2743" spans="1:1" x14ac:dyDescent="0.25">
      <c r="A2743" s="522"/>
    </row>
    <row r="2744" spans="1:1" x14ac:dyDescent="0.25">
      <c r="A2744" s="522"/>
    </row>
    <row r="2745" spans="1:1" x14ac:dyDescent="0.25">
      <c r="A2745" s="522"/>
    </row>
    <row r="2746" spans="1:1" x14ac:dyDescent="0.25">
      <c r="A2746" s="522"/>
    </row>
    <row r="2747" spans="1:1" x14ac:dyDescent="0.25">
      <c r="A2747" s="522"/>
    </row>
    <row r="2748" spans="1:1" x14ac:dyDescent="0.25">
      <c r="A2748" s="522"/>
    </row>
    <row r="2749" spans="1:1" x14ac:dyDescent="0.25">
      <c r="A2749" s="522"/>
    </row>
    <row r="2750" spans="1:1" x14ac:dyDescent="0.25">
      <c r="A2750" s="522"/>
    </row>
    <row r="2751" spans="1:1" x14ac:dyDescent="0.25">
      <c r="A2751" s="522"/>
    </row>
    <row r="2752" spans="1:1" x14ac:dyDescent="0.25">
      <c r="A2752" s="522"/>
    </row>
    <row r="2753" spans="1:1" x14ac:dyDescent="0.25">
      <c r="A2753" s="522"/>
    </row>
    <row r="2754" spans="1:1" x14ac:dyDescent="0.25">
      <c r="A2754" s="522"/>
    </row>
    <row r="2755" spans="1:1" x14ac:dyDescent="0.25">
      <c r="A2755" s="522"/>
    </row>
    <row r="2756" spans="1:1" x14ac:dyDescent="0.25">
      <c r="A2756" s="522"/>
    </row>
    <row r="2757" spans="1:1" x14ac:dyDescent="0.25">
      <c r="A2757" s="522"/>
    </row>
    <row r="2758" spans="1:1" x14ac:dyDescent="0.25">
      <c r="A2758" s="522"/>
    </row>
    <row r="2759" spans="1:1" x14ac:dyDescent="0.25">
      <c r="A2759" s="522"/>
    </row>
    <row r="2760" spans="1:1" x14ac:dyDescent="0.25">
      <c r="A2760" s="522"/>
    </row>
    <row r="2761" spans="1:1" x14ac:dyDescent="0.25">
      <c r="A2761" s="522"/>
    </row>
    <row r="2762" spans="1:1" x14ac:dyDescent="0.25">
      <c r="A2762" s="522"/>
    </row>
    <row r="2763" spans="1:1" x14ac:dyDescent="0.25">
      <c r="A2763" s="522"/>
    </row>
    <row r="2764" spans="1:1" x14ac:dyDescent="0.25">
      <c r="A2764" s="522"/>
    </row>
    <row r="2765" spans="1:1" x14ac:dyDescent="0.25">
      <c r="A2765" s="522"/>
    </row>
    <row r="2766" spans="1:1" x14ac:dyDescent="0.25">
      <c r="A2766" s="522"/>
    </row>
    <row r="2767" spans="1:1" x14ac:dyDescent="0.25">
      <c r="A2767" s="522"/>
    </row>
    <row r="2768" spans="1:1" x14ac:dyDescent="0.25">
      <c r="A2768" s="522"/>
    </row>
    <row r="2769" spans="1:1" x14ac:dyDescent="0.25">
      <c r="A2769" s="522"/>
    </row>
    <row r="2770" spans="1:1" x14ac:dyDescent="0.25">
      <c r="A2770" s="522"/>
    </row>
    <row r="2771" spans="1:1" x14ac:dyDescent="0.25">
      <c r="A2771" s="522"/>
    </row>
    <row r="2772" spans="1:1" x14ac:dyDescent="0.25">
      <c r="A2772" s="522"/>
    </row>
    <row r="2773" spans="1:1" x14ac:dyDescent="0.25">
      <c r="A2773" s="522"/>
    </row>
    <row r="2774" spans="1:1" x14ac:dyDescent="0.25">
      <c r="A2774" s="522"/>
    </row>
    <row r="2775" spans="1:1" x14ac:dyDescent="0.25">
      <c r="A2775" s="522"/>
    </row>
    <row r="2776" spans="1:1" x14ac:dyDescent="0.25">
      <c r="A2776" s="522"/>
    </row>
    <row r="2777" spans="1:1" x14ac:dyDescent="0.25">
      <c r="A2777" s="522"/>
    </row>
    <row r="2778" spans="1:1" x14ac:dyDescent="0.25">
      <c r="A2778" s="522"/>
    </row>
    <row r="2779" spans="1:1" x14ac:dyDescent="0.25">
      <c r="A2779" s="522"/>
    </row>
    <row r="2780" spans="1:1" x14ac:dyDescent="0.25">
      <c r="A2780" s="522"/>
    </row>
    <row r="2781" spans="1:1" x14ac:dyDescent="0.25">
      <c r="A2781" s="522"/>
    </row>
    <row r="2782" spans="1:1" x14ac:dyDescent="0.25">
      <c r="A2782" s="522"/>
    </row>
    <row r="2783" spans="1:1" x14ac:dyDescent="0.25">
      <c r="A2783" s="522"/>
    </row>
    <row r="2784" spans="1:1" x14ac:dyDescent="0.25">
      <c r="A2784" s="522"/>
    </row>
    <row r="2785" spans="1:1" x14ac:dyDescent="0.25">
      <c r="A2785" s="522"/>
    </row>
    <row r="2786" spans="1:1" x14ac:dyDescent="0.25">
      <c r="A2786" s="522"/>
    </row>
    <row r="2787" spans="1:1" x14ac:dyDescent="0.25">
      <c r="A2787" s="522"/>
    </row>
    <row r="2788" spans="1:1" x14ac:dyDescent="0.25">
      <c r="A2788" s="522"/>
    </row>
    <row r="2789" spans="1:1" x14ac:dyDescent="0.25">
      <c r="A2789" s="522"/>
    </row>
    <row r="2790" spans="1:1" x14ac:dyDescent="0.25">
      <c r="A2790" s="522"/>
    </row>
    <row r="2791" spans="1:1" x14ac:dyDescent="0.25">
      <c r="A2791" s="522"/>
    </row>
    <row r="2792" spans="1:1" x14ac:dyDescent="0.25">
      <c r="A2792" s="522"/>
    </row>
    <row r="2793" spans="1:1" x14ac:dyDescent="0.25">
      <c r="A2793" s="522"/>
    </row>
    <row r="2794" spans="1:1" x14ac:dyDescent="0.25">
      <c r="A2794" s="522"/>
    </row>
    <row r="2795" spans="1:1" x14ac:dyDescent="0.25">
      <c r="A2795" s="522"/>
    </row>
    <row r="2796" spans="1:1" x14ac:dyDescent="0.25">
      <c r="A2796" s="522"/>
    </row>
    <row r="2797" spans="1:1" x14ac:dyDescent="0.25">
      <c r="A2797" s="522"/>
    </row>
    <row r="2798" spans="1:1" x14ac:dyDescent="0.25">
      <c r="A2798" s="522"/>
    </row>
    <row r="2799" spans="1:1" x14ac:dyDescent="0.25">
      <c r="A2799" s="522"/>
    </row>
    <row r="2800" spans="1:1" x14ac:dyDescent="0.25">
      <c r="A2800" s="522"/>
    </row>
    <row r="2801" spans="1:1" x14ac:dyDescent="0.25">
      <c r="A2801" s="522"/>
    </row>
    <row r="2802" spans="1:1" x14ac:dyDescent="0.25">
      <c r="A2802" s="522"/>
    </row>
    <row r="2803" spans="1:1" x14ac:dyDescent="0.25">
      <c r="A2803" s="522"/>
    </row>
    <row r="2804" spans="1:1" x14ac:dyDescent="0.25">
      <c r="A2804" s="522"/>
    </row>
    <row r="2805" spans="1:1" x14ac:dyDescent="0.25">
      <c r="A2805" s="522"/>
    </row>
    <row r="2806" spans="1:1" x14ac:dyDescent="0.25">
      <c r="A2806" s="522"/>
    </row>
    <row r="2807" spans="1:1" x14ac:dyDescent="0.25">
      <c r="A2807" s="522"/>
    </row>
    <row r="2808" spans="1:1" x14ac:dyDescent="0.25">
      <c r="A2808" s="522"/>
    </row>
    <row r="2809" spans="1:1" x14ac:dyDescent="0.25">
      <c r="A2809" s="522"/>
    </row>
    <row r="2810" spans="1:1" x14ac:dyDescent="0.25">
      <c r="A2810" s="522"/>
    </row>
    <row r="2811" spans="1:1" x14ac:dyDescent="0.25">
      <c r="A2811" s="522"/>
    </row>
    <row r="2812" spans="1:1" x14ac:dyDescent="0.25">
      <c r="A2812" s="522"/>
    </row>
    <row r="2813" spans="1:1" x14ac:dyDescent="0.25">
      <c r="A2813" s="522"/>
    </row>
    <row r="2814" spans="1:1" x14ac:dyDescent="0.25">
      <c r="A2814" s="522"/>
    </row>
    <row r="2815" spans="1:1" x14ac:dyDescent="0.25">
      <c r="A2815" s="522"/>
    </row>
    <row r="2816" spans="1:1" x14ac:dyDescent="0.25">
      <c r="A2816" s="522"/>
    </row>
    <row r="2817" spans="1:1" x14ac:dyDescent="0.25">
      <c r="A2817" s="522"/>
    </row>
    <row r="2818" spans="1:1" x14ac:dyDescent="0.25">
      <c r="A2818" s="522"/>
    </row>
    <row r="2819" spans="1:1" x14ac:dyDescent="0.25">
      <c r="A2819" s="522"/>
    </row>
    <row r="2820" spans="1:1" x14ac:dyDescent="0.25">
      <c r="A2820" s="522"/>
    </row>
    <row r="2821" spans="1:1" x14ac:dyDescent="0.25">
      <c r="A2821" s="522"/>
    </row>
    <row r="2822" spans="1:1" x14ac:dyDescent="0.25">
      <c r="A2822" s="522"/>
    </row>
    <row r="2823" spans="1:1" x14ac:dyDescent="0.25">
      <c r="A2823" s="522"/>
    </row>
    <row r="2824" spans="1:1" x14ac:dyDescent="0.25">
      <c r="A2824" s="522"/>
    </row>
    <row r="2825" spans="1:1" x14ac:dyDescent="0.25">
      <c r="A2825" s="522"/>
    </row>
    <row r="2826" spans="1:1" x14ac:dyDescent="0.25">
      <c r="A2826" s="522"/>
    </row>
    <row r="2827" spans="1:1" x14ac:dyDescent="0.25">
      <c r="A2827" s="522"/>
    </row>
    <row r="2828" spans="1:1" x14ac:dyDescent="0.25">
      <c r="A2828" s="522"/>
    </row>
    <row r="2829" spans="1:1" x14ac:dyDescent="0.25">
      <c r="A2829" s="522"/>
    </row>
    <row r="2830" spans="1:1" x14ac:dyDescent="0.25">
      <c r="A2830" s="522"/>
    </row>
    <row r="2831" spans="1:1" x14ac:dyDescent="0.25">
      <c r="A2831" s="522"/>
    </row>
    <row r="2832" spans="1:1" x14ac:dyDescent="0.25">
      <c r="A2832" s="522"/>
    </row>
    <row r="2833" spans="1:1" x14ac:dyDescent="0.25">
      <c r="A2833" s="522"/>
    </row>
    <row r="2834" spans="1:1" x14ac:dyDescent="0.25">
      <c r="A2834" s="522"/>
    </row>
    <row r="2835" spans="1:1" x14ac:dyDescent="0.25">
      <c r="A2835" s="522"/>
    </row>
    <row r="2836" spans="1:1" x14ac:dyDescent="0.25">
      <c r="A2836" s="522"/>
    </row>
    <row r="2837" spans="1:1" x14ac:dyDescent="0.25">
      <c r="A2837" s="522"/>
    </row>
    <row r="2838" spans="1:1" x14ac:dyDescent="0.25">
      <c r="A2838" s="522"/>
    </row>
    <row r="2839" spans="1:1" x14ac:dyDescent="0.25">
      <c r="A2839" s="522"/>
    </row>
    <row r="2840" spans="1:1" x14ac:dyDescent="0.25">
      <c r="A2840" s="522"/>
    </row>
    <row r="2841" spans="1:1" x14ac:dyDescent="0.25">
      <c r="A2841" s="522"/>
    </row>
    <row r="2842" spans="1:1" x14ac:dyDescent="0.25">
      <c r="A2842" s="522"/>
    </row>
    <row r="2843" spans="1:1" x14ac:dyDescent="0.25">
      <c r="A2843" s="522"/>
    </row>
    <row r="2844" spans="1:1" x14ac:dyDescent="0.25">
      <c r="A2844" s="522"/>
    </row>
    <row r="2845" spans="1:1" x14ac:dyDescent="0.25">
      <c r="A2845" s="522"/>
    </row>
    <row r="2846" spans="1:1" x14ac:dyDescent="0.25">
      <c r="A2846" s="522"/>
    </row>
    <row r="2847" spans="1:1" x14ac:dyDescent="0.25">
      <c r="A2847" s="522"/>
    </row>
    <row r="2848" spans="1:1" x14ac:dyDescent="0.25">
      <c r="A2848" s="522"/>
    </row>
    <row r="2849" spans="1:1" x14ac:dyDescent="0.25">
      <c r="A2849" s="522"/>
    </row>
    <row r="2850" spans="1:1" x14ac:dyDescent="0.25">
      <c r="A2850" s="522"/>
    </row>
    <row r="2851" spans="1:1" x14ac:dyDescent="0.25">
      <c r="A2851" s="522"/>
    </row>
    <row r="2852" spans="1:1" x14ac:dyDescent="0.25">
      <c r="A2852" s="522"/>
    </row>
    <row r="2853" spans="1:1" x14ac:dyDescent="0.25">
      <c r="A2853" s="522"/>
    </row>
    <row r="2854" spans="1:1" x14ac:dyDescent="0.25">
      <c r="A2854" s="522"/>
    </row>
    <row r="2855" spans="1:1" x14ac:dyDescent="0.25">
      <c r="A2855" s="522"/>
    </row>
    <row r="2856" spans="1:1" x14ac:dyDescent="0.25">
      <c r="A2856" s="522"/>
    </row>
    <row r="2857" spans="1:1" x14ac:dyDescent="0.25">
      <c r="A2857" s="522"/>
    </row>
    <row r="2858" spans="1:1" x14ac:dyDescent="0.25">
      <c r="A2858" s="522"/>
    </row>
    <row r="2859" spans="1:1" x14ac:dyDescent="0.25">
      <c r="A2859" s="522"/>
    </row>
    <row r="2860" spans="1:1" x14ac:dyDescent="0.25">
      <c r="A2860" s="522"/>
    </row>
    <row r="2861" spans="1:1" x14ac:dyDescent="0.25">
      <c r="A2861" s="522"/>
    </row>
    <row r="2862" spans="1:1" x14ac:dyDescent="0.25">
      <c r="A2862" s="522"/>
    </row>
    <row r="2863" spans="1:1" x14ac:dyDescent="0.25">
      <c r="A2863" s="522"/>
    </row>
    <row r="2864" spans="1:1" x14ac:dyDescent="0.25">
      <c r="A2864" s="522"/>
    </row>
    <row r="2865" spans="1:1" x14ac:dyDescent="0.25">
      <c r="A2865" s="522"/>
    </row>
    <row r="2866" spans="1:1" x14ac:dyDescent="0.25">
      <c r="A2866" s="522"/>
    </row>
    <row r="2867" spans="1:1" x14ac:dyDescent="0.25">
      <c r="A2867" s="522"/>
    </row>
    <row r="2868" spans="1:1" x14ac:dyDescent="0.25">
      <c r="A2868" s="522"/>
    </row>
    <row r="2869" spans="1:1" x14ac:dyDescent="0.25">
      <c r="A2869" s="522"/>
    </row>
    <row r="2870" spans="1:1" x14ac:dyDescent="0.25">
      <c r="A2870" s="522"/>
    </row>
    <row r="2871" spans="1:1" x14ac:dyDescent="0.25">
      <c r="A2871" s="522"/>
    </row>
    <row r="2872" spans="1:1" x14ac:dyDescent="0.25">
      <c r="A2872" s="522"/>
    </row>
    <row r="2873" spans="1:1" x14ac:dyDescent="0.25">
      <c r="A2873" s="522"/>
    </row>
    <row r="2874" spans="1:1" x14ac:dyDescent="0.25">
      <c r="A2874" s="522"/>
    </row>
    <row r="2875" spans="1:1" x14ac:dyDescent="0.25">
      <c r="A2875" s="522"/>
    </row>
    <row r="2876" spans="1:1" x14ac:dyDescent="0.25">
      <c r="A2876" s="522"/>
    </row>
    <row r="2877" spans="1:1" x14ac:dyDescent="0.25">
      <c r="A2877" s="522"/>
    </row>
    <row r="2878" spans="1:1" x14ac:dyDescent="0.25">
      <c r="A2878" s="522"/>
    </row>
    <row r="2879" spans="1:1" x14ac:dyDescent="0.25">
      <c r="A2879" s="522"/>
    </row>
    <row r="2880" spans="1:1" x14ac:dyDescent="0.25">
      <c r="A2880" s="522"/>
    </row>
    <row r="2881" spans="1:1" x14ac:dyDescent="0.25">
      <c r="A2881" s="522"/>
    </row>
    <row r="2882" spans="1:1" x14ac:dyDescent="0.25">
      <c r="A2882" s="522"/>
    </row>
    <row r="2883" spans="1:1" x14ac:dyDescent="0.25">
      <c r="A2883" s="522"/>
    </row>
    <row r="2884" spans="1:1" x14ac:dyDescent="0.25">
      <c r="A2884" s="522"/>
    </row>
    <row r="2885" spans="1:1" x14ac:dyDescent="0.25">
      <c r="A2885" s="522"/>
    </row>
    <row r="2886" spans="1:1" x14ac:dyDescent="0.25">
      <c r="A2886" s="522"/>
    </row>
    <row r="2887" spans="1:1" x14ac:dyDescent="0.25">
      <c r="A2887" s="522"/>
    </row>
    <row r="2888" spans="1:1" x14ac:dyDescent="0.25">
      <c r="A2888" s="522"/>
    </row>
    <row r="2889" spans="1:1" x14ac:dyDescent="0.25">
      <c r="A2889" s="522"/>
    </row>
    <row r="2890" spans="1:1" x14ac:dyDescent="0.25">
      <c r="A2890" s="522"/>
    </row>
    <row r="2891" spans="1:1" x14ac:dyDescent="0.25">
      <c r="A2891" s="522"/>
    </row>
    <row r="2892" spans="1:1" x14ac:dyDescent="0.25">
      <c r="A2892" s="522"/>
    </row>
    <row r="2893" spans="1:1" x14ac:dyDescent="0.25">
      <c r="A2893" s="522"/>
    </row>
    <row r="2894" spans="1:1" x14ac:dyDescent="0.25">
      <c r="A2894" s="522"/>
    </row>
    <row r="2895" spans="1:1" x14ac:dyDescent="0.25">
      <c r="A2895" s="522"/>
    </row>
    <row r="2896" spans="1:1" x14ac:dyDescent="0.25">
      <c r="A2896" s="522"/>
    </row>
    <row r="2897" spans="1:1" x14ac:dyDescent="0.25">
      <c r="A2897" s="522"/>
    </row>
    <row r="2898" spans="1:1" x14ac:dyDescent="0.25">
      <c r="A2898" s="522"/>
    </row>
    <row r="2899" spans="1:1" x14ac:dyDescent="0.25">
      <c r="A2899" s="522"/>
    </row>
    <row r="2900" spans="1:1" x14ac:dyDescent="0.25">
      <c r="A2900" s="522"/>
    </row>
    <row r="2901" spans="1:1" x14ac:dyDescent="0.25">
      <c r="A2901" s="522"/>
    </row>
    <row r="2902" spans="1:1" x14ac:dyDescent="0.25">
      <c r="A2902" s="522"/>
    </row>
    <row r="2903" spans="1:1" x14ac:dyDescent="0.25">
      <c r="A2903" s="522"/>
    </row>
    <row r="2904" spans="1:1" x14ac:dyDescent="0.25">
      <c r="A2904" s="522"/>
    </row>
    <row r="2905" spans="1:1" x14ac:dyDescent="0.25">
      <c r="A2905" s="522"/>
    </row>
    <row r="2906" spans="1:1" x14ac:dyDescent="0.25">
      <c r="A2906" s="522"/>
    </row>
    <row r="2907" spans="1:1" x14ac:dyDescent="0.25">
      <c r="A2907" s="522"/>
    </row>
    <row r="2908" spans="1:1" x14ac:dyDescent="0.25">
      <c r="A2908" s="522"/>
    </row>
    <row r="2909" spans="1:1" x14ac:dyDescent="0.25">
      <c r="A2909" s="522"/>
    </row>
    <row r="2910" spans="1:1" x14ac:dyDescent="0.25">
      <c r="A2910" s="522"/>
    </row>
    <row r="2911" spans="1:1" x14ac:dyDescent="0.25">
      <c r="A2911" s="522"/>
    </row>
    <row r="2912" spans="1:1" x14ac:dyDescent="0.25">
      <c r="A2912" s="522"/>
    </row>
    <row r="2913" spans="1:1" x14ac:dyDescent="0.25">
      <c r="A2913" s="522"/>
    </row>
    <row r="2914" spans="1:1" x14ac:dyDescent="0.25">
      <c r="A2914" s="522"/>
    </row>
    <row r="2915" spans="1:1" x14ac:dyDescent="0.25">
      <c r="A2915" s="522"/>
    </row>
    <row r="2916" spans="1:1" x14ac:dyDescent="0.25">
      <c r="A2916" s="522"/>
    </row>
    <row r="2917" spans="1:1" x14ac:dyDescent="0.25">
      <c r="A2917" s="522"/>
    </row>
    <row r="2918" spans="1:1" x14ac:dyDescent="0.25">
      <c r="A2918" s="522"/>
    </row>
    <row r="2919" spans="1:1" x14ac:dyDescent="0.25">
      <c r="A2919" s="522"/>
    </row>
    <row r="2920" spans="1:1" x14ac:dyDescent="0.25">
      <c r="A2920" s="522"/>
    </row>
    <row r="2921" spans="1:1" x14ac:dyDescent="0.25">
      <c r="A2921" s="522"/>
    </row>
    <row r="2922" spans="1:1" x14ac:dyDescent="0.25">
      <c r="A2922" s="522"/>
    </row>
    <row r="2923" spans="1:1" x14ac:dyDescent="0.25">
      <c r="A2923" s="522"/>
    </row>
    <row r="2924" spans="1:1" x14ac:dyDescent="0.25">
      <c r="A2924" s="522"/>
    </row>
    <row r="2925" spans="1:1" x14ac:dyDescent="0.25">
      <c r="A2925" s="522"/>
    </row>
    <row r="2926" spans="1:1" x14ac:dyDescent="0.25">
      <c r="A2926" s="522"/>
    </row>
    <row r="2927" spans="1:1" x14ac:dyDescent="0.25">
      <c r="A2927" s="522"/>
    </row>
    <row r="2928" spans="1:1" x14ac:dyDescent="0.25">
      <c r="A2928" s="522"/>
    </row>
    <row r="2929" spans="1:1" x14ac:dyDescent="0.25">
      <c r="A2929" s="522"/>
    </row>
    <row r="2930" spans="1:1" x14ac:dyDescent="0.25">
      <c r="A2930" s="522"/>
    </row>
    <row r="2931" spans="1:1" x14ac:dyDescent="0.25">
      <c r="A2931" s="522"/>
    </row>
    <row r="2932" spans="1:1" x14ac:dyDescent="0.25">
      <c r="A2932" s="522"/>
    </row>
    <row r="2933" spans="1:1" x14ac:dyDescent="0.25">
      <c r="A2933" s="522"/>
    </row>
    <row r="2934" spans="1:1" x14ac:dyDescent="0.25">
      <c r="A2934" s="522"/>
    </row>
    <row r="2935" spans="1:1" x14ac:dyDescent="0.25">
      <c r="A2935" s="522"/>
    </row>
    <row r="2936" spans="1:1" x14ac:dyDescent="0.25">
      <c r="A2936" s="522"/>
    </row>
    <row r="2937" spans="1:1" x14ac:dyDescent="0.25">
      <c r="A2937" s="522"/>
    </row>
    <row r="2938" spans="1:1" x14ac:dyDescent="0.25">
      <c r="A2938" s="522"/>
    </row>
    <row r="2939" spans="1:1" x14ac:dyDescent="0.25">
      <c r="A2939" s="522"/>
    </row>
    <row r="2940" spans="1:1" x14ac:dyDescent="0.25">
      <c r="A2940" s="522"/>
    </row>
    <row r="2941" spans="1:1" x14ac:dyDescent="0.25">
      <c r="A2941" s="522"/>
    </row>
    <row r="2942" spans="1:1" x14ac:dyDescent="0.25">
      <c r="A2942" s="522"/>
    </row>
    <row r="2943" spans="1:1" x14ac:dyDescent="0.25">
      <c r="A2943" s="522"/>
    </row>
    <row r="2944" spans="1:1" x14ac:dyDescent="0.25">
      <c r="A2944" s="522"/>
    </row>
    <row r="2945" spans="1:1" x14ac:dyDescent="0.25">
      <c r="A2945" s="522"/>
    </row>
    <row r="2946" spans="1:1" x14ac:dyDescent="0.25">
      <c r="A2946" s="522"/>
    </row>
    <row r="2947" spans="1:1" x14ac:dyDescent="0.25">
      <c r="A2947" s="522"/>
    </row>
    <row r="2948" spans="1:1" x14ac:dyDescent="0.25">
      <c r="A2948" s="522"/>
    </row>
    <row r="2949" spans="1:1" x14ac:dyDescent="0.25">
      <c r="A2949" s="522"/>
    </row>
    <row r="2950" spans="1:1" x14ac:dyDescent="0.25">
      <c r="A2950" s="522"/>
    </row>
    <row r="2951" spans="1:1" x14ac:dyDescent="0.25">
      <c r="A2951" s="522"/>
    </row>
    <row r="2952" spans="1:1" x14ac:dyDescent="0.25">
      <c r="A2952" s="522"/>
    </row>
    <row r="2953" spans="1:1" x14ac:dyDescent="0.25">
      <c r="A2953" s="522"/>
    </row>
    <row r="2954" spans="1:1" x14ac:dyDescent="0.25">
      <c r="A2954" s="522"/>
    </row>
    <row r="2955" spans="1:1" x14ac:dyDescent="0.25">
      <c r="A2955" s="522"/>
    </row>
    <row r="2956" spans="1:1" x14ac:dyDescent="0.25">
      <c r="A2956" s="522"/>
    </row>
    <row r="2957" spans="1:1" x14ac:dyDescent="0.25">
      <c r="A2957" s="522"/>
    </row>
    <row r="2958" spans="1:1" x14ac:dyDescent="0.25">
      <c r="A2958" s="522"/>
    </row>
    <row r="2959" spans="1:1" x14ac:dyDescent="0.25">
      <c r="A2959" s="522"/>
    </row>
    <row r="2960" spans="1:1" x14ac:dyDescent="0.25">
      <c r="A2960" s="522"/>
    </row>
    <row r="2961" spans="1:1" x14ac:dyDescent="0.25">
      <c r="A2961" s="522"/>
    </row>
    <row r="2962" spans="1:1" x14ac:dyDescent="0.25">
      <c r="A2962" s="522"/>
    </row>
    <row r="2963" spans="1:1" x14ac:dyDescent="0.25">
      <c r="A2963" s="522"/>
    </row>
    <row r="2964" spans="1:1" x14ac:dyDescent="0.25">
      <c r="A2964" s="522"/>
    </row>
    <row r="2965" spans="1:1" x14ac:dyDescent="0.25">
      <c r="A2965" s="522"/>
    </row>
    <row r="2966" spans="1:1" x14ac:dyDescent="0.25">
      <c r="A2966" s="522"/>
    </row>
    <row r="2967" spans="1:1" x14ac:dyDescent="0.25">
      <c r="A2967" s="522"/>
    </row>
    <row r="2968" spans="1:1" x14ac:dyDescent="0.25">
      <c r="A2968" s="522"/>
    </row>
    <row r="2969" spans="1:1" x14ac:dyDescent="0.25">
      <c r="A2969" s="522"/>
    </row>
    <row r="2970" spans="1:1" x14ac:dyDescent="0.25">
      <c r="A2970" s="522"/>
    </row>
    <row r="2971" spans="1:1" x14ac:dyDescent="0.25">
      <c r="A2971" s="522"/>
    </row>
    <row r="2972" spans="1:1" x14ac:dyDescent="0.25">
      <c r="A2972" s="522"/>
    </row>
    <row r="2973" spans="1:1" x14ac:dyDescent="0.25">
      <c r="A2973" s="522"/>
    </row>
    <row r="2974" spans="1:1" x14ac:dyDescent="0.25">
      <c r="A2974" s="522"/>
    </row>
    <row r="2975" spans="1:1" x14ac:dyDescent="0.25">
      <c r="A2975" s="522"/>
    </row>
    <row r="2976" spans="1:1" x14ac:dyDescent="0.25">
      <c r="A2976" s="522"/>
    </row>
    <row r="2977" spans="1:1" x14ac:dyDescent="0.25">
      <c r="A2977" s="522"/>
    </row>
    <row r="2978" spans="1:1" x14ac:dyDescent="0.25">
      <c r="A2978" s="522"/>
    </row>
    <row r="2979" spans="1:1" x14ac:dyDescent="0.25">
      <c r="A2979" s="522"/>
    </row>
    <row r="2980" spans="1:1" x14ac:dyDescent="0.25">
      <c r="A2980" s="522"/>
    </row>
    <row r="2981" spans="1:1" x14ac:dyDescent="0.25">
      <c r="A2981" s="522"/>
    </row>
    <row r="2982" spans="1:1" x14ac:dyDescent="0.25">
      <c r="A2982" s="522"/>
    </row>
    <row r="2983" spans="1:1" x14ac:dyDescent="0.25">
      <c r="A2983" s="522"/>
    </row>
    <row r="2984" spans="1:1" x14ac:dyDescent="0.25">
      <c r="A2984" s="522"/>
    </row>
    <row r="2985" spans="1:1" x14ac:dyDescent="0.25">
      <c r="A2985" s="522"/>
    </row>
    <row r="2986" spans="1:1" x14ac:dyDescent="0.25">
      <c r="A2986" s="522"/>
    </row>
    <row r="2987" spans="1:1" x14ac:dyDescent="0.25">
      <c r="A2987" s="522"/>
    </row>
    <row r="2988" spans="1:1" x14ac:dyDescent="0.25">
      <c r="A2988" s="522"/>
    </row>
    <row r="2989" spans="1:1" x14ac:dyDescent="0.25">
      <c r="A2989" s="522"/>
    </row>
    <row r="2990" spans="1:1" x14ac:dyDescent="0.25">
      <c r="A2990" s="522"/>
    </row>
    <row r="2991" spans="1:1" x14ac:dyDescent="0.25">
      <c r="A2991" s="522"/>
    </row>
    <row r="2992" spans="1:1" x14ac:dyDescent="0.25">
      <c r="A2992" s="522"/>
    </row>
    <row r="2993" spans="1:1" x14ac:dyDescent="0.25">
      <c r="A2993" s="522"/>
    </row>
    <row r="2994" spans="1:1" x14ac:dyDescent="0.25">
      <c r="A2994" s="522"/>
    </row>
    <row r="2995" spans="1:1" x14ac:dyDescent="0.25">
      <c r="A2995" s="522"/>
    </row>
    <row r="2996" spans="1:1" x14ac:dyDescent="0.25">
      <c r="A2996" s="522"/>
    </row>
    <row r="2997" spans="1:1" x14ac:dyDescent="0.25">
      <c r="A2997" s="522"/>
    </row>
    <row r="2998" spans="1:1" x14ac:dyDescent="0.25">
      <c r="A2998" s="522"/>
    </row>
    <row r="2999" spans="1:1" x14ac:dyDescent="0.25">
      <c r="A2999" s="522"/>
    </row>
    <row r="3000" spans="1:1" x14ac:dyDescent="0.25">
      <c r="A3000" s="522"/>
    </row>
    <row r="3001" spans="1:1" x14ac:dyDescent="0.25">
      <c r="A3001" s="522"/>
    </row>
    <row r="3002" spans="1:1" x14ac:dyDescent="0.25">
      <c r="A3002" s="522"/>
    </row>
    <row r="3003" spans="1:1" x14ac:dyDescent="0.25">
      <c r="A3003" s="522"/>
    </row>
    <row r="3004" spans="1:1" x14ac:dyDescent="0.25">
      <c r="A3004" s="522"/>
    </row>
    <row r="3005" spans="1:1" x14ac:dyDescent="0.25">
      <c r="A3005" s="522"/>
    </row>
    <row r="3006" spans="1:1" x14ac:dyDescent="0.25">
      <c r="A3006" s="522"/>
    </row>
    <row r="3007" spans="1:1" x14ac:dyDescent="0.25">
      <c r="A3007" s="522"/>
    </row>
    <row r="3008" spans="1:1" x14ac:dyDescent="0.25">
      <c r="A3008" s="522"/>
    </row>
    <row r="3009" spans="1:1" x14ac:dyDescent="0.25">
      <c r="A3009" s="522"/>
    </row>
    <row r="3010" spans="1:1" x14ac:dyDescent="0.25">
      <c r="A3010" s="522"/>
    </row>
    <row r="3011" spans="1:1" x14ac:dyDescent="0.25">
      <c r="A3011" s="522"/>
    </row>
    <row r="3012" spans="1:1" x14ac:dyDescent="0.25">
      <c r="A3012" s="522"/>
    </row>
    <row r="3013" spans="1:1" x14ac:dyDescent="0.25">
      <c r="A3013" s="522"/>
    </row>
    <row r="3014" spans="1:1" x14ac:dyDescent="0.25">
      <c r="A3014" s="522"/>
    </row>
    <row r="3015" spans="1:1" x14ac:dyDescent="0.25">
      <c r="A3015" s="522"/>
    </row>
    <row r="3016" spans="1:1" x14ac:dyDescent="0.25">
      <c r="A3016" s="522"/>
    </row>
    <row r="3017" spans="1:1" x14ac:dyDescent="0.25">
      <c r="A3017" s="522"/>
    </row>
    <row r="3018" spans="1:1" x14ac:dyDescent="0.25">
      <c r="A3018" s="522"/>
    </row>
    <row r="3019" spans="1:1" x14ac:dyDescent="0.25">
      <c r="A3019" s="522"/>
    </row>
    <row r="3020" spans="1:1" x14ac:dyDescent="0.25">
      <c r="A3020" s="522"/>
    </row>
    <row r="3021" spans="1:1" x14ac:dyDescent="0.25">
      <c r="A3021" s="522"/>
    </row>
    <row r="3022" spans="1:1" x14ac:dyDescent="0.25">
      <c r="A3022" s="522"/>
    </row>
    <row r="3023" spans="1:1" x14ac:dyDescent="0.25">
      <c r="A3023" s="522"/>
    </row>
    <row r="3024" spans="1:1" x14ac:dyDescent="0.25">
      <c r="A3024" s="522"/>
    </row>
    <row r="3025" spans="1:1" x14ac:dyDescent="0.25">
      <c r="A3025" s="522"/>
    </row>
    <row r="3026" spans="1:1" x14ac:dyDescent="0.25">
      <c r="A3026" s="522"/>
    </row>
    <row r="3027" spans="1:1" x14ac:dyDescent="0.25">
      <c r="A3027" s="522"/>
    </row>
    <row r="3028" spans="1:1" x14ac:dyDescent="0.25">
      <c r="A3028" s="522"/>
    </row>
    <row r="3029" spans="1:1" x14ac:dyDescent="0.25">
      <c r="A3029" s="522"/>
    </row>
    <row r="3030" spans="1:1" x14ac:dyDescent="0.25">
      <c r="A3030" s="522"/>
    </row>
    <row r="3031" spans="1:1" x14ac:dyDescent="0.25">
      <c r="A3031" s="522"/>
    </row>
    <row r="3032" spans="1:1" x14ac:dyDescent="0.25">
      <c r="A3032" s="522"/>
    </row>
    <row r="3033" spans="1:1" x14ac:dyDescent="0.25">
      <c r="A3033" s="522"/>
    </row>
    <row r="3034" spans="1:1" x14ac:dyDescent="0.25">
      <c r="A3034" s="522"/>
    </row>
    <row r="3035" spans="1:1" x14ac:dyDescent="0.25">
      <c r="A3035" s="522"/>
    </row>
    <row r="3036" spans="1:1" x14ac:dyDescent="0.25">
      <c r="A3036" s="522"/>
    </row>
    <row r="3037" spans="1:1" x14ac:dyDescent="0.25">
      <c r="A3037" s="522"/>
    </row>
    <row r="3038" spans="1:1" x14ac:dyDescent="0.25">
      <c r="A3038" s="522"/>
    </row>
    <row r="3039" spans="1:1" x14ac:dyDescent="0.25">
      <c r="A3039" s="522"/>
    </row>
    <row r="3040" spans="1:1" x14ac:dyDescent="0.25">
      <c r="A3040" s="522"/>
    </row>
    <row r="3041" spans="1:1" x14ac:dyDescent="0.25">
      <c r="A3041" s="522"/>
    </row>
    <row r="3042" spans="1:1" x14ac:dyDescent="0.25">
      <c r="A3042" s="522"/>
    </row>
    <row r="3043" spans="1:1" x14ac:dyDescent="0.25">
      <c r="A3043" s="522"/>
    </row>
    <row r="3044" spans="1:1" x14ac:dyDescent="0.25">
      <c r="A3044" s="522"/>
    </row>
    <row r="3045" spans="1:1" x14ac:dyDescent="0.25">
      <c r="A3045" s="522"/>
    </row>
    <row r="3046" spans="1:1" x14ac:dyDescent="0.25">
      <c r="A3046" s="522"/>
    </row>
    <row r="3047" spans="1:1" x14ac:dyDescent="0.25">
      <c r="A3047" s="522"/>
    </row>
    <row r="3048" spans="1:1" x14ac:dyDescent="0.25">
      <c r="A3048" s="522"/>
    </row>
    <row r="3049" spans="1:1" x14ac:dyDescent="0.25">
      <c r="A3049" s="522"/>
    </row>
    <row r="3050" spans="1:1" x14ac:dyDescent="0.25">
      <c r="A3050" s="522"/>
    </row>
    <row r="3051" spans="1:1" x14ac:dyDescent="0.25">
      <c r="A3051" s="522"/>
    </row>
    <row r="3052" spans="1:1" x14ac:dyDescent="0.25">
      <c r="A3052" s="522"/>
    </row>
    <row r="3053" spans="1:1" x14ac:dyDescent="0.25">
      <c r="A3053" s="522"/>
    </row>
    <row r="3054" spans="1:1" x14ac:dyDescent="0.25">
      <c r="A3054" s="522"/>
    </row>
    <row r="3055" spans="1:1" x14ac:dyDescent="0.25">
      <c r="A3055" s="522"/>
    </row>
    <row r="3056" spans="1:1" x14ac:dyDescent="0.25">
      <c r="A3056" s="522"/>
    </row>
    <row r="3057" spans="1:1" x14ac:dyDescent="0.25">
      <c r="A3057" s="522"/>
    </row>
    <row r="3058" spans="1:1" x14ac:dyDescent="0.25">
      <c r="A3058" s="522"/>
    </row>
    <row r="3059" spans="1:1" x14ac:dyDescent="0.25">
      <c r="A3059" s="522"/>
    </row>
    <row r="3060" spans="1:1" x14ac:dyDescent="0.25">
      <c r="A3060" s="522"/>
    </row>
    <row r="3061" spans="1:1" x14ac:dyDescent="0.25">
      <c r="A3061" s="522"/>
    </row>
    <row r="3062" spans="1:1" x14ac:dyDescent="0.25">
      <c r="A3062" s="522"/>
    </row>
    <row r="3063" spans="1:1" x14ac:dyDescent="0.25">
      <c r="A3063" s="522"/>
    </row>
    <row r="3064" spans="1:1" x14ac:dyDescent="0.25">
      <c r="A3064" s="522"/>
    </row>
    <row r="3065" spans="1:1" x14ac:dyDescent="0.25">
      <c r="A3065" s="522"/>
    </row>
    <row r="3066" spans="1:1" x14ac:dyDescent="0.25">
      <c r="A3066" s="522"/>
    </row>
    <row r="3067" spans="1:1" x14ac:dyDescent="0.25">
      <c r="A3067" s="522"/>
    </row>
    <row r="3068" spans="1:1" x14ac:dyDescent="0.25">
      <c r="A3068" s="522"/>
    </row>
    <row r="3069" spans="1:1" x14ac:dyDescent="0.25">
      <c r="A3069" s="522"/>
    </row>
    <row r="3070" spans="1:1" x14ac:dyDescent="0.25">
      <c r="A3070" s="522"/>
    </row>
    <row r="3071" spans="1:1" x14ac:dyDescent="0.25">
      <c r="A3071" s="522"/>
    </row>
    <row r="3072" spans="1:1" x14ac:dyDescent="0.25">
      <c r="A3072" s="522"/>
    </row>
    <row r="3073" spans="1:1" x14ac:dyDescent="0.25">
      <c r="A3073" s="522"/>
    </row>
    <row r="3074" spans="1:1" x14ac:dyDescent="0.25">
      <c r="A3074" s="522"/>
    </row>
    <row r="3075" spans="1:1" x14ac:dyDescent="0.25">
      <c r="A3075" s="522"/>
    </row>
    <row r="3076" spans="1:1" x14ac:dyDescent="0.25">
      <c r="A3076" s="522"/>
    </row>
    <row r="3077" spans="1:1" x14ac:dyDescent="0.25">
      <c r="A3077" s="522"/>
    </row>
    <row r="3078" spans="1:1" x14ac:dyDescent="0.25">
      <c r="A3078" s="522"/>
    </row>
    <row r="3079" spans="1:1" x14ac:dyDescent="0.25">
      <c r="A3079" s="522"/>
    </row>
    <row r="3080" spans="1:1" x14ac:dyDescent="0.25">
      <c r="A3080" s="522"/>
    </row>
    <row r="3081" spans="1:1" x14ac:dyDescent="0.25">
      <c r="A3081" s="522"/>
    </row>
    <row r="3082" spans="1:1" x14ac:dyDescent="0.25">
      <c r="A3082" s="522"/>
    </row>
    <row r="3083" spans="1:1" x14ac:dyDescent="0.25">
      <c r="A3083" s="522"/>
    </row>
    <row r="3084" spans="1:1" x14ac:dyDescent="0.25">
      <c r="A3084" s="522"/>
    </row>
    <row r="3085" spans="1:1" x14ac:dyDescent="0.25">
      <c r="A3085" s="522"/>
    </row>
    <row r="3086" spans="1:1" x14ac:dyDescent="0.25">
      <c r="A3086" s="522"/>
    </row>
    <row r="3087" spans="1:1" x14ac:dyDescent="0.25">
      <c r="A3087" s="522"/>
    </row>
    <row r="3088" spans="1:1" x14ac:dyDescent="0.25">
      <c r="A3088" s="522"/>
    </row>
    <row r="3089" spans="1:1" x14ac:dyDescent="0.25">
      <c r="A3089" s="522"/>
    </row>
    <row r="3090" spans="1:1" x14ac:dyDescent="0.25">
      <c r="A3090" s="522"/>
    </row>
    <row r="3091" spans="1:1" x14ac:dyDescent="0.25">
      <c r="A3091" s="522"/>
    </row>
    <row r="3092" spans="1:1" x14ac:dyDescent="0.25">
      <c r="A3092" s="522"/>
    </row>
    <row r="3093" spans="1:1" x14ac:dyDescent="0.25">
      <c r="A3093" s="522"/>
    </row>
    <row r="3094" spans="1:1" x14ac:dyDescent="0.25">
      <c r="A3094" s="522"/>
    </row>
    <row r="3095" spans="1:1" x14ac:dyDescent="0.25">
      <c r="A3095" s="522"/>
    </row>
    <row r="3096" spans="1:1" x14ac:dyDescent="0.25">
      <c r="A3096" s="522"/>
    </row>
    <row r="3097" spans="1:1" x14ac:dyDescent="0.25">
      <c r="A3097" s="522"/>
    </row>
    <row r="3098" spans="1:1" x14ac:dyDescent="0.25">
      <c r="A3098" s="522"/>
    </row>
    <row r="3099" spans="1:1" x14ac:dyDescent="0.25">
      <c r="A3099" s="522"/>
    </row>
    <row r="3100" spans="1:1" x14ac:dyDescent="0.25">
      <c r="A3100" s="522"/>
    </row>
    <row r="3101" spans="1:1" x14ac:dyDescent="0.25">
      <c r="A3101" s="522"/>
    </row>
    <row r="3102" spans="1:1" x14ac:dyDescent="0.25">
      <c r="A3102" s="522"/>
    </row>
    <row r="3103" spans="1:1" x14ac:dyDescent="0.25">
      <c r="A3103" s="522"/>
    </row>
    <row r="3104" spans="1:1" x14ac:dyDescent="0.25">
      <c r="A3104" s="522"/>
    </row>
    <row r="3105" spans="1:1" x14ac:dyDescent="0.25">
      <c r="A3105" s="522"/>
    </row>
    <row r="3106" spans="1:1" x14ac:dyDescent="0.25">
      <c r="A3106" s="522"/>
    </row>
    <row r="3107" spans="1:1" x14ac:dyDescent="0.25">
      <c r="A3107" s="522"/>
    </row>
    <row r="3108" spans="1:1" x14ac:dyDescent="0.25">
      <c r="A3108" s="522"/>
    </row>
    <row r="3109" spans="1:1" x14ac:dyDescent="0.25">
      <c r="A3109" s="522"/>
    </row>
    <row r="3110" spans="1:1" x14ac:dyDescent="0.25">
      <c r="A3110" s="522"/>
    </row>
    <row r="3111" spans="1:1" x14ac:dyDescent="0.25">
      <c r="A3111" s="522"/>
    </row>
    <row r="3112" spans="1:1" x14ac:dyDescent="0.25">
      <c r="A3112" s="522"/>
    </row>
    <row r="3113" spans="1:1" x14ac:dyDescent="0.25">
      <c r="A3113" s="522"/>
    </row>
    <row r="3114" spans="1:1" x14ac:dyDescent="0.25">
      <c r="A3114" s="522"/>
    </row>
    <row r="3115" spans="1:1" x14ac:dyDescent="0.25">
      <c r="A3115" s="522"/>
    </row>
    <row r="3116" spans="1:1" x14ac:dyDescent="0.25">
      <c r="A3116" s="522"/>
    </row>
    <row r="3117" spans="1:1" x14ac:dyDescent="0.25">
      <c r="A3117" s="522"/>
    </row>
    <row r="3118" spans="1:1" x14ac:dyDescent="0.25">
      <c r="A3118" s="522"/>
    </row>
    <row r="3119" spans="1:1" x14ac:dyDescent="0.25">
      <c r="A3119" s="522"/>
    </row>
    <row r="3120" spans="1:1" x14ac:dyDescent="0.25">
      <c r="A3120" s="522"/>
    </row>
    <row r="3121" spans="1:1" x14ac:dyDescent="0.25">
      <c r="A3121" s="522"/>
    </row>
    <row r="3122" spans="1:1" x14ac:dyDescent="0.25">
      <c r="A3122" s="522"/>
    </row>
    <row r="3123" spans="1:1" x14ac:dyDescent="0.25">
      <c r="A3123" s="522"/>
    </row>
    <row r="3124" spans="1:1" x14ac:dyDescent="0.25">
      <c r="A3124" s="522"/>
    </row>
    <row r="3125" spans="1:1" x14ac:dyDescent="0.25">
      <c r="A3125" s="522"/>
    </row>
    <row r="3126" spans="1:1" x14ac:dyDescent="0.25">
      <c r="A3126" s="522"/>
    </row>
    <row r="3127" spans="1:1" x14ac:dyDescent="0.25">
      <c r="A3127" s="522"/>
    </row>
    <row r="3128" spans="1:1" x14ac:dyDescent="0.25">
      <c r="A3128" s="522"/>
    </row>
    <row r="3129" spans="1:1" x14ac:dyDescent="0.25">
      <c r="A3129" s="522"/>
    </row>
    <row r="3130" spans="1:1" x14ac:dyDescent="0.25">
      <c r="A3130" s="522"/>
    </row>
    <row r="3131" spans="1:1" x14ac:dyDescent="0.25">
      <c r="A3131" s="522"/>
    </row>
    <row r="3132" spans="1:1" x14ac:dyDescent="0.25">
      <c r="A3132" s="522"/>
    </row>
    <row r="3133" spans="1:1" x14ac:dyDescent="0.25">
      <c r="A3133" s="522"/>
    </row>
    <row r="3134" spans="1:1" x14ac:dyDescent="0.25">
      <c r="A3134" s="522"/>
    </row>
    <row r="3135" spans="1:1" x14ac:dyDescent="0.25">
      <c r="A3135" s="522"/>
    </row>
    <row r="3136" spans="1:1" x14ac:dyDescent="0.25">
      <c r="A3136" s="522"/>
    </row>
    <row r="3137" spans="1:1" x14ac:dyDescent="0.25">
      <c r="A3137" s="522"/>
    </row>
    <row r="3138" spans="1:1" x14ac:dyDescent="0.25">
      <c r="A3138" s="522"/>
    </row>
    <row r="3139" spans="1:1" x14ac:dyDescent="0.25">
      <c r="A3139" s="522"/>
    </row>
    <row r="3140" spans="1:1" x14ac:dyDescent="0.25">
      <c r="A3140" s="522"/>
    </row>
    <row r="3141" spans="1:1" x14ac:dyDescent="0.25">
      <c r="A3141" s="522"/>
    </row>
    <row r="3142" spans="1:1" x14ac:dyDescent="0.25">
      <c r="A3142" s="522"/>
    </row>
    <row r="3143" spans="1:1" x14ac:dyDescent="0.25">
      <c r="A3143" s="522"/>
    </row>
    <row r="3144" spans="1:1" x14ac:dyDescent="0.25">
      <c r="A3144" s="522"/>
    </row>
    <row r="3145" spans="1:1" x14ac:dyDescent="0.25">
      <c r="A3145" s="522"/>
    </row>
    <row r="3146" spans="1:1" x14ac:dyDescent="0.25">
      <c r="A3146" s="522"/>
    </row>
    <row r="3147" spans="1:1" x14ac:dyDescent="0.25">
      <c r="A3147" s="522"/>
    </row>
    <row r="3148" spans="1:1" x14ac:dyDescent="0.25">
      <c r="A3148" s="522"/>
    </row>
    <row r="3149" spans="1:1" x14ac:dyDescent="0.25">
      <c r="A3149" s="522"/>
    </row>
    <row r="3150" spans="1:1" x14ac:dyDescent="0.25">
      <c r="A3150" s="522"/>
    </row>
    <row r="3151" spans="1:1" x14ac:dyDescent="0.25">
      <c r="A3151" s="522"/>
    </row>
    <row r="3152" spans="1:1" x14ac:dyDescent="0.25">
      <c r="A3152" s="522"/>
    </row>
    <row r="3153" spans="1:1" x14ac:dyDescent="0.25">
      <c r="A3153" s="522"/>
    </row>
    <row r="3154" spans="1:1" x14ac:dyDescent="0.25">
      <c r="A3154" s="522"/>
    </row>
    <row r="3155" spans="1:1" x14ac:dyDescent="0.25">
      <c r="A3155" s="522"/>
    </row>
    <row r="3156" spans="1:1" x14ac:dyDescent="0.25">
      <c r="A3156" s="522"/>
    </row>
    <row r="3157" spans="1:1" x14ac:dyDescent="0.25">
      <c r="A3157" s="522"/>
    </row>
    <row r="3158" spans="1:1" x14ac:dyDescent="0.25">
      <c r="A3158" s="522"/>
    </row>
    <row r="3159" spans="1:1" x14ac:dyDescent="0.25">
      <c r="A3159" s="522"/>
    </row>
    <row r="3160" spans="1:1" x14ac:dyDescent="0.25">
      <c r="A3160" s="522"/>
    </row>
    <row r="3161" spans="1:1" x14ac:dyDescent="0.25">
      <c r="A3161" s="522"/>
    </row>
    <row r="3162" spans="1:1" x14ac:dyDescent="0.25">
      <c r="A3162" s="522"/>
    </row>
    <row r="3163" spans="1:1" x14ac:dyDescent="0.25">
      <c r="A3163" s="522"/>
    </row>
    <row r="3164" spans="1:1" x14ac:dyDescent="0.25">
      <c r="A3164" s="522"/>
    </row>
    <row r="3165" spans="1:1" x14ac:dyDescent="0.25">
      <c r="A3165" s="522"/>
    </row>
    <row r="3166" spans="1:1" x14ac:dyDescent="0.25">
      <c r="A3166" s="522"/>
    </row>
    <row r="3167" spans="1:1" x14ac:dyDescent="0.25">
      <c r="A3167" s="522"/>
    </row>
    <row r="3168" spans="1:1" x14ac:dyDescent="0.25">
      <c r="A3168" s="522"/>
    </row>
    <row r="3169" spans="1:1" x14ac:dyDescent="0.25">
      <c r="A3169" s="522"/>
    </row>
    <row r="3170" spans="1:1" x14ac:dyDescent="0.25">
      <c r="A3170" s="522"/>
    </row>
    <row r="3171" spans="1:1" x14ac:dyDescent="0.25">
      <c r="A3171" s="522"/>
    </row>
    <row r="3172" spans="1:1" x14ac:dyDescent="0.25">
      <c r="A3172" s="522"/>
    </row>
    <row r="3173" spans="1:1" x14ac:dyDescent="0.25">
      <c r="A3173" s="522"/>
    </row>
    <row r="3174" spans="1:1" x14ac:dyDescent="0.25">
      <c r="A3174" s="522"/>
    </row>
    <row r="3175" spans="1:1" x14ac:dyDescent="0.25">
      <c r="A3175" s="522"/>
    </row>
    <row r="3176" spans="1:1" x14ac:dyDescent="0.25">
      <c r="A3176" s="522"/>
    </row>
    <row r="3177" spans="1:1" x14ac:dyDescent="0.25">
      <c r="A3177" s="522"/>
    </row>
    <row r="3178" spans="1:1" x14ac:dyDescent="0.25">
      <c r="A3178" s="522"/>
    </row>
    <row r="3179" spans="1:1" x14ac:dyDescent="0.25">
      <c r="A3179" s="522"/>
    </row>
    <row r="3180" spans="1:1" x14ac:dyDescent="0.25">
      <c r="A3180" s="522"/>
    </row>
    <row r="3181" spans="1:1" x14ac:dyDescent="0.25">
      <c r="A3181" s="522"/>
    </row>
    <row r="3182" spans="1:1" x14ac:dyDescent="0.25">
      <c r="A3182" s="522"/>
    </row>
    <row r="3183" spans="1:1" x14ac:dyDescent="0.25">
      <c r="A3183" s="522"/>
    </row>
    <row r="3184" spans="1:1" x14ac:dyDescent="0.25">
      <c r="A3184" s="522"/>
    </row>
    <row r="3185" spans="1:1" x14ac:dyDescent="0.25">
      <c r="A3185" s="522"/>
    </row>
    <row r="3186" spans="1:1" x14ac:dyDescent="0.25">
      <c r="A3186" s="522"/>
    </row>
    <row r="3187" spans="1:1" x14ac:dyDescent="0.25">
      <c r="A3187" s="522"/>
    </row>
    <row r="3188" spans="1:1" x14ac:dyDescent="0.25">
      <c r="A3188" s="522"/>
    </row>
    <row r="3189" spans="1:1" x14ac:dyDescent="0.25">
      <c r="A3189" s="522"/>
    </row>
    <row r="3190" spans="1:1" x14ac:dyDescent="0.25">
      <c r="A3190" s="522"/>
    </row>
    <row r="3191" spans="1:1" x14ac:dyDescent="0.25">
      <c r="A3191" s="522"/>
    </row>
    <row r="3192" spans="1:1" x14ac:dyDescent="0.25">
      <c r="A3192" s="522"/>
    </row>
    <row r="3193" spans="1:1" x14ac:dyDescent="0.25">
      <c r="A3193" s="522"/>
    </row>
    <row r="3194" spans="1:1" x14ac:dyDescent="0.25">
      <c r="A3194" s="522"/>
    </row>
    <row r="3195" spans="1:1" x14ac:dyDescent="0.25">
      <c r="A3195" s="522"/>
    </row>
    <row r="3196" spans="1:1" x14ac:dyDescent="0.25">
      <c r="A3196" s="522"/>
    </row>
    <row r="3197" spans="1:1" x14ac:dyDescent="0.25">
      <c r="A3197" s="522"/>
    </row>
    <row r="3198" spans="1:1" x14ac:dyDescent="0.25">
      <c r="A3198" s="522"/>
    </row>
    <row r="3199" spans="1:1" x14ac:dyDescent="0.25">
      <c r="A3199" s="522"/>
    </row>
    <row r="3200" spans="1:1" x14ac:dyDescent="0.25">
      <c r="A3200" s="522"/>
    </row>
    <row r="3201" spans="1:1" x14ac:dyDescent="0.25">
      <c r="A3201" s="522"/>
    </row>
    <row r="3202" spans="1:1" x14ac:dyDescent="0.25">
      <c r="A3202" s="522"/>
    </row>
    <row r="3203" spans="1:1" x14ac:dyDescent="0.25">
      <c r="A3203" s="522"/>
    </row>
    <row r="3204" spans="1:1" x14ac:dyDescent="0.25">
      <c r="A3204" s="522"/>
    </row>
    <row r="3205" spans="1:1" x14ac:dyDescent="0.25">
      <c r="A3205" s="522"/>
    </row>
    <row r="3206" spans="1:1" x14ac:dyDescent="0.25">
      <c r="A3206" s="522"/>
    </row>
    <row r="3207" spans="1:1" x14ac:dyDescent="0.25">
      <c r="A3207" s="522"/>
    </row>
    <row r="3208" spans="1:1" x14ac:dyDescent="0.25">
      <c r="A3208" s="522"/>
    </row>
    <row r="3209" spans="1:1" x14ac:dyDescent="0.25">
      <c r="A3209" s="522"/>
    </row>
    <row r="3210" spans="1:1" x14ac:dyDescent="0.25">
      <c r="A3210" s="522"/>
    </row>
    <row r="3211" spans="1:1" x14ac:dyDescent="0.25">
      <c r="A3211" s="522"/>
    </row>
    <row r="3212" spans="1:1" x14ac:dyDescent="0.25">
      <c r="A3212" s="522"/>
    </row>
    <row r="3213" spans="1:1" x14ac:dyDescent="0.25">
      <c r="A3213" s="522"/>
    </row>
    <row r="3214" spans="1:1" x14ac:dyDescent="0.25">
      <c r="A3214" s="522"/>
    </row>
    <row r="3215" spans="1:1" x14ac:dyDescent="0.25">
      <c r="A3215" s="522"/>
    </row>
    <row r="3216" spans="1:1" x14ac:dyDescent="0.25">
      <c r="A3216" s="522"/>
    </row>
    <row r="3217" spans="1:1" x14ac:dyDescent="0.25">
      <c r="A3217" s="522"/>
    </row>
    <row r="3218" spans="1:1" x14ac:dyDescent="0.25">
      <c r="A3218" s="522"/>
    </row>
    <row r="3219" spans="1:1" x14ac:dyDescent="0.25">
      <c r="A3219" s="522"/>
    </row>
    <row r="3220" spans="1:1" x14ac:dyDescent="0.25">
      <c r="A3220" s="522"/>
    </row>
    <row r="3221" spans="1:1" x14ac:dyDescent="0.25">
      <c r="A3221" s="522"/>
    </row>
    <row r="3222" spans="1:1" x14ac:dyDescent="0.25">
      <c r="A3222" s="522"/>
    </row>
    <row r="3223" spans="1:1" x14ac:dyDescent="0.25">
      <c r="A3223" s="522"/>
    </row>
    <row r="3224" spans="1:1" x14ac:dyDescent="0.25">
      <c r="A3224" s="522"/>
    </row>
    <row r="3225" spans="1:1" x14ac:dyDescent="0.25">
      <c r="A3225" s="522"/>
    </row>
    <row r="3226" spans="1:1" x14ac:dyDescent="0.25">
      <c r="A3226" s="522"/>
    </row>
    <row r="3227" spans="1:1" x14ac:dyDescent="0.25">
      <c r="A3227" s="522"/>
    </row>
    <row r="3228" spans="1:1" x14ac:dyDescent="0.25">
      <c r="A3228" s="522"/>
    </row>
    <row r="3229" spans="1:1" x14ac:dyDescent="0.25">
      <c r="A3229" s="522"/>
    </row>
    <row r="3230" spans="1:1" x14ac:dyDescent="0.25">
      <c r="A3230" s="522"/>
    </row>
    <row r="3231" spans="1:1" x14ac:dyDescent="0.25">
      <c r="A3231" s="522"/>
    </row>
    <row r="3232" spans="1:1" x14ac:dyDescent="0.25">
      <c r="A3232" s="522"/>
    </row>
    <row r="3233" spans="1:1" x14ac:dyDescent="0.25">
      <c r="A3233" s="522"/>
    </row>
    <row r="3234" spans="1:1" x14ac:dyDescent="0.25">
      <c r="A3234" s="522"/>
    </row>
    <row r="3235" spans="1:1" x14ac:dyDescent="0.25">
      <c r="A3235" s="522"/>
    </row>
    <row r="3236" spans="1:1" x14ac:dyDescent="0.25">
      <c r="A3236" s="522"/>
    </row>
    <row r="3237" spans="1:1" x14ac:dyDescent="0.25">
      <c r="A3237" s="522"/>
    </row>
    <row r="3238" spans="1:1" x14ac:dyDescent="0.25">
      <c r="A3238" s="522"/>
    </row>
    <row r="3239" spans="1:1" x14ac:dyDescent="0.25">
      <c r="A3239" s="522"/>
    </row>
    <row r="3240" spans="1:1" x14ac:dyDescent="0.25">
      <c r="A3240" s="522"/>
    </row>
    <row r="3241" spans="1:1" x14ac:dyDescent="0.25">
      <c r="A3241" s="522"/>
    </row>
    <row r="3242" spans="1:1" x14ac:dyDescent="0.25">
      <c r="A3242" s="522"/>
    </row>
    <row r="3243" spans="1:1" x14ac:dyDescent="0.25">
      <c r="A3243" s="522"/>
    </row>
    <row r="3244" spans="1:1" x14ac:dyDescent="0.25">
      <c r="A3244" s="522"/>
    </row>
    <row r="3245" spans="1:1" x14ac:dyDescent="0.25">
      <c r="A3245" s="522"/>
    </row>
    <row r="3246" spans="1:1" x14ac:dyDescent="0.25">
      <c r="A3246" s="522"/>
    </row>
    <row r="3247" spans="1:1" x14ac:dyDescent="0.25">
      <c r="A3247" s="522"/>
    </row>
    <row r="3248" spans="1:1" x14ac:dyDescent="0.25">
      <c r="A3248" s="522"/>
    </row>
    <row r="3249" spans="1:1" x14ac:dyDescent="0.25">
      <c r="A3249" s="522"/>
    </row>
    <row r="3250" spans="1:1" x14ac:dyDescent="0.25">
      <c r="A3250" s="522"/>
    </row>
    <row r="3251" spans="1:1" x14ac:dyDescent="0.25">
      <c r="A3251" s="522"/>
    </row>
    <row r="3252" spans="1:1" x14ac:dyDescent="0.25">
      <c r="A3252" s="522"/>
    </row>
    <row r="3253" spans="1:1" x14ac:dyDescent="0.25">
      <c r="A3253" s="522"/>
    </row>
    <row r="3254" spans="1:1" x14ac:dyDescent="0.25">
      <c r="A3254" s="522"/>
    </row>
    <row r="3255" spans="1:1" x14ac:dyDescent="0.25">
      <c r="A3255" s="522"/>
    </row>
    <row r="3256" spans="1:1" x14ac:dyDescent="0.25">
      <c r="A3256" s="522"/>
    </row>
    <row r="3257" spans="1:1" x14ac:dyDescent="0.25">
      <c r="A3257" s="522"/>
    </row>
    <row r="3258" spans="1:1" x14ac:dyDescent="0.25">
      <c r="A3258" s="522"/>
    </row>
    <row r="3259" spans="1:1" x14ac:dyDescent="0.25">
      <c r="A3259" s="522"/>
    </row>
    <row r="3260" spans="1:1" x14ac:dyDescent="0.25">
      <c r="A3260" s="522"/>
    </row>
    <row r="3261" spans="1:1" x14ac:dyDescent="0.25">
      <c r="A3261" s="522"/>
    </row>
    <row r="3262" spans="1:1" x14ac:dyDescent="0.25">
      <c r="A3262" s="522"/>
    </row>
    <row r="3263" spans="1:1" x14ac:dyDescent="0.25">
      <c r="A3263" s="522"/>
    </row>
    <row r="3264" spans="1:1" x14ac:dyDescent="0.25">
      <c r="A3264" s="522"/>
    </row>
    <row r="3265" spans="1:1" x14ac:dyDescent="0.25">
      <c r="A3265" s="522"/>
    </row>
    <row r="3266" spans="1:1" x14ac:dyDescent="0.25">
      <c r="A3266" s="522"/>
    </row>
    <row r="3267" spans="1:1" x14ac:dyDescent="0.25">
      <c r="A3267" s="522"/>
    </row>
    <row r="3268" spans="1:1" x14ac:dyDescent="0.25">
      <c r="A3268" s="522"/>
    </row>
    <row r="3269" spans="1:1" x14ac:dyDescent="0.25">
      <c r="A3269" s="522"/>
    </row>
    <row r="3270" spans="1:1" x14ac:dyDescent="0.25">
      <c r="A3270" s="522"/>
    </row>
    <row r="3271" spans="1:1" x14ac:dyDescent="0.25">
      <c r="A3271" s="522"/>
    </row>
    <row r="3272" spans="1:1" x14ac:dyDescent="0.25">
      <c r="A3272" s="522"/>
    </row>
    <row r="3273" spans="1:1" x14ac:dyDescent="0.25">
      <c r="A3273" s="522"/>
    </row>
    <row r="3274" spans="1:1" x14ac:dyDescent="0.25">
      <c r="A3274" s="522"/>
    </row>
    <row r="3275" spans="1:1" x14ac:dyDescent="0.25">
      <c r="A3275" s="522"/>
    </row>
    <row r="3276" spans="1:1" x14ac:dyDescent="0.25">
      <c r="A3276" s="522"/>
    </row>
    <row r="3277" spans="1:1" x14ac:dyDescent="0.25">
      <c r="A3277" s="522"/>
    </row>
    <row r="3278" spans="1:1" x14ac:dyDescent="0.25">
      <c r="A3278" s="522"/>
    </row>
    <row r="3279" spans="1:1" x14ac:dyDescent="0.25">
      <c r="A3279" s="522"/>
    </row>
    <row r="3280" spans="1:1" x14ac:dyDescent="0.25">
      <c r="A3280" s="522"/>
    </row>
    <row r="3281" spans="1:1" x14ac:dyDescent="0.25">
      <c r="A3281" s="522"/>
    </row>
    <row r="3282" spans="1:1" x14ac:dyDescent="0.25">
      <c r="A3282" s="522"/>
    </row>
    <row r="3283" spans="1:1" x14ac:dyDescent="0.25">
      <c r="A3283" s="522"/>
    </row>
    <row r="3284" spans="1:1" x14ac:dyDescent="0.25">
      <c r="A3284" s="522"/>
    </row>
    <row r="3285" spans="1:1" x14ac:dyDescent="0.25">
      <c r="A3285" s="522"/>
    </row>
    <row r="3286" spans="1:1" x14ac:dyDescent="0.25">
      <c r="A3286" s="522"/>
    </row>
    <row r="3287" spans="1:1" x14ac:dyDescent="0.25">
      <c r="A3287" s="522"/>
    </row>
    <row r="3288" spans="1:1" x14ac:dyDescent="0.25">
      <c r="A3288" s="522"/>
    </row>
    <row r="3289" spans="1:1" x14ac:dyDescent="0.25">
      <c r="A3289" s="522"/>
    </row>
    <row r="3290" spans="1:1" x14ac:dyDescent="0.25">
      <c r="A3290" s="522"/>
    </row>
    <row r="3291" spans="1:1" x14ac:dyDescent="0.25">
      <c r="A3291" s="522"/>
    </row>
    <row r="3292" spans="1:1" x14ac:dyDescent="0.25">
      <c r="A3292" s="522"/>
    </row>
    <row r="3293" spans="1:1" x14ac:dyDescent="0.25">
      <c r="A3293" s="522"/>
    </row>
    <row r="3294" spans="1:1" x14ac:dyDescent="0.25">
      <c r="A3294" s="522"/>
    </row>
    <row r="3295" spans="1:1" x14ac:dyDescent="0.25">
      <c r="A3295" s="522"/>
    </row>
    <row r="3296" spans="1:1" x14ac:dyDescent="0.25">
      <c r="A3296" s="522"/>
    </row>
    <row r="3297" spans="1:1" x14ac:dyDescent="0.25">
      <c r="A3297" s="522"/>
    </row>
    <row r="3298" spans="1:1" x14ac:dyDescent="0.25">
      <c r="A3298" s="522"/>
    </row>
    <row r="3299" spans="1:1" x14ac:dyDescent="0.25">
      <c r="A3299" s="522"/>
    </row>
    <row r="3300" spans="1:1" x14ac:dyDescent="0.25">
      <c r="A3300" s="522"/>
    </row>
    <row r="3301" spans="1:1" x14ac:dyDescent="0.25">
      <c r="A3301" s="522"/>
    </row>
    <row r="3302" spans="1:1" x14ac:dyDescent="0.25">
      <c r="A3302" s="522"/>
    </row>
    <row r="3303" spans="1:1" x14ac:dyDescent="0.25">
      <c r="A3303" s="522"/>
    </row>
    <row r="3304" spans="1:1" x14ac:dyDescent="0.25">
      <c r="A3304" s="522"/>
    </row>
    <row r="3305" spans="1:1" x14ac:dyDescent="0.25">
      <c r="A3305" s="522"/>
    </row>
    <row r="3306" spans="1:1" x14ac:dyDescent="0.25">
      <c r="A3306" s="522"/>
    </row>
    <row r="3307" spans="1:1" x14ac:dyDescent="0.25">
      <c r="A3307" s="522"/>
    </row>
    <row r="3308" spans="1:1" x14ac:dyDescent="0.25">
      <c r="A3308" s="522"/>
    </row>
    <row r="3309" spans="1:1" x14ac:dyDescent="0.25">
      <c r="A3309" s="522"/>
    </row>
    <row r="3310" spans="1:1" x14ac:dyDescent="0.25">
      <c r="A3310" s="522"/>
    </row>
    <row r="3311" spans="1:1" x14ac:dyDescent="0.25">
      <c r="A3311" s="522"/>
    </row>
    <row r="3312" spans="1:1" x14ac:dyDescent="0.25">
      <c r="A3312" s="522"/>
    </row>
    <row r="3313" spans="1:1" x14ac:dyDescent="0.25">
      <c r="A3313" s="522"/>
    </row>
    <row r="3314" spans="1:1" x14ac:dyDescent="0.25">
      <c r="A3314" s="522"/>
    </row>
    <row r="3315" spans="1:1" x14ac:dyDescent="0.25">
      <c r="A3315" s="522"/>
    </row>
    <row r="3316" spans="1:1" x14ac:dyDescent="0.25">
      <c r="A3316" s="522"/>
    </row>
    <row r="3317" spans="1:1" x14ac:dyDescent="0.25">
      <c r="A3317" s="522"/>
    </row>
    <row r="3318" spans="1:1" x14ac:dyDescent="0.25">
      <c r="A3318" s="522"/>
    </row>
    <row r="3319" spans="1:1" x14ac:dyDescent="0.25">
      <c r="A3319" s="522"/>
    </row>
    <row r="3320" spans="1:1" x14ac:dyDescent="0.25">
      <c r="A3320" s="522"/>
    </row>
    <row r="3321" spans="1:1" x14ac:dyDescent="0.25">
      <c r="A3321" s="522"/>
    </row>
    <row r="3322" spans="1:1" x14ac:dyDescent="0.25">
      <c r="A3322" s="522"/>
    </row>
    <row r="3323" spans="1:1" x14ac:dyDescent="0.25">
      <c r="A3323" s="522"/>
    </row>
    <row r="3324" spans="1:1" x14ac:dyDescent="0.25">
      <c r="A3324" s="522"/>
    </row>
    <row r="3325" spans="1:1" x14ac:dyDescent="0.25">
      <c r="A3325" s="522"/>
    </row>
    <row r="3326" spans="1:1" x14ac:dyDescent="0.25">
      <c r="A3326" s="522"/>
    </row>
    <row r="3327" spans="1:1" x14ac:dyDescent="0.25">
      <c r="A3327" s="522"/>
    </row>
    <row r="3328" spans="1:1" x14ac:dyDescent="0.25">
      <c r="A3328" s="522"/>
    </row>
    <row r="3329" spans="1:1" x14ac:dyDescent="0.25">
      <c r="A3329" s="522"/>
    </row>
    <row r="3330" spans="1:1" x14ac:dyDescent="0.25">
      <c r="A3330" s="522"/>
    </row>
    <row r="3331" spans="1:1" x14ac:dyDescent="0.25">
      <c r="A3331" s="522"/>
    </row>
    <row r="3332" spans="1:1" x14ac:dyDescent="0.25">
      <c r="A3332" s="522"/>
    </row>
    <row r="3333" spans="1:1" x14ac:dyDescent="0.25">
      <c r="A3333" s="522"/>
    </row>
    <row r="3334" spans="1:1" x14ac:dyDescent="0.25">
      <c r="A3334" s="522"/>
    </row>
    <row r="3335" spans="1:1" x14ac:dyDescent="0.25">
      <c r="A3335" s="522"/>
    </row>
    <row r="3336" spans="1:1" x14ac:dyDescent="0.25">
      <c r="A3336" s="522"/>
    </row>
    <row r="3337" spans="1:1" x14ac:dyDescent="0.25">
      <c r="A3337" s="522"/>
    </row>
    <row r="3338" spans="1:1" x14ac:dyDescent="0.25">
      <c r="A3338" s="522"/>
    </row>
    <row r="3339" spans="1:1" x14ac:dyDescent="0.25">
      <c r="A3339" s="522"/>
    </row>
    <row r="3340" spans="1:1" x14ac:dyDescent="0.25">
      <c r="A3340" s="522"/>
    </row>
    <row r="3341" spans="1:1" x14ac:dyDescent="0.25">
      <c r="A3341" s="522"/>
    </row>
    <row r="3342" spans="1:1" x14ac:dyDescent="0.25">
      <c r="A3342" s="522"/>
    </row>
    <row r="3343" spans="1:1" x14ac:dyDescent="0.25">
      <c r="A3343" s="522"/>
    </row>
    <row r="3344" spans="1:1" x14ac:dyDescent="0.25">
      <c r="A3344" s="522"/>
    </row>
    <row r="3345" spans="1:1" x14ac:dyDescent="0.25">
      <c r="A3345" s="522"/>
    </row>
    <row r="3346" spans="1:1" x14ac:dyDescent="0.25">
      <c r="A3346" s="522"/>
    </row>
    <row r="3347" spans="1:1" x14ac:dyDescent="0.25">
      <c r="A3347" s="522"/>
    </row>
    <row r="3348" spans="1:1" x14ac:dyDescent="0.25">
      <c r="A3348" s="522"/>
    </row>
    <row r="3349" spans="1:1" x14ac:dyDescent="0.25">
      <c r="A3349" s="522"/>
    </row>
    <row r="3350" spans="1:1" x14ac:dyDescent="0.25">
      <c r="A3350" s="522"/>
    </row>
    <row r="3351" spans="1:1" x14ac:dyDescent="0.25">
      <c r="A3351" s="522"/>
    </row>
    <row r="3352" spans="1:1" x14ac:dyDescent="0.25">
      <c r="A3352" s="522"/>
    </row>
    <row r="3353" spans="1:1" x14ac:dyDescent="0.25">
      <c r="A3353" s="522"/>
    </row>
    <row r="3354" spans="1:1" x14ac:dyDescent="0.25">
      <c r="A3354" s="522"/>
    </row>
    <row r="3355" spans="1:1" x14ac:dyDescent="0.25">
      <c r="A3355" s="522"/>
    </row>
    <row r="3356" spans="1:1" x14ac:dyDescent="0.25">
      <c r="A3356" s="522"/>
    </row>
    <row r="3357" spans="1:1" x14ac:dyDescent="0.25">
      <c r="A3357" s="522"/>
    </row>
    <row r="3358" spans="1:1" x14ac:dyDescent="0.25">
      <c r="A3358" s="522"/>
    </row>
    <row r="3359" spans="1:1" x14ac:dyDescent="0.25">
      <c r="A3359" s="522"/>
    </row>
    <row r="3360" spans="1:1" x14ac:dyDescent="0.25">
      <c r="A3360" s="522"/>
    </row>
    <row r="3361" spans="1:1" x14ac:dyDescent="0.25">
      <c r="A3361" s="522"/>
    </row>
    <row r="3362" spans="1:1" x14ac:dyDescent="0.25">
      <c r="A3362" s="522"/>
    </row>
    <row r="3363" spans="1:1" x14ac:dyDescent="0.25">
      <c r="A3363" s="522"/>
    </row>
    <row r="3364" spans="1:1" x14ac:dyDescent="0.25">
      <c r="A3364" s="522"/>
    </row>
    <row r="3365" spans="1:1" x14ac:dyDescent="0.25">
      <c r="A3365" s="522"/>
    </row>
    <row r="3366" spans="1:1" x14ac:dyDescent="0.25">
      <c r="A3366" s="522"/>
    </row>
    <row r="3367" spans="1:1" x14ac:dyDescent="0.25">
      <c r="A3367" s="522"/>
    </row>
    <row r="3368" spans="1:1" x14ac:dyDescent="0.25">
      <c r="A3368" s="522"/>
    </row>
    <row r="3369" spans="1:1" x14ac:dyDescent="0.25">
      <c r="A3369" s="522"/>
    </row>
    <row r="3370" spans="1:1" x14ac:dyDescent="0.25">
      <c r="A3370" s="522"/>
    </row>
    <row r="3371" spans="1:1" x14ac:dyDescent="0.25">
      <c r="A3371" s="522"/>
    </row>
    <row r="3372" spans="1:1" x14ac:dyDescent="0.25">
      <c r="A3372" s="522"/>
    </row>
    <row r="3373" spans="1:1" x14ac:dyDescent="0.25">
      <c r="A3373" s="522"/>
    </row>
    <row r="3374" spans="1:1" x14ac:dyDescent="0.25">
      <c r="A3374" s="522"/>
    </row>
    <row r="3375" spans="1:1" x14ac:dyDescent="0.25">
      <c r="A3375" s="522"/>
    </row>
    <row r="3376" spans="1:1" x14ac:dyDescent="0.25">
      <c r="A3376" s="522"/>
    </row>
    <row r="3377" spans="1:1" x14ac:dyDescent="0.25">
      <c r="A3377" s="522"/>
    </row>
    <row r="3378" spans="1:1" x14ac:dyDescent="0.25">
      <c r="A3378" s="522"/>
    </row>
    <row r="3379" spans="1:1" x14ac:dyDescent="0.25">
      <c r="A3379" s="522"/>
    </row>
    <row r="3380" spans="1:1" x14ac:dyDescent="0.25">
      <c r="A3380" s="522"/>
    </row>
    <row r="3381" spans="1:1" x14ac:dyDescent="0.25">
      <c r="A3381" s="522"/>
    </row>
    <row r="3382" spans="1:1" x14ac:dyDescent="0.25">
      <c r="A3382" s="522"/>
    </row>
    <row r="3383" spans="1:1" x14ac:dyDescent="0.25">
      <c r="A3383" s="522"/>
    </row>
    <row r="3384" spans="1:1" x14ac:dyDescent="0.25">
      <c r="A3384" s="522"/>
    </row>
    <row r="3385" spans="1:1" x14ac:dyDescent="0.25">
      <c r="A3385" s="522"/>
    </row>
    <row r="3386" spans="1:1" x14ac:dyDescent="0.25">
      <c r="A3386" s="522"/>
    </row>
    <row r="3387" spans="1:1" x14ac:dyDescent="0.25">
      <c r="A3387" s="522"/>
    </row>
    <row r="3388" spans="1:1" x14ac:dyDescent="0.25">
      <c r="A3388" s="522"/>
    </row>
    <row r="3389" spans="1:1" x14ac:dyDescent="0.25">
      <c r="A3389" s="522"/>
    </row>
    <row r="3390" spans="1:1" x14ac:dyDescent="0.25">
      <c r="A3390" s="522"/>
    </row>
    <row r="3391" spans="1:1" x14ac:dyDescent="0.25">
      <c r="A3391" s="522"/>
    </row>
    <row r="3392" spans="1:1" x14ac:dyDescent="0.25">
      <c r="A3392" s="522"/>
    </row>
    <row r="3393" spans="1:1" x14ac:dyDescent="0.25">
      <c r="A3393" s="522"/>
    </row>
    <row r="3394" spans="1:1" x14ac:dyDescent="0.25">
      <c r="A3394" s="522"/>
    </row>
    <row r="3395" spans="1:1" x14ac:dyDescent="0.25">
      <c r="A3395" s="522"/>
    </row>
    <row r="3396" spans="1:1" x14ac:dyDescent="0.25">
      <c r="A3396" s="522"/>
    </row>
    <row r="3397" spans="1:1" x14ac:dyDescent="0.25">
      <c r="A3397" s="522"/>
    </row>
    <row r="3398" spans="1:1" x14ac:dyDescent="0.25">
      <c r="A3398" s="522"/>
    </row>
    <row r="3399" spans="1:1" x14ac:dyDescent="0.25">
      <c r="A3399" s="522"/>
    </row>
    <row r="3400" spans="1:1" x14ac:dyDescent="0.25">
      <c r="A3400" s="522"/>
    </row>
    <row r="3401" spans="1:1" x14ac:dyDescent="0.25">
      <c r="A3401" s="522"/>
    </row>
    <row r="3402" spans="1:1" x14ac:dyDescent="0.25">
      <c r="A3402" s="522"/>
    </row>
    <row r="3403" spans="1:1" x14ac:dyDescent="0.25">
      <c r="A3403" s="522"/>
    </row>
    <row r="3404" spans="1:1" x14ac:dyDescent="0.25">
      <c r="A3404" s="522"/>
    </row>
    <row r="3405" spans="1:1" x14ac:dyDescent="0.25">
      <c r="A3405" s="522"/>
    </row>
    <row r="3406" spans="1:1" x14ac:dyDescent="0.25">
      <c r="A3406" s="522"/>
    </row>
    <row r="3407" spans="1:1" x14ac:dyDescent="0.25">
      <c r="A3407" s="522"/>
    </row>
    <row r="3408" spans="1:1" x14ac:dyDescent="0.25">
      <c r="A3408" s="522"/>
    </row>
    <row r="3409" spans="1:1" x14ac:dyDescent="0.25">
      <c r="A3409" s="522"/>
    </row>
    <row r="3410" spans="1:1" x14ac:dyDescent="0.25">
      <c r="A3410" s="522"/>
    </row>
    <row r="3411" spans="1:1" x14ac:dyDescent="0.25">
      <c r="A3411" s="522"/>
    </row>
    <row r="3412" spans="1:1" x14ac:dyDescent="0.25">
      <c r="A3412" s="522"/>
    </row>
    <row r="3413" spans="1:1" x14ac:dyDescent="0.25">
      <c r="A3413" s="522"/>
    </row>
    <row r="3414" spans="1:1" x14ac:dyDescent="0.25">
      <c r="A3414" s="522"/>
    </row>
    <row r="3415" spans="1:1" x14ac:dyDescent="0.25">
      <c r="A3415" s="522"/>
    </row>
    <row r="3416" spans="1:1" x14ac:dyDescent="0.25">
      <c r="A3416" s="522"/>
    </row>
    <row r="3417" spans="1:1" x14ac:dyDescent="0.25">
      <c r="A3417" s="522"/>
    </row>
    <row r="3418" spans="1:1" x14ac:dyDescent="0.25">
      <c r="A3418" s="522"/>
    </row>
    <row r="3419" spans="1:1" x14ac:dyDescent="0.25">
      <c r="A3419" s="522"/>
    </row>
    <row r="3420" spans="1:1" x14ac:dyDescent="0.25">
      <c r="A3420" s="522"/>
    </row>
    <row r="3421" spans="1:1" x14ac:dyDescent="0.25">
      <c r="A3421" s="522"/>
    </row>
    <row r="3422" spans="1:1" x14ac:dyDescent="0.25">
      <c r="A3422" s="522"/>
    </row>
    <row r="3423" spans="1:1" x14ac:dyDescent="0.25">
      <c r="A3423" s="522"/>
    </row>
    <row r="3424" spans="1:1" x14ac:dyDescent="0.25">
      <c r="A3424" s="522"/>
    </row>
    <row r="3425" spans="1:1" x14ac:dyDescent="0.25">
      <c r="A3425" s="522"/>
    </row>
    <row r="3426" spans="1:1" x14ac:dyDescent="0.25">
      <c r="A3426" s="522"/>
    </row>
    <row r="3427" spans="1:1" x14ac:dyDescent="0.25">
      <c r="A3427" s="522"/>
    </row>
    <row r="3428" spans="1:1" x14ac:dyDescent="0.25">
      <c r="A3428" s="522"/>
    </row>
    <row r="3429" spans="1:1" x14ac:dyDescent="0.25">
      <c r="A3429" s="522"/>
    </row>
    <row r="3430" spans="1:1" x14ac:dyDescent="0.25">
      <c r="A3430" s="522"/>
    </row>
    <row r="3431" spans="1:1" x14ac:dyDescent="0.25">
      <c r="A3431" s="522"/>
    </row>
    <row r="3432" spans="1:1" x14ac:dyDescent="0.25">
      <c r="A3432" s="522"/>
    </row>
    <row r="3433" spans="1:1" x14ac:dyDescent="0.25">
      <c r="A3433" s="522"/>
    </row>
    <row r="3434" spans="1:1" x14ac:dyDescent="0.25">
      <c r="A3434" s="522"/>
    </row>
    <row r="3435" spans="1:1" x14ac:dyDescent="0.25">
      <c r="A3435" s="522"/>
    </row>
    <row r="3436" spans="1:1" x14ac:dyDescent="0.25">
      <c r="A3436" s="522"/>
    </row>
    <row r="3437" spans="1:1" x14ac:dyDescent="0.25">
      <c r="A3437" s="522"/>
    </row>
    <row r="3438" spans="1:1" x14ac:dyDescent="0.25">
      <c r="A3438" s="522"/>
    </row>
    <row r="3439" spans="1:1" x14ac:dyDescent="0.25">
      <c r="A3439" s="522"/>
    </row>
    <row r="3440" spans="1:1" x14ac:dyDescent="0.25">
      <c r="A3440" s="522"/>
    </row>
    <row r="3441" spans="1:1" x14ac:dyDescent="0.25">
      <c r="A3441" s="522"/>
    </row>
    <row r="3442" spans="1:1" x14ac:dyDescent="0.25">
      <c r="A3442" s="522"/>
    </row>
    <row r="3443" spans="1:1" x14ac:dyDescent="0.25">
      <c r="A3443" s="522"/>
    </row>
    <row r="3444" spans="1:1" x14ac:dyDescent="0.25">
      <c r="A3444" s="522"/>
    </row>
    <row r="3445" spans="1:1" x14ac:dyDescent="0.25">
      <c r="A3445" s="522"/>
    </row>
    <row r="3446" spans="1:1" x14ac:dyDescent="0.25">
      <c r="A3446" s="522"/>
    </row>
    <row r="3447" spans="1:1" x14ac:dyDescent="0.25">
      <c r="A3447" s="522"/>
    </row>
    <row r="3448" spans="1:1" x14ac:dyDescent="0.25">
      <c r="A3448" s="522"/>
    </row>
    <row r="3449" spans="1:1" x14ac:dyDescent="0.25">
      <c r="A3449" s="522"/>
    </row>
    <row r="3450" spans="1:1" x14ac:dyDescent="0.25">
      <c r="A3450" s="522"/>
    </row>
    <row r="3451" spans="1:1" x14ac:dyDescent="0.25">
      <c r="A3451" s="522"/>
    </row>
    <row r="3452" spans="1:1" x14ac:dyDescent="0.25">
      <c r="A3452" s="522"/>
    </row>
    <row r="3453" spans="1:1" x14ac:dyDescent="0.25">
      <c r="A3453" s="522"/>
    </row>
    <row r="3454" spans="1:1" x14ac:dyDescent="0.25">
      <c r="A3454" s="522"/>
    </row>
    <row r="3455" spans="1:1" x14ac:dyDescent="0.25">
      <c r="A3455" s="522"/>
    </row>
    <row r="3456" spans="1:1" x14ac:dyDescent="0.25">
      <c r="A3456" s="522"/>
    </row>
    <row r="3457" spans="1:1" x14ac:dyDescent="0.25">
      <c r="A3457" s="522"/>
    </row>
    <row r="3458" spans="1:1" x14ac:dyDescent="0.25">
      <c r="A3458" s="522"/>
    </row>
    <row r="3459" spans="1:1" x14ac:dyDescent="0.25">
      <c r="A3459" s="522"/>
    </row>
    <row r="3460" spans="1:1" x14ac:dyDescent="0.25">
      <c r="A3460" s="522"/>
    </row>
    <row r="3461" spans="1:1" x14ac:dyDescent="0.25">
      <c r="A3461" s="522"/>
    </row>
    <row r="3462" spans="1:1" x14ac:dyDescent="0.25">
      <c r="A3462" s="522"/>
    </row>
    <row r="3463" spans="1:1" x14ac:dyDescent="0.25">
      <c r="A3463" s="522"/>
    </row>
    <row r="3464" spans="1:1" x14ac:dyDescent="0.25">
      <c r="A3464" s="522"/>
    </row>
    <row r="3465" spans="1:1" x14ac:dyDescent="0.25">
      <c r="A3465" s="522"/>
    </row>
    <row r="3466" spans="1:1" x14ac:dyDescent="0.25">
      <c r="A3466" s="522"/>
    </row>
    <row r="3467" spans="1:1" x14ac:dyDescent="0.25">
      <c r="A3467" s="522"/>
    </row>
    <row r="3468" spans="1:1" x14ac:dyDescent="0.25">
      <c r="A3468" s="522"/>
    </row>
    <row r="3469" spans="1:1" x14ac:dyDescent="0.25">
      <c r="A3469" s="522"/>
    </row>
    <row r="3470" spans="1:1" x14ac:dyDescent="0.25">
      <c r="A3470" s="522"/>
    </row>
    <row r="3471" spans="1:1" x14ac:dyDescent="0.25">
      <c r="A3471" s="522"/>
    </row>
    <row r="3472" spans="1:1" x14ac:dyDescent="0.25">
      <c r="A3472" s="522"/>
    </row>
    <row r="3473" spans="1:1" x14ac:dyDescent="0.25">
      <c r="A3473" s="522"/>
    </row>
    <row r="3474" spans="1:1" x14ac:dyDescent="0.25">
      <c r="A3474" s="522"/>
    </row>
    <row r="3475" spans="1:1" x14ac:dyDescent="0.25">
      <c r="A3475" s="522"/>
    </row>
    <row r="3476" spans="1:1" x14ac:dyDescent="0.25">
      <c r="A3476" s="522"/>
    </row>
    <row r="3477" spans="1:1" x14ac:dyDescent="0.25">
      <c r="A3477" s="522"/>
    </row>
    <row r="3478" spans="1:1" x14ac:dyDescent="0.25">
      <c r="A3478" s="522"/>
    </row>
    <row r="3479" spans="1:1" x14ac:dyDescent="0.25">
      <c r="A3479" s="522"/>
    </row>
    <row r="3480" spans="1:1" x14ac:dyDescent="0.25">
      <c r="A3480" s="522"/>
    </row>
    <row r="3481" spans="1:1" x14ac:dyDescent="0.25">
      <c r="A3481" s="522"/>
    </row>
    <row r="3482" spans="1:1" x14ac:dyDescent="0.25">
      <c r="A3482" s="522"/>
    </row>
    <row r="3483" spans="1:1" x14ac:dyDescent="0.25">
      <c r="A3483" s="522"/>
    </row>
    <row r="3484" spans="1:1" x14ac:dyDescent="0.25">
      <c r="A3484" s="522"/>
    </row>
    <row r="3485" spans="1:1" x14ac:dyDescent="0.25">
      <c r="A3485" s="522"/>
    </row>
    <row r="3486" spans="1:1" x14ac:dyDescent="0.25">
      <c r="A3486" s="522"/>
    </row>
    <row r="3487" spans="1:1" x14ac:dyDescent="0.25">
      <c r="A3487" s="522"/>
    </row>
    <row r="3488" spans="1:1" x14ac:dyDescent="0.25">
      <c r="A3488" s="522"/>
    </row>
    <row r="3489" spans="1:1" x14ac:dyDescent="0.25">
      <c r="A3489" s="522"/>
    </row>
    <row r="3490" spans="1:1" x14ac:dyDescent="0.25">
      <c r="A3490" s="522"/>
    </row>
    <row r="3491" spans="1:1" x14ac:dyDescent="0.25">
      <c r="A3491" s="522"/>
    </row>
    <row r="3492" spans="1:1" x14ac:dyDescent="0.25">
      <c r="A3492" s="522"/>
    </row>
    <row r="3493" spans="1:1" x14ac:dyDescent="0.25">
      <c r="A3493" s="522"/>
    </row>
    <row r="3494" spans="1:1" x14ac:dyDescent="0.25">
      <c r="A3494" s="522"/>
    </row>
    <row r="3495" spans="1:1" x14ac:dyDescent="0.25">
      <c r="A3495" s="522"/>
    </row>
    <row r="3496" spans="1:1" x14ac:dyDescent="0.25">
      <c r="A3496" s="522"/>
    </row>
    <row r="3497" spans="1:1" x14ac:dyDescent="0.25">
      <c r="A3497" s="522"/>
    </row>
    <row r="3498" spans="1:1" x14ac:dyDescent="0.25">
      <c r="A3498" s="522"/>
    </row>
    <row r="3499" spans="1:1" x14ac:dyDescent="0.25">
      <c r="A3499" s="522"/>
    </row>
    <row r="3500" spans="1:1" x14ac:dyDescent="0.25">
      <c r="A3500" s="522"/>
    </row>
    <row r="3501" spans="1:1" x14ac:dyDescent="0.25">
      <c r="A3501" s="522"/>
    </row>
    <row r="3502" spans="1:1" x14ac:dyDescent="0.25">
      <c r="A3502" s="522"/>
    </row>
    <row r="3503" spans="1:1" x14ac:dyDescent="0.25">
      <c r="A3503" s="522"/>
    </row>
    <row r="3504" spans="1:1" x14ac:dyDescent="0.25">
      <c r="A3504" s="522"/>
    </row>
    <row r="3505" spans="1:1" x14ac:dyDescent="0.25">
      <c r="A3505" s="522"/>
    </row>
    <row r="3506" spans="1:1" x14ac:dyDescent="0.25">
      <c r="A3506" s="522"/>
    </row>
    <row r="3507" spans="1:1" x14ac:dyDescent="0.25">
      <c r="A3507" s="522"/>
    </row>
    <row r="3508" spans="1:1" x14ac:dyDescent="0.25">
      <c r="A3508" s="522"/>
    </row>
    <row r="3509" spans="1:1" x14ac:dyDescent="0.25">
      <c r="A3509" s="522"/>
    </row>
    <row r="3510" spans="1:1" x14ac:dyDescent="0.25">
      <c r="A3510" s="522"/>
    </row>
    <row r="3511" spans="1:1" x14ac:dyDescent="0.25">
      <c r="A3511" s="522"/>
    </row>
    <row r="3512" spans="1:1" x14ac:dyDescent="0.25">
      <c r="A3512" s="522"/>
    </row>
    <row r="3513" spans="1:1" x14ac:dyDescent="0.25">
      <c r="A3513" s="522"/>
    </row>
    <row r="3514" spans="1:1" x14ac:dyDescent="0.25">
      <c r="A3514" s="522"/>
    </row>
    <row r="3515" spans="1:1" x14ac:dyDescent="0.25">
      <c r="A3515" s="522"/>
    </row>
    <row r="3516" spans="1:1" x14ac:dyDescent="0.25">
      <c r="A3516" s="522"/>
    </row>
    <row r="3517" spans="1:1" x14ac:dyDescent="0.25">
      <c r="A3517" s="522"/>
    </row>
    <row r="3518" spans="1:1" x14ac:dyDescent="0.25">
      <c r="A3518" s="522"/>
    </row>
    <row r="3519" spans="1:1" x14ac:dyDescent="0.25">
      <c r="A3519" s="522"/>
    </row>
    <row r="3520" spans="1:1" x14ac:dyDescent="0.25">
      <c r="A3520" s="522"/>
    </row>
    <row r="3521" spans="1:1" x14ac:dyDescent="0.25">
      <c r="A3521" s="522"/>
    </row>
    <row r="3522" spans="1:1" x14ac:dyDescent="0.25">
      <c r="A3522" s="522"/>
    </row>
    <row r="3523" spans="1:1" x14ac:dyDescent="0.25">
      <c r="A3523" s="522"/>
    </row>
    <row r="3524" spans="1:1" x14ac:dyDescent="0.25">
      <c r="A3524" s="522"/>
    </row>
    <row r="3525" spans="1:1" x14ac:dyDescent="0.25">
      <c r="A3525" s="522"/>
    </row>
    <row r="3526" spans="1:1" x14ac:dyDescent="0.25">
      <c r="A3526" s="522"/>
    </row>
    <row r="3527" spans="1:1" x14ac:dyDescent="0.25">
      <c r="A3527" s="522"/>
    </row>
    <row r="3528" spans="1:1" x14ac:dyDescent="0.25">
      <c r="A3528" s="522"/>
    </row>
    <row r="3529" spans="1:1" x14ac:dyDescent="0.25">
      <c r="A3529" s="522"/>
    </row>
    <row r="3530" spans="1:1" x14ac:dyDescent="0.25">
      <c r="A3530" s="522"/>
    </row>
    <row r="3531" spans="1:1" x14ac:dyDescent="0.25">
      <c r="A3531" s="522"/>
    </row>
    <row r="3532" spans="1:1" x14ac:dyDescent="0.25">
      <c r="A3532" s="522"/>
    </row>
    <row r="3533" spans="1:1" x14ac:dyDescent="0.25">
      <c r="A3533" s="522"/>
    </row>
    <row r="3534" spans="1:1" x14ac:dyDescent="0.25">
      <c r="A3534" s="522"/>
    </row>
    <row r="3535" spans="1:1" x14ac:dyDescent="0.25">
      <c r="A3535" s="522"/>
    </row>
    <row r="3536" spans="1:1" x14ac:dyDescent="0.25">
      <c r="A3536" s="522"/>
    </row>
    <row r="3537" spans="1:1" x14ac:dyDescent="0.25">
      <c r="A3537" s="522"/>
    </row>
    <row r="3538" spans="1:1" x14ac:dyDescent="0.25">
      <c r="A3538" s="522"/>
    </row>
    <row r="3539" spans="1:1" x14ac:dyDescent="0.25">
      <c r="A3539" s="522"/>
    </row>
    <row r="3540" spans="1:1" x14ac:dyDescent="0.25">
      <c r="A3540" s="522"/>
    </row>
    <row r="3541" spans="1:1" x14ac:dyDescent="0.25">
      <c r="A3541" s="522"/>
    </row>
    <row r="3542" spans="1:1" x14ac:dyDescent="0.25">
      <c r="A3542" s="522"/>
    </row>
    <row r="3543" spans="1:1" x14ac:dyDescent="0.25">
      <c r="A3543" s="522"/>
    </row>
    <row r="3544" spans="1:1" x14ac:dyDescent="0.25">
      <c r="A3544" s="522"/>
    </row>
    <row r="3545" spans="1:1" x14ac:dyDescent="0.25">
      <c r="A3545" s="522"/>
    </row>
    <row r="3546" spans="1:1" x14ac:dyDescent="0.25">
      <c r="A3546" s="522"/>
    </row>
    <row r="3547" spans="1:1" x14ac:dyDescent="0.25">
      <c r="A3547" s="522"/>
    </row>
    <row r="3548" spans="1:1" x14ac:dyDescent="0.25">
      <c r="A3548" s="522"/>
    </row>
    <row r="3549" spans="1:1" x14ac:dyDescent="0.25">
      <c r="A3549" s="522"/>
    </row>
    <row r="3550" spans="1:1" x14ac:dyDescent="0.25">
      <c r="A3550" s="522"/>
    </row>
    <row r="3551" spans="1:1" x14ac:dyDescent="0.25">
      <c r="A3551" s="522"/>
    </row>
    <row r="3552" spans="1:1" x14ac:dyDescent="0.25">
      <c r="A3552" s="522"/>
    </row>
    <row r="3553" spans="1:1" x14ac:dyDescent="0.25">
      <c r="A3553" s="522"/>
    </row>
    <row r="3554" spans="1:1" x14ac:dyDescent="0.25">
      <c r="A3554" s="522"/>
    </row>
    <row r="3555" spans="1:1" x14ac:dyDescent="0.25">
      <c r="A3555" s="522"/>
    </row>
    <row r="3556" spans="1:1" x14ac:dyDescent="0.25">
      <c r="A3556" s="522"/>
    </row>
    <row r="3557" spans="1:1" x14ac:dyDescent="0.25">
      <c r="A3557" s="522"/>
    </row>
    <row r="3558" spans="1:1" x14ac:dyDescent="0.25">
      <c r="A3558" s="522"/>
    </row>
    <row r="3559" spans="1:1" x14ac:dyDescent="0.25">
      <c r="A3559" s="522"/>
    </row>
    <row r="3560" spans="1:1" x14ac:dyDescent="0.25">
      <c r="A3560" s="522"/>
    </row>
    <row r="3561" spans="1:1" x14ac:dyDescent="0.25">
      <c r="A3561" s="522"/>
    </row>
    <row r="3562" spans="1:1" x14ac:dyDescent="0.25">
      <c r="A3562" s="522"/>
    </row>
    <row r="3563" spans="1:1" x14ac:dyDescent="0.25">
      <c r="A3563" s="522"/>
    </row>
    <row r="3564" spans="1:1" x14ac:dyDescent="0.25">
      <c r="A3564" s="522"/>
    </row>
    <row r="3565" spans="1:1" x14ac:dyDescent="0.25">
      <c r="A3565" s="522"/>
    </row>
    <row r="3566" spans="1:1" x14ac:dyDescent="0.25">
      <c r="A3566" s="522"/>
    </row>
    <row r="3567" spans="1:1" x14ac:dyDescent="0.25">
      <c r="A3567" s="522"/>
    </row>
    <row r="3568" spans="1:1" x14ac:dyDescent="0.25">
      <c r="A3568" s="522"/>
    </row>
    <row r="3569" spans="1:1" x14ac:dyDescent="0.25">
      <c r="A3569" s="522"/>
    </row>
    <row r="3570" spans="1:1" x14ac:dyDescent="0.25">
      <c r="A3570" s="522"/>
    </row>
    <row r="3571" spans="1:1" x14ac:dyDescent="0.25">
      <c r="A3571" s="522"/>
    </row>
    <row r="3572" spans="1:1" x14ac:dyDescent="0.25">
      <c r="A3572" s="522"/>
    </row>
    <row r="3573" spans="1:1" x14ac:dyDescent="0.25">
      <c r="A3573" s="522"/>
    </row>
    <row r="3574" spans="1:1" x14ac:dyDescent="0.25">
      <c r="A3574" s="522"/>
    </row>
    <row r="3575" spans="1:1" x14ac:dyDescent="0.25">
      <c r="A3575" s="522"/>
    </row>
    <row r="3576" spans="1:1" x14ac:dyDescent="0.25">
      <c r="A3576" s="522"/>
    </row>
    <row r="3577" spans="1:1" x14ac:dyDescent="0.25">
      <c r="A3577" s="522"/>
    </row>
    <row r="3578" spans="1:1" x14ac:dyDescent="0.25">
      <c r="A3578" s="522"/>
    </row>
    <row r="3579" spans="1:1" x14ac:dyDescent="0.25">
      <c r="A3579" s="522"/>
    </row>
    <row r="3580" spans="1:1" x14ac:dyDescent="0.25">
      <c r="A3580" s="522"/>
    </row>
    <row r="3581" spans="1:1" x14ac:dyDescent="0.25">
      <c r="A3581" s="522"/>
    </row>
    <row r="3582" spans="1:1" x14ac:dyDescent="0.25">
      <c r="A3582" s="522"/>
    </row>
    <row r="3583" spans="1:1" x14ac:dyDescent="0.25">
      <c r="A3583" s="522"/>
    </row>
    <row r="3584" spans="1:1" x14ac:dyDescent="0.25">
      <c r="A3584" s="522"/>
    </row>
    <row r="3585" spans="1:1" x14ac:dyDescent="0.25">
      <c r="A3585" s="522"/>
    </row>
    <row r="3586" spans="1:1" x14ac:dyDescent="0.25">
      <c r="A3586" s="522"/>
    </row>
    <row r="3587" spans="1:1" x14ac:dyDescent="0.25">
      <c r="A3587" s="522"/>
    </row>
    <row r="3588" spans="1:1" x14ac:dyDescent="0.25">
      <c r="A3588" s="522"/>
    </row>
    <row r="3589" spans="1:1" x14ac:dyDescent="0.25">
      <c r="A3589" s="522"/>
    </row>
    <row r="3590" spans="1:1" x14ac:dyDescent="0.25">
      <c r="A3590" s="522"/>
    </row>
    <row r="3591" spans="1:1" x14ac:dyDescent="0.25">
      <c r="A3591" s="522"/>
    </row>
    <row r="3592" spans="1:1" x14ac:dyDescent="0.25">
      <c r="A3592" s="522"/>
    </row>
    <row r="3593" spans="1:1" x14ac:dyDescent="0.25">
      <c r="A3593" s="522"/>
    </row>
    <row r="3594" spans="1:1" x14ac:dyDescent="0.25">
      <c r="A3594" s="522"/>
    </row>
    <row r="3595" spans="1:1" x14ac:dyDescent="0.25">
      <c r="A3595" s="522"/>
    </row>
    <row r="3596" spans="1:1" x14ac:dyDescent="0.25">
      <c r="A3596" s="522"/>
    </row>
    <row r="3597" spans="1:1" x14ac:dyDescent="0.25">
      <c r="A3597" s="522"/>
    </row>
    <row r="3598" spans="1:1" x14ac:dyDescent="0.25">
      <c r="A3598" s="522"/>
    </row>
    <row r="3599" spans="1:1" x14ac:dyDescent="0.25">
      <c r="A3599" s="522"/>
    </row>
    <row r="3600" spans="1:1" x14ac:dyDescent="0.25">
      <c r="A3600" s="522"/>
    </row>
    <row r="3601" spans="1:1" x14ac:dyDescent="0.25">
      <c r="A3601" s="522"/>
    </row>
    <row r="3602" spans="1:1" x14ac:dyDescent="0.25">
      <c r="A3602" s="522"/>
    </row>
    <row r="3603" spans="1:1" x14ac:dyDescent="0.25">
      <c r="A3603" s="522"/>
    </row>
    <row r="3604" spans="1:1" x14ac:dyDescent="0.25">
      <c r="A3604" s="522"/>
    </row>
    <row r="3605" spans="1:1" x14ac:dyDescent="0.25">
      <c r="A3605" s="522"/>
    </row>
    <row r="3606" spans="1:1" x14ac:dyDescent="0.25">
      <c r="A3606" s="522"/>
    </row>
    <row r="3607" spans="1:1" x14ac:dyDescent="0.25">
      <c r="A3607" s="522"/>
    </row>
    <row r="3608" spans="1:1" x14ac:dyDescent="0.25">
      <c r="A3608" s="522"/>
    </row>
    <row r="3609" spans="1:1" x14ac:dyDescent="0.25">
      <c r="A3609" s="522"/>
    </row>
    <row r="3610" spans="1:1" x14ac:dyDescent="0.25">
      <c r="A3610" s="522"/>
    </row>
    <row r="3611" spans="1:1" x14ac:dyDescent="0.25">
      <c r="A3611" s="522"/>
    </row>
    <row r="3612" spans="1:1" x14ac:dyDescent="0.25">
      <c r="A3612" s="522"/>
    </row>
    <row r="3613" spans="1:1" x14ac:dyDescent="0.25">
      <c r="A3613" s="522"/>
    </row>
    <row r="3614" spans="1:1" x14ac:dyDescent="0.25">
      <c r="A3614" s="522"/>
    </row>
    <row r="3615" spans="1:1" x14ac:dyDescent="0.25">
      <c r="A3615" s="522"/>
    </row>
    <row r="3616" spans="1:1" x14ac:dyDescent="0.25">
      <c r="A3616" s="522"/>
    </row>
    <row r="3617" spans="1:1" x14ac:dyDescent="0.25">
      <c r="A3617" s="522"/>
    </row>
    <row r="3618" spans="1:1" x14ac:dyDescent="0.25">
      <c r="A3618" s="522"/>
    </row>
    <row r="3619" spans="1:1" x14ac:dyDescent="0.25">
      <c r="A3619" s="522"/>
    </row>
    <row r="3620" spans="1:1" x14ac:dyDescent="0.25">
      <c r="A3620" s="522"/>
    </row>
    <row r="3621" spans="1:1" x14ac:dyDescent="0.25">
      <c r="A3621" s="522"/>
    </row>
    <row r="3622" spans="1:1" x14ac:dyDescent="0.25">
      <c r="A3622" s="522"/>
    </row>
    <row r="3623" spans="1:1" x14ac:dyDescent="0.25">
      <c r="A3623" s="522"/>
    </row>
    <row r="3624" spans="1:1" x14ac:dyDescent="0.25">
      <c r="A3624" s="522"/>
    </row>
    <row r="3625" spans="1:1" x14ac:dyDescent="0.25">
      <c r="A3625" s="522"/>
    </row>
    <row r="3626" spans="1:1" x14ac:dyDescent="0.25">
      <c r="A3626" s="522"/>
    </row>
    <row r="3627" spans="1:1" x14ac:dyDescent="0.25">
      <c r="A3627" s="522"/>
    </row>
    <row r="3628" spans="1:1" x14ac:dyDescent="0.25">
      <c r="A3628" s="522"/>
    </row>
    <row r="3629" spans="1:1" x14ac:dyDescent="0.25">
      <c r="A3629" s="522"/>
    </row>
    <row r="3630" spans="1:1" x14ac:dyDescent="0.25">
      <c r="A3630" s="522"/>
    </row>
    <row r="3631" spans="1:1" x14ac:dyDescent="0.25">
      <c r="A3631" s="522"/>
    </row>
    <row r="3632" spans="1:1" x14ac:dyDescent="0.25">
      <c r="A3632" s="522"/>
    </row>
    <row r="3633" spans="1:1" x14ac:dyDescent="0.25">
      <c r="A3633" s="522"/>
    </row>
    <row r="3634" spans="1:1" x14ac:dyDescent="0.25">
      <c r="A3634" s="522"/>
    </row>
    <row r="3635" spans="1:1" x14ac:dyDescent="0.25">
      <c r="A3635" s="522"/>
    </row>
    <row r="3636" spans="1:1" x14ac:dyDescent="0.25">
      <c r="A3636" s="522"/>
    </row>
    <row r="3637" spans="1:1" x14ac:dyDescent="0.25">
      <c r="A3637" s="522"/>
    </row>
    <row r="3638" spans="1:1" x14ac:dyDescent="0.25">
      <c r="A3638" s="522"/>
    </row>
    <row r="3639" spans="1:1" x14ac:dyDescent="0.25">
      <c r="A3639" s="522"/>
    </row>
    <row r="3640" spans="1:1" x14ac:dyDescent="0.25">
      <c r="A3640" s="522"/>
    </row>
    <row r="3641" spans="1:1" x14ac:dyDescent="0.25">
      <c r="A3641" s="522"/>
    </row>
    <row r="3642" spans="1:1" x14ac:dyDescent="0.25">
      <c r="A3642" s="522"/>
    </row>
    <row r="3643" spans="1:1" x14ac:dyDescent="0.25">
      <c r="A3643" s="522"/>
    </row>
    <row r="3644" spans="1:1" x14ac:dyDescent="0.25">
      <c r="A3644" s="522"/>
    </row>
    <row r="3645" spans="1:1" x14ac:dyDescent="0.25">
      <c r="A3645" s="522"/>
    </row>
    <row r="3646" spans="1:1" x14ac:dyDescent="0.25">
      <c r="A3646" s="522"/>
    </row>
    <row r="3647" spans="1:1" x14ac:dyDescent="0.25">
      <c r="A3647" s="522"/>
    </row>
    <row r="3648" spans="1:1" x14ac:dyDescent="0.25">
      <c r="A3648" s="522"/>
    </row>
    <row r="3649" spans="1:1" x14ac:dyDescent="0.25">
      <c r="A3649" s="522"/>
    </row>
    <row r="3650" spans="1:1" x14ac:dyDescent="0.25">
      <c r="A3650" s="522"/>
    </row>
    <row r="3651" spans="1:1" x14ac:dyDescent="0.25">
      <c r="A3651" s="522"/>
    </row>
    <row r="3652" spans="1:1" x14ac:dyDescent="0.25">
      <c r="A3652" s="522"/>
    </row>
    <row r="3653" spans="1:1" x14ac:dyDescent="0.25">
      <c r="A3653" s="522"/>
    </row>
    <row r="3654" spans="1:1" x14ac:dyDescent="0.25">
      <c r="A3654" s="522"/>
    </row>
    <row r="3655" spans="1:1" x14ac:dyDescent="0.25">
      <c r="A3655" s="522"/>
    </row>
    <row r="3656" spans="1:1" x14ac:dyDescent="0.25">
      <c r="A3656" s="522"/>
    </row>
    <row r="3657" spans="1:1" x14ac:dyDescent="0.25">
      <c r="A3657" s="522"/>
    </row>
    <row r="3658" spans="1:1" x14ac:dyDescent="0.25">
      <c r="A3658" s="522"/>
    </row>
    <row r="3659" spans="1:1" x14ac:dyDescent="0.25">
      <c r="A3659" s="522"/>
    </row>
    <row r="3660" spans="1:1" x14ac:dyDescent="0.25">
      <c r="A3660" s="522"/>
    </row>
    <row r="3661" spans="1:1" x14ac:dyDescent="0.25">
      <c r="A3661" s="522"/>
    </row>
    <row r="3662" spans="1:1" x14ac:dyDescent="0.25">
      <c r="A3662" s="522"/>
    </row>
    <row r="3663" spans="1:1" x14ac:dyDescent="0.25">
      <c r="A3663" s="522"/>
    </row>
    <row r="3664" spans="1:1" x14ac:dyDescent="0.25">
      <c r="A3664" s="522"/>
    </row>
    <row r="3665" spans="1:1" x14ac:dyDescent="0.25">
      <c r="A3665" s="522"/>
    </row>
    <row r="3666" spans="1:1" x14ac:dyDescent="0.25">
      <c r="A3666" s="522"/>
    </row>
    <row r="3667" spans="1:1" x14ac:dyDescent="0.25">
      <c r="A3667" s="522"/>
    </row>
    <row r="3668" spans="1:1" x14ac:dyDescent="0.25">
      <c r="A3668" s="522"/>
    </row>
    <row r="3669" spans="1:1" x14ac:dyDescent="0.25">
      <c r="A3669" s="522"/>
    </row>
    <row r="3670" spans="1:1" x14ac:dyDescent="0.25">
      <c r="A3670" s="522"/>
    </row>
    <row r="3671" spans="1:1" x14ac:dyDescent="0.25">
      <c r="A3671" s="522"/>
    </row>
    <row r="3672" spans="1:1" x14ac:dyDescent="0.25">
      <c r="A3672" s="522"/>
    </row>
    <row r="3673" spans="1:1" x14ac:dyDescent="0.25">
      <c r="A3673" s="522"/>
    </row>
    <row r="3674" spans="1:1" x14ac:dyDescent="0.25">
      <c r="A3674" s="522"/>
    </row>
    <row r="3675" spans="1:1" x14ac:dyDescent="0.25">
      <c r="A3675" s="522"/>
    </row>
    <row r="3676" spans="1:1" x14ac:dyDescent="0.25">
      <c r="A3676" s="522"/>
    </row>
    <row r="3677" spans="1:1" x14ac:dyDescent="0.25">
      <c r="A3677" s="522"/>
    </row>
    <row r="3678" spans="1:1" x14ac:dyDescent="0.25">
      <c r="A3678" s="522"/>
    </row>
    <row r="3679" spans="1:1" x14ac:dyDescent="0.25">
      <c r="A3679" s="522"/>
    </row>
    <row r="3680" spans="1:1" x14ac:dyDescent="0.25">
      <c r="A3680" s="522"/>
    </row>
    <row r="3681" spans="1:1" x14ac:dyDescent="0.25">
      <c r="A3681" s="522"/>
    </row>
    <row r="3682" spans="1:1" x14ac:dyDescent="0.25">
      <c r="A3682" s="522"/>
    </row>
    <row r="3683" spans="1:1" x14ac:dyDescent="0.25">
      <c r="A3683" s="522"/>
    </row>
    <row r="3684" spans="1:1" x14ac:dyDescent="0.25">
      <c r="A3684" s="522"/>
    </row>
    <row r="3685" spans="1:1" x14ac:dyDescent="0.25">
      <c r="A3685" s="522"/>
    </row>
    <row r="3686" spans="1:1" x14ac:dyDescent="0.25">
      <c r="A3686" s="522"/>
    </row>
    <row r="3687" spans="1:1" x14ac:dyDescent="0.25">
      <c r="A3687" s="522"/>
    </row>
    <row r="3688" spans="1:1" x14ac:dyDescent="0.25">
      <c r="A3688" s="522"/>
    </row>
    <row r="3689" spans="1:1" x14ac:dyDescent="0.25">
      <c r="A3689" s="522"/>
    </row>
    <row r="3690" spans="1:1" x14ac:dyDescent="0.25">
      <c r="A3690" s="522"/>
    </row>
    <row r="3691" spans="1:1" x14ac:dyDescent="0.25">
      <c r="A3691" s="522"/>
    </row>
    <row r="3692" spans="1:1" x14ac:dyDescent="0.25">
      <c r="A3692" s="522"/>
    </row>
    <row r="3693" spans="1:1" x14ac:dyDescent="0.25">
      <c r="A3693" s="522"/>
    </row>
    <row r="3694" spans="1:1" x14ac:dyDescent="0.25">
      <c r="A3694" s="522"/>
    </row>
    <row r="3695" spans="1:1" x14ac:dyDescent="0.25">
      <c r="A3695" s="522"/>
    </row>
    <row r="3696" spans="1:1" x14ac:dyDescent="0.25">
      <c r="A3696" s="522"/>
    </row>
    <row r="3697" spans="1:1" x14ac:dyDescent="0.25">
      <c r="A3697" s="522"/>
    </row>
    <row r="3698" spans="1:1" x14ac:dyDescent="0.25">
      <c r="A3698" s="522"/>
    </row>
    <row r="3699" spans="1:1" x14ac:dyDescent="0.25">
      <c r="A3699" s="522"/>
    </row>
    <row r="3700" spans="1:1" x14ac:dyDescent="0.25">
      <c r="A3700" s="522"/>
    </row>
    <row r="3701" spans="1:1" x14ac:dyDescent="0.25">
      <c r="A3701" s="522"/>
    </row>
    <row r="3702" spans="1:1" x14ac:dyDescent="0.25">
      <c r="A3702" s="522"/>
    </row>
    <row r="3703" spans="1:1" x14ac:dyDescent="0.25">
      <c r="A3703" s="522"/>
    </row>
    <row r="3704" spans="1:1" x14ac:dyDescent="0.25">
      <c r="A3704" s="522"/>
    </row>
    <row r="3705" spans="1:1" x14ac:dyDescent="0.25">
      <c r="A3705" s="522"/>
    </row>
    <row r="3706" spans="1:1" x14ac:dyDescent="0.25">
      <c r="A3706" s="522"/>
    </row>
    <row r="3707" spans="1:1" x14ac:dyDescent="0.25">
      <c r="A3707" s="522"/>
    </row>
    <row r="3708" spans="1:1" x14ac:dyDescent="0.25">
      <c r="A3708" s="522"/>
    </row>
    <row r="3709" spans="1:1" x14ac:dyDescent="0.25">
      <c r="A3709" s="522"/>
    </row>
    <row r="3710" spans="1:1" x14ac:dyDescent="0.25">
      <c r="A3710" s="522"/>
    </row>
    <row r="3711" spans="1:1" x14ac:dyDescent="0.25">
      <c r="A3711" s="522"/>
    </row>
    <row r="3712" spans="1:1" x14ac:dyDescent="0.25">
      <c r="A3712" s="522"/>
    </row>
    <row r="3713" spans="1:1" x14ac:dyDescent="0.25">
      <c r="A3713" s="522"/>
    </row>
    <row r="3714" spans="1:1" x14ac:dyDescent="0.25">
      <c r="A3714" s="522"/>
    </row>
    <row r="3715" spans="1:1" x14ac:dyDescent="0.25">
      <c r="A3715" s="522"/>
    </row>
    <row r="3716" spans="1:1" x14ac:dyDescent="0.25">
      <c r="A3716" s="522"/>
    </row>
    <row r="3717" spans="1:1" x14ac:dyDescent="0.25">
      <c r="A3717" s="522"/>
    </row>
    <row r="3718" spans="1:1" x14ac:dyDescent="0.25">
      <c r="A3718" s="522"/>
    </row>
    <row r="3719" spans="1:1" x14ac:dyDescent="0.25">
      <c r="A3719" s="522"/>
    </row>
    <row r="3720" spans="1:1" x14ac:dyDescent="0.25">
      <c r="A3720" s="522"/>
    </row>
    <row r="3721" spans="1:1" x14ac:dyDescent="0.25">
      <c r="A3721" s="522"/>
    </row>
    <row r="3722" spans="1:1" x14ac:dyDescent="0.25">
      <c r="A3722" s="522"/>
    </row>
    <row r="3723" spans="1:1" x14ac:dyDescent="0.25">
      <c r="A3723" s="522"/>
    </row>
    <row r="3724" spans="1:1" x14ac:dyDescent="0.25">
      <c r="A3724" s="522"/>
    </row>
    <row r="3725" spans="1:1" x14ac:dyDescent="0.25">
      <c r="A3725" s="522"/>
    </row>
    <row r="3726" spans="1:1" x14ac:dyDescent="0.25">
      <c r="A3726" s="522"/>
    </row>
    <row r="3727" spans="1:1" x14ac:dyDescent="0.25">
      <c r="A3727" s="522"/>
    </row>
    <row r="3728" spans="1:1" x14ac:dyDescent="0.25">
      <c r="A3728" s="522"/>
    </row>
    <row r="3729" spans="1:1" x14ac:dyDescent="0.25">
      <c r="A3729" s="522"/>
    </row>
    <row r="3730" spans="1:1" x14ac:dyDescent="0.25">
      <c r="A3730" s="522"/>
    </row>
    <row r="3731" spans="1:1" x14ac:dyDescent="0.25">
      <c r="A3731" s="522"/>
    </row>
    <row r="3732" spans="1:1" x14ac:dyDescent="0.25">
      <c r="A3732" s="522"/>
    </row>
    <row r="3733" spans="1:1" x14ac:dyDescent="0.25">
      <c r="A3733" s="522"/>
    </row>
    <row r="3734" spans="1:1" x14ac:dyDescent="0.25">
      <c r="A3734" s="522"/>
    </row>
    <row r="3735" spans="1:1" x14ac:dyDescent="0.25">
      <c r="A3735" s="522"/>
    </row>
    <row r="3736" spans="1:1" x14ac:dyDescent="0.25">
      <c r="A3736" s="522"/>
    </row>
    <row r="3737" spans="1:1" x14ac:dyDescent="0.25">
      <c r="A3737" s="522"/>
    </row>
    <row r="3738" spans="1:1" x14ac:dyDescent="0.25">
      <c r="A3738" s="522"/>
    </row>
    <row r="3739" spans="1:1" x14ac:dyDescent="0.25">
      <c r="A3739" s="522"/>
    </row>
    <row r="3740" spans="1:1" x14ac:dyDescent="0.25">
      <c r="A3740" s="522"/>
    </row>
    <row r="3741" spans="1:1" x14ac:dyDescent="0.25">
      <c r="A3741" s="522"/>
    </row>
    <row r="3742" spans="1:1" x14ac:dyDescent="0.25">
      <c r="A3742" s="522"/>
    </row>
    <row r="3743" spans="1:1" x14ac:dyDescent="0.25">
      <c r="A3743" s="522"/>
    </row>
    <row r="3744" spans="1:1" x14ac:dyDescent="0.25">
      <c r="A3744" s="522"/>
    </row>
    <row r="3745" spans="1:1" x14ac:dyDescent="0.25">
      <c r="A3745" s="522"/>
    </row>
    <row r="3746" spans="1:1" x14ac:dyDescent="0.25">
      <c r="A3746" s="522"/>
    </row>
    <row r="3747" spans="1:1" x14ac:dyDescent="0.25">
      <c r="A3747" s="522"/>
    </row>
    <row r="3748" spans="1:1" x14ac:dyDescent="0.25">
      <c r="A3748" s="522"/>
    </row>
    <row r="3749" spans="1:1" x14ac:dyDescent="0.25">
      <c r="A3749" s="522"/>
    </row>
    <row r="3750" spans="1:1" x14ac:dyDescent="0.25">
      <c r="A3750" s="522"/>
    </row>
    <row r="3751" spans="1:1" x14ac:dyDescent="0.25">
      <c r="A3751" s="522"/>
    </row>
    <row r="3752" spans="1:1" x14ac:dyDescent="0.25">
      <c r="A3752" s="522"/>
    </row>
    <row r="3753" spans="1:1" x14ac:dyDescent="0.25">
      <c r="A3753" s="522"/>
    </row>
    <row r="3754" spans="1:1" x14ac:dyDescent="0.25">
      <c r="A3754" s="522"/>
    </row>
    <row r="3755" spans="1:1" x14ac:dyDescent="0.25">
      <c r="A3755" s="522"/>
    </row>
    <row r="3756" spans="1:1" x14ac:dyDescent="0.25">
      <c r="A3756" s="522"/>
    </row>
    <row r="3757" spans="1:1" x14ac:dyDescent="0.25">
      <c r="A3757" s="522"/>
    </row>
    <row r="3758" spans="1:1" x14ac:dyDescent="0.25">
      <c r="A3758" s="522"/>
    </row>
    <row r="3759" spans="1:1" x14ac:dyDescent="0.25">
      <c r="A3759" s="522"/>
    </row>
    <row r="3760" spans="1:1" x14ac:dyDescent="0.25">
      <c r="A3760" s="522"/>
    </row>
    <row r="3761" spans="1:1" x14ac:dyDescent="0.25">
      <c r="A3761" s="522"/>
    </row>
    <row r="3762" spans="1:1" x14ac:dyDescent="0.25">
      <c r="A3762" s="522"/>
    </row>
    <row r="3763" spans="1:1" x14ac:dyDescent="0.25">
      <c r="A3763" s="522"/>
    </row>
    <row r="3764" spans="1:1" x14ac:dyDescent="0.25">
      <c r="A3764" s="522"/>
    </row>
    <row r="3765" spans="1:1" x14ac:dyDescent="0.25">
      <c r="A3765" s="522"/>
    </row>
    <row r="3766" spans="1:1" x14ac:dyDescent="0.25">
      <c r="A3766" s="522"/>
    </row>
    <row r="3767" spans="1:1" x14ac:dyDescent="0.25">
      <c r="A3767" s="522"/>
    </row>
    <row r="3768" spans="1:1" x14ac:dyDescent="0.25">
      <c r="A3768" s="522"/>
    </row>
    <row r="3769" spans="1:1" x14ac:dyDescent="0.25">
      <c r="A3769" s="522"/>
    </row>
    <row r="3770" spans="1:1" x14ac:dyDescent="0.25">
      <c r="A3770" s="522"/>
    </row>
    <row r="3771" spans="1:1" x14ac:dyDescent="0.25">
      <c r="A3771" s="522"/>
    </row>
    <row r="3772" spans="1:1" x14ac:dyDescent="0.25">
      <c r="A3772" s="522"/>
    </row>
    <row r="3773" spans="1:1" x14ac:dyDescent="0.25">
      <c r="A3773" s="522"/>
    </row>
    <row r="3774" spans="1:1" x14ac:dyDescent="0.25">
      <c r="A3774" s="522"/>
    </row>
    <row r="3775" spans="1:1" x14ac:dyDescent="0.25">
      <c r="A3775" s="522"/>
    </row>
    <row r="3776" spans="1:1" x14ac:dyDescent="0.25">
      <c r="A3776" s="522"/>
    </row>
    <row r="3777" spans="1:1" x14ac:dyDescent="0.25">
      <c r="A3777" s="522"/>
    </row>
    <row r="3778" spans="1:1" x14ac:dyDescent="0.25">
      <c r="A3778" s="522"/>
    </row>
    <row r="3779" spans="1:1" x14ac:dyDescent="0.25">
      <c r="A3779" s="522"/>
    </row>
    <row r="3780" spans="1:1" x14ac:dyDescent="0.25">
      <c r="A3780" s="522"/>
    </row>
    <row r="3781" spans="1:1" x14ac:dyDescent="0.25">
      <c r="A3781" s="522"/>
    </row>
    <row r="3782" spans="1:1" x14ac:dyDescent="0.25">
      <c r="A3782" s="522"/>
    </row>
    <row r="3783" spans="1:1" x14ac:dyDescent="0.25">
      <c r="A3783" s="522"/>
    </row>
    <row r="3784" spans="1:1" x14ac:dyDescent="0.25">
      <c r="A3784" s="522"/>
    </row>
    <row r="3785" spans="1:1" x14ac:dyDescent="0.25">
      <c r="A3785" s="522"/>
    </row>
    <row r="3786" spans="1:1" x14ac:dyDescent="0.25">
      <c r="A3786" s="522"/>
    </row>
    <row r="3787" spans="1:1" x14ac:dyDescent="0.25">
      <c r="A3787" s="522"/>
    </row>
    <row r="3788" spans="1:1" x14ac:dyDescent="0.25">
      <c r="A3788" s="522"/>
    </row>
    <row r="3789" spans="1:1" x14ac:dyDescent="0.25">
      <c r="A3789" s="522"/>
    </row>
    <row r="3790" spans="1:1" x14ac:dyDescent="0.25">
      <c r="A3790" s="522"/>
    </row>
    <row r="3791" spans="1:1" x14ac:dyDescent="0.25">
      <c r="A3791" s="522"/>
    </row>
    <row r="3792" spans="1:1" x14ac:dyDescent="0.25">
      <c r="A3792" s="522"/>
    </row>
    <row r="3793" spans="1:1" x14ac:dyDescent="0.25">
      <c r="A3793" s="522"/>
    </row>
    <row r="3794" spans="1:1" x14ac:dyDescent="0.25">
      <c r="A3794" s="522"/>
    </row>
    <row r="3795" spans="1:1" x14ac:dyDescent="0.25">
      <c r="A3795" s="522"/>
    </row>
    <row r="3796" spans="1:1" x14ac:dyDescent="0.25">
      <c r="A3796" s="522"/>
    </row>
    <row r="3797" spans="1:1" x14ac:dyDescent="0.25">
      <c r="A3797" s="522"/>
    </row>
    <row r="3798" spans="1:1" x14ac:dyDescent="0.25">
      <c r="A3798" s="522"/>
    </row>
    <row r="3799" spans="1:1" x14ac:dyDescent="0.25">
      <c r="A3799" s="522"/>
    </row>
    <row r="3800" spans="1:1" x14ac:dyDescent="0.25">
      <c r="A3800" s="522"/>
    </row>
    <row r="3801" spans="1:1" x14ac:dyDescent="0.25">
      <c r="A3801" s="522"/>
    </row>
    <row r="3802" spans="1:1" x14ac:dyDescent="0.25">
      <c r="A3802" s="522"/>
    </row>
    <row r="3803" spans="1:1" x14ac:dyDescent="0.25">
      <c r="A3803" s="522"/>
    </row>
    <row r="3804" spans="1:1" x14ac:dyDescent="0.25">
      <c r="A3804" s="522"/>
    </row>
    <row r="3805" spans="1:1" x14ac:dyDescent="0.25">
      <c r="A3805" s="522"/>
    </row>
    <row r="3806" spans="1:1" x14ac:dyDescent="0.25">
      <c r="A3806" s="522"/>
    </row>
    <row r="3807" spans="1:1" x14ac:dyDescent="0.25">
      <c r="A3807" s="522"/>
    </row>
    <row r="3808" spans="1:1" x14ac:dyDescent="0.25">
      <c r="A3808" s="522"/>
    </row>
    <row r="3809" spans="1:1" x14ac:dyDescent="0.25">
      <c r="A3809" s="522"/>
    </row>
    <row r="3810" spans="1:1" x14ac:dyDescent="0.25">
      <c r="A3810" s="522"/>
    </row>
    <row r="3811" spans="1:1" x14ac:dyDescent="0.25">
      <c r="A3811" s="522"/>
    </row>
    <row r="3812" spans="1:1" x14ac:dyDescent="0.25">
      <c r="A3812" s="522"/>
    </row>
    <row r="3813" spans="1:1" x14ac:dyDescent="0.25">
      <c r="A3813" s="522"/>
    </row>
    <row r="3814" spans="1:1" x14ac:dyDescent="0.25">
      <c r="A3814" s="522"/>
    </row>
    <row r="3815" spans="1:1" x14ac:dyDescent="0.25">
      <c r="A3815" s="522"/>
    </row>
    <row r="3816" spans="1:1" x14ac:dyDescent="0.25">
      <c r="A3816" s="522"/>
    </row>
    <row r="3817" spans="1:1" x14ac:dyDescent="0.25">
      <c r="A3817" s="522"/>
    </row>
    <row r="3818" spans="1:1" x14ac:dyDescent="0.25">
      <c r="A3818" s="522"/>
    </row>
    <row r="3819" spans="1:1" x14ac:dyDescent="0.25">
      <c r="A3819" s="522"/>
    </row>
    <row r="3820" spans="1:1" x14ac:dyDescent="0.25">
      <c r="A3820" s="522"/>
    </row>
    <row r="3821" spans="1:1" x14ac:dyDescent="0.25">
      <c r="A3821" s="522"/>
    </row>
    <row r="3822" spans="1:1" x14ac:dyDescent="0.25">
      <c r="A3822" s="522"/>
    </row>
    <row r="3823" spans="1:1" x14ac:dyDescent="0.25">
      <c r="A3823" s="522"/>
    </row>
    <row r="3824" spans="1:1" x14ac:dyDescent="0.25">
      <c r="A3824" s="522"/>
    </row>
    <row r="3825" spans="1:1" x14ac:dyDescent="0.25">
      <c r="A3825" s="522"/>
    </row>
    <row r="3826" spans="1:1" x14ac:dyDescent="0.25">
      <c r="A3826" s="522"/>
    </row>
    <row r="3827" spans="1:1" x14ac:dyDescent="0.25">
      <c r="A3827" s="522"/>
    </row>
    <row r="3828" spans="1:1" x14ac:dyDescent="0.25">
      <c r="A3828" s="522"/>
    </row>
    <row r="3829" spans="1:1" x14ac:dyDescent="0.25">
      <c r="A3829" s="522"/>
    </row>
    <row r="3830" spans="1:1" x14ac:dyDescent="0.25">
      <c r="A3830" s="522"/>
    </row>
    <row r="3831" spans="1:1" x14ac:dyDescent="0.25">
      <c r="A3831" s="522"/>
    </row>
    <row r="3832" spans="1:1" x14ac:dyDescent="0.25">
      <c r="A3832" s="522"/>
    </row>
    <row r="3833" spans="1:1" x14ac:dyDescent="0.25">
      <c r="A3833" s="522"/>
    </row>
    <row r="3834" spans="1:1" x14ac:dyDescent="0.25">
      <c r="A3834" s="522"/>
    </row>
    <row r="3835" spans="1:1" x14ac:dyDescent="0.25">
      <c r="A3835" s="522"/>
    </row>
    <row r="3836" spans="1:1" x14ac:dyDescent="0.25">
      <c r="A3836" s="522"/>
    </row>
    <row r="3837" spans="1:1" x14ac:dyDescent="0.25">
      <c r="A3837" s="522"/>
    </row>
    <row r="3838" spans="1:1" x14ac:dyDescent="0.25">
      <c r="A3838" s="522"/>
    </row>
    <row r="3839" spans="1:1" x14ac:dyDescent="0.25">
      <c r="A3839" s="522"/>
    </row>
    <row r="3840" spans="1:1" x14ac:dyDescent="0.25">
      <c r="A3840" s="522"/>
    </row>
    <row r="3841" spans="1:1" x14ac:dyDescent="0.25">
      <c r="A3841" s="522"/>
    </row>
    <row r="3842" spans="1:1" x14ac:dyDescent="0.25">
      <c r="A3842" s="522"/>
    </row>
    <row r="3843" spans="1:1" x14ac:dyDescent="0.25">
      <c r="A3843" s="522"/>
    </row>
    <row r="3844" spans="1:1" x14ac:dyDescent="0.25">
      <c r="A3844" s="522"/>
    </row>
    <row r="3845" spans="1:1" x14ac:dyDescent="0.25">
      <c r="A3845" s="522"/>
    </row>
    <row r="3846" spans="1:1" x14ac:dyDescent="0.25">
      <c r="A3846" s="522"/>
    </row>
    <row r="3847" spans="1:1" x14ac:dyDescent="0.25">
      <c r="A3847" s="522"/>
    </row>
    <row r="3848" spans="1:1" x14ac:dyDescent="0.25">
      <c r="A3848" s="522"/>
    </row>
    <row r="3849" spans="1:1" x14ac:dyDescent="0.25">
      <c r="A3849" s="522"/>
    </row>
    <row r="3850" spans="1:1" x14ac:dyDescent="0.25">
      <c r="A3850" s="522"/>
    </row>
    <row r="3851" spans="1:1" x14ac:dyDescent="0.25">
      <c r="A3851" s="522"/>
    </row>
    <row r="3852" spans="1:1" x14ac:dyDescent="0.25">
      <c r="A3852" s="522"/>
    </row>
    <row r="3853" spans="1:1" x14ac:dyDescent="0.25">
      <c r="A3853" s="522"/>
    </row>
    <row r="3854" spans="1:1" x14ac:dyDescent="0.25">
      <c r="A3854" s="522"/>
    </row>
    <row r="3855" spans="1:1" x14ac:dyDescent="0.25">
      <c r="A3855" s="522"/>
    </row>
    <row r="3856" spans="1:1" x14ac:dyDescent="0.25">
      <c r="A3856" s="522"/>
    </row>
    <row r="3857" spans="1:1" x14ac:dyDescent="0.25">
      <c r="A3857" s="522"/>
    </row>
    <row r="3858" spans="1:1" x14ac:dyDescent="0.25">
      <c r="A3858" s="522"/>
    </row>
    <row r="3859" spans="1:1" x14ac:dyDescent="0.25">
      <c r="A3859" s="522"/>
    </row>
    <row r="3860" spans="1:1" x14ac:dyDescent="0.25">
      <c r="A3860" s="522"/>
    </row>
    <row r="3861" spans="1:1" x14ac:dyDescent="0.25">
      <c r="A3861" s="522"/>
    </row>
    <row r="3862" spans="1:1" x14ac:dyDescent="0.25">
      <c r="A3862" s="522"/>
    </row>
    <row r="3863" spans="1:1" x14ac:dyDescent="0.25">
      <c r="A3863" s="522"/>
    </row>
    <row r="3864" spans="1:1" x14ac:dyDescent="0.25">
      <c r="A3864" s="522"/>
    </row>
    <row r="3865" spans="1:1" x14ac:dyDescent="0.25">
      <c r="A3865" s="522"/>
    </row>
    <row r="3866" spans="1:1" x14ac:dyDescent="0.25">
      <c r="A3866" s="522"/>
    </row>
    <row r="3867" spans="1:1" x14ac:dyDescent="0.25">
      <c r="A3867" s="522"/>
    </row>
    <row r="3868" spans="1:1" x14ac:dyDescent="0.25">
      <c r="A3868" s="522"/>
    </row>
    <row r="3869" spans="1:1" x14ac:dyDescent="0.25">
      <c r="A3869" s="522"/>
    </row>
    <row r="3870" spans="1:1" x14ac:dyDescent="0.25">
      <c r="A3870" s="522"/>
    </row>
    <row r="3871" spans="1:1" x14ac:dyDescent="0.25">
      <c r="A3871" s="522"/>
    </row>
    <row r="3872" spans="1:1" x14ac:dyDescent="0.25">
      <c r="A3872" s="522"/>
    </row>
    <row r="3873" spans="1:1" x14ac:dyDescent="0.25">
      <c r="A3873" s="522"/>
    </row>
    <row r="3874" spans="1:1" x14ac:dyDescent="0.25">
      <c r="A3874" s="522"/>
    </row>
    <row r="3875" spans="1:1" x14ac:dyDescent="0.25">
      <c r="A3875" s="522"/>
    </row>
    <row r="3876" spans="1:1" x14ac:dyDescent="0.25">
      <c r="A3876" s="522"/>
    </row>
    <row r="3877" spans="1:1" x14ac:dyDescent="0.25">
      <c r="A3877" s="522"/>
    </row>
    <row r="3878" spans="1:1" x14ac:dyDescent="0.25">
      <c r="A3878" s="522"/>
    </row>
    <row r="3879" spans="1:1" x14ac:dyDescent="0.25">
      <c r="A3879" s="522"/>
    </row>
    <row r="3880" spans="1:1" x14ac:dyDescent="0.25">
      <c r="A3880" s="522"/>
    </row>
    <row r="3881" spans="1:1" x14ac:dyDescent="0.25">
      <c r="A3881" s="522"/>
    </row>
    <row r="3882" spans="1:1" x14ac:dyDescent="0.25">
      <c r="A3882" s="522"/>
    </row>
    <row r="3883" spans="1:1" x14ac:dyDescent="0.25">
      <c r="A3883" s="522"/>
    </row>
    <row r="3884" spans="1:1" x14ac:dyDescent="0.25">
      <c r="A3884" s="522"/>
    </row>
    <row r="3885" spans="1:1" x14ac:dyDescent="0.25">
      <c r="A3885" s="522"/>
    </row>
    <row r="3886" spans="1:1" x14ac:dyDescent="0.25">
      <c r="A3886" s="522"/>
    </row>
    <row r="3887" spans="1:1" x14ac:dyDescent="0.25">
      <c r="A3887" s="522"/>
    </row>
    <row r="3888" spans="1:1" x14ac:dyDescent="0.25">
      <c r="A3888" s="522"/>
    </row>
    <row r="3889" spans="1:1" x14ac:dyDescent="0.25">
      <c r="A3889" s="522"/>
    </row>
    <row r="3890" spans="1:1" x14ac:dyDescent="0.25">
      <c r="A3890" s="522"/>
    </row>
    <row r="3891" spans="1:1" x14ac:dyDescent="0.25">
      <c r="A3891" s="522"/>
    </row>
    <row r="3892" spans="1:1" x14ac:dyDescent="0.25">
      <c r="A3892" s="522"/>
    </row>
    <row r="3893" spans="1:1" x14ac:dyDescent="0.25">
      <c r="A3893" s="522"/>
    </row>
    <row r="3894" spans="1:1" x14ac:dyDescent="0.25">
      <c r="A3894" s="522"/>
    </row>
    <row r="3895" spans="1:1" x14ac:dyDescent="0.25">
      <c r="A3895" s="522"/>
    </row>
    <row r="3896" spans="1:1" x14ac:dyDescent="0.25">
      <c r="A3896" s="522"/>
    </row>
    <row r="3897" spans="1:1" x14ac:dyDescent="0.25">
      <c r="A3897" s="522"/>
    </row>
    <row r="3898" spans="1:1" x14ac:dyDescent="0.25">
      <c r="A3898" s="522"/>
    </row>
    <row r="3899" spans="1:1" x14ac:dyDescent="0.25">
      <c r="A3899" s="522"/>
    </row>
    <row r="3900" spans="1:1" x14ac:dyDescent="0.25">
      <c r="A3900" s="522"/>
    </row>
    <row r="3901" spans="1:1" x14ac:dyDescent="0.25">
      <c r="A3901" s="522"/>
    </row>
    <row r="3902" spans="1:1" x14ac:dyDescent="0.25">
      <c r="A3902" s="522"/>
    </row>
    <row r="3903" spans="1:1" x14ac:dyDescent="0.25">
      <c r="A3903" s="522"/>
    </row>
    <row r="3904" spans="1:1" x14ac:dyDescent="0.25">
      <c r="A3904" s="522"/>
    </row>
    <row r="3905" spans="1:1" x14ac:dyDescent="0.25">
      <c r="A3905" s="522"/>
    </row>
    <row r="3906" spans="1:1" x14ac:dyDescent="0.25">
      <c r="A3906" s="522"/>
    </row>
    <row r="3907" spans="1:1" x14ac:dyDescent="0.25">
      <c r="A3907" s="522"/>
    </row>
    <row r="3908" spans="1:1" x14ac:dyDescent="0.25">
      <c r="A3908" s="522"/>
    </row>
    <row r="3909" spans="1:1" x14ac:dyDescent="0.25">
      <c r="A3909" s="522"/>
    </row>
    <row r="3910" spans="1:1" x14ac:dyDescent="0.25">
      <c r="A3910" s="522"/>
    </row>
    <row r="3911" spans="1:1" x14ac:dyDescent="0.25">
      <c r="A3911" s="522"/>
    </row>
    <row r="3912" spans="1:1" x14ac:dyDescent="0.25">
      <c r="A3912" s="522"/>
    </row>
    <row r="3913" spans="1:1" x14ac:dyDescent="0.25">
      <c r="A3913" s="522"/>
    </row>
    <row r="3914" spans="1:1" x14ac:dyDescent="0.25">
      <c r="A3914" s="522"/>
    </row>
    <row r="3915" spans="1:1" x14ac:dyDescent="0.25">
      <c r="A3915" s="522"/>
    </row>
    <row r="3916" spans="1:1" x14ac:dyDescent="0.25">
      <c r="A3916" s="522"/>
    </row>
    <row r="3917" spans="1:1" x14ac:dyDescent="0.25">
      <c r="A3917" s="522"/>
    </row>
    <row r="3918" spans="1:1" x14ac:dyDescent="0.25">
      <c r="A3918" s="522"/>
    </row>
    <row r="3919" spans="1:1" x14ac:dyDescent="0.25">
      <c r="A3919" s="522"/>
    </row>
    <row r="3920" spans="1:1" x14ac:dyDescent="0.25">
      <c r="A3920" s="522"/>
    </row>
    <row r="3921" spans="1:1" x14ac:dyDescent="0.25">
      <c r="A3921" s="522"/>
    </row>
    <row r="3922" spans="1:1" x14ac:dyDescent="0.25">
      <c r="A3922" s="522"/>
    </row>
    <row r="3923" spans="1:1" x14ac:dyDescent="0.25">
      <c r="A3923" s="522"/>
    </row>
    <row r="3924" spans="1:1" x14ac:dyDescent="0.25">
      <c r="A3924" s="522"/>
    </row>
    <row r="3925" spans="1:1" x14ac:dyDescent="0.25">
      <c r="A3925" s="522"/>
    </row>
    <row r="3926" spans="1:1" x14ac:dyDescent="0.25">
      <c r="A3926" s="522"/>
    </row>
    <row r="3927" spans="1:1" x14ac:dyDescent="0.25">
      <c r="A3927" s="522"/>
    </row>
    <row r="3928" spans="1:1" x14ac:dyDescent="0.25">
      <c r="A3928" s="522"/>
    </row>
    <row r="3929" spans="1:1" x14ac:dyDescent="0.25">
      <c r="A3929" s="522"/>
    </row>
    <row r="3930" spans="1:1" x14ac:dyDescent="0.25">
      <c r="A3930" s="522"/>
    </row>
    <row r="3931" spans="1:1" x14ac:dyDescent="0.25">
      <c r="A3931" s="522"/>
    </row>
    <row r="3932" spans="1:1" x14ac:dyDescent="0.25">
      <c r="A3932" s="522"/>
    </row>
    <row r="3933" spans="1:1" x14ac:dyDescent="0.25">
      <c r="A3933" s="522"/>
    </row>
    <row r="3934" spans="1:1" x14ac:dyDescent="0.25">
      <c r="A3934" s="522"/>
    </row>
    <row r="3935" spans="1:1" x14ac:dyDescent="0.25">
      <c r="A3935" s="522"/>
    </row>
    <row r="3936" spans="1:1" x14ac:dyDescent="0.25">
      <c r="A3936" s="522"/>
    </row>
    <row r="3937" spans="1:1" x14ac:dyDescent="0.25">
      <c r="A3937" s="522"/>
    </row>
    <row r="3938" spans="1:1" x14ac:dyDescent="0.25">
      <c r="A3938" s="522"/>
    </row>
    <row r="3939" spans="1:1" x14ac:dyDescent="0.25">
      <c r="A3939" s="522"/>
    </row>
    <row r="3940" spans="1:1" x14ac:dyDescent="0.25">
      <c r="A3940" s="522"/>
    </row>
    <row r="3941" spans="1:1" x14ac:dyDescent="0.25">
      <c r="A3941" s="522"/>
    </row>
    <row r="3942" spans="1:1" x14ac:dyDescent="0.25">
      <c r="A3942" s="522"/>
    </row>
    <row r="3943" spans="1:1" x14ac:dyDescent="0.25">
      <c r="A3943" s="522"/>
    </row>
    <row r="3944" spans="1:1" x14ac:dyDescent="0.25">
      <c r="A3944" s="522"/>
    </row>
    <row r="3945" spans="1:1" x14ac:dyDescent="0.25">
      <c r="A3945" s="522"/>
    </row>
    <row r="3946" spans="1:1" x14ac:dyDescent="0.25">
      <c r="A3946" s="522"/>
    </row>
    <row r="3947" spans="1:1" x14ac:dyDescent="0.25">
      <c r="A3947" s="522"/>
    </row>
    <row r="3948" spans="1:1" x14ac:dyDescent="0.25">
      <c r="A3948" s="522"/>
    </row>
    <row r="3949" spans="1:1" x14ac:dyDescent="0.25">
      <c r="A3949" s="522"/>
    </row>
    <row r="3950" spans="1:1" x14ac:dyDescent="0.25">
      <c r="A3950" s="522"/>
    </row>
    <row r="3951" spans="1:1" x14ac:dyDescent="0.25">
      <c r="A3951" s="522"/>
    </row>
    <row r="3952" spans="1:1" x14ac:dyDescent="0.25">
      <c r="A3952" s="522"/>
    </row>
    <row r="3953" spans="1:1" x14ac:dyDescent="0.25">
      <c r="A3953" s="522"/>
    </row>
    <row r="3954" spans="1:1" x14ac:dyDescent="0.25">
      <c r="A3954" s="522"/>
    </row>
    <row r="3955" spans="1:1" x14ac:dyDescent="0.25">
      <c r="A3955" s="522"/>
    </row>
    <row r="3956" spans="1:1" x14ac:dyDescent="0.25">
      <c r="A3956" s="522"/>
    </row>
    <row r="3957" spans="1:1" x14ac:dyDescent="0.25">
      <c r="A3957" s="522"/>
    </row>
    <row r="3958" spans="1:1" x14ac:dyDescent="0.25">
      <c r="A3958" s="522"/>
    </row>
    <row r="3959" spans="1:1" x14ac:dyDescent="0.25">
      <c r="A3959" s="522"/>
    </row>
    <row r="3960" spans="1:1" x14ac:dyDescent="0.25">
      <c r="A3960" s="522"/>
    </row>
    <row r="3961" spans="1:1" x14ac:dyDescent="0.25">
      <c r="A3961" s="522"/>
    </row>
    <row r="3962" spans="1:1" x14ac:dyDescent="0.25">
      <c r="A3962" s="522"/>
    </row>
    <row r="3963" spans="1:1" x14ac:dyDescent="0.25">
      <c r="A3963" s="522"/>
    </row>
    <row r="3964" spans="1:1" x14ac:dyDescent="0.25">
      <c r="A3964" s="522"/>
    </row>
    <row r="3965" spans="1:1" x14ac:dyDescent="0.25">
      <c r="A3965" s="522"/>
    </row>
    <row r="3966" spans="1:1" x14ac:dyDescent="0.25">
      <c r="A3966" s="522"/>
    </row>
    <row r="3967" spans="1:1" x14ac:dyDescent="0.25">
      <c r="A3967" s="522"/>
    </row>
    <row r="3968" spans="1:1" x14ac:dyDescent="0.25">
      <c r="A3968" s="522"/>
    </row>
    <row r="3969" spans="1:1" x14ac:dyDescent="0.25">
      <c r="A3969" s="522"/>
    </row>
    <row r="3970" spans="1:1" x14ac:dyDescent="0.25">
      <c r="A3970" s="522"/>
    </row>
    <row r="3971" spans="1:1" x14ac:dyDescent="0.25">
      <c r="A3971" s="522"/>
    </row>
    <row r="3972" spans="1:1" x14ac:dyDescent="0.25">
      <c r="A3972" s="522"/>
    </row>
    <row r="3973" spans="1:1" x14ac:dyDescent="0.25">
      <c r="A3973" s="522"/>
    </row>
    <row r="3974" spans="1:1" x14ac:dyDescent="0.25">
      <c r="A3974" s="522"/>
    </row>
    <row r="3975" spans="1:1" x14ac:dyDescent="0.25">
      <c r="A3975" s="522"/>
    </row>
    <row r="3976" spans="1:1" x14ac:dyDescent="0.25">
      <c r="A3976" s="522"/>
    </row>
    <row r="3977" spans="1:1" x14ac:dyDescent="0.25">
      <c r="A3977" s="522"/>
    </row>
    <row r="3978" spans="1:1" x14ac:dyDescent="0.25">
      <c r="A3978" s="522"/>
    </row>
    <row r="3979" spans="1:1" x14ac:dyDescent="0.25">
      <c r="A3979" s="522"/>
    </row>
    <row r="3980" spans="1:1" x14ac:dyDescent="0.25">
      <c r="A3980" s="522"/>
    </row>
    <row r="3981" spans="1:1" x14ac:dyDescent="0.25">
      <c r="A3981" s="522"/>
    </row>
    <row r="3982" spans="1:1" x14ac:dyDescent="0.25">
      <c r="A3982" s="522"/>
    </row>
    <row r="3983" spans="1:1" x14ac:dyDescent="0.25">
      <c r="A3983" s="522"/>
    </row>
    <row r="3984" spans="1:1" x14ac:dyDescent="0.25">
      <c r="A3984" s="522"/>
    </row>
    <row r="3985" spans="1:1" x14ac:dyDescent="0.25">
      <c r="A3985" s="522"/>
    </row>
    <row r="3986" spans="1:1" x14ac:dyDescent="0.25">
      <c r="A3986" s="522"/>
    </row>
    <row r="3987" spans="1:1" x14ac:dyDescent="0.25">
      <c r="A3987" s="522"/>
    </row>
    <row r="3988" spans="1:1" x14ac:dyDescent="0.25">
      <c r="A3988" s="522"/>
    </row>
    <row r="3989" spans="1:1" x14ac:dyDescent="0.25">
      <c r="A3989" s="522"/>
    </row>
    <row r="3990" spans="1:1" x14ac:dyDescent="0.25">
      <c r="A3990" s="522"/>
    </row>
    <row r="3991" spans="1:1" x14ac:dyDescent="0.25">
      <c r="A3991" s="522"/>
    </row>
    <row r="3992" spans="1:1" x14ac:dyDescent="0.25">
      <c r="A3992" s="522"/>
    </row>
    <row r="3993" spans="1:1" x14ac:dyDescent="0.25">
      <c r="A3993" s="522"/>
    </row>
    <row r="3994" spans="1:1" x14ac:dyDescent="0.25">
      <c r="A3994" s="522"/>
    </row>
    <row r="3995" spans="1:1" x14ac:dyDescent="0.25">
      <c r="A3995" s="522"/>
    </row>
    <row r="3996" spans="1:1" x14ac:dyDescent="0.25">
      <c r="A3996" s="522"/>
    </row>
    <row r="3997" spans="1:1" x14ac:dyDescent="0.25">
      <c r="A3997" s="522"/>
    </row>
    <row r="3998" spans="1:1" x14ac:dyDescent="0.25">
      <c r="A3998" s="522"/>
    </row>
    <row r="3999" spans="1:1" x14ac:dyDescent="0.25">
      <c r="A3999" s="522"/>
    </row>
    <row r="4000" spans="1:1" x14ac:dyDescent="0.25">
      <c r="A4000" s="522"/>
    </row>
    <row r="4001" spans="1:1" x14ac:dyDescent="0.25">
      <c r="A4001" s="522"/>
    </row>
    <row r="4002" spans="1:1" x14ac:dyDescent="0.25">
      <c r="A4002" s="522"/>
    </row>
    <row r="4003" spans="1:1" x14ac:dyDescent="0.25">
      <c r="A4003" s="522"/>
    </row>
    <row r="4004" spans="1:1" x14ac:dyDescent="0.25">
      <c r="A4004" s="522"/>
    </row>
    <row r="4005" spans="1:1" x14ac:dyDescent="0.25">
      <c r="A4005" s="522"/>
    </row>
    <row r="4006" spans="1:1" x14ac:dyDescent="0.25">
      <c r="A4006" s="522"/>
    </row>
    <row r="4007" spans="1:1" x14ac:dyDescent="0.25">
      <c r="A4007" s="522"/>
    </row>
    <row r="4008" spans="1:1" x14ac:dyDescent="0.25">
      <c r="A4008" s="522"/>
    </row>
    <row r="4009" spans="1:1" x14ac:dyDescent="0.25">
      <c r="A4009" s="522"/>
    </row>
    <row r="4010" spans="1:1" x14ac:dyDescent="0.25">
      <c r="A4010" s="522"/>
    </row>
    <row r="4011" spans="1:1" x14ac:dyDescent="0.25">
      <c r="A4011" s="522"/>
    </row>
    <row r="4012" spans="1:1" x14ac:dyDescent="0.25">
      <c r="A4012" s="522"/>
    </row>
    <row r="4013" spans="1:1" x14ac:dyDescent="0.25">
      <c r="A4013" s="522"/>
    </row>
    <row r="4014" spans="1:1" x14ac:dyDescent="0.25">
      <c r="A4014" s="522"/>
    </row>
    <row r="4015" spans="1:1" x14ac:dyDescent="0.25">
      <c r="A4015" s="522"/>
    </row>
    <row r="4016" spans="1:1" x14ac:dyDescent="0.25">
      <c r="A4016" s="522"/>
    </row>
    <row r="4017" spans="1:1" x14ac:dyDescent="0.25">
      <c r="A4017" s="522"/>
    </row>
    <row r="4018" spans="1:1" x14ac:dyDescent="0.25">
      <c r="A4018" s="522"/>
    </row>
    <row r="4019" spans="1:1" x14ac:dyDescent="0.25">
      <c r="A4019" s="522"/>
    </row>
    <row r="4020" spans="1:1" x14ac:dyDescent="0.25">
      <c r="A4020" s="522"/>
    </row>
    <row r="4021" spans="1:1" x14ac:dyDescent="0.25">
      <c r="A4021" s="522"/>
    </row>
    <row r="4022" spans="1:1" x14ac:dyDescent="0.25">
      <c r="A4022" s="522"/>
    </row>
    <row r="4023" spans="1:1" x14ac:dyDescent="0.25">
      <c r="A4023" s="522"/>
    </row>
    <row r="4024" spans="1:1" x14ac:dyDescent="0.25">
      <c r="A4024" s="522"/>
    </row>
    <row r="4025" spans="1:1" x14ac:dyDescent="0.25">
      <c r="A4025" s="522"/>
    </row>
    <row r="4026" spans="1:1" x14ac:dyDescent="0.25">
      <c r="A4026" s="522"/>
    </row>
    <row r="4027" spans="1:1" x14ac:dyDescent="0.25">
      <c r="A4027" s="522"/>
    </row>
    <row r="4028" spans="1:1" x14ac:dyDescent="0.25">
      <c r="A4028" s="522"/>
    </row>
    <row r="4029" spans="1:1" x14ac:dyDescent="0.25">
      <c r="A4029" s="522"/>
    </row>
    <row r="4030" spans="1:1" x14ac:dyDescent="0.25">
      <c r="A4030" s="522"/>
    </row>
    <row r="4031" spans="1:1" x14ac:dyDescent="0.25">
      <c r="A4031" s="522"/>
    </row>
    <row r="4032" spans="1:1" x14ac:dyDescent="0.25">
      <c r="A4032" s="522"/>
    </row>
    <row r="4033" spans="1:1" x14ac:dyDescent="0.25">
      <c r="A4033" s="522"/>
    </row>
    <row r="4034" spans="1:1" x14ac:dyDescent="0.25">
      <c r="A4034" s="522"/>
    </row>
    <row r="4035" spans="1:1" x14ac:dyDescent="0.25">
      <c r="A4035" s="522"/>
    </row>
    <row r="4036" spans="1:1" x14ac:dyDescent="0.25">
      <c r="A4036" s="522"/>
    </row>
    <row r="4037" spans="1:1" x14ac:dyDescent="0.25">
      <c r="A4037" s="522"/>
    </row>
    <row r="4038" spans="1:1" x14ac:dyDescent="0.25">
      <c r="A4038" s="522"/>
    </row>
    <row r="4039" spans="1:1" x14ac:dyDescent="0.25">
      <c r="A4039" s="522"/>
    </row>
    <row r="4040" spans="1:1" x14ac:dyDescent="0.25">
      <c r="A4040" s="522"/>
    </row>
    <row r="4041" spans="1:1" x14ac:dyDescent="0.25">
      <c r="A4041" s="522"/>
    </row>
    <row r="4042" spans="1:1" x14ac:dyDescent="0.25">
      <c r="A4042" s="522"/>
    </row>
    <row r="4043" spans="1:1" x14ac:dyDescent="0.25">
      <c r="A4043" s="522"/>
    </row>
    <row r="4044" spans="1:1" x14ac:dyDescent="0.25">
      <c r="A4044" s="522"/>
    </row>
    <row r="4045" spans="1:1" x14ac:dyDescent="0.25">
      <c r="A4045" s="522"/>
    </row>
    <row r="4046" spans="1:1" x14ac:dyDescent="0.25">
      <c r="A4046" s="522"/>
    </row>
    <row r="4047" spans="1:1" x14ac:dyDescent="0.25">
      <c r="A4047" s="522"/>
    </row>
    <row r="4048" spans="1:1" x14ac:dyDescent="0.25">
      <c r="A4048" s="522"/>
    </row>
    <row r="4049" spans="1:1" x14ac:dyDescent="0.25">
      <c r="A4049" s="522"/>
    </row>
    <row r="4050" spans="1:1" x14ac:dyDescent="0.25">
      <c r="A4050" s="522"/>
    </row>
    <row r="4051" spans="1:1" x14ac:dyDescent="0.25">
      <c r="A4051" s="522"/>
    </row>
    <row r="4052" spans="1:1" x14ac:dyDescent="0.25">
      <c r="A4052" s="522"/>
    </row>
    <row r="4053" spans="1:1" x14ac:dyDescent="0.25">
      <c r="A4053" s="522"/>
    </row>
    <row r="4054" spans="1:1" x14ac:dyDescent="0.25">
      <c r="A4054" s="522"/>
    </row>
    <row r="4055" spans="1:1" x14ac:dyDescent="0.25">
      <c r="A4055" s="522"/>
    </row>
    <row r="4056" spans="1:1" x14ac:dyDescent="0.25">
      <c r="A4056" s="522"/>
    </row>
    <row r="4057" spans="1:1" x14ac:dyDescent="0.25">
      <c r="A4057" s="522"/>
    </row>
    <row r="4058" spans="1:1" x14ac:dyDescent="0.25">
      <c r="A4058" s="522"/>
    </row>
    <row r="4059" spans="1:1" x14ac:dyDescent="0.25">
      <c r="A4059" s="522"/>
    </row>
    <row r="4060" spans="1:1" x14ac:dyDescent="0.25">
      <c r="A4060" s="522"/>
    </row>
    <row r="4061" spans="1:1" x14ac:dyDescent="0.25">
      <c r="A4061" s="522"/>
    </row>
    <row r="4062" spans="1:1" x14ac:dyDescent="0.25">
      <c r="A4062" s="522"/>
    </row>
    <row r="4063" spans="1:1" x14ac:dyDescent="0.25">
      <c r="A4063" s="522"/>
    </row>
    <row r="4064" spans="1:1" x14ac:dyDescent="0.25">
      <c r="A4064" s="522"/>
    </row>
    <row r="4065" spans="1:1" x14ac:dyDescent="0.25">
      <c r="A4065" s="522"/>
    </row>
    <row r="4066" spans="1:1" x14ac:dyDescent="0.25">
      <c r="A4066" s="522"/>
    </row>
    <row r="4067" spans="1:1" x14ac:dyDescent="0.25">
      <c r="A4067" s="522"/>
    </row>
    <row r="4068" spans="1:1" x14ac:dyDescent="0.25">
      <c r="A4068" s="522"/>
    </row>
    <row r="4069" spans="1:1" x14ac:dyDescent="0.25">
      <c r="A4069" s="522"/>
    </row>
    <row r="4070" spans="1:1" x14ac:dyDescent="0.25">
      <c r="A4070" s="522"/>
    </row>
    <row r="4071" spans="1:1" x14ac:dyDescent="0.25">
      <c r="A4071" s="522"/>
    </row>
    <row r="4072" spans="1:1" x14ac:dyDescent="0.25">
      <c r="A4072" s="522"/>
    </row>
    <row r="4073" spans="1:1" x14ac:dyDescent="0.25">
      <c r="A4073" s="522"/>
    </row>
    <row r="4074" spans="1:1" x14ac:dyDescent="0.25">
      <c r="A4074" s="522"/>
    </row>
    <row r="4075" spans="1:1" x14ac:dyDescent="0.25">
      <c r="A4075" s="522"/>
    </row>
    <row r="4076" spans="1:1" x14ac:dyDescent="0.25">
      <c r="A4076" s="522"/>
    </row>
    <row r="4077" spans="1:1" x14ac:dyDescent="0.25">
      <c r="A4077" s="522"/>
    </row>
    <row r="4078" spans="1:1" x14ac:dyDescent="0.25">
      <c r="A4078" s="522"/>
    </row>
    <row r="4079" spans="1:1" x14ac:dyDescent="0.25">
      <c r="A4079" s="522"/>
    </row>
    <row r="4080" spans="1:1" x14ac:dyDescent="0.25">
      <c r="A4080" s="522"/>
    </row>
    <row r="4081" spans="1:1" x14ac:dyDescent="0.25">
      <c r="A4081" s="522"/>
    </row>
    <row r="4082" spans="1:1" x14ac:dyDescent="0.25">
      <c r="A4082" s="522"/>
    </row>
    <row r="4083" spans="1:1" x14ac:dyDescent="0.25">
      <c r="A4083" s="522"/>
    </row>
    <row r="4084" spans="1:1" x14ac:dyDescent="0.25">
      <c r="A4084" s="522"/>
    </row>
    <row r="4085" spans="1:1" x14ac:dyDescent="0.25">
      <c r="A4085" s="522"/>
    </row>
    <row r="4086" spans="1:1" x14ac:dyDescent="0.25">
      <c r="A4086" s="522"/>
    </row>
    <row r="4087" spans="1:1" x14ac:dyDescent="0.25">
      <c r="A4087" s="522"/>
    </row>
    <row r="4088" spans="1:1" x14ac:dyDescent="0.25">
      <c r="A4088" s="522"/>
    </row>
    <row r="4089" spans="1:1" x14ac:dyDescent="0.25">
      <c r="A4089" s="522"/>
    </row>
    <row r="4090" spans="1:1" x14ac:dyDescent="0.25">
      <c r="A4090" s="522"/>
    </row>
    <row r="4091" spans="1:1" x14ac:dyDescent="0.25">
      <c r="A4091" s="522"/>
    </row>
    <row r="4092" spans="1:1" x14ac:dyDescent="0.25">
      <c r="A4092" s="522"/>
    </row>
    <row r="4093" spans="1:1" x14ac:dyDescent="0.25">
      <c r="A4093" s="522"/>
    </row>
    <row r="4094" spans="1:1" x14ac:dyDescent="0.25">
      <c r="A4094" s="522"/>
    </row>
    <row r="4095" spans="1:1" x14ac:dyDescent="0.25">
      <c r="A4095" s="522"/>
    </row>
    <row r="4096" spans="1:1" x14ac:dyDescent="0.25">
      <c r="A4096" s="522"/>
    </row>
    <row r="4097" spans="1:1" x14ac:dyDescent="0.25">
      <c r="A4097" s="522"/>
    </row>
    <row r="4098" spans="1:1" x14ac:dyDescent="0.25">
      <c r="A4098" s="522"/>
    </row>
    <row r="4099" spans="1:1" x14ac:dyDescent="0.25">
      <c r="A4099" s="522"/>
    </row>
    <row r="4100" spans="1:1" x14ac:dyDescent="0.25">
      <c r="A4100" s="522"/>
    </row>
    <row r="4101" spans="1:1" x14ac:dyDescent="0.25">
      <c r="A4101" s="522"/>
    </row>
    <row r="4102" spans="1:1" x14ac:dyDescent="0.25">
      <c r="A4102" s="522"/>
    </row>
    <row r="4103" spans="1:1" x14ac:dyDescent="0.25">
      <c r="A4103" s="522"/>
    </row>
    <row r="4104" spans="1:1" x14ac:dyDescent="0.25">
      <c r="A4104" s="522"/>
    </row>
    <row r="4105" spans="1:1" x14ac:dyDescent="0.25">
      <c r="A4105" s="522"/>
    </row>
    <row r="4106" spans="1:1" x14ac:dyDescent="0.25">
      <c r="A4106" s="522"/>
    </row>
    <row r="4107" spans="1:1" x14ac:dyDescent="0.25">
      <c r="A4107" s="522"/>
    </row>
    <row r="4108" spans="1:1" x14ac:dyDescent="0.25">
      <c r="A4108" s="522"/>
    </row>
    <row r="4109" spans="1:1" x14ac:dyDescent="0.25">
      <c r="A4109" s="522"/>
    </row>
    <row r="4110" spans="1:1" x14ac:dyDescent="0.25">
      <c r="A4110" s="522"/>
    </row>
    <row r="4111" spans="1:1" x14ac:dyDescent="0.25">
      <c r="A4111" s="522"/>
    </row>
    <row r="4112" spans="1:1" x14ac:dyDescent="0.25">
      <c r="A4112" s="522"/>
    </row>
    <row r="4113" spans="1:1" x14ac:dyDescent="0.25">
      <c r="A4113" s="522"/>
    </row>
    <row r="4114" spans="1:1" x14ac:dyDescent="0.25">
      <c r="A4114" s="522"/>
    </row>
    <row r="4115" spans="1:1" x14ac:dyDescent="0.25">
      <c r="A4115" s="522"/>
    </row>
    <row r="4116" spans="1:1" x14ac:dyDescent="0.25">
      <c r="A4116" s="522"/>
    </row>
    <row r="4117" spans="1:1" x14ac:dyDescent="0.25">
      <c r="A4117" s="522"/>
    </row>
    <row r="4118" spans="1:1" x14ac:dyDescent="0.25">
      <c r="A4118" s="522"/>
    </row>
    <row r="4119" spans="1:1" x14ac:dyDescent="0.25">
      <c r="A4119" s="522"/>
    </row>
    <row r="4120" spans="1:1" x14ac:dyDescent="0.25">
      <c r="A4120" s="522"/>
    </row>
    <row r="4121" spans="1:1" x14ac:dyDescent="0.25">
      <c r="A4121" s="522"/>
    </row>
    <row r="4122" spans="1:1" x14ac:dyDescent="0.25">
      <c r="A4122" s="522"/>
    </row>
    <row r="4123" spans="1:1" x14ac:dyDescent="0.25">
      <c r="A4123" s="522"/>
    </row>
    <row r="4124" spans="1:1" x14ac:dyDescent="0.25">
      <c r="A4124" s="522"/>
    </row>
    <row r="4125" spans="1:1" x14ac:dyDescent="0.25">
      <c r="A4125" s="522"/>
    </row>
    <row r="4126" spans="1:1" x14ac:dyDescent="0.25">
      <c r="A4126" s="522"/>
    </row>
    <row r="4127" spans="1:1" x14ac:dyDescent="0.25">
      <c r="A4127" s="522"/>
    </row>
    <row r="4128" spans="1:1" x14ac:dyDescent="0.25">
      <c r="A4128" s="522"/>
    </row>
    <row r="4129" spans="1:1" x14ac:dyDescent="0.25">
      <c r="A4129" s="522"/>
    </row>
    <row r="4130" spans="1:1" x14ac:dyDescent="0.25">
      <c r="A4130" s="522"/>
    </row>
    <row r="4131" spans="1:1" x14ac:dyDescent="0.25">
      <c r="A4131" s="522"/>
    </row>
    <row r="4132" spans="1:1" x14ac:dyDescent="0.25">
      <c r="A4132" s="522"/>
    </row>
    <row r="4133" spans="1:1" x14ac:dyDescent="0.25">
      <c r="A4133" s="522"/>
    </row>
    <row r="4134" spans="1:1" x14ac:dyDescent="0.25">
      <c r="A4134" s="522"/>
    </row>
    <row r="4135" spans="1:1" x14ac:dyDescent="0.25">
      <c r="A4135" s="522"/>
    </row>
    <row r="4136" spans="1:1" x14ac:dyDescent="0.25">
      <c r="A4136" s="522"/>
    </row>
    <row r="4137" spans="1:1" x14ac:dyDescent="0.25">
      <c r="A4137" s="522"/>
    </row>
    <row r="4138" spans="1:1" x14ac:dyDescent="0.25">
      <c r="A4138" s="522"/>
    </row>
    <row r="4139" spans="1:1" x14ac:dyDescent="0.25">
      <c r="A4139" s="522"/>
    </row>
    <row r="4140" spans="1:1" x14ac:dyDescent="0.25">
      <c r="A4140" s="522"/>
    </row>
    <row r="4141" spans="1:1" x14ac:dyDescent="0.25">
      <c r="A4141" s="522"/>
    </row>
    <row r="4142" spans="1:1" x14ac:dyDescent="0.25">
      <c r="A4142" s="522"/>
    </row>
    <row r="4143" spans="1:1" x14ac:dyDescent="0.25">
      <c r="A4143" s="522"/>
    </row>
    <row r="4144" spans="1:1" x14ac:dyDescent="0.25">
      <c r="A4144" s="522"/>
    </row>
    <row r="4145" spans="1:1" x14ac:dyDescent="0.25">
      <c r="A4145" s="522"/>
    </row>
    <row r="4146" spans="1:1" x14ac:dyDescent="0.25">
      <c r="A4146" s="522"/>
    </row>
    <row r="4147" spans="1:1" x14ac:dyDescent="0.25">
      <c r="A4147" s="522"/>
    </row>
    <row r="4148" spans="1:1" x14ac:dyDescent="0.25">
      <c r="A4148" s="522"/>
    </row>
    <row r="4149" spans="1:1" x14ac:dyDescent="0.25">
      <c r="A4149" s="522"/>
    </row>
    <row r="4150" spans="1:1" x14ac:dyDescent="0.25">
      <c r="A4150" s="522"/>
    </row>
    <row r="4151" spans="1:1" x14ac:dyDescent="0.25">
      <c r="A4151" s="522"/>
    </row>
    <row r="4152" spans="1:1" x14ac:dyDescent="0.25">
      <c r="A4152" s="522"/>
    </row>
    <row r="4153" spans="1:1" x14ac:dyDescent="0.25">
      <c r="A4153" s="522"/>
    </row>
    <row r="4154" spans="1:1" x14ac:dyDescent="0.25">
      <c r="A4154" s="522"/>
    </row>
    <row r="4155" spans="1:1" x14ac:dyDescent="0.25">
      <c r="A4155" s="522"/>
    </row>
    <row r="4156" spans="1:1" x14ac:dyDescent="0.25">
      <c r="A4156" s="522"/>
    </row>
    <row r="4157" spans="1:1" x14ac:dyDescent="0.25">
      <c r="A4157" s="522"/>
    </row>
    <row r="4158" spans="1:1" x14ac:dyDescent="0.25">
      <c r="A4158" s="522"/>
    </row>
    <row r="4159" spans="1:1" x14ac:dyDescent="0.25">
      <c r="A4159" s="522"/>
    </row>
    <row r="4160" spans="1:1" x14ac:dyDescent="0.25">
      <c r="A4160" s="522"/>
    </row>
    <row r="4161" spans="1:1" x14ac:dyDescent="0.25">
      <c r="A4161" s="522"/>
    </row>
    <row r="4162" spans="1:1" x14ac:dyDescent="0.25">
      <c r="A4162" s="522"/>
    </row>
    <row r="4163" spans="1:1" x14ac:dyDescent="0.25">
      <c r="A4163" s="522"/>
    </row>
    <row r="4164" spans="1:1" x14ac:dyDescent="0.25">
      <c r="A4164" s="522"/>
    </row>
    <row r="4165" spans="1:1" x14ac:dyDescent="0.25">
      <c r="A4165" s="522"/>
    </row>
    <row r="4166" spans="1:1" x14ac:dyDescent="0.25">
      <c r="A4166" s="522"/>
    </row>
    <row r="4167" spans="1:1" x14ac:dyDescent="0.25">
      <c r="A4167" s="522"/>
    </row>
    <row r="4168" spans="1:1" x14ac:dyDescent="0.25">
      <c r="A4168" s="522"/>
    </row>
    <row r="4169" spans="1:1" x14ac:dyDescent="0.25">
      <c r="A4169" s="522"/>
    </row>
    <row r="4170" spans="1:1" x14ac:dyDescent="0.25">
      <c r="A4170" s="522"/>
    </row>
    <row r="4171" spans="1:1" x14ac:dyDescent="0.25">
      <c r="A4171" s="522"/>
    </row>
    <row r="4172" spans="1:1" x14ac:dyDescent="0.25">
      <c r="A4172" s="522"/>
    </row>
    <row r="4173" spans="1:1" x14ac:dyDescent="0.25">
      <c r="A4173" s="522"/>
    </row>
    <row r="4174" spans="1:1" x14ac:dyDescent="0.25">
      <c r="A4174" s="522"/>
    </row>
    <row r="4175" spans="1:1" x14ac:dyDescent="0.25">
      <c r="A4175" s="522"/>
    </row>
    <row r="4176" spans="1:1" x14ac:dyDescent="0.25">
      <c r="A4176" s="522"/>
    </row>
    <row r="4177" spans="1:1" x14ac:dyDescent="0.25">
      <c r="A4177" s="522"/>
    </row>
    <row r="4178" spans="1:1" x14ac:dyDescent="0.25">
      <c r="A4178" s="522"/>
    </row>
    <row r="4179" spans="1:1" x14ac:dyDescent="0.25">
      <c r="A4179" s="522"/>
    </row>
    <row r="4180" spans="1:1" x14ac:dyDescent="0.25">
      <c r="A4180" s="522"/>
    </row>
    <row r="4181" spans="1:1" x14ac:dyDescent="0.25">
      <c r="A4181" s="522"/>
    </row>
    <row r="4182" spans="1:1" x14ac:dyDescent="0.25">
      <c r="A4182" s="522"/>
    </row>
    <row r="4183" spans="1:1" x14ac:dyDescent="0.25">
      <c r="A4183" s="522"/>
    </row>
    <row r="4184" spans="1:1" x14ac:dyDescent="0.25">
      <c r="A4184" s="522"/>
    </row>
    <row r="4185" spans="1:1" x14ac:dyDescent="0.25">
      <c r="A4185" s="522"/>
    </row>
    <row r="4186" spans="1:1" x14ac:dyDescent="0.25">
      <c r="A4186" s="522"/>
    </row>
    <row r="4187" spans="1:1" x14ac:dyDescent="0.25">
      <c r="A4187" s="522"/>
    </row>
    <row r="4188" spans="1:1" x14ac:dyDescent="0.25">
      <c r="A4188" s="522"/>
    </row>
    <row r="4189" spans="1:1" x14ac:dyDescent="0.25">
      <c r="A4189" s="522"/>
    </row>
    <row r="4190" spans="1:1" x14ac:dyDescent="0.25">
      <c r="A4190" s="522"/>
    </row>
    <row r="4191" spans="1:1" x14ac:dyDescent="0.25">
      <c r="A4191" s="522"/>
    </row>
    <row r="4192" spans="1:1" x14ac:dyDescent="0.25">
      <c r="A4192" s="522"/>
    </row>
    <row r="4193" spans="1:1" x14ac:dyDescent="0.25">
      <c r="A4193" s="522"/>
    </row>
    <row r="4194" spans="1:1" x14ac:dyDescent="0.25">
      <c r="A4194" s="522"/>
    </row>
    <row r="4195" spans="1:1" x14ac:dyDescent="0.25">
      <c r="A4195" s="522"/>
    </row>
    <row r="4196" spans="1:1" x14ac:dyDescent="0.25">
      <c r="A4196" s="522"/>
    </row>
    <row r="4197" spans="1:1" x14ac:dyDescent="0.25">
      <c r="A4197" s="522"/>
    </row>
    <row r="4198" spans="1:1" x14ac:dyDescent="0.25">
      <c r="A4198" s="522"/>
    </row>
    <row r="4199" spans="1:1" x14ac:dyDescent="0.25">
      <c r="A4199" s="522"/>
    </row>
    <row r="4200" spans="1:1" x14ac:dyDescent="0.25">
      <c r="A4200" s="522"/>
    </row>
    <row r="4201" spans="1:1" x14ac:dyDescent="0.25">
      <c r="A4201" s="522"/>
    </row>
    <row r="4202" spans="1:1" x14ac:dyDescent="0.25">
      <c r="A4202" s="522"/>
    </row>
    <row r="4203" spans="1:1" x14ac:dyDescent="0.25">
      <c r="A4203" s="522"/>
    </row>
    <row r="4204" spans="1:1" x14ac:dyDescent="0.25">
      <c r="A4204" s="522"/>
    </row>
    <row r="4205" spans="1:1" x14ac:dyDescent="0.25">
      <c r="A4205" s="522"/>
    </row>
    <row r="4206" spans="1:1" x14ac:dyDescent="0.25">
      <c r="A4206" s="522"/>
    </row>
    <row r="4207" spans="1:1" x14ac:dyDescent="0.25">
      <c r="A4207" s="522"/>
    </row>
    <row r="4208" spans="1:1" x14ac:dyDescent="0.25">
      <c r="A4208" s="522"/>
    </row>
    <row r="4209" spans="1:1" x14ac:dyDescent="0.25">
      <c r="A4209" s="522"/>
    </row>
    <row r="4210" spans="1:1" x14ac:dyDescent="0.25">
      <c r="A4210" s="522"/>
    </row>
    <row r="4211" spans="1:1" x14ac:dyDescent="0.25">
      <c r="A4211" s="522"/>
    </row>
    <row r="4212" spans="1:1" x14ac:dyDescent="0.25">
      <c r="A4212" s="522"/>
    </row>
    <row r="4213" spans="1:1" x14ac:dyDescent="0.25">
      <c r="A4213" s="522"/>
    </row>
    <row r="4214" spans="1:1" x14ac:dyDescent="0.25">
      <c r="A4214" s="522"/>
    </row>
    <row r="4215" spans="1:1" x14ac:dyDescent="0.25">
      <c r="A4215" s="522"/>
    </row>
    <row r="4216" spans="1:1" x14ac:dyDescent="0.25">
      <c r="A4216" s="522"/>
    </row>
    <row r="4217" spans="1:1" x14ac:dyDescent="0.25">
      <c r="A4217" s="522"/>
    </row>
    <row r="4218" spans="1:1" x14ac:dyDescent="0.25">
      <c r="A4218" s="522"/>
    </row>
    <row r="4219" spans="1:1" x14ac:dyDescent="0.25">
      <c r="A4219" s="522"/>
    </row>
    <row r="4220" spans="1:1" x14ac:dyDescent="0.25">
      <c r="A4220" s="522"/>
    </row>
    <row r="4221" spans="1:1" x14ac:dyDescent="0.25">
      <c r="A4221" s="522"/>
    </row>
    <row r="4222" spans="1:1" x14ac:dyDescent="0.25">
      <c r="A4222" s="522"/>
    </row>
    <row r="4223" spans="1:1" x14ac:dyDescent="0.25">
      <c r="A4223" s="522"/>
    </row>
    <row r="4224" spans="1:1" x14ac:dyDescent="0.25">
      <c r="A4224" s="522"/>
    </row>
    <row r="4225" spans="1:1" x14ac:dyDescent="0.25">
      <c r="A4225" s="522"/>
    </row>
    <row r="4226" spans="1:1" x14ac:dyDescent="0.25">
      <c r="A4226" s="522"/>
    </row>
    <row r="4227" spans="1:1" x14ac:dyDescent="0.25">
      <c r="A4227" s="522"/>
    </row>
    <row r="4228" spans="1:1" x14ac:dyDescent="0.25">
      <c r="A4228" s="522"/>
    </row>
    <row r="4229" spans="1:1" x14ac:dyDescent="0.25">
      <c r="A4229" s="522"/>
    </row>
    <row r="4230" spans="1:1" x14ac:dyDescent="0.25">
      <c r="A4230" s="522"/>
    </row>
    <row r="4231" spans="1:1" x14ac:dyDescent="0.25">
      <c r="A4231" s="522"/>
    </row>
    <row r="4232" spans="1:1" x14ac:dyDescent="0.25">
      <c r="A4232" s="522"/>
    </row>
    <row r="4233" spans="1:1" x14ac:dyDescent="0.25">
      <c r="A4233" s="522"/>
    </row>
    <row r="4234" spans="1:1" x14ac:dyDescent="0.25">
      <c r="A4234" s="522"/>
    </row>
    <row r="4235" spans="1:1" x14ac:dyDescent="0.25">
      <c r="A4235" s="522"/>
    </row>
    <row r="4236" spans="1:1" x14ac:dyDescent="0.25">
      <c r="A4236" s="522"/>
    </row>
    <row r="4237" spans="1:1" x14ac:dyDescent="0.25">
      <c r="A4237" s="522"/>
    </row>
    <row r="4238" spans="1:1" x14ac:dyDescent="0.25">
      <c r="A4238" s="522"/>
    </row>
    <row r="4239" spans="1:1" x14ac:dyDescent="0.25">
      <c r="A4239" s="522"/>
    </row>
    <row r="4240" spans="1:1" x14ac:dyDescent="0.25">
      <c r="A4240" s="522"/>
    </row>
    <row r="4241" spans="1:1" x14ac:dyDescent="0.25">
      <c r="A4241" s="522"/>
    </row>
    <row r="4242" spans="1:1" x14ac:dyDescent="0.25">
      <c r="A4242" s="522"/>
    </row>
    <row r="4243" spans="1:1" x14ac:dyDescent="0.25">
      <c r="A4243" s="522"/>
    </row>
    <row r="4244" spans="1:1" x14ac:dyDescent="0.25">
      <c r="A4244" s="522"/>
    </row>
    <row r="4245" spans="1:1" x14ac:dyDescent="0.25">
      <c r="A4245" s="522"/>
    </row>
    <row r="4246" spans="1:1" x14ac:dyDescent="0.25">
      <c r="A4246" s="522"/>
    </row>
    <row r="4247" spans="1:1" x14ac:dyDescent="0.25">
      <c r="A4247" s="522"/>
    </row>
    <row r="4248" spans="1:1" x14ac:dyDescent="0.25">
      <c r="A4248" s="522"/>
    </row>
    <row r="4249" spans="1:1" x14ac:dyDescent="0.25">
      <c r="A4249" s="522"/>
    </row>
    <row r="4250" spans="1:1" x14ac:dyDescent="0.25">
      <c r="A4250" s="522"/>
    </row>
    <row r="4251" spans="1:1" x14ac:dyDescent="0.25">
      <c r="A4251" s="522"/>
    </row>
    <row r="4252" spans="1:1" x14ac:dyDescent="0.25">
      <c r="A4252" s="522"/>
    </row>
    <row r="4253" spans="1:1" x14ac:dyDescent="0.25">
      <c r="A4253" s="522"/>
    </row>
    <row r="4254" spans="1:1" x14ac:dyDescent="0.25">
      <c r="A4254" s="522"/>
    </row>
    <row r="4255" spans="1:1" x14ac:dyDescent="0.25">
      <c r="A4255" s="522"/>
    </row>
    <row r="4256" spans="1:1" x14ac:dyDescent="0.25">
      <c r="A4256" s="522"/>
    </row>
    <row r="4257" spans="1:1" x14ac:dyDescent="0.25">
      <c r="A4257" s="522"/>
    </row>
    <row r="4258" spans="1:1" x14ac:dyDescent="0.25">
      <c r="A4258" s="522"/>
    </row>
    <row r="4259" spans="1:1" x14ac:dyDescent="0.25">
      <c r="A4259" s="522"/>
    </row>
    <row r="4260" spans="1:1" x14ac:dyDescent="0.25">
      <c r="A4260" s="522"/>
    </row>
    <row r="4261" spans="1:1" x14ac:dyDescent="0.25">
      <c r="A4261" s="522"/>
    </row>
    <row r="4262" spans="1:1" x14ac:dyDescent="0.25">
      <c r="A4262" s="522"/>
    </row>
    <row r="4263" spans="1:1" x14ac:dyDescent="0.25">
      <c r="A4263" s="522"/>
    </row>
    <row r="4264" spans="1:1" x14ac:dyDescent="0.25">
      <c r="A4264" s="522"/>
    </row>
    <row r="4265" spans="1:1" x14ac:dyDescent="0.25">
      <c r="A4265" s="522"/>
    </row>
    <row r="4266" spans="1:1" x14ac:dyDescent="0.25">
      <c r="A4266" s="522"/>
    </row>
    <row r="4267" spans="1:1" x14ac:dyDescent="0.25">
      <c r="A4267" s="522"/>
    </row>
    <row r="4268" spans="1:1" x14ac:dyDescent="0.25">
      <c r="A4268" s="522"/>
    </row>
    <row r="4269" spans="1:1" x14ac:dyDescent="0.25">
      <c r="A4269" s="522"/>
    </row>
    <row r="4270" spans="1:1" x14ac:dyDescent="0.25">
      <c r="A4270" s="522"/>
    </row>
    <row r="4271" spans="1:1" x14ac:dyDescent="0.25">
      <c r="A4271" s="522"/>
    </row>
    <row r="4272" spans="1:1" x14ac:dyDescent="0.25">
      <c r="A4272" s="522"/>
    </row>
    <row r="4273" spans="1:1" x14ac:dyDescent="0.25">
      <c r="A4273" s="522"/>
    </row>
    <row r="4274" spans="1:1" x14ac:dyDescent="0.25">
      <c r="A4274" s="522"/>
    </row>
    <row r="4275" spans="1:1" x14ac:dyDescent="0.25">
      <c r="A4275" s="522"/>
    </row>
    <row r="4276" spans="1:1" x14ac:dyDescent="0.25">
      <c r="A4276" s="522"/>
    </row>
    <row r="4277" spans="1:1" x14ac:dyDescent="0.25">
      <c r="A4277" s="522"/>
    </row>
    <row r="4278" spans="1:1" x14ac:dyDescent="0.25">
      <c r="A4278" s="522"/>
    </row>
    <row r="4279" spans="1:1" x14ac:dyDescent="0.25">
      <c r="A4279" s="522"/>
    </row>
    <row r="4280" spans="1:1" x14ac:dyDescent="0.25">
      <c r="A4280" s="522"/>
    </row>
    <row r="4281" spans="1:1" x14ac:dyDescent="0.25">
      <c r="A4281" s="522"/>
    </row>
    <row r="4282" spans="1:1" x14ac:dyDescent="0.25">
      <c r="A4282" s="522"/>
    </row>
    <row r="4283" spans="1:1" x14ac:dyDescent="0.25">
      <c r="A4283" s="522"/>
    </row>
    <row r="4284" spans="1:1" x14ac:dyDescent="0.25">
      <c r="A4284" s="522"/>
    </row>
    <row r="4285" spans="1:1" x14ac:dyDescent="0.25">
      <c r="A4285" s="522"/>
    </row>
    <row r="4286" spans="1:1" x14ac:dyDescent="0.25">
      <c r="A4286" s="522"/>
    </row>
    <row r="4287" spans="1:1" x14ac:dyDescent="0.25">
      <c r="A4287" s="522"/>
    </row>
    <row r="4288" spans="1:1" x14ac:dyDescent="0.25">
      <c r="A4288" s="522"/>
    </row>
    <row r="4289" spans="1:1" x14ac:dyDescent="0.25">
      <c r="A4289" s="522"/>
    </row>
    <row r="4290" spans="1:1" x14ac:dyDescent="0.25">
      <c r="A4290" s="522"/>
    </row>
    <row r="4291" spans="1:1" x14ac:dyDescent="0.25">
      <c r="A4291" s="522"/>
    </row>
    <row r="4292" spans="1:1" x14ac:dyDescent="0.25">
      <c r="A4292" s="522"/>
    </row>
    <row r="4293" spans="1:1" x14ac:dyDescent="0.25">
      <c r="A4293" s="522"/>
    </row>
    <row r="4294" spans="1:1" x14ac:dyDescent="0.25">
      <c r="A4294" s="522"/>
    </row>
    <row r="4295" spans="1:1" x14ac:dyDescent="0.25">
      <c r="A4295" s="522"/>
    </row>
    <row r="4296" spans="1:1" x14ac:dyDescent="0.25">
      <c r="A4296" s="522"/>
    </row>
    <row r="4297" spans="1:1" x14ac:dyDescent="0.25">
      <c r="A4297" s="522"/>
    </row>
    <row r="4298" spans="1:1" x14ac:dyDescent="0.25">
      <c r="A4298" s="522"/>
    </row>
    <row r="4299" spans="1:1" x14ac:dyDescent="0.25">
      <c r="A4299" s="522"/>
    </row>
    <row r="4300" spans="1:1" x14ac:dyDescent="0.25">
      <c r="A4300" s="522"/>
    </row>
    <row r="4301" spans="1:1" x14ac:dyDescent="0.25">
      <c r="A4301" s="522"/>
    </row>
    <row r="4302" spans="1:1" x14ac:dyDescent="0.25">
      <c r="A4302" s="522"/>
    </row>
    <row r="4303" spans="1:1" x14ac:dyDescent="0.25">
      <c r="A4303" s="522"/>
    </row>
    <row r="4304" spans="1:1" x14ac:dyDescent="0.25">
      <c r="A4304" s="522"/>
    </row>
    <row r="4305" spans="1:1" x14ac:dyDescent="0.25">
      <c r="A4305" s="522"/>
    </row>
    <row r="4306" spans="1:1" x14ac:dyDescent="0.25">
      <c r="A4306" s="522"/>
    </row>
    <row r="4307" spans="1:1" x14ac:dyDescent="0.25">
      <c r="A4307" s="522"/>
    </row>
    <row r="4308" spans="1:1" x14ac:dyDescent="0.25">
      <c r="A4308" s="522"/>
    </row>
    <row r="4309" spans="1:1" x14ac:dyDescent="0.25">
      <c r="A4309" s="522"/>
    </row>
    <row r="4310" spans="1:1" x14ac:dyDescent="0.25">
      <c r="A4310" s="522"/>
    </row>
    <row r="4311" spans="1:1" x14ac:dyDescent="0.25">
      <c r="A4311" s="522"/>
    </row>
    <row r="4312" spans="1:1" x14ac:dyDescent="0.25">
      <c r="A4312" s="522"/>
    </row>
    <row r="4313" spans="1:1" x14ac:dyDescent="0.25">
      <c r="A4313" s="522"/>
    </row>
    <row r="4314" spans="1:1" x14ac:dyDescent="0.25">
      <c r="A4314" s="522"/>
    </row>
    <row r="4315" spans="1:1" x14ac:dyDescent="0.25">
      <c r="A4315" s="522"/>
    </row>
    <row r="4316" spans="1:1" x14ac:dyDescent="0.25">
      <c r="A4316" s="522"/>
    </row>
    <row r="4317" spans="1:1" x14ac:dyDescent="0.25">
      <c r="A4317" s="522"/>
    </row>
    <row r="4318" spans="1:1" x14ac:dyDescent="0.25">
      <c r="A4318" s="522"/>
    </row>
    <row r="4319" spans="1:1" x14ac:dyDescent="0.25">
      <c r="A4319" s="522"/>
    </row>
    <row r="4320" spans="1:1" x14ac:dyDescent="0.25">
      <c r="A4320" s="522"/>
    </row>
    <row r="4321" spans="1:1" x14ac:dyDescent="0.25">
      <c r="A4321" s="522"/>
    </row>
    <row r="4322" spans="1:1" x14ac:dyDescent="0.25">
      <c r="A4322" s="522"/>
    </row>
    <row r="4323" spans="1:1" x14ac:dyDescent="0.25">
      <c r="A4323" s="522"/>
    </row>
    <row r="4324" spans="1:1" x14ac:dyDescent="0.25">
      <c r="A4324" s="522"/>
    </row>
    <row r="4325" spans="1:1" x14ac:dyDescent="0.25">
      <c r="A4325" s="522"/>
    </row>
    <row r="4326" spans="1:1" x14ac:dyDescent="0.25">
      <c r="A4326" s="522"/>
    </row>
    <row r="4327" spans="1:1" x14ac:dyDescent="0.25">
      <c r="A4327" s="522"/>
    </row>
    <row r="4328" spans="1:1" x14ac:dyDescent="0.25">
      <c r="A4328" s="522"/>
    </row>
    <row r="4329" spans="1:1" x14ac:dyDescent="0.25">
      <c r="A4329" s="522"/>
    </row>
    <row r="4330" spans="1:1" x14ac:dyDescent="0.25">
      <c r="A4330" s="522"/>
    </row>
    <row r="4331" spans="1:1" x14ac:dyDescent="0.25">
      <c r="A4331" s="522"/>
    </row>
    <row r="4332" spans="1:1" x14ac:dyDescent="0.25">
      <c r="A4332" s="522"/>
    </row>
    <row r="4333" spans="1:1" x14ac:dyDescent="0.25">
      <c r="A4333" s="522"/>
    </row>
    <row r="4334" spans="1:1" x14ac:dyDescent="0.25">
      <c r="A4334" s="522"/>
    </row>
    <row r="4335" spans="1:1" x14ac:dyDescent="0.25">
      <c r="A4335" s="522"/>
    </row>
    <row r="4336" spans="1:1" x14ac:dyDescent="0.25">
      <c r="A4336" s="522"/>
    </row>
    <row r="4337" spans="1:1" x14ac:dyDescent="0.25">
      <c r="A4337" s="522"/>
    </row>
    <row r="4338" spans="1:1" x14ac:dyDescent="0.25">
      <c r="A4338" s="522"/>
    </row>
    <row r="4339" spans="1:1" x14ac:dyDescent="0.25">
      <c r="A4339" s="522"/>
    </row>
    <row r="4340" spans="1:1" x14ac:dyDescent="0.25">
      <c r="A4340" s="522"/>
    </row>
    <row r="4341" spans="1:1" x14ac:dyDescent="0.25">
      <c r="A4341" s="522"/>
    </row>
    <row r="4342" spans="1:1" x14ac:dyDescent="0.25">
      <c r="A4342" s="522"/>
    </row>
    <row r="4343" spans="1:1" x14ac:dyDescent="0.25">
      <c r="A4343" s="522"/>
    </row>
    <row r="4344" spans="1:1" x14ac:dyDescent="0.25">
      <c r="A4344" s="522"/>
    </row>
    <row r="4345" spans="1:1" x14ac:dyDescent="0.25">
      <c r="A4345" s="522"/>
    </row>
    <row r="4346" spans="1:1" x14ac:dyDescent="0.25">
      <c r="A4346" s="522"/>
    </row>
    <row r="4347" spans="1:1" x14ac:dyDescent="0.25">
      <c r="A4347" s="522"/>
    </row>
    <row r="4348" spans="1:1" x14ac:dyDescent="0.25">
      <c r="A4348" s="522"/>
    </row>
    <row r="4349" spans="1:1" x14ac:dyDescent="0.25">
      <c r="A4349" s="522"/>
    </row>
    <row r="4350" spans="1:1" x14ac:dyDescent="0.25">
      <c r="A4350" s="522"/>
    </row>
    <row r="4351" spans="1:1" x14ac:dyDescent="0.25">
      <c r="A4351" s="522"/>
    </row>
    <row r="4352" spans="1:1" x14ac:dyDescent="0.25">
      <c r="A4352" s="522"/>
    </row>
    <row r="4353" spans="1:1" x14ac:dyDescent="0.25">
      <c r="A4353" s="522"/>
    </row>
    <row r="4354" spans="1:1" x14ac:dyDescent="0.25">
      <c r="A4354" s="522"/>
    </row>
    <row r="4355" spans="1:1" x14ac:dyDescent="0.25">
      <c r="A4355" s="522"/>
    </row>
    <row r="4356" spans="1:1" x14ac:dyDescent="0.25">
      <c r="A4356" s="522"/>
    </row>
    <row r="4357" spans="1:1" x14ac:dyDescent="0.25">
      <c r="A4357" s="522"/>
    </row>
    <row r="4358" spans="1:1" x14ac:dyDescent="0.25">
      <c r="A4358" s="522"/>
    </row>
    <row r="4359" spans="1:1" x14ac:dyDescent="0.25">
      <c r="A4359" s="522"/>
    </row>
    <row r="4360" spans="1:1" x14ac:dyDescent="0.25">
      <c r="A4360" s="522"/>
    </row>
    <row r="4361" spans="1:1" x14ac:dyDescent="0.25">
      <c r="A4361" s="522"/>
    </row>
    <row r="4362" spans="1:1" x14ac:dyDescent="0.25">
      <c r="A4362" s="522"/>
    </row>
    <row r="4363" spans="1:1" x14ac:dyDescent="0.25">
      <c r="A4363" s="522"/>
    </row>
    <row r="4364" spans="1:1" x14ac:dyDescent="0.25">
      <c r="A4364" s="522"/>
    </row>
    <row r="4365" spans="1:1" x14ac:dyDescent="0.25">
      <c r="A4365" s="522"/>
    </row>
    <row r="4366" spans="1:1" x14ac:dyDescent="0.25">
      <c r="A4366" s="522"/>
    </row>
    <row r="4367" spans="1:1" x14ac:dyDescent="0.25">
      <c r="A4367" s="522"/>
    </row>
    <row r="4368" spans="1:1" x14ac:dyDescent="0.25">
      <c r="A4368" s="522"/>
    </row>
    <row r="4369" spans="1:1" x14ac:dyDescent="0.25">
      <c r="A4369" s="522"/>
    </row>
    <row r="4370" spans="1:1" x14ac:dyDescent="0.25">
      <c r="A4370" s="522"/>
    </row>
    <row r="4371" spans="1:1" x14ac:dyDescent="0.25">
      <c r="A4371" s="522"/>
    </row>
    <row r="4372" spans="1:1" x14ac:dyDescent="0.25">
      <c r="A4372" s="522"/>
    </row>
    <row r="4373" spans="1:1" x14ac:dyDescent="0.25">
      <c r="A4373" s="522"/>
    </row>
    <row r="4374" spans="1:1" x14ac:dyDescent="0.25">
      <c r="A4374" s="522"/>
    </row>
    <row r="4375" spans="1:1" x14ac:dyDescent="0.25">
      <c r="A4375" s="522"/>
    </row>
    <row r="4376" spans="1:1" x14ac:dyDescent="0.25">
      <c r="A4376" s="522"/>
    </row>
    <row r="4377" spans="1:1" x14ac:dyDescent="0.25">
      <c r="A4377" s="522"/>
    </row>
    <row r="4378" spans="1:1" x14ac:dyDescent="0.25">
      <c r="A4378" s="522"/>
    </row>
    <row r="4379" spans="1:1" x14ac:dyDescent="0.25">
      <c r="A4379" s="522"/>
    </row>
    <row r="4380" spans="1:1" x14ac:dyDescent="0.25">
      <c r="A4380" s="522"/>
    </row>
    <row r="4381" spans="1:1" x14ac:dyDescent="0.25">
      <c r="A4381" s="522"/>
    </row>
    <row r="4382" spans="1:1" x14ac:dyDescent="0.25">
      <c r="A4382" s="522"/>
    </row>
    <row r="4383" spans="1:1" x14ac:dyDescent="0.25">
      <c r="A4383" s="522"/>
    </row>
    <row r="4384" spans="1:1" x14ac:dyDescent="0.25">
      <c r="A4384" s="522"/>
    </row>
    <row r="4385" spans="1:1" x14ac:dyDescent="0.25">
      <c r="A4385" s="522"/>
    </row>
    <row r="4386" spans="1:1" x14ac:dyDescent="0.25">
      <c r="A4386" s="522"/>
    </row>
    <row r="4387" spans="1:1" x14ac:dyDescent="0.25">
      <c r="A4387" s="522"/>
    </row>
    <row r="4388" spans="1:1" x14ac:dyDescent="0.25">
      <c r="A4388" s="522"/>
    </row>
    <row r="4389" spans="1:1" x14ac:dyDescent="0.25">
      <c r="A4389" s="522"/>
    </row>
    <row r="4390" spans="1:1" x14ac:dyDescent="0.25">
      <c r="A4390" s="522"/>
    </row>
    <row r="4391" spans="1:1" x14ac:dyDescent="0.25">
      <c r="A4391" s="522"/>
    </row>
    <row r="4392" spans="1:1" x14ac:dyDescent="0.25">
      <c r="A4392" s="522"/>
    </row>
    <row r="4393" spans="1:1" x14ac:dyDescent="0.25">
      <c r="A4393" s="522"/>
    </row>
    <row r="4394" spans="1:1" x14ac:dyDescent="0.25">
      <c r="A4394" s="522"/>
    </row>
    <row r="4395" spans="1:1" x14ac:dyDescent="0.25">
      <c r="A4395" s="522"/>
    </row>
    <row r="4396" spans="1:1" x14ac:dyDescent="0.25">
      <c r="A4396" s="522"/>
    </row>
    <row r="4397" spans="1:1" x14ac:dyDescent="0.25">
      <c r="A4397" s="522"/>
    </row>
    <row r="4398" spans="1:1" x14ac:dyDescent="0.25">
      <c r="A4398" s="522"/>
    </row>
    <row r="4399" spans="1:1" x14ac:dyDescent="0.25">
      <c r="A4399" s="522"/>
    </row>
    <row r="4400" spans="1:1" x14ac:dyDescent="0.25">
      <c r="A4400" s="522"/>
    </row>
    <row r="4401" spans="1:1" x14ac:dyDescent="0.25">
      <c r="A4401" s="522"/>
    </row>
    <row r="4402" spans="1:1" x14ac:dyDescent="0.25">
      <c r="A4402" s="522"/>
    </row>
    <row r="4403" spans="1:1" x14ac:dyDescent="0.25">
      <c r="A4403" s="522"/>
    </row>
    <row r="4404" spans="1:1" x14ac:dyDescent="0.25">
      <c r="A4404" s="522"/>
    </row>
    <row r="4405" spans="1:1" x14ac:dyDescent="0.25">
      <c r="A4405" s="522"/>
    </row>
    <row r="4406" spans="1:1" x14ac:dyDescent="0.25">
      <c r="A4406" s="522"/>
    </row>
    <row r="4407" spans="1:1" x14ac:dyDescent="0.25">
      <c r="A4407" s="522"/>
    </row>
    <row r="4408" spans="1:1" x14ac:dyDescent="0.25">
      <c r="A4408" s="522"/>
    </row>
    <row r="4409" spans="1:1" x14ac:dyDescent="0.25">
      <c r="A4409" s="522"/>
    </row>
    <row r="4410" spans="1:1" x14ac:dyDescent="0.25">
      <c r="A4410" s="522"/>
    </row>
    <row r="4411" spans="1:1" x14ac:dyDescent="0.25">
      <c r="A4411" s="522"/>
    </row>
    <row r="4412" spans="1:1" x14ac:dyDescent="0.25">
      <c r="A4412" s="522"/>
    </row>
    <row r="4413" spans="1:1" x14ac:dyDescent="0.25">
      <c r="A4413" s="522"/>
    </row>
    <row r="4414" spans="1:1" x14ac:dyDescent="0.25">
      <c r="A4414" s="522"/>
    </row>
    <row r="4415" spans="1:1" x14ac:dyDescent="0.25">
      <c r="A4415" s="522"/>
    </row>
    <row r="4416" spans="1:1" x14ac:dyDescent="0.25">
      <c r="A4416" s="522"/>
    </row>
    <row r="4417" spans="1:1" x14ac:dyDescent="0.25">
      <c r="A4417" s="522"/>
    </row>
    <row r="4418" spans="1:1" x14ac:dyDescent="0.25">
      <c r="A4418" s="522"/>
    </row>
    <row r="4419" spans="1:1" x14ac:dyDescent="0.25">
      <c r="A4419" s="522"/>
    </row>
    <row r="4420" spans="1:1" x14ac:dyDescent="0.25">
      <c r="A4420" s="522"/>
    </row>
    <row r="4421" spans="1:1" x14ac:dyDescent="0.25">
      <c r="A4421" s="522"/>
    </row>
    <row r="4422" spans="1:1" x14ac:dyDescent="0.25">
      <c r="A4422" s="522"/>
    </row>
    <row r="4423" spans="1:1" x14ac:dyDescent="0.25">
      <c r="A4423" s="522"/>
    </row>
    <row r="4424" spans="1:1" x14ac:dyDescent="0.25">
      <c r="A4424" s="522"/>
    </row>
    <row r="4425" spans="1:1" x14ac:dyDescent="0.25">
      <c r="A4425" s="522"/>
    </row>
    <row r="4426" spans="1:1" x14ac:dyDescent="0.25">
      <c r="A4426" s="522"/>
    </row>
    <row r="4427" spans="1:1" x14ac:dyDescent="0.25">
      <c r="A4427" s="522"/>
    </row>
    <row r="4428" spans="1:1" x14ac:dyDescent="0.25">
      <c r="A4428" s="522"/>
    </row>
    <row r="4429" spans="1:1" x14ac:dyDescent="0.25">
      <c r="A4429" s="522"/>
    </row>
    <row r="4430" spans="1:1" x14ac:dyDescent="0.25">
      <c r="A4430" s="522"/>
    </row>
    <row r="4431" spans="1:1" x14ac:dyDescent="0.25">
      <c r="A4431" s="522"/>
    </row>
    <row r="4432" spans="1:1" x14ac:dyDescent="0.25">
      <c r="A4432" s="522"/>
    </row>
    <row r="4433" spans="1:1" x14ac:dyDescent="0.25">
      <c r="A4433" s="522"/>
    </row>
    <row r="4434" spans="1:1" x14ac:dyDescent="0.25">
      <c r="A4434" s="522"/>
    </row>
    <row r="4435" spans="1:1" x14ac:dyDescent="0.25">
      <c r="A4435" s="522"/>
    </row>
    <row r="4436" spans="1:1" x14ac:dyDescent="0.25">
      <c r="A4436" s="522"/>
    </row>
    <row r="4437" spans="1:1" x14ac:dyDescent="0.25">
      <c r="A4437" s="522"/>
    </row>
    <row r="4438" spans="1:1" x14ac:dyDescent="0.25">
      <c r="A4438" s="522"/>
    </row>
    <row r="4439" spans="1:1" x14ac:dyDescent="0.25">
      <c r="A4439" s="522"/>
    </row>
    <row r="4440" spans="1:1" x14ac:dyDescent="0.25">
      <c r="A4440" s="522"/>
    </row>
    <row r="4441" spans="1:1" x14ac:dyDescent="0.25">
      <c r="A4441" s="522"/>
    </row>
    <row r="4442" spans="1:1" x14ac:dyDescent="0.25">
      <c r="A4442" s="522"/>
    </row>
    <row r="4443" spans="1:1" x14ac:dyDescent="0.25">
      <c r="A4443" s="522"/>
    </row>
    <row r="4444" spans="1:1" x14ac:dyDescent="0.25">
      <c r="A4444" s="522"/>
    </row>
    <row r="4445" spans="1:1" x14ac:dyDescent="0.25">
      <c r="A4445" s="522"/>
    </row>
    <row r="4446" spans="1:1" x14ac:dyDescent="0.25">
      <c r="A4446" s="522"/>
    </row>
    <row r="4447" spans="1:1" x14ac:dyDescent="0.25">
      <c r="A4447" s="522"/>
    </row>
    <row r="4448" spans="1:1" x14ac:dyDescent="0.25">
      <c r="A4448" s="522"/>
    </row>
    <row r="4449" spans="1:1" x14ac:dyDescent="0.25">
      <c r="A4449" s="522"/>
    </row>
    <row r="4450" spans="1:1" x14ac:dyDescent="0.25">
      <c r="A4450" s="522"/>
    </row>
    <row r="4451" spans="1:1" x14ac:dyDescent="0.25">
      <c r="A4451" s="522"/>
    </row>
    <row r="4452" spans="1:1" x14ac:dyDescent="0.25">
      <c r="A4452" s="522"/>
    </row>
    <row r="4453" spans="1:1" x14ac:dyDescent="0.25">
      <c r="A4453" s="522"/>
    </row>
    <row r="4454" spans="1:1" x14ac:dyDescent="0.25">
      <c r="A4454" s="522"/>
    </row>
    <row r="4455" spans="1:1" x14ac:dyDescent="0.25">
      <c r="A4455" s="522"/>
    </row>
    <row r="4456" spans="1:1" x14ac:dyDescent="0.25">
      <c r="A4456" s="522"/>
    </row>
    <row r="4457" spans="1:1" x14ac:dyDescent="0.25">
      <c r="A4457" s="522"/>
    </row>
    <row r="4458" spans="1:1" x14ac:dyDescent="0.25">
      <c r="A4458" s="522"/>
    </row>
    <row r="4459" spans="1:1" x14ac:dyDescent="0.25">
      <c r="A4459" s="522"/>
    </row>
    <row r="4460" spans="1:1" x14ac:dyDescent="0.25">
      <c r="A4460" s="522"/>
    </row>
    <row r="4461" spans="1:1" x14ac:dyDescent="0.25">
      <c r="A4461" s="522"/>
    </row>
    <row r="4462" spans="1:1" x14ac:dyDescent="0.25">
      <c r="A4462" s="522"/>
    </row>
    <row r="4463" spans="1:1" x14ac:dyDescent="0.25">
      <c r="A4463" s="522"/>
    </row>
    <row r="4464" spans="1:1" x14ac:dyDescent="0.25">
      <c r="A4464" s="522"/>
    </row>
    <row r="4465" spans="1:1" x14ac:dyDescent="0.25">
      <c r="A4465" s="522"/>
    </row>
    <row r="4466" spans="1:1" x14ac:dyDescent="0.25">
      <c r="A4466" s="522"/>
    </row>
    <row r="4467" spans="1:1" x14ac:dyDescent="0.25">
      <c r="A4467" s="522"/>
    </row>
    <row r="4468" spans="1:1" x14ac:dyDescent="0.25">
      <c r="A4468" s="522"/>
    </row>
    <row r="4469" spans="1:1" x14ac:dyDescent="0.25">
      <c r="A4469" s="522"/>
    </row>
    <row r="4470" spans="1:1" x14ac:dyDescent="0.25">
      <c r="A4470" s="522"/>
    </row>
    <row r="4471" spans="1:1" x14ac:dyDescent="0.25">
      <c r="A4471" s="522"/>
    </row>
    <row r="4472" spans="1:1" x14ac:dyDescent="0.25">
      <c r="A4472" s="522"/>
    </row>
    <row r="4473" spans="1:1" x14ac:dyDescent="0.25">
      <c r="A4473" s="522"/>
    </row>
    <row r="4474" spans="1:1" x14ac:dyDescent="0.25">
      <c r="A4474" s="522"/>
    </row>
    <row r="4475" spans="1:1" x14ac:dyDescent="0.25">
      <c r="A4475" s="522"/>
    </row>
    <row r="4476" spans="1:1" x14ac:dyDescent="0.25">
      <c r="A4476" s="522"/>
    </row>
    <row r="4477" spans="1:1" x14ac:dyDescent="0.25">
      <c r="A4477" s="522"/>
    </row>
    <row r="4478" spans="1:1" x14ac:dyDescent="0.25">
      <c r="A4478" s="522"/>
    </row>
    <row r="4479" spans="1:1" x14ac:dyDescent="0.25">
      <c r="A4479" s="522"/>
    </row>
    <row r="4480" spans="1:1" x14ac:dyDescent="0.25">
      <c r="A4480" s="522"/>
    </row>
    <row r="4481" spans="1:1" x14ac:dyDescent="0.25">
      <c r="A4481" s="522"/>
    </row>
    <row r="4482" spans="1:1" x14ac:dyDescent="0.25">
      <c r="A4482" s="522"/>
    </row>
    <row r="4483" spans="1:1" x14ac:dyDescent="0.25">
      <c r="A4483" s="522"/>
    </row>
    <row r="4484" spans="1:1" x14ac:dyDescent="0.25">
      <c r="A4484" s="522"/>
    </row>
    <row r="4485" spans="1:1" x14ac:dyDescent="0.25">
      <c r="A4485" s="522"/>
    </row>
    <row r="4486" spans="1:1" x14ac:dyDescent="0.25">
      <c r="A4486" s="522"/>
    </row>
    <row r="4487" spans="1:1" x14ac:dyDescent="0.25">
      <c r="A4487" s="522"/>
    </row>
    <row r="4488" spans="1:1" x14ac:dyDescent="0.25">
      <c r="A4488" s="522"/>
    </row>
    <row r="4489" spans="1:1" x14ac:dyDescent="0.25">
      <c r="A4489" s="522"/>
    </row>
    <row r="4490" spans="1:1" x14ac:dyDescent="0.25">
      <c r="A4490" s="522"/>
    </row>
    <row r="4491" spans="1:1" x14ac:dyDescent="0.25">
      <c r="A4491" s="522"/>
    </row>
    <row r="4492" spans="1:1" x14ac:dyDescent="0.25">
      <c r="A4492" s="522"/>
    </row>
    <row r="4493" spans="1:1" x14ac:dyDescent="0.25">
      <c r="A4493" s="522"/>
    </row>
    <row r="4494" spans="1:1" x14ac:dyDescent="0.25">
      <c r="A4494" s="522"/>
    </row>
    <row r="4495" spans="1:1" x14ac:dyDescent="0.25">
      <c r="A4495" s="522"/>
    </row>
    <row r="4496" spans="1:1" x14ac:dyDescent="0.25">
      <c r="A4496" s="522"/>
    </row>
    <row r="4497" spans="1:1" x14ac:dyDescent="0.25">
      <c r="A4497" s="522"/>
    </row>
    <row r="4498" spans="1:1" x14ac:dyDescent="0.25">
      <c r="A4498" s="522"/>
    </row>
    <row r="4499" spans="1:1" x14ac:dyDescent="0.25">
      <c r="A4499" s="522"/>
    </row>
    <row r="4500" spans="1:1" x14ac:dyDescent="0.25">
      <c r="A4500" s="522"/>
    </row>
    <row r="4501" spans="1:1" x14ac:dyDescent="0.25">
      <c r="A4501" s="522"/>
    </row>
    <row r="4502" spans="1:1" x14ac:dyDescent="0.25">
      <c r="A4502" s="522"/>
    </row>
    <row r="4503" spans="1:1" x14ac:dyDescent="0.25">
      <c r="A4503" s="522"/>
    </row>
    <row r="4504" spans="1:1" x14ac:dyDescent="0.25">
      <c r="A4504" s="522"/>
    </row>
    <row r="4505" spans="1:1" x14ac:dyDescent="0.25">
      <c r="A4505" s="522"/>
    </row>
    <row r="4506" spans="1:1" x14ac:dyDescent="0.25">
      <c r="A4506" s="522"/>
    </row>
    <row r="4507" spans="1:1" x14ac:dyDescent="0.25">
      <c r="A4507" s="522"/>
    </row>
    <row r="4508" spans="1:1" x14ac:dyDescent="0.25">
      <c r="A4508" s="522"/>
    </row>
    <row r="4509" spans="1:1" x14ac:dyDescent="0.25">
      <c r="A4509" s="522"/>
    </row>
    <row r="4510" spans="1:1" x14ac:dyDescent="0.25">
      <c r="A4510" s="522"/>
    </row>
    <row r="4511" spans="1:1" x14ac:dyDescent="0.25">
      <c r="A4511" s="522"/>
    </row>
    <row r="4512" spans="1:1" x14ac:dyDescent="0.25">
      <c r="A4512" s="522"/>
    </row>
    <row r="4513" spans="1:1" x14ac:dyDescent="0.25">
      <c r="A4513" s="522"/>
    </row>
    <row r="4514" spans="1:1" x14ac:dyDescent="0.25">
      <c r="A4514" s="522"/>
    </row>
    <row r="4515" spans="1:1" x14ac:dyDescent="0.25">
      <c r="A4515" s="522"/>
    </row>
    <row r="4516" spans="1:1" x14ac:dyDescent="0.25">
      <c r="A4516" s="522"/>
    </row>
    <row r="4517" spans="1:1" x14ac:dyDescent="0.25">
      <c r="A4517" s="522"/>
    </row>
    <row r="4518" spans="1:1" x14ac:dyDescent="0.25">
      <c r="A4518" s="522"/>
    </row>
    <row r="4519" spans="1:1" x14ac:dyDescent="0.25">
      <c r="A4519" s="522"/>
    </row>
    <row r="4520" spans="1:1" x14ac:dyDescent="0.25">
      <c r="A4520" s="522"/>
    </row>
    <row r="4521" spans="1:1" x14ac:dyDescent="0.25">
      <c r="A4521" s="522"/>
    </row>
    <row r="4522" spans="1:1" x14ac:dyDescent="0.25">
      <c r="A4522" s="522"/>
    </row>
    <row r="4523" spans="1:1" x14ac:dyDescent="0.25">
      <c r="A4523" s="522"/>
    </row>
    <row r="4524" spans="1:1" x14ac:dyDescent="0.25">
      <c r="A4524" s="522"/>
    </row>
    <row r="4525" spans="1:1" x14ac:dyDescent="0.25">
      <c r="A4525" s="522"/>
    </row>
    <row r="4526" spans="1:1" x14ac:dyDescent="0.25">
      <c r="A4526" s="522"/>
    </row>
    <row r="4527" spans="1:1" x14ac:dyDescent="0.25">
      <c r="A4527" s="522"/>
    </row>
    <row r="4528" spans="1:1" x14ac:dyDescent="0.25">
      <c r="A4528" s="522"/>
    </row>
    <row r="4529" spans="1:1" x14ac:dyDescent="0.25">
      <c r="A4529" s="522"/>
    </row>
    <row r="4530" spans="1:1" x14ac:dyDescent="0.25">
      <c r="A4530" s="522"/>
    </row>
    <row r="4531" spans="1:1" x14ac:dyDescent="0.25">
      <c r="A4531" s="522"/>
    </row>
    <row r="4532" spans="1:1" x14ac:dyDescent="0.25">
      <c r="A4532" s="522"/>
    </row>
    <row r="4533" spans="1:1" x14ac:dyDescent="0.25">
      <c r="A4533" s="522"/>
    </row>
    <row r="4534" spans="1:1" x14ac:dyDescent="0.25">
      <c r="A4534" s="522"/>
    </row>
    <row r="4535" spans="1:1" x14ac:dyDescent="0.25">
      <c r="A4535" s="522"/>
    </row>
    <row r="4536" spans="1:1" x14ac:dyDescent="0.25">
      <c r="A4536" s="522"/>
    </row>
    <row r="4537" spans="1:1" x14ac:dyDescent="0.25">
      <c r="A4537" s="522"/>
    </row>
    <row r="4538" spans="1:1" x14ac:dyDescent="0.25">
      <c r="A4538" s="522"/>
    </row>
    <row r="4539" spans="1:1" x14ac:dyDescent="0.25">
      <c r="A4539" s="522"/>
    </row>
    <row r="4540" spans="1:1" x14ac:dyDescent="0.25">
      <c r="A4540" s="522"/>
    </row>
    <row r="4541" spans="1:1" x14ac:dyDescent="0.25">
      <c r="A4541" s="522"/>
    </row>
    <row r="4542" spans="1:1" x14ac:dyDescent="0.25">
      <c r="A4542" s="522"/>
    </row>
    <row r="4543" spans="1:1" x14ac:dyDescent="0.25">
      <c r="A4543" s="522"/>
    </row>
    <row r="4544" spans="1:1" x14ac:dyDescent="0.25">
      <c r="A4544" s="522"/>
    </row>
    <row r="4545" spans="1:1" x14ac:dyDescent="0.25">
      <c r="A4545" s="522"/>
    </row>
    <row r="4546" spans="1:1" x14ac:dyDescent="0.25">
      <c r="A4546" s="522"/>
    </row>
    <row r="4547" spans="1:1" x14ac:dyDescent="0.25">
      <c r="A4547" s="522"/>
    </row>
    <row r="4548" spans="1:1" x14ac:dyDescent="0.25">
      <c r="A4548" s="522"/>
    </row>
    <row r="4549" spans="1:1" x14ac:dyDescent="0.25">
      <c r="A4549" s="522"/>
    </row>
    <row r="4550" spans="1:1" x14ac:dyDescent="0.25">
      <c r="A4550" s="522"/>
    </row>
    <row r="4551" spans="1:1" x14ac:dyDescent="0.25">
      <c r="A4551" s="522"/>
    </row>
    <row r="4552" spans="1:1" x14ac:dyDescent="0.25">
      <c r="A4552" s="522"/>
    </row>
    <row r="4553" spans="1:1" x14ac:dyDescent="0.25">
      <c r="A4553" s="522"/>
    </row>
    <row r="4554" spans="1:1" x14ac:dyDescent="0.25">
      <c r="A4554" s="522"/>
    </row>
    <row r="4555" spans="1:1" x14ac:dyDescent="0.25">
      <c r="A4555" s="522"/>
    </row>
    <row r="4556" spans="1:1" x14ac:dyDescent="0.25">
      <c r="A4556" s="522"/>
    </row>
    <row r="4557" spans="1:1" x14ac:dyDescent="0.25">
      <c r="A4557" s="522"/>
    </row>
    <row r="4558" spans="1:1" x14ac:dyDescent="0.25">
      <c r="A4558" s="522"/>
    </row>
    <row r="4559" spans="1:1" x14ac:dyDescent="0.25">
      <c r="A4559" s="522"/>
    </row>
    <row r="4560" spans="1:1" x14ac:dyDescent="0.25">
      <c r="A4560" s="522"/>
    </row>
    <row r="4561" spans="1:1" x14ac:dyDescent="0.25">
      <c r="A4561" s="522"/>
    </row>
    <row r="4562" spans="1:1" x14ac:dyDescent="0.25">
      <c r="A4562" s="522"/>
    </row>
    <row r="4563" spans="1:1" x14ac:dyDescent="0.25">
      <c r="A4563" s="522"/>
    </row>
    <row r="4564" spans="1:1" x14ac:dyDescent="0.25">
      <c r="A4564" s="522"/>
    </row>
    <row r="4565" spans="1:1" x14ac:dyDescent="0.25">
      <c r="A4565" s="522"/>
    </row>
    <row r="4566" spans="1:1" x14ac:dyDescent="0.25">
      <c r="A4566" s="522"/>
    </row>
    <row r="4567" spans="1:1" x14ac:dyDescent="0.25">
      <c r="A4567" s="522"/>
    </row>
    <row r="4568" spans="1:1" x14ac:dyDescent="0.25">
      <c r="A4568" s="522"/>
    </row>
    <row r="4569" spans="1:1" x14ac:dyDescent="0.25">
      <c r="A4569" s="522"/>
    </row>
    <row r="4570" spans="1:1" x14ac:dyDescent="0.25">
      <c r="A4570" s="522"/>
    </row>
    <row r="4571" spans="1:1" x14ac:dyDescent="0.25">
      <c r="A4571" s="522"/>
    </row>
    <row r="4572" spans="1:1" x14ac:dyDescent="0.25">
      <c r="A4572" s="522"/>
    </row>
    <row r="4573" spans="1:1" x14ac:dyDescent="0.25">
      <c r="A4573" s="522"/>
    </row>
    <row r="4574" spans="1:1" x14ac:dyDescent="0.25">
      <c r="A4574" s="522"/>
    </row>
    <row r="4575" spans="1:1" x14ac:dyDescent="0.25">
      <c r="A4575" s="522"/>
    </row>
    <row r="4576" spans="1:1" x14ac:dyDescent="0.25">
      <c r="A4576" s="522"/>
    </row>
    <row r="4577" spans="1:1" x14ac:dyDescent="0.25">
      <c r="A4577" s="522"/>
    </row>
    <row r="4578" spans="1:1" x14ac:dyDescent="0.25">
      <c r="A4578" s="522"/>
    </row>
    <row r="4579" spans="1:1" x14ac:dyDescent="0.25">
      <c r="A4579" s="522"/>
    </row>
    <row r="4580" spans="1:1" x14ac:dyDescent="0.25">
      <c r="A4580" s="522"/>
    </row>
    <row r="4581" spans="1:1" x14ac:dyDescent="0.25">
      <c r="A4581" s="522"/>
    </row>
    <row r="4582" spans="1:1" x14ac:dyDescent="0.25">
      <c r="A4582" s="522"/>
    </row>
    <row r="4583" spans="1:1" x14ac:dyDescent="0.25">
      <c r="A4583" s="522"/>
    </row>
    <row r="4584" spans="1:1" x14ac:dyDescent="0.25">
      <c r="A4584" s="522"/>
    </row>
    <row r="4585" spans="1:1" x14ac:dyDescent="0.25">
      <c r="A4585" s="522"/>
    </row>
    <row r="4586" spans="1:1" x14ac:dyDescent="0.25">
      <c r="A4586" s="522"/>
    </row>
    <row r="4587" spans="1:1" x14ac:dyDescent="0.25">
      <c r="A4587" s="522"/>
    </row>
    <row r="4588" spans="1:1" x14ac:dyDescent="0.25">
      <c r="A4588" s="522"/>
    </row>
    <row r="4589" spans="1:1" x14ac:dyDescent="0.25">
      <c r="A4589" s="522"/>
    </row>
    <row r="4590" spans="1:1" x14ac:dyDescent="0.25">
      <c r="A4590" s="522"/>
    </row>
    <row r="4591" spans="1:1" x14ac:dyDescent="0.25">
      <c r="A4591" s="522"/>
    </row>
    <row r="4592" spans="1:1" x14ac:dyDescent="0.25">
      <c r="A4592" s="522"/>
    </row>
    <row r="4593" spans="1:1" x14ac:dyDescent="0.25">
      <c r="A4593" s="522"/>
    </row>
    <row r="4594" spans="1:1" x14ac:dyDescent="0.25">
      <c r="A4594" s="522"/>
    </row>
    <row r="4595" spans="1:1" x14ac:dyDescent="0.25">
      <c r="A4595" s="522"/>
    </row>
    <row r="4596" spans="1:1" x14ac:dyDescent="0.25">
      <c r="A4596" s="522"/>
    </row>
    <row r="4597" spans="1:1" x14ac:dyDescent="0.25">
      <c r="A4597" s="522"/>
    </row>
    <row r="4598" spans="1:1" x14ac:dyDescent="0.25">
      <c r="A4598" s="522"/>
    </row>
    <row r="4599" spans="1:1" x14ac:dyDescent="0.25">
      <c r="A4599" s="522"/>
    </row>
    <row r="4600" spans="1:1" x14ac:dyDescent="0.25">
      <c r="A4600" s="522"/>
    </row>
    <row r="4601" spans="1:1" x14ac:dyDescent="0.25">
      <c r="A4601" s="522"/>
    </row>
    <row r="4602" spans="1:1" x14ac:dyDescent="0.25">
      <c r="A4602" s="522"/>
    </row>
    <row r="4603" spans="1:1" x14ac:dyDescent="0.25">
      <c r="A4603" s="522"/>
    </row>
    <row r="4604" spans="1:1" x14ac:dyDescent="0.25">
      <c r="A4604" s="522"/>
    </row>
    <row r="4605" spans="1:1" x14ac:dyDescent="0.25">
      <c r="A4605" s="522"/>
    </row>
    <row r="4606" spans="1:1" x14ac:dyDescent="0.25">
      <c r="A4606" s="522"/>
    </row>
    <row r="4607" spans="1:1" x14ac:dyDescent="0.25">
      <c r="A4607" s="522"/>
    </row>
    <row r="4608" spans="1:1" x14ac:dyDescent="0.25">
      <c r="A4608" s="522"/>
    </row>
    <row r="4609" spans="1:1" x14ac:dyDescent="0.25">
      <c r="A4609" s="522"/>
    </row>
    <row r="4610" spans="1:1" x14ac:dyDescent="0.25">
      <c r="A4610" s="522"/>
    </row>
    <row r="4611" spans="1:1" x14ac:dyDescent="0.25">
      <c r="A4611" s="522"/>
    </row>
    <row r="4612" spans="1:1" x14ac:dyDescent="0.25">
      <c r="A4612" s="522"/>
    </row>
    <row r="4613" spans="1:1" x14ac:dyDescent="0.25">
      <c r="A4613" s="522"/>
    </row>
    <row r="4614" spans="1:1" x14ac:dyDescent="0.25">
      <c r="A4614" s="522"/>
    </row>
    <row r="4615" spans="1:1" x14ac:dyDescent="0.25">
      <c r="A4615" s="522"/>
    </row>
    <row r="4616" spans="1:1" x14ac:dyDescent="0.25">
      <c r="A4616" s="522"/>
    </row>
    <row r="4617" spans="1:1" x14ac:dyDescent="0.25">
      <c r="A4617" s="522"/>
    </row>
    <row r="4618" spans="1:1" x14ac:dyDescent="0.25">
      <c r="A4618" s="522"/>
    </row>
    <row r="4619" spans="1:1" x14ac:dyDescent="0.25">
      <c r="A4619" s="522"/>
    </row>
    <row r="4620" spans="1:1" x14ac:dyDescent="0.25">
      <c r="A4620" s="522"/>
    </row>
    <row r="4621" spans="1:1" x14ac:dyDescent="0.25">
      <c r="A4621" s="522"/>
    </row>
    <row r="4622" spans="1:1" x14ac:dyDescent="0.25">
      <c r="A4622" s="522"/>
    </row>
    <row r="4623" spans="1:1" x14ac:dyDescent="0.25">
      <c r="A4623" s="522"/>
    </row>
    <row r="4624" spans="1:1" x14ac:dyDescent="0.25">
      <c r="A4624" s="522"/>
    </row>
    <row r="4625" spans="1:1" x14ac:dyDescent="0.25">
      <c r="A4625" s="522"/>
    </row>
    <row r="4626" spans="1:1" x14ac:dyDescent="0.25">
      <c r="A4626" s="522"/>
    </row>
    <row r="4627" spans="1:1" x14ac:dyDescent="0.25">
      <c r="A4627" s="522"/>
    </row>
    <row r="4628" spans="1:1" x14ac:dyDescent="0.25">
      <c r="A4628" s="522"/>
    </row>
    <row r="4629" spans="1:1" x14ac:dyDescent="0.25">
      <c r="A4629" s="522"/>
    </row>
    <row r="4630" spans="1:1" x14ac:dyDescent="0.25">
      <c r="A4630" s="522"/>
    </row>
    <row r="4631" spans="1:1" x14ac:dyDescent="0.25">
      <c r="A4631" s="522"/>
    </row>
    <row r="4632" spans="1:1" x14ac:dyDescent="0.25">
      <c r="A4632" s="522"/>
    </row>
    <row r="4633" spans="1:1" x14ac:dyDescent="0.25">
      <c r="A4633" s="522"/>
    </row>
    <row r="4634" spans="1:1" x14ac:dyDescent="0.25">
      <c r="A4634" s="522"/>
    </row>
    <row r="4635" spans="1:1" x14ac:dyDescent="0.25">
      <c r="A4635" s="522"/>
    </row>
    <row r="4636" spans="1:1" x14ac:dyDescent="0.25">
      <c r="A4636" s="522"/>
    </row>
    <row r="4637" spans="1:1" x14ac:dyDescent="0.25">
      <c r="A4637" s="522"/>
    </row>
    <row r="4638" spans="1:1" x14ac:dyDescent="0.25">
      <c r="A4638" s="522"/>
    </row>
    <row r="4639" spans="1:1" x14ac:dyDescent="0.25">
      <c r="A4639" s="522"/>
    </row>
    <row r="4640" spans="1:1" x14ac:dyDescent="0.25">
      <c r="A4640" s="522"/>
    </row>
    <row r="4641" spans="1:1" x14ac:dyDescent="0.25">
      <c r="A4641" s="522"/>
    </row>
    <row r="4642" spans="1:1" x14ac:dyDescent="0.25">
      <c r="A4642" s="522"/>
    </row>
    <row r="4643" spans="1:1" x14ac:dyDescent="0.25">
      <c r="A4643" s="522"/>
    </row>
    <row r="4644" spans="1:1" x14ac:dyDescent="0.25">
      <c r="A4644" s="522"/>
    </row>
    <row r="4645" spans="1:1" x14ac:dyDescent="0.25">
      <c r="A4645" s="522"/>
    </row>
    <row r="4646" spans="1:1" x14ac:dyDescent="0.25">
      <c r="A4646" s="522"/>
    </row>
    <row r="4647" spans="1:1" x14ac:dyDescent="0.25">
      <c r="A4647" s="522"/>
    </row>
    <row r="4648" spans="1:1" x14ac:dyDescent="0.25">
      <c r="A4648" s="522"/>
    </row>
    <row r="4649" spans="1:1" x14ac:dyDescent="0.25">
      <c r="A4649" s="522"/>
    </row>
    <row r="4650" spans="1:1" x14ac:dyDescent="0.25">
      <c r="A4650" s="522"/>
    </row>
    <row r="4651" spans="1:1" x14ac:dyDescent="0.25">
      <c r="A4651" s="522"/>
    </row>
    <row r="4652" spans="1:1" x14ac:dyDescent="0.25">
      <c r="A4652" s="522"/>
    </row>
    <row r="4653" spans="1:1" x14ac:dyDescent="0.25">
      <c r="A4653" s="522"/>
    </row>
    <row r="4654" spans="1:1" x14ac:dyDescent="0.25">
      <c r="A4654" s="522"/>
    </row>
    <row r="4655" spans="1:1" x14ac:dyDescent="0.25">
      <c r="A4655" s="522"/>
    </row>
    <row r="4656" spans="1:1" x14ac:dyDescent="0.25">
      <c r="A4656" s="522"/>
    </row>
    <row r="4657" spans="1:1" x14ac:dyDescent="0.25">
      <c r="A4657" s="522"/>
    </row>
    <row r="4658" spans="1:1" x14ac:dyDescent="0.25">
      <c r="A4658" s="522"/>
    </row>
    <row r="4659" spans="1:1" x14ac:dyDescent="0.25">
      <c r="A4659" s="522"/>
    </row>
    <row r="4660" spans="1:1" x14ac:dyDescent="0.25">
      <c r="A4660" s="522"/>
    </row>
    <row r="4661" spans="1:1" x14ac:dyDescent="0.25">
      <c r="A4661" s="522"/>
    </row>
    <row r="4662" spans="1:1" x14ac:dyDescent="0.25">
      <c r="A4662" s="522"/>
    </row>
    <row r="4663" spans="1:1" x14ac:dyDescent="0.25">
      <c r="A4663" s="522"/>
    </row>
    <row r="4664" spans="1:1" x14ac:dyDescent="0.25">
      <c r="A4664" s="522"/>
    </row>
    <row r="4665" spans="1:1" x14ac:dyDescent="0.25">
      <c r="A4665" s="522"/>
    </row>
    <row r="4666" spans="1:1" x14ac:dyDescent="0.25">
      <c r="A4666" s="522"/>
    </row>
    <row r="4667" spans="1:1" x14ac:dyDescent="0.25">
      <c r="A4667" s="522"/>
    </row>
    <row r="4668" spans="1:1" x14ac:dyDescent="0.25">
      <c r="A4668" s="522"/>
    </row>
    <row r="4669" spans="1:1" x14ac:dyDescent="0.25">
      <c r="A4669" s="522"/>
    </row>
    <row r="4670" spans="1:1" x14ac:dyDescent="0.25">
      <c r="A4670" s="522"/>
    </row>
    <row r="4671" spans="1:1" x14ac:dyDescent="0.25">
      <c r="A4671" s="522"/>
    </row>
    <row r="4672" spans="1:1" x14ac:dyDescent="0.25">
      <c r="A4672" s="522"/>
    </row>
    <row r="4673" spans="1:1" x14ac:dyDescent="0.25">
      <c r="A4673" s="522"/>
    </row>
    <row r="4674" spans="1:1" x14ac:dyDescent="0.25">
      <c r="A4674" s="522"/>
    </row>
    <row r="4675" spans="1:1" x14ac:dyDescent="0.25">
      <c r="A4675" s="522"/>
    </row>
    <row r="4676" spans="1:1" x14ac:dyDescent="0.25">
      <c r="A4676" s="522"/>
    </row>
    <row r="4677" spans="1:1" x14ac:dyDescent="0.25">
      <c r="A4677" s="522"/>
    </row>
    <row r="4678" spans="1:1" x14ac:dyDescent="0.25">
      <c r="A4678" s="522"/>
    </row>
    <row r="4679" spans="1:1" x14ac:dyDescent="0.25">
      <c r="A4679" s="522"/>
    </row>
    <row r="4680" spans="1:1" x14ac:dyDescent="0.25">
      <c r="A4680" s="522"/>
    </row>
    <row r="4681" spans="1:1" x14ac:dyDescent="0.25">
      <c r="A4681" s="522"/>
    </row>
    <row r="4682" spans="1:1" x14ac:dyDescent="0.25">
      <c r="A4682" s="522"/>
    </row>
    <row r="4683" spans="1:1" x14ac:dyDescent="0.25">
      <c r="A4683" s="522"/>
    </row>
    <row r="4684" spans="1:1" x14ac:dyDescent="0.25">
      <c r="A4684" s="522"/>
    </row>
    <row r="4685" spans="1:1" x14ac:dyDescent="0.25">
      <c r="A4685" s="522"/>
    </row>
    <row r="4686" spans="1:1" x14ac:dyDescent="0.25">
      <c r="A4686" s="522"/>
    </row>
    <row r="4687" spans="1:1" x14ac:dyDescent="0.25">
      <c r="A4687" s="522"/>
    </row>
    <row r="4688" spans="1:1" x14ac:dyDescent="0.25">
      <c r="A4688" s="522"/>
    </row>
    <row r="4689" spans="1:1" x14ac:dyDescent="0.25">
      <c r="A4689" s="522"/>
    </row>
    <row r="4690" spans="1:1" x14ac:dyDescent="0.25">
      <c r="A4690" s="522"/>
    </row>
    <row r="4691" spans="1:1" x14ac:dyDescent="0.25">
      <c r="A4691" s="522"/>
    </row>
    <row r="4692" spans="1:1" x14ac:dyDescent="0.25">
      <c r="A4692" s="522"/>
    </row>
    <row r="4693" spans="1:1" x14ac:dyDescent="0.25">
      <c r="A4693" s="522"/>
    </row>
    <row r="4694" spans="1:1" x14ac:dyDescent="0.25">
      <c r="A4694" s="522"/>
    </row>
    <row r="4695" spans="1:1" x14ac:dyDescent="0.25">
      <c r="A4695" s="522"/>
    </row>
    <row r="4696" spans="1:1" x14ac:dyDescent="0.25">
      <c r="A4696" s="522"/>
    </row>
    <row r="4697" spans="1:1" x14ac:dyDescent="0.25">
      <c r="A4697" s="522"/>
    </row>
    <row r="4698" spans="1:1" x14ac:dyDescent="0.25">
      <c r="A4698" s="522"/>
    </row>
    <row r="4699" spans="1:1" x14ac:dyDescent="0.25">
      <c r="A4699" s="522"/>
    </row>
    <row r="4700" spans="1:1" x14ac:dyDescent="0.25">
      <c r="A4700" s="522"/>
    </row>
    <row r="4701" spans="1:1" x14ac:dyDescent="0.25">
      <c r="A4701" s="522"/>
    </row>
    <row r="4702" spans="1:1" x14ac:dyDescent="0.25">
      <c r="A4702" s="522"/>
    </row>
    <row r="4703" spans="1:1" x14ac:dyDescent="0.25">
      <c r="A4703" s="522"/>
    </row>
    <row r="4704" spans="1:1" x14ac:dyDescent="0.25">
      <c r="A4704" s="522"/>
    </row>
    <row r="4705" spans="1:1" x14ac:dyDescent="0.25">
      <c r="A4705" s="522"/>
    </row>
    <row r="4706" spans="1:1" x14ac:dyDescent="0.25">
      <c r="A4706" s="522"/>
    </row>
    <row r="4707" spans="1:1" x14ac:dyDescent="0.25">
      <c r="A4707" s="522"/>
    </row>
    <row r="4708" spans="1:1" x14ac:dyDescent="0.25">
      <c r="A4708" s="522"/>
    </row>
    <row r="4709" spans="1:1" x14ac:dyDescent="0.25">
      <c r="A4709" s="522"/>
    </row>
    <row r="4710" spans="1:1" x14ac:dyDescent="0.25">
      <c r="A4710" s="522"/>
    </row>
    <row r="4711" spans="1:1" x14ac:dyDescent="0.25">
      <c r="A4711" s="522"/>
    </row>
    <row r="4712" spans="1:1" x14ac:dyDescent="0.25">
      <c r="A4712" s="522"/>
    </row>
    <row r="4713" spans="1:1" x14ac:dyDescent="0.25">
      <c r="A4713" s="522"/>
    </row>
    <row r="4714" spans="1:1" x14ac:dyDescent="0.25">
      <c r="A4714" s="522"/>
    </row>
    <row r="4715" spans="1:1" x14ac:dyDescent="0.25">
      <c r="A4715" s="522"/>
    </row>
    <row r="4716" spans="1:1" x14ac:dyDescent="0.25">
      <c r="A4716" s="522"/>
    </row>
    <row r="4717" spans="1:1" x14ac:dyDescent="0.25">
      <c r="A4717" s="522"/>
    </row>
    <row r="4718" spans="1:1" x14ac:dyDescent="0.25">
      <c r="A4718" s="522"/>
    </row>
    <row r="4719" spans="1:1" x14ac:dyDescent="0.25">
      <c r="A4719" s="522"/>
    </row>
    <row r="4720" spans="1:1" x14ac:dyDescent="0.25">
      <c r="A4720" s="522"/>
    </row>
    <row r="4721" spans="1:1" x14ac:dyDescent="0.25">
      <c r="A4721" s="522"/>
    </row>
    <row r="4722" spans="1:1" x14ac:dyDescent="0.25">
      <c r="A4722" s="522"/>
    </row>
    <row r="4723" spans="1:1" x14ac:dyDescent="0.25">
      <c r="A4723" s="522"/>
    </row>
    <row r="4724" spans="1:1" x14ac:dyDescent="0.25">
      <c r="A4724" s="522"/>
    </row>
    <row r="4725" spans="1:1" x14ac:dyDescent="0.25">
      <c r="A4725" s="522"/>
    </row>
    <row r="4726" spans="1:1" x14ac:dyDescent="0.25">
      <c r="A4726" s="522"/>
    </row>
    <row r="4727" spans="1:1" x14ac:dyDescent="0.25">
      <c r="A4727" s="522"/>
    </row>
    <row r="4728" spans="1:1" x14ac:dyDescent="0.25">
      <c r="A4728" s="522"/>
    </row>
    <row r="4729" spans="1:1" x14ac:dyDescent="0.25">
      <c r="A4729" s="522"/>
    </row>
    <row r="4730" spans="1:1" x14ac:dyDescent="0.25">
      <c r="A4730" s="522"/>
    </row>
    <row r="4731" spans="1:1" x14ac:dyDescent="0.25">
      <c r="A4731" s="522"/>
    </row>
    <row r="4732" spans="1:1" x14ac:dyDescent="0.25">
      <c r="A4732" s="522"/>
    </row>
    <row r="4733" spans="1:1" x14ac:dyDescent="0.25">
      <c r="A4733" s="522"/>
    </row>
    <row r="4734" spans="1:1" x14ac:dyDescent="0.25">
      <c r="A4734" s="522"/>
    </row>
    <row r="4735" spans="1:1" x14ac:dyDescent="0.25">
      <c r="A4735" s="522"/>
    </row>
    <row r="4736" spans="1:1" x14ac:dyDescent="0.25">
      <c r="A4736" s="522"/>
    </row>
    <row r="4737" spans="1:1" x14ac:dyDescent="0.25">
      <c r="A4737" s="522"/>
    </row>
    <row r="4738" spans="1:1" x14ac:dyDescent="0.25">
      <c r="A4738" s="522"/>
    </row>
    <row r="4739" spans="1:1" x14ac:dyDescent="0.25">
      <c r="A4739" s="522"/>
    </row>
    <row r="4740" spans="1:1" x14ac:dyDescent="0.25">
      <c r="A4740" s="522"/>
    </row>
    <row r="4741" spans="1:1" x14ac:dyDescent="0.25">
      <c r="A4741" s="522"/>
    </row>
    <row r="4742" spans="1:1" x14ac:dyDescent="0.25">
      <c r="A4742" s="522"/>
    </row>
    <row r="4743" spans="1:1" x14ac:dyDescent="0.25">
      <c r="A4743" s="522"/>
    </row>
    <row r="4744" spans="1:1" x14ac:dyDescent="0.25">
      <c r="A4744" s="522"/>
    </row>
    <row r="4745" spans="1:1" x14ac:dyDescent="0.25">
      <c r="A4745" s="522"/>
    </row>
    <row r="4746" spans="1:1" x14ac:dyDescent="0.25">
      <c r="A4746" s="522"/>
    </row>
    <row r="4747" spans="1:1" x14ac:dyDescent="0.25">
      <c r="A4747" s="522"/>
    </row>
    <row r="4748" spans="1:1" x14ac:dyDescent="0.25">
      <c r="A4748" s="522"/>
    </row>
    <row r="4749" spans="1:1" x14ac:dyDescent="0.25">
      <c r="A4749" s="522"/>
    </row>
    <row r="4750" spans="1:1" x14ac:dyDescent="0.25">
      <c r="A4750" s="522"/>
    </row>
    <row r="4751" spans="1:1" x14ac:dyDescent="0.25">
      <c r="A4751" s="522"/>
    </row>
    <row r="4752" spans="1:1" x14ac:dyDescent="0.25">
      <c r="A4752" s="522"/>
    </row>
    <row r="4753" spans="1:1" x14ac:dyDescent="0.25">
      <c r="A4753" s="522"/>
    </row>
    <row r="4754" spans="1:1" x14ac:dyDescent="0.25">
      <c r="A4754" s="522"/>
    </row>
    <row r="4755" spans="1:1" x14ac:dyDescent="0.25">
      <c r="A4755" s="522"/>
    </row>
    <row r="4756" spans="1:1" x14ac:dyDescent="0.25">
      <c r="A4756" s="522"/>
    </row>
    <row r="4757" spans="1:1" x14ac:dyDescent="0.25">
      <c r="A4757" s="522"/>
    </row>
    <row r="4758" spans="1:1" x14ac:dyDescent="0.25">
      <c r="A4758" s="522"/>
    </row>
    <row r="4759" spans="1:1" x14ac:dyDescent="0.25">
      <c r="A4759" s="522"/>
    </row>
    <row r="4760" spans="1:1" x14ac:dyDescent="0.25">
      <c r="A4760" s="522"/>
    </row>
    <row r="4761" spans="1:1" x14ac:dyDescent="0.25">
      <c r="A4761" s="522"/>
    </row>
    <row r="4762" spans="1:1" x14ac:dyDescent="0.25">
      <c r="A4762" s="522"/>
    </row>
    <row r="4763" spans="1:1" x14ac:dyDescent="0.25">
      <c r="A4763" s="522"/>
    </row>
    <row r="4764" spans="1:1" x14ac:dyDescent="0.25">
      <c r="A4764" s="522"/>
    </row>
    <row r="4765" spans="1:1" x14ac:dyDescent="0.25">
      <c r="A4765" s="522"/>
    </row>
    <row r="4766" spans="1:1" x14ac:dyDescent="0.25">
      <c r="A4766" s="522"/>
    </row>
    <row r="4767" spans="1:1" x14ac:dyDescent="0.25">
      <c r="A4767" s="522"/>
    </row>
    <row r="4768" spans="1:1" x14ac:dyDescent="0.25">
      <c r="A4768" s="522"/>
    </row>
    <row r="4769" spans="1:1" x14ac:dyDescent="0.25">
      <c r="A4769" s="522"/>
    </row>
    <row r="4770" spans="1:1" x14ac:dyDescent="0.25">
      <c r="A4770" s="522"/>
    </row>
    <row r="4771" spans="1:1" x14ac:dyDescent="0.25">
      <c r="A4771" s="522"/>
    </row>
    <row r="4772" spans="1:1" x14ac:dyDescent="0.25">
      <c r="A4772" s="522"/>
    </row>
    <row r="4773" spans="1:1" x14ac:dyDescent="0.25">
      <c r="A4773" s="522"/>
    </row>
    <row r="4774" spans="1:1" x14ac:dyDescent="0.25">
      <c r="A4774" s="522"/>
    </row>
    <row r="4775" spans="1:1" x14ac:dyDescent="0.25">
      <c r="A4775" s="522"/>
    </row>
    <row r="4776" spans="1:1" x14ac:dyDescent="0.25">
      <c r="A4776" s="522"/>
    </row>
    <row r="4777" spans="1:1" x14ac:dyDescent="0.25">
      <c r="A4777" s="522"/>
    </row>
    <row r="4778" spans="1:1" x14ac:dyDescent="0.25">
      <c r="A4778" s="522"/>
    </row>
    <row r="4779" spans="1:1" x14ac:dyDescent="0.25">
      <c r="A4779" s="522"/>
    </row>
    <row r="4780" spans="1:1" x14ac:dyDescent="0.25">
      <c r="A4780" s="522"/>
    </row>
    <row r="4781" spans="1:1" x14ac:dyDescent="0.25">
      <c r="A4781" s="522"/>
    </row>
    <row r="4782" spans="1:1" x14ac:dyDescent="0.25">
      <c r="A4782" s="522"/>
    </row>
    <row r="4783" spans="1:1" x14ac:dyDescent="0.25">
      <c r="A4783" s="522"/>
    </row>
    <row r="4784" spans="1:1" x14ac:dyDescent="0.25">
      <c r="A4784" s="522"/>
    </row>
    <row r="4785" spans="1:1" x14ac:dyDescent="0.25">
      <c r="A4785" s="522"/>
    </row>
    <row r="4786" spans="1:1" x14ac:dyDescent="0.25">
      <c r="A4786" s="522"/>
    </row>
    <row r="4787" spans="1:1" x14ac:dyDescent="0.25">
      <c r="A4787" s="522"/>
    </row>
    <row r="4788" spans="1:1" x14ac:dyDescent="0.25">
      <c r="A4788" s="522"/>
    </row>
    <row r="4789" spans="1:1" x14ac:dyDescent="0.25">
      <c r="A4789" s="522"/>
    </row>
    <row r="4790" spans="1:1" x14ac:dyDescent="0.25">
      <c r="A4790" s="522"/>
    </row>
    <row r="4791" spans="1:1" x14ac:dyDescent="0.25">
      <c r="A4791" s="522"/>
    </row>
    <row r="4792" spans="1:1" x14ac:dyDescent="0.25">
      <c r="A4792" s="522"/>
    </row>
    <row r="4793" spans="1:1" x14ac:dyDescent="0.25">
      <c r="A4793" s="522"/>
    </row>
    <row r="4794" spans="1:1" x14ac:dyDescent="0.25">
      <c r="A4794" s="522"/>
    </row>
    <row r="4795" spans="1:1" x14ac:dyDescent="0.25">
      <c r="A4795" s="522"/>
    </row>
    <row r="4796" spans="1:1" x14ac:dyDescent="0.25">
      <c r="A4796" s="522"/>
    </row>
    <row r="4797" spans="1:1" x14ac:dyDescent="0.25">
      <c r="A4797" s="522"/>
    </row>
    <row r="4798" spans="1:1" x14ac:dyDescent="0.25">
      <c r="A4798" s="522"/>
    </row>
    <row r="4799" spans="1:1" x14ac:dyDescent="0.25">
      <c r="A4799" s="522"/>
    </row>
    <row r="4800" spans="1:1" x14ac:dyDescent="0.25">
      <c r="A4800" s="522"/>
    </row>
    <row r="4801" spans="1:1" x14ac:dyDescent="0.25">
      <c r="A4801" s="522"/>
    </row>
    <row r="4802" spans="1:1" x14ac:dyDescent="0.25">
      <c r="A4802" s="522"/>
    </row>
    <row r="4803" spans="1:1" x14ac:dyDescent="0.25">
      <c r="A4803" s="522"/>
    </row>
    <row r="4804" spans="1:1" x14ac:dyDescent="0.25">
      <c r="A4804" s="522"/>
    </row>
    <row r="4805" spans="1:1" x14ac:dyDescent="0.25">
      <c r="A4805" s="522"/>
    </row>
    <row r="4806" spans="1:1" x14ac:dyDescent="0.25">
      <c r="A4806" s="522"/>
    </row>
    <row r="4807" spans="1:1" x14ac:dyDescent="0.25">
      <c r="A4807" s="522"/>
    </row>
    <row r="4808" spans="1:1" x14ac:dyDescent="0.25">
      <c r="A4808" s="522"/>
    </row>
    <row r="4809" spans="1:1" x14ac:dyDescent="0.25">
      <c r="A4809" s="522"/>
    </row>
    <row r="4810" spans="1:1" x14ac:dyDescent="0.25">
      <c r="A4810" s="522"/>
    </row>
    <row r="4811" spans="1:1" x14ac:dyDescent="0.25">
      <c r="A4811" s="522"/>
    </row>
    <row r="4812" spans="1:1" x14ac:dyDescent="0.25">
      <c r="A4812" s="522"/>
    </row>
    <row r="4813" spans="1:1" x14ac:dyDescent="0.25">
      <c r="A4813" s="522"/>
    </row>
    <row r="4814" spans="1:1" x14ac:dyDescent="0.25">
      <c r="A4814" s="522"/>
    </row>
    <row r="4815" spans="1:1" x14ac:dyDescent="0.25">
      <c r="A4815" s="522"/>
    </row>
    <row r="4816" spans="1:1" x14ac:dyDescent="0.25">
      <c r="A4816" s="522"/>
    </row>
    <row r="4817" spans="1:1" x14ac:dyDescent="0.25">
      <c r="A4817" s="522"/>
    </row>
    <row r="4818" spans="1:1" x14ac:dyDescent="0.25">
      <c r="A4818" s="522"/>
    </row>
    <row r="4819" spans="1:1" x14ac:dyDescent="0.25">
      <c r="A4819" s="522"/>
    </row>
    <row r="4820" spans="1:1" x14ac:dyDescent="0.25">
      <c r="A4820" s="522"/>
    </row>
    <row r="4821" spans="1:1" x14ac:dyDescent="0.25">
      <c r="A4821" s="522"/>
    </row>
    <row r="4822" spans="1:1" x14ac:dyDescent="0.25">
      <c r="A4822" s="522"/>
    </row>
    <row r="4823" spans="1:1" x14ac:dyDescent="0.25">
      <c r="A4823" s="522"/>
    </row>
    <row r="4824" spans="1:1" x14ac:dyDescent="0.25">
      <c r="A4824" s="522"/>
    </row>
    <row r="4825" spans="1:1" x14ac:dyDescent="0.25">
      <c r="A4825" s="522"/>
    </row>
    <row r="4826" spans="1:1" x14ac:dyDescent="0.25">
      <c r="A4826" s="522"/>
    </row>
    <row r="4827" spans="1:1" x14ac:dyDescent="0.25">
      <c r="A4827" s="522"/>
    </row>
    <row r="4828" spans="1:1" x14ac:dyDescent="0.25">
      <c r="A4828" s="522"/>
    </row>
    <row r="4829" spans="1:1" x14ac:dyDescent="0.25">
      <c r="A4829" s="522"/>
    </row>
    <row r="4830" spans="1:1" x14ac:dyDescent="0.25">
      <c r="A4830" s="522"/>
    </row>
    <row r="4831" spans="1:1" x14ac:dyDescent="0.25">
      <c r="A4831" s="522"/>
    </row>
    <row r="4832" spans="1:1" x14ac:dyDescent="0.25">
      <c r="A4832" s="522"/>
    </row>
    <row r="4833" spans="1:1" x14ac:dyDescent="0.25">
      <c r="A4833" s="522"/>
    </row>
    <row r="4834" spans="1:1" x14ac:dyDescent="0.25">
      <c r="A4834" s="522"/>
    </row>
    <row r="4835" spans="1:1" x14ac:dyDescent="0.25">
      <c r="A4835" s="522"/>
    </row>
    <row r="4836" spans="1:1" x14ac:dyDescent="0.25">
      <c r="A4836" s="522"/>
    </row>
    <row r="4837" spans="1:1" x14ac:dyDescent="0.25">
      <c r="A4837" s="522"/>
    </row>
    <row r="4838" spans="1:1" x14ac:dyDescent="0.25">
      <c r="A4838" s="522"/>
    </row>
    <row r="4839" spans="1:1" x14ac:dyDescent="0.25">
      <c r="A4839" s="522"/>
    </row>
    <row r="4840" spans="1:1" x14ac:dyDescent="0.25">
      <c r="A4840" s="522"/>
    </row>
    <row r="4841" spans="1:1" x14ac:dyDescent="0.25">
      <c r="A4841" s="522"/>
    </row>
    <row r="4842" spans="1:1" x14ac:dyDescent="0.25">
      <c r="A4842" s="522"/>
    </row>
    <row r="4843" spans="1:1" x14ac:dyDescent="0.25">
      <c r="A4843" s="522"/>
    </row>
    <row r="4844" spans="1:1" x14ac:dyDescent="0.25">
      <c r="A4844" s="522"/>
    </row>
    <row r="4845" spans="1:1" x14ac:dyDescent="0.25">
      <c r="A4845" s="522"/>
    </row>
    <row r="4846" spans="1:1" x14ac:dyDescent="0.25">
      <c r="A4846" s="522"/>
    </row>
    <row r="4847" spans="1:1" x14ac:dyDescent="0.25">
      <c r="A4847" s="522"/>
    </row>
    <row r="4848" spans="1:1" x14ac:dyDescent="0.25">
      <c r="A4848" s="522"/>
    </row>
    <row r="4849" spans="1:1" x14ac:dyDescent="0.25">
      <c r="A4849" s="522"/>
    </row>
    <row r="4850" spans="1:1" x14ac:dyDescent="0.25">
      <c r="A4850" s="522"/>
    </row>
    <row r="4851" spans="1:1" x14ac:dyDescent="0.25">
      <c r="A4851" s="522"/>
    </row>
    <row r="4852" spans="1:1" x14ac:dyDescent="0.25">
      <c r="A4852" s="522"/>
    </row>
    <row r="4853" spans="1:1" x14ac:dyDescent="0.25">
      <c r="A4853" s="522"/>
    </row>
    <row r="4854" spans="1:1" x14ac:dyDescent="0.25">
      <c r="A4854" s="522"/>
    </row>
    <row r="4855" spans="1:1" x14ac:dyDescent="0.25">
      <c r="A4855" s="522"/>
    </row>
    <row r="4856" spans="1:1" x14ac:dyDescent="0.25">
      <c r="A4856" s="522"/>
    </row>
    <row r="4857" spans="1:1" x14ac:dyDescent="0.25">
      <c r="A4857" s="522"/>
    </row>
    <row r="4858" spans="1:1" x14ac:dyDescent="0.25">
      <c r="A4858" s="522"/>
    </row>
    <row r="4859" spans="1:1" x14ac:dyDescent="0.25">
      <c r="A4859" s="522"/>
    </row>
    <row r="4860" spans="1:1" x14ac:dyDescent="0.25">
      <c r="A4860" s="522"/>
    </row>
    <row r="4861" spans="1:1" x14ac:dyDescent="0.25">
      <c r="A4861" s="522"/>
    </row>
    <row r="4862" spans="1:1" x14ac:dyDescent="0.25">
      <c r="A4862" s="522"/>
    </row>
    <row r="4863" spans="1:1" x14ac:dyDescent="0.25">
      <c r="A4863" s="522"/>
    </row>
    <row r="4864" spans="1:1" x14ac:dyDescent="0.25">
      <c r="A4864" s="522"/>
    </row>
    <row r="4865" spans="1:1" x14ac:dyDescent="0.25">
      <c r="A4865" s="522"/>
    </row>
    <row r="4866" spans="1:1" x14ac:dyDescent="0.25">
      <c r="A4866" s="522"/>
    </row>
    <row r="4867" spans="1:1" x14ac:dyDescent="0.25">
      <c r="A4867" s="522"/>
    </row>
    <row r="4868" spans="1:1" x14ac:dyDescent="0.25">
      <c r="A4868" s="522"/>
    </row>
    <row r="4869" spans="1:1" x14ac:dyDescent="0.25">
      <c r="A4869" s="522"/>
    </row>
    <row r="4870" spans="1:1" x14ac:dyDescent="0.25">
      <c r="A4870" s="522"/>
    </row>
    <row r="4871" spans="1:1" x14ac:dyDescent="0.25">
      <c r="A4871" s="522"/>
    </row>
    <row r="4872" spans="1:1" x14ac:dyDescent="0.25">
      <c r="A4872" s="522"/>
    </row>
    <row r="4873" spans="1:1" x14ac:dyDescent="0.25">
      <c r="A4873" s="522"/>
    </row>
    <row r="4874" spans="1:1" x14ac:dyDescent="0.25">
      <c r="A4874" s="522"/>
    </row>
    <row r="4875" spans="1:1" x14ac:dyDescent="0.25">
      <c r="A4875" s="522"/>
    </row>
    <row r="4876" spans="1:1" x14ac:dyDescent="0.25">
      <c r="A4876" s="522"/>
    </row>
    <row r="4877" spans="1:1" x14ac:dyDescent="0.25">
      <c r="A4877" s="522"/>
    </row>
    <row r="4878" spans="1:1" x14ac:dyDescent="0.25">
      <c r="A4878" s="522"/>
    </row>
    <row r="4879" spans="1:1" x14ac:dyDescent="0.25">
      <c r="A4879" s="522"/>
    </row>
    <row r="4880" spans="1:1" x14ac:dyDescent="0.25">
      <c r="A4880" s="522"/>
    </row>
    <row r="4881" spans="1:1" x14ac:dyDescent="0.25">
      <c r="A4881" s="522"/>
    </row>
    <row r="4882" spans="1:1" x14ac:dyDescent="0.25">
      <c r="A4882" s="522"/>
    </row>
    <row r="4883" spans="1:1" x14ac:dyDescent="0.25">
      <c r="A4883" s="522"/>
    </row>
    <row r="4884" spans="1:1" x14ac:dyDescent="0.25">
      <c r="A4884" s="522"/>
    </row>
    <row r="4885" spans="1:1" x14ac:dyDescent="0.25">
      <c r="A4885" s="522"/>
    </row>
    <row r="4886" spans="1:1" x14ac:dyDescent="0.25">
      <c r="A4886" s="522"/>
    </row>
    <row r="4887" spans="1:1" x14ac:dyDescent="0.25">
      <c r="A4887" s="522"/>
    </row>
    <row r="4888" spans="1:1" x14ac:dyDescent="0.25">
      <c r="A4888" s="522"/>
    </row>
    <row r="4889" spans="1:1" x14ac:dyDescent="0.25">
      <c r="A4889" s="522"/>
    </row>
    <row r="4890" spans="1:1" x14ac:dyDescent="0.25">
      <c r="A4890" s="522"/>
    </row>
    <row r="4891" spans="1:1" x14ac:dyDescent="0.25">
      <c r="A4891" s="522"/>
    </row>
    <row r="4892" spans="1:1" x14ac:dyDescent="0.25">
      <c r="A4892" s="522"/>
    </row>
    <row r="4893" spans="1:1" x14ac:dyDescent="0.25">
      <c r="A4893" s="522"/>
    </row>
    <row r="4894" spans="1:1" x14ac:dyDescent="0.25">
      <c r="A4894" s="522"/>
    </row>
    <row r="4895" spans="1:1" x14ac:dyDescent="0.25">
      <c r="A4895" s="522"/>
    </row>
    <row r="4896" spans="1:1" x14ac:dyDescent="0.25">
      <c r="A4896" s="522"/>
    </row>
    <row r="4897" spans="1:1" x14ac:dyDescent="0.25">
      <c r="A4897" s="522"/>
    </row>
    <row r="4898" spans="1:1" x14ac:dyDescent="0.25">
      <c r="A4898" s="522"/>
    </row>
    <row r="4899" spans="1:1" x14ac:dyDescent="0.25">
      <c r="A4899" s="522"/>
    </row>
    <row r="4900" spans="1:1" x14ac:dyDescent="0.25">
      <c r="A4900" s="522"/>
    </row>
    <row r="4901" spans="1:1" x14ac:dyDescent="0.25">
      <c r="A4901" s="522"/>
    </row>
    <row r="4902" spans="1:1" x14ac:dyDescent="0.25">
      <c r="A4902" s="522"/>
    </row>
    <row r="4903" spans="1:1" x14ac:dyDescent="0.25">
      <c r="A4903" s="522"/>
    </row>
    <row r="4904" spans="1:1" x14ac:dyDescent="0.25">
      <c r="A4904" s="522"/>
    </row>
    <row r="4905" spans="1:1" x14ac:dyDescent="0.25">
      <c r="A4905" s="522"/>
    </row>
    <row r="4906" spans="1:1" x14ac:dyDescent="0.25">
      <c r="A4906" s="522"/>
    </row>
    <row r="4907" spans="1:1" x14ac:dyDescent="0.25">
      <c r="A4907" s="522"/>
    </row>
    <row r="4908" spans="1:1" x14ac:dyDescent="0.25">
      <c r="A4908" s="522"/>
    </row>
    <row r="4909" spans="1:1" x14ac:dyDescent="0.25">
      <c r="A4909" s="522"/>
    </row>
    <row r="4910" spans="1:1" x14ac:dyDescent="0.25">
      <c r="A4910" s="522"/>
    </row>
    <row r="4911" spans="1:1" x14ac:dyDescent="0.25">
      <c r="A4911" s="522"/>
    </row>
    <row r="4912" spans="1:1" x14ac:dyDescent="0.25">
      <c r="A4912" s="522"/>
    </row>
    <row r="4913" spans="1:1" x14ac:dyDescent="0.25">
      <c r="A4913" s="522"/>
    </row>
    <row r="4914" spans="1:1" x14ac:dyDescent="0.25">
      <c r="A4914" s="522"/>
    </row>
    <row r="4915" spans="1:1" x14ac:dyDescent="0.25">
      <c r="A4915" s="522"/>
    </row>
    <row r="4916" spans="1:1" x14ac:dyDescent="0.25">
      <c r="A4916" s="522"/>
    </row>
    <row r="4917" spans="1:1" x14ac:dyDescent="0.25">
      <c r="A4917" s="522"/>
    </row>
    <row r="4918" spans="1:1" x14ac:dyDescent="0.25">
      <c r="A4918" s="522"/>
    </row>
    <row r="4919" spans="1:1" x14ac:dyDescent="0.25">
      <c r="A4919" s="522"/>
    </row>
    <row r="4920" spans="1:1" x14ac:dyDescent="0.25">
      <c r="A4920" s="522"/>
    </row>
    <row r="4921" spans="1:1" x14ac:dyDescent="0.25">
      <c r="A4921" s="522"/>
    </row>
    <row r="4922" spans="1:1" x14ac:dyDescent="0.25">
      <c r="A4922" s="522"/>
    </row>
    <row r="4923" spans="1:1" x14ac:dyDescent="0.25">
      <c r="A4923" s="522"/>
    </row>
    <row r="4924" spans="1:1" x14ac:dyDescent="0.25">
      <c r="A4924" s="522"/>
    </row>
    <row r="4925" spans="1:1" x14ac:dyDescent="0.25">
      <c r="A4925" s="522"/>
    </row>
    <row r="4926" spans="1:1" x14ac:dyDescent="0.25">
      <c r="A4926" s="522"/>
    </row>
    <row r="4927" spans="1:1" x14ac:dyDescent="0.25">
      <c r="A4927" s="522"/>
    </row>
    <row r="4928" spans="1:1" x14ac:dyDescent="0.25">
      <c r="A4928" s="522"/>
    </row>
    <row r="4929" spans="1:1" x14ac:dyDescent="0.25">
      <c r="A4929" s="522"/>
    </row>
    <row r="4930" spans="1:1" x14ac:dyDescent="0.25">
      <c r="A4930" s="522"/>
    </row>
    <row r="4931" spans="1:1" x14ac:dyDescent="0.25">
      <c r="A4931" s="522"/>
    </row>
    <row r="4932" spans="1:1" x14ac:dyDescent="0.25">
      <c r="A4932" s="522"/>
    </row>
    <row r="4933" spans="1:1" x14ac:dyDescent="0.25">
      <c r="A4933" s="522"/>
    </row>
    <row r="4934" spans="1:1" x14ac:dyDescent="0.25">
      <c r="A4934" s="522"/>
    </row>
    <row r="4935" spans="1:1" x14ac:dyDescent="0.25">
      <c r="A4935" s="522"/>
    </row>
    <row r="4936" spans="1:1" x14ac:dyDescent="0.25">
      <c r="A4936" s="522"/>
    </row>
    <row r="4937" spans="1:1" x14ac:dyDescent="0.25">
      <c r="A4937" s="522"/>
    </row>
    <row r="4938" spans="1:1" x14ac:dyDescent="0.25">
      <c r="A4938" s="522"/>
    </row>
    <row r="4939" spans="1:1" x14ac:dyDescent="0.25">
      <c r="A4939" s="522"/>
    </row>
    <row r="4940" spans="1:1" x14ac:dyDescent="0.25">
      <c r="A4940" s="522"/>
    </row>
    <row r="4941" spans="1:1" x14ac:dyDescent="0.25">
      <c r="A4941" s="522"/>
    </row>
    <row r="4942" spans="1:1" x14ac:dyDescent="0.25">
      <c r="A4942" s="522"/>
    </row>
    <row r="4943" spans="1:1" x14ac:dyDescent="0.25">
      <c r="A4943" s="522"/>
    </row>
    <row r="4944" spans="1:1" x14ac:dyDescent="0.25">
      <c r="A4944" s="522"/>
    </row>
    <row r="4945" spans="1:1" x14ac:dyDescent="0.25">
      <c r="A4945" s="522"/>
    </row>
    <row r="4946" spans="1:1" x14ac:dyDescent="0.25">
      <c r="A4946" s="522"/>
    </row>
    <row r="4947" spans="1:1" x14ac:dyDescent="0.25">
      <c r="A4947" s="522"/>
    </row>
    <row r="4948" spans="1:1" x14ac:dyDescent="0.25">
      <c r="A4948" s="522"/>
    </row>
    <row r="4949" spans="1:1" x14ac:dyDescent="0.25">
      <c r="A4949" s="522"/>
    </row>
    <row r="4950" spans="1:1" x14ac:dyDescent="0.25">
      <c r="A4950" s="522"/>
    </row>
    <row r="4951" spans="1:1" x14ac:dyDescent="0.25">
      <c r="A4951" s="522"/>
    </row>
    <row r="4952" spans="1:1" x14ac:dyDescent="0.25">
      <c r="A4952" s="522"/>
    </row>
    <row r="4953" spans="1:1" x14ac:dyDescent="0.25">
      <c r="A4953" s="522"/>
    </row>
    <row r="4954" spans="1:1" x14ac:dyDescent="0.25">
      <c r="A4954" s="522"/>
    </row>
    <row r="4955" spans="1:1" x14ac:dyDescent="0.25">
      <c r="A4955" s="522"/>
    </row>
    <row r="4956" spans="1:1" x14ac:dyDescent="0.25">
      <c r="A4956" s="522"/>
    </row>
    <row r="4957" spans="1:1" x14ac:dyDescent="0.25">
      <c r="A4957" s="522"/>
    </row>
    <row r="4958" spans="1:1" x14ac:dyDescent="0.25">
      <c r="A4958" s="522"/>
    </row>
    <row r="4959" spans="1:1" x14ac:dyDescent="0.25">
      <c r="A4959" s="522"/>
    </row>
    <row r="4960" spans="1:1" x14ac:dyDescent="0.25">
      <c r="A4960" s="522"/>
    </row>
    <row r="4961" spans="1:1" x14ac:dyDescent="0.25">
      <c r="A4961" s="522"/>
    </row>
    <row r="4962" spans="1:1" x14ac:dyDescent="0.25">
      <c r="A4962" s="522"/>
    </row>
    <row r="4963" spans="1:1" x14ac:dyDescent="0.25">
      <c r="A4963" s="522"/>
    </row>
    <row r="4964" spans="1:1" x14ac:dyDescent="0.25">
      <c r="A4964" s="522"/>
    </row>
    <row r="4965" spans="1:1" x14ac:dyDescent="0.25">
      <c r="A4965" s="522"/>
    </row>
    <row r="4966" spans="1:1" x14ac:dyDescent="0.25">
      <c r="A4966" s="522"/>
    </row>
    <row r="4967" spans="1:1" x14ac:dyDescent="0.25">
      <c r="A4967" s="522"/>
    </row>
    <row r="4968" spans="1:1" x14ac:dyDescent="0.25">
      <c r="A4968" s="522"/>
    </row>
    <row r="4969" spans="1:1" x14ac:dyDescent="0.25">
      <c r="A4969" s="522"/>
    </row>
    <row r="4970" spans="1:1" x14ac:dyDescent="0.25">
      <c r="A4970" s="522"/>
    </row>
    <row r="4971" spans="1:1" x14ac:dyDescent="0.25">
      <c r="A4971" s="522"/>
    </row>
    <row r="4972" spans="1:1" x14ac:dyDescent="0.25">
      <c r="A4972" s="522"/>
    </row>
    <row r="4973" spans="1:1" x14ac:dyDescent="0.25">
      <c r="A4973" s="522"/>
    </row>
    <row r="4974" spans="1:1" x14ac:dyDescent="0.25">
      <c r="A4974" s="522"/>
    </row>
    <row r="4975" spans="1:1" x14ac:dyDescent="0.25">
      <c r="A4975" s="522"/>
    </row>
    <row r="4976" spans="1:1" x14ac:dyDescent="0.25">
      <c r="A4976" s="522"/>
    </row>
    <row r="4977" spans="1:1" x14ac:dyDescent="0.25">
      <c r="A4977" s="522"/>
    </row>
    <row r="4978" spans="1:1" x14ac:dyDescent="0.25">
      <c r="A4978" s="522"/>
    </row>
    <row r="4979" spans="1:1" x14ac:dyDescent="0.25">
      <c r="A4979" s="522"/>
    </row>
    <row r="4980" spans="1:1" x14ac:dyDescent="0.25">
      <c r="A4980" s="522"/>
    </row>
    <row r="4981" spans="1:1" x14ac:dyDescent="0.25">
      <c r="A4981" s="522"/>
    </row>
    <row r="4982" spans="1:1" x14ac:dyDescent="0.25">
      <c r="A4982" s="522"/>
    </row>
    <row r="4983" spans="1:1" x14ac:dyDescent="0.25">
      <c r="A4983" s="522"/>
    </row>
    <row r="4984" spans="1:1" x14ac:dyDescent="0.25">
      <c r="A4984" s="522"/>
    </row>
    <row r="4985" spans="1:1" x14ac:dyDescent="0.25">
      <c r="A4985" s="522"/>
    </row>
    <row r="4986" spans="1:1" x14ac:dyDescent="0.25">
      <c r="A4986" s="522"/>
    </row>
    <row r="4987" spans="1:1" x14ac:dyDescent="0.25">
      <c r="A4987" s="522"/>
    </row>
    <row r="4988" spans="1:1" x14ac:dyDescent="0.25">
      <c r="A4988" s="522"/>
    </row>
    <row r="4989" spans="1:1" x14ac:dyDescent="0.25">
      <c r="A4989" s="522"/>
    </row>
    <row r="4990" spans="1:1" x14ac:dyDescent="0.25">
      <c r="A4990" s="522"/>
    </row>
    <row r="4991" spans="1:1" x14ac:dyDescent="0.25">
      <c r="A4991" s="522"/>
    </row>
    <row r="4992" spans="1:1" x14ac:dyDescent="0.25">
      <c r="A4992" s="522"/>
    </row>
    <row r="4993" spans="1:1" x14ac:dyDescent="0.25">
      <c r="A4993" s="522"/>
    </row>
    <row r="4994" spans="1:1" x14ac:dyDescent="0.25">
      <c r="A4994" s="522"/>
    </row>
    <row r="4995" spans="1:1" x14ac:dyDescent="0.25">
      <c r="A4995" s="522"/>
    </row>
    <row r="4996" spans="1:1" x14ac:dyDescent="0.25">
      <c r="A4996" s="522"/>
    </row>
    <row r="4997" spans="1:1" x14ac:dyDescent="0.25">
      <c r="A4997" s="522"/>
    </row>
    <row r="4998" spans="1:1" x14ac:dyDescent="0.25">
      <c r="A4998" s="522"/>
    </row>
    <row r="4999" spans="1:1" x14ac:dyDescent="0.25">
      <c r="A4999" s="522"/>
    </row>
    <row r="5000" spans="1:1" x14ac:dyDescent="0.25">
      <c r="A5000" s="522"/>
    </row>
    <row r="5001" spans="1:1" x14ac:dyDescent="0.25">
      <c r="A5001" s="522"/>
    </row>
    <row r="5002" spans="1:1" x14ac:dyDescent="0.25">
      <c r="A5002" s="522"/>
    </row>
    <row r="5003" spans="1:1" x14ac:dyDescent="0.25">
      <c r="A5003" s="522"/>
    </row>
    <row r="5004" spans="1:1" x14ac:dyDescent="0.25">
      <c r="A5004" s="522"/>
    </row>
    <row r="5005" spans="1:1" x14ac:dyDescent="0.25">
      <c r="A5005" s="522"/>
    </row>
    <row r="5006" spans="1:1" x14ac:dyDescent="0.25">
      <c r="A5006" s="522"/>
    </row>
    <row r="5007" spans="1:1" x14ac:dyDescent="0.25">
      <c r="A5007" s="522"/>
    </row>
    <row r="5008" spans="1:1" x14ac:dyDescent="0.25">
      <c r="A5008" s="522"/>
    </row>
    <row r="5009" spans="1:1" x14ac:dyDescent="0.25">
      <c r="A5009" s="522"/>
    </row>
    <row r="5010" spans="1:1" x14ac:dyDescent="0.25">
      <c r="A5010" s="522"/>
    </row>
    <row r="5011" spans="1:1" x14ac:dyDescent="0.25">
      <c r="A5011" s="522"/>
    </row>
    <row r="5012" spans="1:1" x14ac:dyDescent="0.25">
      <c r="A5012" s="522"/>
    </row>
    <row r="5013" spans="1:1" x14ac:dyDescent="0.25">
      <c r="A5013" s="522"/>
    </row>
    <row r="5014" spans="1:1" x14ac:dyDescent="0.25">
      <c r="A5014" s="522"/>
    </row>
    <row r="5015" spans="1:1" x14ac:dyDescent="0.25">
      <c r="A5015" s="522"/>
    </row>
    <row r="5016" spans="1:1" x14ac:dyDescent="0.25">
      <c r="A5016" s="522"/>
    </row>
    <row r="5017" spans="1:1" x14ac:dyDescent="0.25">
      <c r="A5017" s="522"/>
    </row>
    <row r="5018" spans="1:1" x14ac:dyDescent="0.25">
      <c r="A5018" s="522"/>
    </row>
    <row r="5019" spans="1:1" x14ac:dyDescent="0.25">
      <c r="A5019" s="522"/>
    </row>
    <row r="5020" spans="1:1" x14ac:dyDescent="0.25">
      <c r="A5020" s="522"/>
    </row>
    <row r="5021" spans="1:1" x14ac:dyDescent="0.25">
      <c r="A5021" s="522"/>
    </row>
    <row r="5022" spans="1:1" x14ac:dyDescent="0.25">
      <c r="A5022" s="522"/>
    </row>
    <row r="5023" spans="1:1" x14ac:dyDescent="0.25">
      <c r="A5023" s="522"/>
    </row>
    <row r="5024" spans="1:1" x14ac:dyDescent="0.25">
      <c r="A5024" s="522"/>
    </row>
    <row r="5025" spans="1:1" x14ac:dyDescent="0.25">
      <c r="A5025" s="522"/>
    </row>
    <row r="5026" spans="1:1" x14ac:dyDescent="0.25">
      <c r="A5026" s="522"/>
    </row>
    <row r="5027" spans="1:1" x14ac:dyDescent="0.25">
      <c r="A5027" s="522"/>
    </row>
    <row r="5028" spans="1:1" x14ac:dyDescent="0.25">
      <c r="A5028" s="522"/>
    </row>
    <row r="5029" spans="1:1" x14ac:dyDescent="0.25">
      <c r="A5029" s="522"/>
    </row>
    <row r="5030" spans="1:1" x14ac:dyDescent="0.25">
      <c r="A5030" s="522"/>
    </row>
    <row r="5031" spans="1:1" x14ac:dyDescent="0.25">
      <c r="A5031" s="522"/>
    </row>
    <row r="5032" spans="1:1" x14ac:dyDescent="0.25">
      <c r="A5032" s="522"/>
    </row>
    <row r="5033" spans="1:1" x14ac:dyDescent="0.25">
      <c r="A5033" s="522"/>
    </row>
    <row r="5034" spans="1:1" x14ac:dyDescent="0.25">
      <c r="A5034" s="522"/>
    </row>
    <row r="5035" spans="1:1" x14ac:dyDescent="0.25">
      <c r="A5035" s="522"/>
    </row>
    <row r="5036" spans="1:1" x14ac:dyDescent="0.25">
      <c r="A5036" s="522"/>
    </row>
    <row r="5037" spans="1:1" x14ac:dyDescent="0.25">
      <c r="A5037" s="522"/>
    </row>
    <row r="5038" spans="1:1" x14ac:dyDescent="0.25">
      <c r="A5038" s="522"/>
    </row>
    <row r="5039" spans="1:1" x14ac:dyDescent="0.25">
      <c r="A5039" s="522"/>
    </row>
    <row r="5040" spans="1:1" x14ac:dyDescent="0.25">
      <c r="A5040" s="522"/>
    </row>
    <row r="5041" spans="1:1" x14ac:dyDescent="0.25">
      <c r="A5041" s="522"/>
    </row>
    <row r="5042" spans="1:1" x14ac:dyDescent="0.25">
      <c r="A5042" s="522"/>
    </row>
    <row r="5043" spans="1:1" x14ac:dyDescent="0.25">
      <c r="A5043" s="522"/>
    </row>
    <row r="5044" spans="1:1" x14ac:dyDescent="0.25">
      <c r="A5044" s="522"/>
    </row>
    <row r="5045" spans="1:1" x14ac:dyDescent="0.25">
      <c r="A5045" s="522"/>
    </row>
    <row r="5046" spans="1:1" x14ac:dyDescent="0.25">
      <c r="A5046" s="522"/>
    </row>
    <row r="5047" spans="1:1" x14ac:dyDescent="0.25">
      <c r="A5047" s="522"/>
    </row>
    <row r="5048" spans="1:1" x14ac:dyDescent="0.25">
      <c r="A5048" s="522"/>
    </row>
    <row r="5049" spans="1:1" x14ac:dyDescent="0.25">
      <c r="A5049" s="522"/>
    </row>
    <row r="5050" spans="1:1" x14ac:dyDescent="0.25">
      <c r="A5050" s="522"/>
    </row>
    <row r="5051" spans="1:1" x14ac:dyDescent="0.25">
      <c r="A5051" s="522"/>
    </row>
    <row r="5052" spans="1:1" x14ac:dyDescent="0.25">
      <c r="A5052" s="522"/>
    </row>
    <row r="5053" spans="1:1" x14ac:dyDescent="0.25">
      <c r="A5053" s="522"/>
    </row>
    <row r="5054" spans="1:1" x14ac:dyDescent="0.25">
      <c r="A5054" s="522"/>
    </row>
    <row r="5055" spans="1:1" x14ac:dyDescent="0.25">
      <c r="A5055" s="522"/>
    </row>
    <row r="5056" spans="1:1" x14ac:dyDescent="0.25">
      <c r="A5056" s="522"/>
    </row>
    <row r="5057" spans="1:1" x14ac:dyDescent="0.25">
      <c r="A5057" s="522"/>
    </row>
    <row r="5058" spans="1:1" x14ac:dyDescent="0.25">
      <c r="A5058" s="522"/>
    </row>
    <row r="5059" spans="1:1" x14ac:dyDescent="0.25">
      <c r="A5059" s="522"/>
    </row>
    <row r="5060" spans="1:1" x14ac:dyDescent="0.25">
      <c r="A5060" s="522"/>
    </row>
    <row r="5061" spans="1:1" x14ac:dyDescent="0.25">
      <c r="A5061" s="522"/>
    </row>
    <row r="5062" spans="1:1" x14ac:dyDescent="0.25">
      <c r="A5062" s="522"/>
    </row>
    <row r="5063" spans="1:1" x14ac:dyDescent="0.25">
      <c r="A5063" s="522"/>
    </row>
    <row r="5064" spans="1:1" x14ac:dyDescent="0.25">
      <c r="A5064" s="522"/>
    </row>
    <row r="5065" spans="1:1" x14ac:dyDescent="0.25">
      <c r="A5065" s="522"/>
    </row>
    <row r="5066" spans="1:1" x14ac:dyDescent="0.25">
      <c r="A5066" s="522"/>
    </row>
    <row r="5067" spans="1:1" x14ac:dyDescent="0.25">
      <c r="A5067" s="522"/>
    </row>
    <row r="5068" spans="1:1" x14ac:dyDescent="0.25">
      <c r="A5068" s="522"/>
    </row>
    <row r="5069" spans="1:1" x14ac:dyDescent="0.25">
      <c r="A5069" s="522"/>
    </row>
    <row r="5070" spans="1:1" x14ac:dyDescent="0.25">
      <c r="A5070" s="522"/>
    </row>
    <row r="5071" spans="1:1" x14ac:dyDescent="0.25">
      <c r="A5071" s="522"/>
    </row>
    <row r="5072" spans="1:1" x14ac:dyDescent="0.25">
      <c r="A5072" s="522"/>
    </row>
    <row r="5073" spans="1:1" x14ac:dyDescent="0.25">
      <c r="A5073" s="522"/>
    </row>
    <row r="5074" spans="1:1" x14ac:dyDescent="0.25">
      <c r="A5074" s="522"/>
    </row>
    <row r="5075" spans="1:1" x14ac:dyDescent="0.25">
      <c r="A5075" s="522"/>
    </row>
    <row r="5076" spans="1:1" x14ac:dyDescent="0.25">
      <c r="A5076" s="522"/>
    </row>
    <row r="5077" spans="1:1" x14ac:dyDescent="0.25">
      <c r="A5077" s="522"/>
    </row>
    <row r="5078" spans="1:1" x14ac:dyDescent="0.25">
      <c r="A5078" s="522"/>
    </row>
    <row r="5079" spans="1:1" x14ac:dyDescent="0.25">
      <c r="A5079" s="522"/>
    </row>
    <row r="5080" spans="1:1" x14ac:dyDescent="0.25">
      <c r="A5080" s="522"/>
    </row>
    <row r="5081" spans="1:1" x14ac:dyDescent="0.25">
      <c r="A5081" s="522"/>
    </row>
    <row r="5082" spans="1:1" x14ac:dyDescent="0.25">
      <c r="A5082" s="522"/>
    </row>
    <row r="5083" spans="1:1" x14ac:dyDescent="0.25">
      <c r="A5083" s="522"/>
    </row>
    <row r="5084" spans="1:1" x14ac:dyDescent="0.25">
      <c r="A5084" s="522"/>
    </row>
    <row r="5085" spans="1:1" x14ac:dyDescent="0.25">
      <c r="A5085" s="522"/>
    </row>
    <row r="5086" spans="1:1" x14ac:dyDescent="0.25">
      <c r="A5086" s="522"/>
    </row>
    <row r="5087" spans="1:1" x14ac:dyDescent="0.25">
      <c r="A5087" s="522"/>
    </row>
    <row r="5088" spans="1:1" x14ac:dyDescent="0.25">
      <c r="A5088" s="522"/>
    </row>
    <row r="5089" spans="1:1" x14ac:dyDescent="0.25">
      <c r="A5089" s="522"/>
    </row>
    <row r="5090" spans="1:1" x14ac:dyDescent="0.25">
      <c r="A5090" s="522"/>
    </row>
    <row r="5091" spans="1:1" x14ac:dyDescent="0.25">
      <c r="A5091" s="522"/>
    </row>
    <row r="5092" spans="1:1" x14ac:dyDescent="0.25">
      <c r="A5092" s="522"/>
    </row>
    <row r="5093" spans="1:1" x14ac:dyDescent="0.25">
      <c r="A5093" s="522"/>
    </row>
    <row r="5094" spans="1:1" x14ac:dyDescent="0.25">
      <c r="A5094" s="522"/>
    </row>
    <row r="5095" spans="1:1" x14ac:dyDescent="0.25">
      <c r="A5095" s="522"/>
    </row>
    <row r="5096" spans="1:1" x14ac:dyDescent="0.25">
      <c r="A5096" s="522"/>
    </row>
    <row r="5097" spans="1:1" x14ac:dyDescent="0.25">
      <c r="A5097" s="522"/>
    </row>
    <row r="5098" spans="1:1" x14ac:dyDescent="0.25">
      <c r="A5098" s="522"/>
    </row>
    <row r="5099" spans="1:1" x14ac:dyDescent="0.25">
      <c r="A5099" s="522"/>
    </row>
    <row r="5100" spans="1:1" x14ac:dyDescent="0.25">
      <c r="A5100" s="522"/>
    </row>
    <row r="5101" spans="1:1" x14ac:dyDescent="0.25">
      <c r="A5101" s="522"/>
    </row>
    <row r="5102" spans="1:1" x14ac:dyDescent="0.25">
      <c r="A5102" s="522"/>
    </row>
    <row r="5103" spans="1:1" x14ac:dyDescent="0.25">
      <c r="A5103" s="522"/>
    </row>
    <row r="5104" spans="1:1" x14ac:dyDescent="0.25">
      <c r="A5104" s="522"/>
    </row>
    <row r="5105" spans="1:1" x14ac:dyDescent="0.25">
      <c r="A5105" s="522"/>
    </row>
    <row r="5106" spans="1:1" x14ac:dyDescent="0.25">
      <c r="A5106" s="522"/>
    </row>
    <row r="5107" spans="1:1" x14ac:dyDescent="0.25">
      <c r="A5107" s="522"/>
    </row>
    <row r="5108" spans="1:1" x14ac:dyDescent="0.25">
      <c r="A5108" s="522"/>
    </row>
    <row r="5109" spans="1:1" x14ac:dyDescent="0.25">
      <c r="A5109" s="522"/>
    </row>
    <row r="5110" spans="1:1" x14ac:dyDescent="0.25">
      <c r="A5110" s="522"/>
    </row>
    <row r="5111" spans="1:1" x14ac:dyDescent="0.25">
      <c r="A5111" s="522"/>
    </row>
    <row r="5112" spans="1:1" x14ac:dyDescent="0.25">
      <c r="A5112" s="522"/>
    </row>
    <row r="5113" spans="1:1" x14ac:dyDescent="0.25">
      <c r="A5113" s="522"/>
    </row>
    <row r="5114" spans="1:1" x14ac:dyDescent="0.25">
      <c r="A5114" s="522"/>
    </row>
    <row r="5115" spans="1:1" x14ac:dyDescent="0.25">
      <c r="A5115" s="522"/>
    </row>
    <row r="5116" spans="1:1" x14ac:dyDescent="0.25">
      <c r="A5116" s="522"/>
    </row>
    <row r="5117" spans="1:1" x14ac:dyDescent="0.25">
      <c r="A5117" s="522"/>
    </row>
    <row r="5118" spans="1:1" x14ac:dyDescent="0.25">
      <c r="A5118" s="522"/>
    </row>
    <row r="5119" spans="1:1" x14ac:dyDescent="0.25">
      <c r="A5119" s="522"/>
    </row>
    <row r="5120" spans="1:1" x14ac:dyDescent="0.25">
      <c r="A5120" s="522"/>
    </row>
    <row r="5121" spans="1:1" x14ac:dyDescent="0.25">
      <c r="A5121" s="522"/>
    </row>
    <row r="5122" spans="1:1" x14ac:dyDescent="0.25">
      <c r="A5122" s="522"/>
    </row>
    <row r="5123" spans="1:1" x14ac:dyDescent="0.25">
      <c r="A5123" s="522"/>
    </row>
    <row r="5124" spans="1:1" x14ac:dyDescent="0.25">
      <c r="A5124" s="522"/>
    </row>
    <row r="5125" spans="1:1" x14ac:dyDescent="0.25">
      <c r="A5125" s="522"/>
    </row>
    <row r="5126" spans="1:1" x14ac:dyDescent="0.25">
      <c r="A5126" s="522"/>
    </row>
    <row r="5127" spans="1:1" x14ac:dyDescent="0.25">
      <c r="A5127" s="522"/>
    </row>
    <row r="5128" spans="1:1" x14ac:dyDescent="0.25">
      <c r="A5128" s="522"/>
    </row>
    <row r="5129" spans="1:1" x14ac:dyDescent="0.25">
      <c r="A5129" s="522"/>
    </row>
    <row r="5130" spans="1:1" x14ac:dyDescent="0.25">
      <c r="A5130" s="522"/>
    </row>
  </sheetData>
  <autoFilter ref="A1:A5130" xr:uid="{00000000-0001-0000-0300-000000000000}"/>
  <mergeCells count="83">
    <mergeCell ref="B129:N129"/>
    <mergeCell ref="V129:AH129"/>
    <mergeCell ref="G124:H124"/>
    <mergeCell ref="G125:H125"/>
    <mergeCell ref="G126:H126"/>
    <mergeCell ref="G117:H122"/>
    <mergeCell ref="G123:H123"/>
    <mergeCell ref="V97:V103"/>
    <mergeCell ref="D105:D111"/>
    <mergeCell ref="V105:V111"/>
    <mergeCell ref="G104:H104"/>
    <mergeCell ref="V117:V123"/>
    <mergeCell ref="G114:H114"/>
    <mergeCell ref="G115:H115"/>
    <mergeCell ref="G116:H116"/>
    <mergeCell ref="G112:H112"/>
    <mergeCell ref="D97:D103"/>
    <mergeCell ref="D117:D123"/>
    <mergeCell ref="G97:H103"/>
    <mergeCell ref="G105:H111"/>
    <mergeCell ref="G113:H113"/>
    <mergeCell ref="D92:D95"/>
    <mergeCell ref="V92:V95"/>
    <mergeCell ref="I78:I84"/>
    <mergeCell ref="G91:H91"/>
    <mergeCell ref="G85:H85"/>
    <mergeCell ref="G86:H86"/>
    <mergeCell ref="G87:H87"/>
    <mergeCell ref="G88:H88"/>
    <mergeCell ref="G89:H89"/>
    <mergeCell ref="G90:H90"/>
    <mergeCell ref="G92:H95"/>
    <mergeCell ref="D85:D91"/>
    <mergeCell ref="G96:H96"/>
    <mergeCell ref="V78:V84"/>
    <mergeCell ref="G76:H76"/>
    <mergeCell ref="G77:H77"/>
    <mergeCell ref="G37:H37"/>
    <mergeCell ref="V85:V91"/>
    <mergeCell ref="G78:H84"/>
    <mergeCell ref="D71:D77"/>
    <mergeCell ref="V71:V77"/>
    <mergeCell ref="V45:AI45"/>
    <mergeCell ref="G41:H41"/>
    <mergeCell ref="G42:H42"/>
    <mergeCell ref="B45:O45"/>
    <mergeCell ref="G71:H71"/>
    <mergeCell ref="G72:H72"/>
    <mergeCell ref="G73:H73"/>
    <mergeCell ref="G74:H74"/>
    <mergeCell ref="G75:H75"/>
    <mergeCell ref="G35:H35"/>
    <mergeCell ref="G36:H36"/>
    <mergeCell ref="G38:H38"/>
    <mergeCell ref="G39:H39"/>
    <mergeCell ref="G40:H40"/>
    <mergeCell ref="V30:V34"/>
    <mergeCell ref="G34:H34"/>
    <mergeCell ref="I30:I34"/>
    <mergeCell ref="A1:P1"/>
    <mergeCell ref="D2:J2"/>
    <mergeCell ref="B4:O4"/>
    <mergeCell ref="G29:H29"/>
    <mergeCell ref="G30:H30"/>
    <mergeCell ref="G27:H27"/>
    <mergeCell ref="G28:H28"/>
    <mergeCell ref="G20:H20"/>
    <mergeCell ref="G21:H21"/>
    <mergeCell ref="G22:H22"/>
    <mergeCell ref="D30:D34"/>
    <mergeCell ref="V4:AI4"/>
    <mergeCell ref="G15:H15"/>
    <mergeCell ref="G16:H16"/>
    <mergeCell ref="G17:H17"/>
    <mergeCell ref="G18:H18"/>
    <mergeCell ref="G19:H19"/>
    <mergeCell ref="G31:H31"/>
    <mergeCell ref="G32:H32"/>
    <mergeCell ref="G33:H33"/>
    <mergeCell ref="G23:H23"/>
    <mergeCell ref="G24:H24"/>
    <mergeCell ref="G25:H25"/>
    <mergeCell ref="G26:H26"/>
  </mergeCells>
  <phoneticPr fontId="67" type="noConversion"/>
  <conditionalFormatting sqref="A7:A5130 C48:P61 AC48:AE61 B70:C126 I70:P126 D71:E91 V71:V92 AB71:AE126 F85:F95 V96:V126 F97:F112 D97:E126 G112:G117 B133:B147">
    <cfRule type="cellIs" dxfId="141" priority="18" operator="equal">
      <formula>"x"</formula>
    </cfRule>
  </conditionalFormatting>
  <conditionalFormatting sqref="A1:P5 A6:J6 K6:P7">
    <cfRule type="cellIs" dxfId="140" priority="154" operator="equal">
      <formula>"x"</formula>
    </cfRule>
  </conditionalFormatting>
  <conditionalFormatting sqref="A5131:P1048576">
    <cfRule type="cellIs" dxfId="139" priority="433" operator="equal">
      <formula>"x"</formula>
    </cfRule>
  </conditionalFormatting>
  <conditionalFormatting sqref="B129:B131">
    <cfRule type="cellIs" dxfId="138" priority="15" operator="equal">
      <formula>"x"</formula>
    </cfRule>
  </conditionalFormatting>
  <conditionalFormatting sqref="B8:P15 B16:E16 G16:P16 B17:P25 B26:E29 G26:P29 B30:P30 B31:C34 E31:H34 J31:P34 B35:P35 B36:E37 G36:P37">
    <cfRule type="cellIs" dxfId="137" priority="156" operator="equal">
      <formula>"x"</formula>
    </cfRule>
  </conditionalFormatting>
  <conditionalFormatting sqref="B38:P45 B46:C46 F46:P46">
    <cfRule type="cellIs" dxfId="136" priority="147" operator="equal">
      <formula>"x"</formula>
    </cfRule>
  </conditionalFormatting>
  <conditionalFormatting sqref="B47:P47">
    <cfRule type="cellIs" dxfId="135" priority="143" operator="equal">
      <formula>"x"</formula>
    </cfRule>
  </conditionalFormatting>
  <conditionalFormatting sqref="B62:P69">
    <cfRule type="cellIs" dxfId="134" priority="144" operator="equal">
      <formula>"x"</formula>
    </cfRule>
  </conditionalFormatting>
  <conditionalFormatting sqref="B127:P128">
    <cfRule type="cellIs" dxfId="133" priority="117" operator="equal">
      <formula>"x"</formula>
    </cfRule>
  </conditionalFormatting>
  <conditionalFormatting sqref="B148:P5130">
    <cfRule type="cellIs" dxfId="132" priority="19" operator="equal">
      <formula>"x"</formula>
    </cfRule>
  </conditionalFormatting>
  <conditionalFormatting sqref="C69:C71">
    <cfRule type="cellIs" dxfId="131" priority="423" operator="equal">
      <formula>"x"</formula>
    </cfRule>
  </conditionalFormatting>
  <conditionalFormatting sqref="C7:J7">
    <cfRule type="cellIs" dxfId="130" priority="153" operator="equal">
      <formula>"x"</formula>
    </cfRule>
  </conditionalFormatting>
  <conditionalFormatting sqref="D132:D133">
    <cfRule type="cellIs" dxfId="129" priority="2" operator="equal">
      <formula>"x"</formula>
    </cfRule>
  </conditionalFormatting>
  <conditionalFormatting sqref="D70:H70 G71:G78 G85:G92 D92 D96">
    <cfRule type="cellIs" dxfId="128" priority="139" operator="equal">
      <formula>"x"</formula>
    </cfRule>
  </conditionalFormatting>
  <conditionalFormatting sqref="E92:E96 G96:G97">
    <cfRule type="cellIs" dxfId="127" priority="137" operator="equal">
      <formula>"x"</formula>
    </cfRule>
  </conditionalFormatting>
  <conditionalFormatting sqref="F82:F83">
    <cfRule type="cellIs" dxfId="126" priority="133" operator="equal">
      <formula>"x"</formula>
    </cfRule>
  </conditionalFormatting>
  <conditionalFormatting sqref="F116">
    <cfRule type="cellIs" dxfId="125" priority="130" operator="equal">
      <formula>"x"</formula>
    </cfRule>
  </conditionalFormatting>
  <conditionalFormatting sqref="F124:G126">
    <cfRule type="cellIs" dxfId="124" priority="129" operator="equal">
      <formula>"x"</formula>
    </cfRule>
  </conditionalFormatting>
  <conditionalFormatting sqref="G104:G105">
    <cfRule type="cellIs" dxfId="123" priority="135" operator="equal">
      <formula>"x"</formula>
    </cfRule>
  </conditionalFormatting>
  <conditionalFormatting sqref="G123">
    <cfRule type="cellIs" dxfId="122" priority="134" operator="equal">
      <formula>"x"</formula>
    </cfRule>
  </conditionalFormatting>
  <conditionalFormatting sqref="V37">
    <cfRule type="cellIs" dxfId="121" priority="152" operator="equal">
      <formula>"x"</formula>
    </cfRule>
  </conditionalFormatting>
  <conditionalFormatting sqref="Y91:AA91">
    <cfRule type="cellIs" dxfId="120" priority="127" operator="equal">
      <formula>"x"</formula>
    </cfRule>
  </conditionalFormatting>
  <conditionalFormatting sqref="AF7 AF48:AF61 AF71:AF126">
    <cfRule type="expression" dxfId="119" priority="150">
      <formula>AND(AF7=AE7,AE7&lt;&gt;"")</formula>
    </cfRule>
    <cfRule type="expression" dxfId="118" priority="151">
      <formula>AF7&lt;&gt;AE7</formula>
    </cfRule>
  </conditionalFormatting>
  <conditionalFormatting sqref="AF16:AF42">
    <cfRule type="expression" dxfId="117" priority="148">
      <formula>AND(AF16=AE16,AE16&lt;&gt;"")</formula>
    </cfRule>
    <cfRule type="expression" dxfId="116" priority="149">
      <formula>AF16&lt;&gt;AE16</formula>
    </cfRule>
  </conditionalFormatting>
  <conditionalFormatting sqref="AF132 AF139:AF147">
    <cfRule type="expression" dxfId="115" priority="16">
      <formula>AND(AF132=AE132,AE132&lt;&gt;"")</formula>
    </cfRule>
    <cfRule type="expression" dxfId="114" priority="17">
      <formula>AF132&lt;&gt;AE132</formula>
    </cfRule>
  </conditionalFormatting>
  <conditionalFormatting sqref="AH7 AH48:AH61">
    <cfRule type="cellIs" dxfId="113" priority="157" operator="lessThan">
      <formula>-0.1</formula>
    </cfRule>
    <cfRule type="cellIs" dxfId="112" priority="158" operator="greaterThan">
      <formula>0.1</formula>
    </cfRule>
  </conditionalFormatting>
  <conditionalFormatting sqref="AH132">
    <cfRule type="cellIs" dxfId="111" priority="20" operator="lessThan">
      <formula>-0.1</formula>
    </cfRule>
    <cfRule type="cellIs" dxfId="110" priority="21" operator="greaterThan">
      <formula>0.1</formula>
    </cfRule>
  </conditionalFormatting>
  <conditionalFormatting sqref="K132">
    <cfRule type="cellIs" dxfId="0" priority="1" operator="equal">
      <formula>"x"</formula>
    </cfRule>
  </conditionalFormatting>
  <hyperlinks>
    <hyperlink ref="G16" r:id="rId1" xr:uid="{A45A3E27-52E2-4E86-AA58-D3DF8781837F}"/>
  </hyperlinks>
  <pageMargins left="0.7" right="0.7" top="0.75" bottom="0.75" header="0.3" footer="0.3"/>
  <pageSetup scale="39" fitToHeight="0" orientation="landscape" r:id="rId2"/>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tabColor rgb="FFFF9999"/>
    <pageSetUpPr fitToPage="1"/>
  </sheetPr>
  <dimension ref="A1:DJ48"/>
  <sheetViews>
    <sheetView zoomScale="70" zoomScaleNormal="70" workbookViewId="0">
      <selection sqref="A1:O1"/>
    </sheetView>
  </sheetViews>
  <sheetFormatPr defaultColWidth="16.42578125" defaultRowHeight="15" outlineLevelRow="1" x14ac:dyDescent="0.25"/>
  <cols>
    <col min="1" max="1" width="3.28515625" style="50" customWidth="1"/>
    <col min="2" max="2" width="7" style="50" bestFit="1" customWidth="1"/>
    <col min="3" max="3" width="20.28515625" style="100" bestFit="1" customWidth="1"/>
    <col min="4" max="4" width="19.5703125" style="100" customWidth="1"/>
    <col min="5" max="5" width="55.7109375" style="50" customWidth="1"/>
    <col min="6" max="6" width="20.28515625" style="50" customWidth="1"/>
    <col min="7" max="7" width="22.7109375" style="50" customWidth="1"/>
    <col min="8" max="8" width="24.7109375" style="50" customWidth="1"/>
    <col min="9" max="9" width="15.7109375" style="50" customWidth="1"/>
    <col min="10" max="10" width="11.28515625" style="50" customWidth="1"/>
    <col min="11" max="12" width="16.42578125" style="50" customWidth="1"/>
    <col min="13" max="13" width="14" style="169" customWidth="1"/>
    <col min="14" max="14" width="13.7109375" style="50" customWidth="1"/>
    <col min="15" max="15" width="1.7109375" style="50" customWidth="1"/>
    <col min="16" max="21" width="16.42578125" style="50" customWidth="1"/>
    <col min="22" max="22" width="29.42578125" style="50" customWidth="1"/>
    <col min="23" max="23" width="16.42578125" style="370" customWidth="1"/>
    <col min="24" max="24" width="18" style="370" customWidth="1"/>
    <col min="25" max="25" width="17.28515625" style="370" customWidth="1"/>
    <col min="26" max="27" width="16.42578125" style="370" customWidth="1"/>
    <col min="28" max="28" width="17.42578125" style="370" bestFit="1" customWidth="1"/>
    <col min="29" max="35" width="16.42578125" style="73" customWidth="1"/>
    <col min="36" max="37" width="18" style="73" customWidth="1"/>
    <col min="38" max="110" width="16.42578125" style="73" customWidth="1"/>
    <col min="111" max="111" width="16.42578125" style="50"/>
    <col min="112" max="112" width="33.28515625" style="50" bestFit="1" customWidth="1"/>
    <col min="113" max="113" width="13.7109375" style="144" customWidth="1"/>
    <col min="114" max="114" width="20.42578125" style="1124" customWidth="1"/>
    <col min="115" max="16384" width="16.42578125" style="73"/>
  </cols>
  <sheetData>
    <row r="1" spans="1:114" s="2" customFormat="1" ht="18.75" x14ac:dyDescent="0.3">
      <c r="A1" s="2098" t="s">
        <v>796</v>
      </c>
      <c r="B1" s="2132"/>
      <c r="C1" s="2133"/>
      <c r="D1" s="2132"/>
      <c r="E1" s="2132"/>
      <c r="F1" s="2132"/>
      <c r="G1" s="2132"/>
      <c r="H1" s="2132"/>
      <c r="I1" s="2132"/>
      <c r="J1" s="2132"/>
      <c r="K1" s="2132"/>
      <c r="L1" s="2132"/>
      <c r="M1" s="2132"/>
      <c r="N1" s="2132"/>
      <c r="O1" s="2132"/>
      <c r="P1" s="50"/>
      <c r="Q1" s="50"/>
      <c r="R1" s="252"/>
      <c r="S1" s="252"/>
      <c r="T1" s="252"/>
      <c r="U1" s="252"/>
      <c r="V1" s="764"/>
      <c r="W1" s="740"/>
      <c r="X1" s="740"/>
      <c r="Y1" s="1401"/>
      <c r="Z1" s="1401"/>
      <c r="AA1" s="1401"/>
      <c r="AB1" s="1401"/>
      <c r="AC1" s="5"/>
      <c r="AD1" s="5"/>
      <c r="AE1" s="5"/>
      <c r="AF1" s="5"/>
      <c r="AG1" s="5"/>
      <c r="AH1" s="5"/>
      <c r="DG1" s="252"/>
      <c r="DH1" s="252"/>
      <c r="DI1" s="1055"/>
      <c r="DJ1" s="1123"/>
    </row>
    <row r="2" spans="1:114" s="2" customFormat="1" ht="30" hidden="1" customHeight="1" outlineLevel="1" x14ac:dyDescent="0.35">
      <c r="A2" s="252"/>
      <c r="B2" s="446"/>
      <c r="C2" s="742"/>
      <c r="D2" s="2079" t="s">
        <v>39</v>
      </c>
      <c r="E2" s="2101"/>
      <c r="F2" s="2102"/>
      <c r="G2" s="2102"/>
      <c r="H2" s="2102"/>
      <c r="I2" s="2102"/>
      <c r="J2" s="2102"/>
      <c r="K2" s="251"/>
      <c r="L2" s="251"/>
      <c r="M2" s="252"/>
      <c r="N2" s="252"/>
      <c r="O2" s="252"/>
      <c r="P2" s="252"/>
      <c r="Q2" s="252"/>
      <c r="R2" s="252"/>
      <c r="S2" s="252"/>
      <c r="T2" s="252"/>
      <c r="U2" s="252"/>
      <c r="V2" s="252"/>
      <c r="W2" s="21"/>
      <c r="X2" s="21"/>
      <c r="Y2" s="21"/>
      <c r="Z2" s="21"/>
      <c r="AA2" s="21"/>
      <c r="AB2" s="21"/>
      <c r="DG2" s="252"/>
      <c r="DH2" s="252"/>
      <c r="DI2" s="1055"/>
      <c r="DJ2" s="1123"/>
    </row>
    <row r="3" spans="1:114" s="2" customFormat="1" ht="33.75" customHeight="1" collapsed="1" x14ac:dyDescent="0.25">
      <c r="A3" s="252"/>
      <c r="B3" s="252"/>
      <c r="C3" s="60"/>
      <c r="D3" s="60"/>
      <c r="E3" s="534"/>
      <c r="F3" s="59"/>
      <c r="G3" s="59"/>
      <c r="H3" s="59"/>
      <c r="I3" s="59"/>
      <c r="J3" s="59"/>
      <c r="K3" s="252"/>
      <c r="L3" s="252"/>
      <c r="M3" s="478"/>
      <c r="N3" s="252"/>
      <c r="O3" s="252"/>
      <c r="P3" s="252"/>
      <c r="Q3" s="252"/>
      <c r="R3" s="252"/>
      <c r="S3" s="252"/>
      <c r="T3" s="252"/>
      <c r="U3" s="252"/>
      <c r="V3" s="252"/>
      <c r="W3" s="21"/>
      <c r="X3" s="21"/>
      <c r="Y3" s="21"/>
      <c r="Z3" s="21"/>
      <c r="AA3" s="21"/>
      <c r="AB3" s="21"/>
      <c r="DG3" s="252"/>
      <c r="DH3" s="252"/>
      <c r="DI3" s="1055"/>
      <c r="DJ3" s="1123"/>
    </row>
    <row r="4" spans="1:114" x14ac:dyDescent="0.25">
      <c r="B4" s="2134" t="s">
        <v>797</v>
      </c>
      <c r="C4" s="2135"/>
      <c r="D4" s="2135"/>
      <c r="E4" s="2135"/>
      <c r="F4" s="2135"/>
      <c r="G4" s="2135"/>
      <c r="H4" s="2135"/>
      <c r="I4" s="2082"/>
      <c r="J4" s="2082"/>
      <c r="K4" s="2082"/>
      <c r="L4" s="2082"/>
      <c r="M4" s="2082"/>
      <c r="N4" s="2083"/>
      <c r="O4" s="270"/>
      <c r="P4" s="270"/>
      <c r="Q4" s="270"/>
      <c r="R4" s="270"/>
      <c r="V4" s="2103" t="str">
        <f>B4</f>
        <v>Dirty Filter Alarm</v>
      </c>
      <c r="W4" s="2104"/>
      <c r="X4" s="2104"/>
      <c r="Y4" s="2104"/>
      <c r="Z4" s="2104"/>
      <c r="AA4" s="2104"/>
      <c r="AB4" s="2104"/>
      <c r="AC4" s="2106"/>
      <c r="AD4" s="2106"/>
      <c r="AE4" s="2106"/>
      <c r="AF4" s="2106"/>
      <c r="AG4" s="2106"/>
      <c r="AH4" s="2107"/>
    </row>
    <row r="5" spans="1:114" x14ac:dyDescent="0.25">
      <c r="B5" s="1427"/>
      <c r="C5" s="127"/>
      <c r="D5" s="565"/>
      <c r="E5" s="269"/>
      <c r="F5" s="269"/>
      <c r="G5" s="269"/>
      <c r="H5" s="269"/>
      <c r="I5" s="269"/>
      <c r="J5" s="269"/>
      <c r="K5" s="269"/>
      <c r="L5" s="566"/>
      <c r="M5" s="588"/>
      <c r="N5" s="270"/>
      <c r="O5" s="270"/>
      <c r="P5" s="270"/>
      <c r="Q5" s="270"/>
      <c r="R5" s="270"/>
      <c r="DI5" s="50"/>
      <c r="DJ5" s="1059"/>
    </row>
    <row r="6" spans="1:114" ht="30" x14ac:dyDescent="0.25">
      <c r="B6" s="561"/>
      <c r="C6" s="1300" t="s">
        <v>42</v>
      </c>
      <c r="D6" s="1300" t="s">
        <v>594</v>
      </c>
      <c r="E6" s="1300" t="s">
        <v>44</v>
      </c>
      <c r="F6" s="1300" t="s">
        <v>45</v>
      </c>
      <c r="G6" s="1300" t="s">
        <v>46</v>
      </c>
      <c r="H6" s="1300" t="s">
        <v>47</v>
      </c>
      <c r="I6" s="1300" t="s">
        <v>798</v>
      </c>
      <c r="J6" s="1300" t="s">
        <v>799</v>
      </c>
      <c r="K6" s="1300" t="s">
        <v>48</v>
      </c>
      <c r="L6" s="1312" t="s">
        <v>49</v>
      </c>
      <c r="M6" s="1300" t="s">
        <v>50</v>
      </c>
      <c r="N6" s="1300" t="s">
        <v>51</v>
      </c>
      <c r="V6" s="165" t="s">
        <v>52</v>
      </c>
      <c r="W6" s="110">
        <v>43252</v>
      </c>
      <c r="X6" s="110">
        <v>43465</v>
      </c>
      <c r="Y6" s="110">
        <v>43800</v>
      </c>
      <c r="Z6" s="110">
        <v>43862</v>
      </c>
      <c r="AA6" s="110">
        <v>44013</v>
      </c>
      <c r="AB6" s="110">
        <v>44166</v>
      </c>
      <c r="AC6" s="649">
        <v>44531</v>
      </c>
      <c r="AD6" s="649">
        <v>44774</v>
      </c>
      <c r="AE6" s="649">
        <v>45139</v>
      </c>
      <c r="AF6" s="649">
        <f>'Deemed Savings Tbl Revision Log'!C17</f>
        <v>45672</v>
      </c>
      <c r="AG6" s="649" t="s">
        <v>53</v>
      </c>
      <c r="DG6" s="776" t="s">
        <v>54</v>
      </c>
      <c r="DH6" s="12" t="s">
        <v>55</v>
      </c>
      <c r="DI6" s="1019" t="s">
        <v>56</v>
      </c>
      <c r="DJ6" s="1060" t="s">
        <v>57</v>
      </c>
    </row>
    <row r="7" spans="1:114" x14ac:dyDescent="0.25">
      <c r="B7" s="1384">
        <f t="shared" ref="B7" si="0">VALUE(LEFT(C7,6))</f>
        <v>300100</v>
      </c>
      <c r="C7" s="122" t="s">
        <v>800</v>
      </c>
      <c r="D7" s="1375" t="s">
        <v>600</v>
      </c>
      <c r="E7" s="1359" t="s">
        <v>801</v>
      </c>
      <c r="F7" s="173">
        <f>ROUND(I7+J7,2)</f>
        <v>118.25</v>
      </c>
      <c r="G7" s="1331" t="s">
        <v>802</v>
      </c>
      <c r="H7" s="66">
        <f>VLOOKUP(G7,'CP FACTORS'!$A$3:$B$38, 2, FALSE)</f>
        <v>4.6608050000000002E-4</v>
      </c>
      <c r="I7" s="526">
        <f>F$16*F$17*F$18*F$19*F20*F21</f>
        <v>74.8</v>
      </c>
      <c r="J7" s="526">
        <f>F$22*F$17*F$23*F$19*F20*F21</f>
        <v>43.45</v>
      </c>
      <c r="K7" s="261">
        <f>ROUND(H7*F7,6)</f>
        <v>5.5114000000000003E-2</v>
      </c>
      <c r="L7" s="323">
        <f>$F$24</f>
        <v>5</v>
      </c>
      <c r="M7" s="710">
        <f>$F$25</f>
        <v>5</v>
      </c>
      <c r="N7" s="134" t="s">
        <v>62</v>
      </c>
      <c r="V7" s="1307" t="str">
        <f>$F$6</f>
        <v>kWh Annual Savings</v>
      </c>
      <c r="W7" s="328">
        <v>79.197937499999995</v>
      </c>
      <c r="X7" s="124">
        <v>171.76499999999999</v>
      </c>
      <c r="Y7" s="125">
        <v>177.38</v>
      </c>
      <c r="Z7" s="694">
        <v>177.38</v>
      </c>
      <c r="AA7" s="694">
        <v>177.38</v>
      </c>
      <c r="AB7" s="378">
        <v>177.38</v>
      </c>
      <c r="AC7" s="173">
        <v>177.38</v>
      </c>
      <c r="AD7" s="173">
        <v>177.38</v>
      </c>
      <c r="AE7" s="173">
        <v>177.38</v>
      </c>
      <c r="AF7" s="258">
        <f>IF(F7&lt;&gt;"",F7,"")</f>
        <v>118.25</v>
      </c>
      <c r="AG7" s="342"/>
      <c r="AH7" s="115"/>
      <c r="DG7" s="1947">
        <f>(DI7)/(DJ7)</f>
        <v>12.576924114493881</v>
      </c>
      <c r="DH7" s="653" t="str">
        <f>CONCATENATE(G7," ",L7," Year EUL")</f>
        <v>HVAC RES 5 Year EUL</v>
      </c>
      <c r="DI7" s="1056">
        <f>(INDEX('Avoided Cost Benefits'!$B$4:$B$865,MATCH(DH7,'Avoided Cost Benefits'!$A$4:$A$865,0)))*F7</f>
        <v>62.884620572469409</v>
      </c>
      <c r="DJ7" s="1945">
        <f>IFERROR(M7/((1+DiscountRate)^(CurrentYear-DiscountYear)),0)</f>
        <v>5</v>
      </c>
    </row>
    <row r="8" spans="1:114" hidden="1" outlineLevel="1" x14ac:dyDescent="0.25">
      <c r="B8" s="561"/>
      <c r="C8" s="127"/>
      <c r="D8" s="74" t="s">
        <v>94</v>
      </c>
      <c r="E8" s="270" t="s">
        <v>803</v>
      </c>
      <c r="F8" s="1392"/>
      <c r="G8" s="268"/>
      <c r="H8" s="935"/>
      <c r="I8" s="528"/>
      <c r="J8" s="1393"/>
      <c r="K8" s="1394"/>
      <c r="L8" s="605"/>
      <c r="M8" s="1395"/>
      <c r="N8" s="270"/>
      <c r="DJ8" s="1125"/>
    </row>
    <row r="9" spans="1:114" hidden="1" outlineLevel="1" x14ac:dyDescent="0.25">
      <c r="B9" s="561"/>
      <c r="C9" s="127"/>
      <c r="D9" s="74" t="s">
        <v>604</v>
      </c>
      <c r="E9" s="270" t="s">
        <v>804</v>
      </c>
      <c r="F9" s="941"/>
      <c r="G9" s="270"/>
      <c r="H9" s="270"/>
      <c r="I9" s="270"/>
      <c r="J9" s="270"/>
      <c r="K9" s="270"/>
      <c r="L9" s="270"/>
      <c r="M9" s="588"/>
      <c r="N9" s="270"/>
      <c r="O9" s="270"/>
      <c r="P9" s="270"/>
      <c r="Q9" s="270"/>
      <c r="R9" s="270"/>
      <c r="DJ9" s="1125"/>
    </row>
    <row r="10" spans="1:114" hidden="1" outlineLevel="1" x14ac:dyDescent="0.25">
      <c r="B10" s="561"/>
      <c r="C10" s="127"/>
      <c r="D10" s="74"/>
      <c r="E10" s="270" t="s">
        <v>805</v>
      </c>
      <c r="F10" s="941"/>
      <c r="G10" s="270"/>
      <c r="H10" s="270"/>
      <c r="I10" s="270"/>
      <c r="J10" s="270"/>
      <c r="K10" s="270"/>
      <c r="L10" s="270"/>
      <c r="M10" s="588"/>
      <c r="N10" s="270"/>
      <c r="O10" s="270"/>
      <c r="P10" s="270"/>
      <c r="Q10" s="270"/>
      <c r="R10" s="270"/>
      <c r="DJ10" s="1125"/>
    </row>
    <row r="11" spans="1:114" hidden="1" outlineLevel="1" x14ac:dyDescent="0.25">
      <c r="B11" s="561"/>
      <c r="C11" s="127"/>
      <c r="D11" s="74"/>
      <c r="E11" s="270" t="s">
        <v>806</v>
      </c>
      <c r="F11" s="941"/>
      <c r="G11" s="270"/>
      <c r="H11" s="270"/>
      <c r="I11" s="270"/>
      <c r="J11" s="270"/>
      <c r="K11" s="270"/>
      <c r="L11" s="270"/>
      <c r="M11" s="588"/>
      <c r="N11" s="270"/>
      <c r="O11" s="270"/>
      <c r="P11" s="270"/>
      <c r="Q11" s="270"/>
      <c r="R11" s="270"/>
      <c r="DJ11" s="1125"/>
    </row>
    <row r="12" spans="1:114" hidden="1" outlineLevel="1" x14ac:dyDescent="0.25">
      <c r="B12" s="561"/>
      <c r="C12" s="127"/>
      <c r="D12" s="795"/>
      <c r="E12" s="286" t="s">
        <v>607</v>
      </c>
      <c r="F12" s="286"/>
      <c r="G12" s="286"/>
      <c r="H12" s="270"/>
      <c r="I12" s="270"/>
      <c r="J12" s="270"/>
      <c r="K12" s="270"/>
      <c r="L12" s="270"/>
      <c r="M12" s="588"/>
      <c r="N12" s="270"/>
      <c r="O12" s="270"/>
      <c r="P12" s="270"/>
      <c r="Q12" s="270"/>
      <c r="R12" s="270"/>
      <c r="DJ12" s="1125"/>
    </row>
    <row r="13" spans="1:114" hidden="1" outlineLevel="1" x14ac:dyDescent="0.25">
      <c r="B13" s="561"/>
      <c r="C13" s="127"/>
      <c r="D13" s="795"/>
      <c r="E13" s="286"/>
      <c r="F13" s="286"/>
      <c r="G13" s="286"/>
      <c r="H13" s="270"/>
      <c r="I13" s="270"/>
      <c r="J13" s="270"/>
      <c r="K13" s="270"/>
      <c r="L13" s="270"/>
      <c r="M13" s="270"/>
      <c r="N13" s="270"/>
      <c r="O13" s="270"/>
      <c r="P13" s="270"/>
      <c r="Q13" s="270"/>
      <c r="R13" s="521"/>
      <c r="DJ13" s="1125"/>
    </row>
    <row r="14" spans="1:114" hidden="1" outlineLevel="1" x14ac:dyDescent="0.25">
      <c r="B14" s="561"/>
      <c r="C14" s="127"/>
      <c r="D14" s="127"/>
      <c r="E14" s="270"/>
      <c r="F14" s="270"/>
      <c r="G14" s="270"/>
      <c r="H14" s="270"/>
      <c r="I14" s="270"/>
      <c r="J14" s="270"/>
      <c r="K14" s="270"/>
      <c r="L14" s="270"/>
      <c r="M14" s="270"/>
      <c r="N14" s="270"/>
      <c r="O14" s="270"/>
      <c r="P14" s="270"/>
      <c r="Q14" s="270"/>
      <c r="R14" s="521"/>
      <c r="DJ14" s="1125"/>
    </row>
    <row r="15" spans="1:114" hidden="1" outlineLevel="1" x14ac:dyDescent="0.25">
      <c r="B15" s="561"/>
      <c r="C15" s="127"/>
      <c r="D15" s="1373" t="s">
        <v>712</v>
      </c>
      <c r="E15" s="1358" t="s">
        <v>608</v>
      </c>
      <c r="F15" s="1300" t="s">
        <v>610</v>
      </c>
      <c r="G15" s="2108" t="s">
        <v>611</v>
      </c>
      <c r="H15" s="2108"/>
      <c r="I15" s="1300" t="s">
        <v>713</v>
      </c>
      <c r="J15" s="270"/>
      <c r="K15" s="270"/>
      <c r="L15" s="270"/>
      <c r="M15" s="270"/>
      <c r="N15" s="270"/>
      <c r="O15" s="270"/>
      <c r="P15" s="270"/>
      <c r="Q15" s="270"/>
      <c r="R15" s="521"/>
      <c r="V15" s="165" t="s">
        <v>52</v>
      </c>
      <c r="W15" s="110">
        <f>$W$6</f>
        <v>43252</v>
      </c>
      <c r="X15" s="110">
        <f>$X$6</f>
        <v>43465</v>
      </c>
      <c r="Y15" s="110">
        <f>$Y$6</f>
        <v>43800</v>
      </c>
      <c r="Z15" s="110">
        <f>$Z$6</f>
        <v>43862</v>
      </c>
      <c r="AA15" s="110">
        <f>$AA$6</f>
        <v>44013</v>
      </c>
      <c r="AB15" s="110">
        <f>$AB$6</f>
        <v>44166</v>
      </c>
      <c r="AC15" s="649">
        <f>$AC$6</f>
        <v>44531</v>
      </c>
      <c r="AD15" s="649">
        <f>$AD$6</f>
        <v>44774</v>
      </c>
      <c r="AE15" s="649">
        <f>$AE$6</f>
        <v>45139</v>
      </c>
      <c r="AF15" s="649">
        <f>$AF$6</f>
        <v>45672</v>
      </c>
      <c r="AG15" s="649" t="str">
        <f>$AG$6</f>
        <v>-</v>
      </c>
      <c r="AH15" s="1482"/>
      <c r="AI15" s="1482"/>
      <c r="AJ15" s="1482"/>
      <c r="DJ15" s="1125"/>
    </row>
    <row r="16" spans="1:114" hidden="1" outlineLevel="1" x14ac:dyDescent="0.25">
      <c r="B16" s="561"/>
      <c r="C16" s="127"/>
      <c r="D16" s="1980" t="s">
        <v>807</v>
      </c>
      <c r="E16" s="1359" t="s">
        <v>808</v>
      </c>
      <c r="F16" s="1513">
        <v>1</v>
      </c>
      <c r="G16" s="2137" t="s">
        <v>809</v>
      </c>
      <c r="H16" s="2137"/>
      <c r="I16" s="1359"/>
      <c r="J16" s="270"/>
      <c r="K16" s="270"/>
      <c r="L16" s="270"/>
      <c r="M16" s="270"/>
      <c r="N16" s="270"/>
      <c r="O16" s="270"/>
      <c r="P16" s="270"/>
      <c r="Q16" s="270"/>
      <c r="R16" s="521"/>
      <c r="V16" s="1321"/>
      <c r="W16" s="300" t="e">
        <f>#REF!</f>
        <v>#REF!</v>
      </c>
      <c r="X16" s="300">
        <v>0.95</v>
      </c>
      <c r="Y16" s="1389">
        <v>1</v>
      </c>
      <c r="Z16" s="300">
        <v>1</v>
      </c>
      <c r="AA16" s="300">
        <v>1</v>
      </c>
      <c r="AB16" s="177">
        <v>1</v>
      </c>
      <c r="AC16" s="177">
        <v>1</v>
      </c>
      <c r="AD16" s="177">
        <v>1</v>
      </c>
      <c r="AE16" s="177">
        <v>1</v>
      </c>
      <c r="AF16" s="258">
        <f t="shared" ref="AF16:AF26" si="1">IF(F16&lt;&gt;"",F16,"")</f>
        <v>1</v>
      </c>
      <c r="AG16" s="342"/>
      <c r="DJ16" s="1125"/>
    </row>
    <row r="17" spans="2:114" hidden="1" outlineLevel="1" x14ac:dyDescent="0.25">
      <c r="B17" s="561"/>
      <c r="C17" s="127"/>
      <c r="D17" s="1321" t="s">
        <v>48</v>
      </c>
      <c r="E17" s="1359" t="s">
        <v>734</v>
      </c>
      <c r="F17" s="1523">
        <v>0.5</v>
      </c>
      <c r="G17" s="2137" t="s">
        <v>809</v>
      </c>
      <c r="H17" s="2137"/>
      <c r="I17" s="1359"/>
      <c r="J17" s="270"/>
      <c r="K17" s="270"/>
      <c r="L17" s="270"/>
      <c r="M17" s="270"/>
      <c r="N17" s="270"/>
      <c r="O17" s="270"/>
      <c r="P17" s="270"/>
      <c r="Q17" s="270"/>
      <c r="R17" s="521"/>
      <c r="V17" s="1321" t="str">
        <f>D17</f>
        <v>kW</v>
      </c>
      <c r="W17" s="296">
        <v>0.5</v>
      </c>
      <c r="X17" s="296">
        <v>0.5</v>
      </c>
      <c r="Y17" s="296">
        <v>0.5</v>
      </c>
      <c r="Z17" s="296">
        <v>0.5</v>
      </c>
      <c r="AA17" s="296">
        <v>0.5</v>
      </c>
      <c r="AB17" s="325">
        <v>0.5</v>
      </c>
      <c r="AC17" s="325">
        <v>0.5</v>
      </c>
      <c r="AD17" s="325">
        <v>0.5</v>
      </c>
      <c r="AE17" s="325">
        <v>0.5</v>
      </c>
      <c r="AF17" s="258">
        <f t="shared" si="1"/>
        <v>0.5</v>
      </c>
      <c r="AG17" s="342"/>
      <c r="DJ17" s="1125"/>
    </row>
    <row r="18" spans="2:114" ht="14.45" hidden="1" customHeight="1" outlineLevel="1" x14ac:dyDescent="0.25">
      <c r="B18" s="561"/>
      <c r="C18" s="127"/>
      <c r="D18" s="1980" t="s">
        <v>810</v>
      </c>
      <c r="E18" s="1359" t="s">
        <v>751</v>
      </c>
      <c r="F18" s="1522">
        <v>1496</v>
      </c>
      <c r="G18" s="2136" t="s">
        <v>811</v>
      </c>
      <c r="H18" s="2136"/>
      <c r="I18" s="1359"/>
      <c r="J18" s="270"/>
      <c r="K18" s="270"/>
      <c r="L18" s="270"/>
      <c r="M18" s="270"/>
      <c r="N18" s="270"/>
      <c r="O18" s="270"/>
      <c r="P18" s="270"/>
      <c r="Q18" s="270"/>
      <c r="R18" s="521"/>
      <c r="V18" s="1321" t="str">
        <f>D18</f>
        <v>EFLHheat</v>
      </c>
      <c r="W18" s="430">
        <v>1496</v>
      </c>
      <c r="X18" s="430">
        <v>1496</v>
      </c>
      <c r="Y18" s="430">
        <v>1496</v>
      </c>
      <c r="Z18" s="430">
        <v>1496</v>
      </c>
      <c r="AA18" s="430">
        <v>1496</v>
      </c>
      <c r="AB18" s="324">
        <v>1496</v>
      </c>
      <c r="AC18" s="324">
        <v>1496</v>
      </c>
      <c r="AD18" s="324">
        <v>1496</v>
      </c>
      <c r="AE18" s="324">
        <v>1496</v>
      </c>
      <c r="AF18" s="258">
        <f t="shared" si="1"/>
        <v>1496</v>
      </c>
      <c r="AG18" s="342"/>
      <c r="DJ18" s="1125"/>
    </row>
    <row r="19" spans="2:114" hidden="1" outlineLevel="1" x14ac:dyDescent="0.25">
      <c r="B19" s="561"/>
      <c r="C19" s="127"/>
      <c r="D19" s="122" t="s">
        <v>812</v>
      </c>
      <c r="E19" s="1359" t="s">
        <v>734</v>
      </c>
      <c r="F19" s="1526">
        <v>0.1</v>
      </c>
      <c r="G19" s="2136" t="s">
        <v>813</v>
      </c>
      <c r="H19" s="2136"/>
      <c r="I19" s="1359"/>
      <c r="J19" s="270"/>
      <c r="K19" s="270"/>
      <c r="L19" s="270"/>
      <c r="M19" s="270"/>
      <c r="N19" s="270"/>
      <c r="O19" s="270"/>
      <c r="P19" s="270"/>
      <c r="Q19" s="270"/>
      <c r="R19" s="521"/>
      <c r="V19" s="122" t="str">
        <f>D19</f>
        <v>EI</v>
      </c>
      <c r="W19" s="300">
        <v>0.15</v>
      </c>
      <c r="X19" s="300">
        <v>0.15</v>
      </c>
      <c r="Y19" s="300">
        <v>0.15</v>
      </c>
      <c r="Z19" s="300">
        <v>0.15</v>
      </c>
      <c r="AA19" s="300">
        <v>0.15</v>
      </c>
      <c r="AB19" s="141">
        <v>0.15</v>
      </c>
      <c r="AC19" s="141">
        <v>0.15</v>
      </c>
      <c r="AD19" s="141">
        <v>0.15</v>
      </c>
      <c r="AE19" s="141">
        <v>0.15</v>
      </c>
      <c r="AF19" s="258">
        <f t="shared" si="1"/>
        <v>0.1</v>
      </c>
      <c r="AG19" s="342"/>
      <c r="DJ19" s="1125"/>
    </row>
    <row r="20" spans="2:114" hidden="1" outlineLevel="1" x14ac:dyDescent="0.25">
      <c r="B20" s="561"/>
      <c r="C20" s="127"/>
      <c r="D20" s="1369" t="s">
        <v>814</v>
      </c>
      <c r="E20" s="1359" t="s">
        <v>808</v>
      </c>
      <c r="F20" s="1526">
        <v>1</v>
      </c>
      <c r="G20" s="2137" t="s">
        <v>809</v>
      </c>
      <c r="H20" s="2137"/>
      <c r="I20" s="1359"/>
      <c r="J20" s="270"/>
      <c r="K20" s="270"/>
      <c r="L20" s="270"/>
      <c r="M20" s="270"/>
      <c r="N20" s="270"/>
      <c r="O20" s="270"/>
      <c r="P20" s="270"/>
      <c r="Q20" s="270"/>
      <c r="V20" s="1973"/>
      <c r="W20" s="177">
        <v>1</v>
      </c>
      <c r="X20" s="177">
        <v>1</v>
      </c>
      <c r="Y20" s="177">
        <v>1</v>
      </c>
      <c r="Z20" s="177">
        <v>1</v>
      </c>
      <c r="AA20" s="177">
        <v>1</v>
      </c>
      <c r="AB20" s="141">
        <v>1</v>
      </c>
      <c r="AC20" s="141">
        <v>1</v>
      </c>
      <c r="AD20" s="141">
        <v>1</v>
      </c>
      <c r="AE20" s="141">
        <v>1</v>
      </c>
      <c r="AF20" s="258">
        <f t="shared" si="1"/>
        <v>1</v>
      </c>
      <c r="AG20" s="342"/>
      <c r="DJ20" s="1125"/>
    </row>
    <row r="21" spans="2:114" hidden="1" outlineLevel="1" x14ac:dyDescent="0.25">
      <c r="B21" s="561"/>
      <c r="C21" s="127"/>
      <c r="D21" s="1978" t="s">
        <v>104</v>
      </c>
      <c r="E21" s="1359" t="s">
        <v>808</v>
      </c>
      <c r="F21" s="1539">
        <v>1</v>
      </c>
      <c r="G21" s="2136" t="s">
        <v>815</v>
      </c>
      <c r="H21" s="2136"/>
      <c r="I21" s="1359"/>
      <c r="J21" s="270"/>
      <c r="K21" s="270"/>
      <c r="L21" s="270"/>
      <c r="M21" s="270"/>
      <c r="N21" s="270"/>
      <c r="O21" s="270"/>
      <c r="P21" s="270"/>
      <c r="Q21" s="270"/>
      <c r="V21" s="1974"/>
      <c r="W21" s="300">
        <v>0.47</v>
      </c>
      <c r="X21" s="1389">
        <v>1</v>
      </c>
      <c r="Y21" s="1389">
        <v>1</v>
      </c>
      <c r="Z21" s="300">
        <v>1</v>
      </c>
      <c r="AA21" s="300">
        <v>1</v>
      </c>
      <c r="AB21" s="141">
        <v>1</v>
      </c>
      <c r="AC21" s="141">
        <v>1</v>
      </c>
      <c r="AD21" s="141">
        <v>1</v>
      </c>
      <c r="AE21" s="141">
        <v>1</v>
      </c>
      <c r="AF21" s="258">
        <f t="shared" si="1"/>
        <v>1</v>
      </c>
      <c r="AG21" s="342"/>
      <c r="DJ21" s="1125"/>
    </row>
    <row r="22" spans="2:114" hidden="1" outlineLevel="1" x14ac:dyDescent="0.25">
      <c r="B22" s="561"/>
      <c r="C22" s="127"/>
      <c r="D22" s="1980" t="s">
        <v>742</v>
      </c>
      <c r="E22" s="1359" t="s">
        <v>808</v>
      </c>
      <c r="F22" s="1513">
        <v>1</v>
      </c>
      <c r="G22" s="2137" t="s">
        <v>809</v>
      </c>
      <c r="H22" s="2137"/>
      <c r="I22" s="1359"/>
      <c r="J22" s="270"/>
      <c r="K22" s="270"/>
      <c r="L22" s="270"/>
      <c r="M22" s="270"/>
      <c r="N22" s="270"/>
      <c r="O22" s="270"/>
      <c r="P22" s="270"/>
      <c r="Q22" s="270"/>
      <c r="V22" s="1321"/>
      <c r="W22" s="300" t="e">
        <f>#REF!</f>
        <v>#REF!</v>
      </c>
      <c r="X22" s="1389">
        <v>1</v>
      </c>
      <c r="Y22" s="1389">
        <v>1</v>
      </c>
      <c r="Z22" s="300">
        <v>1</v>
      </c>
      <c r="AA22" s="300">
        <v>1</v>
      </c>
      <c r="AB22" s="141">
        <v>1</v>
      </c>
      <c r="AC22" s="141">
        <v>1</v>
      </c>
      <c r="AD22" s="141">
        <v>1</v>
      </c>
      <c r="AE22" s="141">
        <v>1</v>
      </c>
      <c r="AF22" s="258">
        <f t="shared" si="1"/>
        <v>1</v>
      </c>
      <c r="AG22" s="342"/>
      <c r="DJ22" s="1125"/>
    </row>
    <row r="23" spans="2:114" ht="14.45" hidden="1" customHeight="1" outlineLevel="1" x14ac:dyDescent="0.25">
      <c r="B23" s="561"/>
      <c r="C23" s="127"/>
      <c r="D23" s="1980" t="s">
        <v>816</v>
      </c>
      <c r="E23" s="1359" t="s">
        <v>751</v>
      </c>
      <c r="F23" s="1538">
        <v>869</v>
      </c>
      <c r="G23" s="2136" t="s">
        <v>817</v>
      </c>
      <c r="H23" s="2136"/>
      <c r="I23" s="1359"/>
      <c r="J23" s="270"/>
      <c r="K23" s="270"/>
      <c r="L23" s="270"/>
      <c r="M23" s="588"/>
      <c r="N23" s="270"/>
      <c r="O23" s="270"/>
      <c r="P23" s="270"/>
      <c r="Q23" s="270"/>
      <c r="V23" s="1321" t="str">
        <f>D23</f>
        <v>EFLHcool</v>
      </c>
      <c r="W23" s="266">
        <v>869</v>
      </c>
      <c r="X23" s="430">
        <v>869</v>
      </c>
      <c r="Y23" s="430">
        <v>869</v>
      </c>
      <c r="Z23" s="430">
        <v>869</v>
      </c>
      <c r="AA23" s="430">
        <v>869</v>
      </c>
      <c r="AB23" s="324">
        <v>869</v>
      </c>
      <c r="AC23" s="324">
        <v>869</v>
      </c>
      <c r="AD23" s="324">
        <v>869</v>
      </c>
      <c r="AE23" s="324">
        <v>869</v>
      </c>
      <c r="AF23" s="258">
        <f t="shared" si="1"/>
        <v>869</v>
      </c>
      <c r="AG23" s="342"/>
      <c r="DJ23" s="1125"/>
    </row>
    <row r="24" spans="2:114" hidden="1" outlineLevel="1" x14ac:dyDescent="0.25">
      <c r="B24" s="561"/>
      <c r="C24" s="127"/>
      <c r="D24" s="122" t="s">
        <v>791</v>
      </c>
      <c r="E24" s="1359" t="s">
        <v>792</v>
      </c>
      <c r="F24" s="1538">
        <v>5</v>
      </c>
      <c r="G24" s="2138" t="s">
        <v>818</v>
      </c>
      <c r="H24" s="2138"/>
      <c r="I24" s="1359"/>
      <c r="J24" s="270"/>
      <c r="K24" s="270"/>
      <c r="L24" s="270"/>
      <c r="M24" s="588"/>
      <c r="N24" s="270"/>
      <c r="O24" s="270"/>
      <c r="P24" s="270"/>
      <c r="Q24" s="270"/>
      <c r="V24" s="122" t="str">
        <f>D24</f>
        <v xml:space="preserve">EUL </v>
      </c>
      <c r="W24" s="128">
        <v>14</v>
      </c>
      <c r="X24" s="128">
        <v>14</v>
      </c>
      <c r="Y24" s="128">
        <v>14</v>
      </c>
      <c r="Z24" s="128">
        <v>14</v>
      </c>
      <c r="AA24" s="128">
        <v>14</v>
      </c>
      <c r="AB24" s="323">
        <v>14</v>
      </c>
      <c r="AC24" s="323">
        <v>14</v>
      </c>
      <c r="AD24" s="323">
        <v>14</v>
      </c>
      <c r="AE24" s="323">
        <v>14</v>
      </c>
      <c r="AF24" s="258">
        <f t="shared" si="1"/>
        <v>5</v>
      </c>
      <c r="AG24" s="128"/>
      <c r="DJ24" s="1125"/>
    </row>
    <row r="25" spans="2:114" hidden="1" outlineLevel="1" x14ac:dyDescent="0.25">
      <c r="B25" s="561"/>
      <c r="C25" s="127"/>
      <c r="D25" s="1321" t="s">
        <v>50</v>
      </c>
      <c r="E25" s="1359" t="s">
        <v>819</v>
      </c>
      <c r="F25" s="1511">
        <v>5</v>
      </c>
      <c r="G25" s="2138"/>
      <c r="H25" s="2138"/>
      <c r="I25" s="1359"/>
      <c r="J25" s="270"/>
      <c r="K25" s="270"/>
      <c r="L25" s="270"/>
      <c r="M25" s="588"/>
      <c r="N25" s="270"/>
      <c r="O25" s="270"/>
      <c r="P25" s="270"/>
      <c r="Q25" s="270"/>
      <c r="V25" s="1321" t="str">
        <f>D25</f>
        <v>Inc. Cost</v>
      </c>
      <c r="W25" s="129">
        <v>5</v>
      </c>
      <c r="X25" s="129">
        <v>5</v>
      </c>
      <c r="Y25" s="129">
        <v>5</v>
      </c>
      <c r="Z25" s="129">
        <v>5</v>
      </c>
      <c r="AA25" s="129">
        <v>5</v>
      </c>
      <c r="AB25" s="710">
        <v>5</v>
      </c>
      <c r="AC25" s="710">
        <v>5</v>
      </c>
      <c r="AD25" s="710">
        <v>5</v>
      </c>
      <c r="AE25" s="710">
        <v>5</v>
      </c>
      <c r="AF25" s="258">
        <f t="shared" si="1"/>
        <v>5</v>
      </c>
      <c r="AG25" s="130"/>
      <c r="DJ25" s="1125"/>
    </row>
    <row r="26" spans="2:114" hidden="1" outlineLevel="1" x14ac:dyDescent="0.25">
      <c r="B26" s="561"/>
      <c r="C26" s="127"/>
      <c r="D26" s="1321" t="s">
        <v>820</v>
      </c>
      <c r="E26" s="1359" t="s">
        <v>821</v>
      </c>
      <c r="F26" s="1540" t="s">
        <v>822</v>
      </c>
      <c r="G26" s="2138"/>
      <c r="H26" s="2138"/>
      <c r="I26" s="1359"/>
      <c r="J26" s="270"/>
      <c r="K26" s="270"/>
      <c r="L26" s="270"/>
      <c r="M26" s="588"/>
      <c r="N26" s="270"/>
      <c r="O26" s="270"/>
      <c r="P26" s="270"/>
      <c r="Q26" s="270"/>
      <c r="V26" s="1321" t="str">
        <f>D26</f>
        <v>P</v>
      </c>
      <c r="W26" s="128" t="s">
        <v>822</v>
      </c>
      <c r="X26" s="128" t="s">
        <v>822</v>
      </c>
      <c r="Y26" s="128" t="s">
        <v>822</v>
      </c>
      <c r="Z26" s="128" t="s">
        <v>822</v>
      </c>
      <c r="AA26" s="128" t="s">
        <v>822</v>
      </c>
      <c r="AB26" s="710" t="s">
        <v>822</v>
      </c>
      <c r="AC26" s="710" t="s">
        <v>822</v>
      </c>
      <c r="AD26" s="710" t="s">
        <v>822</v>
      </c>
      <c r="AE26" s="710" t="s">
        <v>822</v>
      </c>
      <c r="AF26" s="258" t="str">
        <f t="shared" si="1"/>
        <v>None</v>
      </c>
      <c r="AG26" s="128"/>
      <c r="DJ26" s="1125"/>
    </row>
    <row r="27" spans="2:114" collapsed="1" x14ac:dyDescent="0.25">
      <c r="B27" s="561"/>
      <c r="C27" s="127"/>
      <c r="D27" s="127"/>
      <c r="E27" s="588"/>
      <c r="F27" s="270"/>
      <c r="G27" s="270"/>
      <c r="H27" s="270"/>
      <c r="I27" s="270"/>
      <c r="J27" s="270"/>
      <c r="K27" s="270"/>
      <c r="L27" s="270"/>
      <c r="M27" s="588"/>
      <c r="N27" s="270"/>
      <c r="O27" s="270"/>
      <c r="P27" s="270"/>
      <c r="Q27" s="270"/>
    </row>
    <row r="28" spans="2:114" x14ac:dyDescent="0.25">
      <c r="B28" s="2103" t="s">
        <v>823</v>
      </c>
      <c r="C28" s="2104"/>
      <c r="D28" s="2104"/>
      <c r="E28" s="2104"/>
      <c r="F28" s="2104"/>
      <c r="G28" s="2104"/>
      <c r="H28" s="2104"/>
      <c r="I28" s="2074"/>
      <c r="J28" s="2074"/>
      <c r="K28" s="2074"/>
      <c r="L28" s="2074"/>
      <c r="M28" s="2074"/>
      <c r="N28" s="2075"/>
      <c r="O28" s="270"/>
      <c r="P28" s="270"/>
      <c r="Q28" s="270"/>
      <c r="V28" s="2103" t="str">
        <f>B28</f>
        <v xml:space="preserve">LEDs (per bulb) </v>
      </c>
      <c r="W28" s="2104"/>
      <c r="X28" s="2104"/>
      <c r="Y28" s="2104"/>
      <c r="Z28" s="2104"/>
      <c r="AA28" s="2104"/>
      <c r="AB28" s="2104"/>
      <c r="AC28" s="2106"/>
      <c r="AD28" s="2106"/>
      <c r="AE28" s="2106"/>
      <c r="AF28" s="2106"/>
      <c r="AG28" s="2106"/>
      <c r="AH28" s="2107"/>
    </row>
    <row r="29" spans="2:114" x14ac:dyDescent="0.25">
      <c r="M29" s="588"/>
      <c r="N29" s="270"/>
      <c r="O29" s="270"/>
      <c r="P29" s="270"/>
      <c r="Q29" s="270"/>
    </row>
    <row r="30" spans="2:114" ht="30" x14ac:dyDescent="0.25">
      <c r="C30" s="1300" t="s">
        <v>42</v>
      </c>
      <c r="D30" s="1300" t="s">
        <v>594</v>
      </c>
      <c r="E30" s="106" t="s">
        <v>44</v>
      </c>
      <c r="F30" s="1300" t="s">
        <v>45</v>
      </c>
      <c r="G30" s="106" t="s">
        <v>46</v>
      </c>
      <c r="H30" s="106" t="s">
        <v>47</v>
      </c>
      <c r="I30" s="106" t="s">
        <v>48</v>
      </c>
      <c r="J30" s="106" t="s">
        <v>49</v>
      </c>
      <c r="K30" s="106" t="s">
        <v>50</v>
      </c>
      <c r="L30" s="1300" t="s">
        <v>51</v>
      </c>
      <c r="M30" s="588"/>
      <c r="N30" s="270"/>
      <c r="O30" s="270"/>
      <c r="P30" s="270"/>
      <c r="Q30" s="270"/>
      <c r="V30" s="165" t="s">
        <v>52</v>
      </c>
      <c r="W30" s="110">
        <f>$W$6</f>
        <v>43252</v>
      </c>
      <c r="X30" s="110">
        <f>$X$6</f>
        <v>43465</v>
      </c>
      <c r="Y30" s="110">
        <f>$Y$6</f>
        <v>43800</v>
      </c>
      <c r="Z30" s="110">
        <f>$Z$6</f>
        <v>43862</v>
      </c>
      <c r="AA30" s="110">
        <f>$AA$6</f>
        <v>44013</v>
      </c>
      <c r="AB30" s="110">
        <f>$AB$6</f>
        <v>44166</v>
      </c>
      <c r="AC30" s="649">
        <f>$AC$6</f>
        <v>44531</v>
      </c>
      <c r="AD30" s="649">
        <f>$AD$6</f>
        <v>44774</v>
      </c>
      <c r="AE30" s="649">
        <f>$AE$6</f>
        <v>45139</v>
      </c>
      <c r="AF30" s="649">
        <f>$AF$6</f>
        <v>45672</v>
      </c>
      <c r="AG30" s="649" t="str">
        <f>$AG$6</f>
        <v>-</v>
      </c>
      <c r="DG30" s="776" t="str">
        <f>$DG$6</f>
        <v>TRC (2025)</v>
      </c>
      <c r="DH30" s="776" t="str">
        <f>$DH$6</f>
        <v>Benefit Lookup</v>
      </c>
      <c r="DI30" s="1035" t="str">
        <f>$DI$6</f>
        <v>Benefits (2025 $)</v>
      </c>
      <c r="DJ30" s="1060" t="str">
        <f>$DJ$6</f>
        <v>Incremental Cost (2025 $)</v>
      </c>
    </row>
    <row r="31" spans="2:114" x14ac:dyDescent="0.25">
      <c r="B31" s="1384">
        <f t="shared" ref="B31" si="2">VALUE(LEFT(C31,6))</f>
        <v>300431</v>
      </c>
      <c r="C31" s="562" t="s">
        <v>824</v>
      </c>
      <c r="D31" s="134" t="s">
        <v>825</v>
      </c>
      <c r="E31" s="1306" t="s">
        <v>826</v>
      </c>
      <c r="F31" s="131">
        <f>ROUND((($G$38-$G$39)*$G$45*(1-$G$44)*$G$40*$G$42)/$G$41,2)</f>
        <v>30.06</v>
      </c>
      <c r="G31" s="1295" t="s">
        <v>766</v>
      </c>
      <c r="H31" s="1889">
        <f>VLOOKUP(G31,'CP FACTORS'!$A$3:$B$38, 2, FALSE)</f>
        <v>1.4925290000000001E-4</v>
      </c>
      <c r="I31" s="133">
        <f t="shared" ref="I31" si="3">ROUND(F31*H31,6)</f>
        <v>4.4869999999999997E-3</v>
      </c>
      <c r="J31" s="44">
        <f>$G$46</f>
        <v>8</v>
      </c>
      <c r="K31" s="194">
        <f>$G$47</f>
        <v>1.45</v>
      </c>
      <c r="L31" s="134" t="s">
        <v>62</v>
      </c>
      <c r="M31" s="270"/>
      <c r="N31" s="270"/>
      <c r="O31" s="270"/>
      <c r="P31" s="270"/>
      <c r="Q31" s="270"/>
      <c r="R31" s="521"/>
      <c r="V31" s="656" t="s">
        <v>45</v>
      </c>
      <c r="W31" s="1483"/>
      <c r="X31" s="57"/>
      <c r="Y31" s="131"/>
      <c r="Z31" s="378"/>
      <c r="AA31" s="378"/>
      <c r="AB31" s="135"/>
      <c r="AC31" s="135"/>
      <c r="AD31" s="131"/>
      <c r="AE31" s="131"/>
      <c r="AF31" s="258">
        <f t="shared" ref="AF31" si="4">IF(F31&lt;&gt;"",F31,"")</f>
        <v>30.06</v>
      </c>
      <c r="AG31" s="342"/>
      <c r="AH31" s="115"/>
      <c r="DG31" s="189">
        <f>(DI31)/(DJ31)</f>
        <v>8.274709370539421</v>
      </c>
      <c r="DH31" s="1330" t="str">
        <f>CONCATENATE(G31," ",J31," Year EUL")</f>
        <v>Lighting RES 8 Year EUL</v>
      </c>
      <c r="DI31" s="1056">
        <f>(INDEX('Avoided Cost Benefits'!$B$4:$B$865,MATCH(DH31,'Avoided Cost Benefits'!$A$4:$A$865,0)))*F31</f>
        <v>11.99832858728216</v>
      </c>
      <c r="DJ31" s="1946">
        <f t="shared" ref="DJ31" si="5">IFERROR(K31/((1+DiscountRate)^(CurrentYear-DiscountYear)),0)</f>
        <v>1.45</v>
      </c>
    </row>
    <row r="33" spans="2:34" hidden="1" outlineLevel="1" x14ac:dyDescent="0.25">
      <c r="D33" s="74" t="s">
        <v>94</v>
      </c>
      <c r="E33" s="127" t="s">
        <v>771</v>
      </c>
      <c r="F33" s="1200"/>
      <c r="G33" s="530"/>
    </row>
    <row r="34" spans="2:34" hidden="1" outlineLevel="1" x14ac:dyDescent="0.25">
      <c r="D34" s="100" t="s">
        <v>604</v>
      </c>
      <c r="E34" s="50" t="s">
        <v>768</v>
      </c>
    </row>
    <row r="35" spans="2:34" hidden="1" outlineLevel="1" x14ac:dyDescent="0.25">
      <c r="E35" s="50" t="s">
        <v>607</v>
      </c>
    </row>
    <row r="36" spans="2:34" hidden="1" outlineLevel="1" x14ac:dyDescent="0.25"/>
    <row r="37" spans="2:34" hidden="1" outlineLevel="1" x14ac:dyDescent="0.25">
      <c r="D37" s="109" t="s">
        <v>712</v>
      </c>
      <c r="E37" s="743" t="s">
        <v>608</v>
      </c>
      <c r="F37" s="109" t="s">
        <v>769</v>
      </c>
      <c r="G37" s="106" t="s">
        <v>610</v>
      </c>
      <c r="H37" s="106" t="s">
        <v>611</v>
      </c>
      <c r="I37" s="106" t="s">
        <v>612</v>
      </c>
      <c r="M37" s="50"/>
      <c r="V37" s="763" t="s">
        <v>52</v>
      </c>
      <c r="W37" s="1653">
        <f>$W$6</f>
        <v>43252</v>
      </c>
      <c r="X37" s="1653">
        <f>$X$6</f>
        <v>43465</v>
      </c>
      <c r="Y37" s="1653">
        <f>$Y$6</f>
        <v>43800</v>
      </c>
      <c r="Z37" s="1653">
        <f>$Z$6</f>
        <v>43862</v>
      </c>
      <c r="AA37" s="1653">
        <f>$AA$6</f>
        <v>44013</v>
      </c>
      <c r="AB37" s="1653">
        <f>$AB$6</f>
        <v>44166</v>
      </c>
      <c r="AC37" s="1651">
        <f>$AC$6</f>
        <v>44531</v>
      </c>
      <c r="AD37" s="1651">
        <f>$AD$6</f>
        <v>44774</v>
      </c>
      <c r="AE37" s="1651">
        <f>$AE$6</f>
        <v>45139</v>
      </c>
      <c r="AF37" s="1651">
        <f>$AF$6</f>
        <v>45672</v>
      </c>
      <c r="AG37" s="1651" t="str">
        <f>$AG$6</f>
        <v>-</v>
      </c>
      <c r="AH37" s="50"/>
    </row>
    <row r="38" spans="2:34" ht="30" hidden="1" outlineLevel="1" x14ac:dyDescent="0.25">
      <c r="D38" s="1981" t="s">
        <v>827</v>
      </c>
      <c r="E38" s="1981" t="s">
        <v>828</v>
      </c>
      <c r="F38" s="1306" t="str">
        <f>E31</f>
        <v>LED - 10W (750-899 lumens) IE</v>
      </c>
      <c r="G38" s="1649">
        <v>43</v>
      </c>
      <c r="H38" s="1306" t="s">
        <v>771</v>
      </c>
      <c r="I38" s="1306"/>
      <c r="K38" s="531"/>
      <c r="L38" s="531"/>
      <c r="M38" s="50"/>
      <c r="N38" s="169"/>
      <c r="V38" s="1391" t="s">
        <v>827</v>
      </c>
      <c r="W38" s="1484"/>
      <c r="X38" s="1484"/>
      <c r="Y38" s="1484"/>
      <c r="Z38" s="1484"/>
      <c r="AA38" s="1484"/>
      <c r="AB38" s="137"/>
      <c r="AC38" s="136"/>
      <c r="AD38" s="136"/>
      <c r="AE38" s="136"/>
      <c r="AF38" s="258">
        <f t="shared" ref="AF38:AF47" si="6">IF(G38&lt;&gt;"",G38,"")</f>
        <v>43</v>
      </c>
      <c r="AG38" s="1484"/>
    </row>
    <row r="39" spans="2:34" ht="30" hidden="1" outlineLevel="1" x14ac:dyDescent="0.25">
      <c r="D39" s="1981" t="s">
        <v>829</v>
      </c>
      <c r="E39" s="1981" t="s">
        <v>830</v>
      </c>
      <c r="F39" s="1306" t="str">
        <f>E31</f>
        <v>LED - 10W (750-899 lumens) IE</v>
      </c>
      <c r="G39" s="875">
        <v>9.1</v>
      </c>
      <c r="H39" s="1306" t="s">
        <v>774</v>
      </c>
      <c r="I39" s="1374"/>
      <c r="K39" s="143"/>
      <c r="L39" s="143"/>
      <c r="M39" s="50"/>
      <c r="N39" s="169"/>
      <c r="V39" s="1391" t="s">
        <v>829</v>
      </c>
      <c r="W39" s="1484"/>
      <c r="X39" s="1484"/>
      <c r="Y39" s="1484"/>
      <c r="Z39" s="1484"/>
      <c r="AA39" s="1484"/>
      <c r="AB39" s="137"/>
      <c r="AC39" s="136"/>
      <c r="AD39" s="136"/>
      <c r="AE39" s="136"/>
      <c r="AF39" s="258">
        <f t="shared" si="6"/>
        <v>9.1</v>
      </c>
      <c r="AG39" s="1484"/>
    </row>
    <row r="40" spans="2:34" ht="75" hidden="1" outlineLevel="1" x14ac:dyDescent="0.25">
      <c r="D40" s="744" t="s">
        <v>831</v>
      </c>
      <c r="E40" s="1313" t="s">
        <v>832</v>
      </c>
      <c r="F40" s="1314" t="s">
        <v>833</v>
      </c>
      <c r="G40" s="1632">
        <f>2.72652*365</f>
        <v>995.17979999999989</v>
      </c>
      <c r="H40" s="1297" t="s">
        <v>834</v>
      </c>
      <c r="I40" s="1306" t="s">
        <v>835</v>
      </c>
      <c r="K40" s="143"/>
      <c r="L40" s="143"/>
      <c r="M40" s="50"/>
      <c r="N40" s="169"/>
      <c r="V40" s="1314" t="s">
        <v>831</v>
      </c>
      <c r="W40" s="1487">
        <v>2.73</v>
      </c>
      <c r="X40" s="148">
        <v>2.73</v>
      </c>
      <c r="Y40" s="148">
        <v>2.73</v>
      </c>
      <c r="Z40" s="148">
        <v>2.73</v>
      </c>
      <c r="AA40" s="148">
        <v>2.73</v>
      </c>
      <c r="AB40" s="149">
        <v>996.45</v>
      </c>
      <c r="AC40" s="131">
        <v>995.17979999999989</v>
      </c>
      <c r="AD40" s="131">
        <v>995.17979999999989</v>
      </c>
      <c r="AE40" s="131">
        <v>995.17979999999989</v>
      </c>
      <c r="AF40" s="258">
        <f t="shared" si="6"/>
        <v>995.17979999999989</v>
      </c>
      <c r="AG40" s="1487"/>
    </row>
    <row r="41" spans="2:34" ht="30" hidden="1" outlineLevel="1" x14ac:dyDescent="0.25">
      <c r="D41" s="138">
        <v>1000</v>
      </c>
      <c r="E41" s="744" t="s">
        <v>779</v>
      </c>
      <c r="F41" s="138"/>
      <c r="G41" s="1664">
        <v>1000</v>
      </c>
      <c r="H41" s="1306" t="s">
        <v>779</v>
      </c>
      <c r="I41" s="1306"/>
      <c r="K41" s="143"/>
      <c r="L41" s="143"/>
      <c r="M41" s="50"/>
      <c r="N41" s="169"/>
      <c r="V41" s="138">
        <v>1000</v>
      </c>
      <c r="W41" s="1485">
        <v>1000</v>
      </c>
      <c r="X41" s="139">
        <v>1000</v>
      </c>
      <c r="Y41" s="139">
        <v>1000</v>
      </c>
      <c r="Z41" s="139">
        <v>1000</v>
      </c>
      <c r="AA41" s="139">
        <v>1000</v>
      </c>
      <c r="AB41" s="139">
        <v>1000</v>
      </c>
      <c r="AC41" s="139">
        <v>1000</v>
      </c>
      <c r="AD41" s="139">
        <v>1000</v>
      </c>
      <c r="AE41" s="139">
        <v>1000</v>
      </c>
      <c r="AF41" s="258">
        <f t="shared" si="6"/>
        <v>1000</v>
      </c>
      <c r="AG41" s="1485"/>
    </row>
    <row r="42" spans="2:34" ht="75" hidden="1" outlineLevel="1" x14ac:dyDescent="0.25">
      <c r="D42" s="1314" t="s">
        <v>780</v>
      </c>
      <c r="E42" s="744" t="s">
        <v>781</v>
      </c>
      <c r="F42" s="1314"/>
      <c r="G42" s="1631">
        <v>0.99</v>
      </c>
      <c r="H42" s="1306" t="s">
        <v>783</v>
      </c>
      <c r="I42" s="1306" t="s">
        <v>784</v>
      </c>
      <c r="K42" s="143"/>
      <c r="L42" s="143"/>
      <c r="M42" s="50"/>
      <c r="N42" s="169"/>
      <c r="V42" s="1314" t="s">
        <v>780</v>
      </c>
      <c r="W42" s="1390">
        <v>0.97</v>
      </c>
      <c r="X42" s="113">
        <v>0.99</v>
      </c>
      <c r="Y42" s="1295">
        <v>0.99</v>
      </c>
      <c r="Z42" s="1295">
        <v>0.99</v>
      </c>
      <c r="AA42" s="1295">
        <v>0.99</v>
      </c>
      <c r="AB42" s="1295">
        <v>0.99</v>
      </c>
      <c r="AC42" s="1295">
        <v>0.99</v>
      </c>
      <c r="AD42" s="1295">
        <v>0.99</v>
      </c>
      <c r="AE42" s="1295">
        <v>0.99</v>
      </c>
      <c r="AF42" s="258">
        <f t="shared" si="6"/>
        <v>0.99</v>
      </c>
      <c r="AG42" s="1390"/>
    </row>
    <row r="43" spans="2:34" hidden="1" outlineLevel="1" x14ac:dyDescent="0.25">
      <c r="D43" s="1314" t="s">
        <v>836</v>
      </c>
      <c r="E43" s="744" t="s">
        <v>837</v>
      </c>
      <c r="F43" s="1314"/>
      <c r="G43" s="1665">
        <v>1</v>
      </c>
      <c r="H43" s="1306" t="s">
        <v>838</v>
      </c>
      <c r="I43" s="1306"/>
      <c r="K43" s="143"/>
      <c r="L43" s="143"/>
      <c r="M43" s="50"/>
      <c r="N43" s="169"/>
      <c r="V43" s="1314" t="s">
        <v>836</v>
      </c>
      <c r="W43" s="1486">
        <v>1</v>
      </c>
      <c r="X43" s="1486">
        <v>1</v>
      </c>
      <c r="Y43" s="761">
        <v>1</v>
      </c>
      <c r="Z43" s="761">
        <v>1</v>
      </c>
      <c r="AA43" s="761">
        <v>1</v>
      </c>
      <c r="AB43" s="761">
        <v>1</v>
      </c>
      <c r="AC43" s="761">
        <v>1</v>
      </c>
      <c r="AD43" s="761">
        <v>1</v>
      </c>
      <c r="AE43" s="761">
        <v>1</v>
      </c>
      <c r="AF43" s="258">
        <f t="shared" si="6"/>
        <v>1</v>
      </c>
      <c r="AG43" s="1486"/>
    </row>
    <row r="44" spans="2:34" ht="30" hidden="1" outlineLevel="1" x14ac:dyDescent="0.25">
      <c r="D44" s="1972" t="s">
        <v>785</v>
      </c>
      <c r="E44" s="1981" t="s">
        <v>786</v>
      </c>
      <c r="F44" s="1314"/>
      <c r="G44" s="1666">
        <v>0</v>
      </c>
      <c r="H44" s="1306" t="s">
        <v>839</v>
      </c>
      <c r="I44" s="1375"/>
      <c r="J44" s="393"/>
      <c r="K44" s="525"/>
      <c r="L44" s="525"/>
      <c r="M44" s="50"/>
      <c r="N44" s="169"/>
      <c r="V44" s="1302"/>
      <c r="W44" s="1486"/>
      <c r="X44" s="140"/>
      <c r="Y44" s="140"/>
      <c r="Z44" s="140"/>
      <c r="AA44" s="140"/>
      <c r="AB44" s="140">
        <v>1</v>
      </c>
      <c r="AC44" s="761">
        <v>0</v>
      </c>
      <c r="AD44" s="761">
        <v>0</v>
      </c>
      <c r="AE44" s="761">
        <v>0</v>
      </c>
      <c r="AF44" s="258">
        <f t="shared" si="6"/>
        <v>0</v>
      </c>
      <c r="AG44" s="1486"/>
    </row>
    <row r="45" spans="2:34" ht="30" hidden="1" outlineLevel="1" x14ac:dyDescent="0.25">
      <c r="D45" s="1981" t="s">
        <v>104</v>
      </c>
      <c r="E45" s="1981" t="s">
        <v>679</v>
      </c>
      <c r="F45" s="1314"/>
      <c r="G45" s="1519">
        <v>0.9</v>
      </c>
      <c r="H45" s="1306" t="s">
        <v>839</v>
      </c>
      <c r="I45" s="1306"/>
      <c r="J45" s="525"/>
      <c r="K45" s="525"/>
      <c r="L45" s="525"/>
      <c r="M45" s="50"/>
      <c r="N45" s="169"/>
      <c r="V45" s="1302"/>
      <c r="W45" s="292"/>
      <c r="X45" s="142"/>
      <c r="Y45" s="142"/>
      <c r="Z45" s="142"/>
      <c r="AA45" s="142"/>
      <c r="AB45" s="142">
        <v>0.9</v>
      </c>
      <c r="AC45" s="141">
        <v>0.9</v>
      </c>
      <c r="AD45" s="141">
        <v>0.9</v>
      </c>
      <c r="AE45" s="141">
        <v>0.9</v>
      </c>
      <c r="AF45" s="258">
        <f t="shared" si="6"/>
        <v>0.9</v>
      </c>
      <c r="AG45" s="292"/>
    </row>
    <row r="46" spans="2:34" ht="31.5" hidden="1" customHeight="1" outlineLevel="1" x14ac:dyDescent="0.25">
      <c r="B46" s="561"/>
      <c r="C46" s="127"/>
      <c r="D46" s="1369" t="s">
        <v>791</v>
      </c>
      <c r="E46" s="1369" t="s">
        <v>792</v>
      </c>
      <c r="F46" s="1314" t="s">
        <v>840</v>
      </c>
      <c r="G46" s="1538">
        <v>8</v>
      </c>
      <c r="H46" s="338" t="s">
        <v>841</v>
      </c>
      <c r="I46" s="1359"/>
      <c r="J46" s="525"/>
      <c r="K46" s="270"/>
      <c r="L46" s="270"/>
      <c r="M46" s="588"/>
      <c r="N46" s="270"/>
      <c r="O46" s="270"/>
      <c r="P46" s="270"/>
      <c r="Q46" s="270"/>
      <c r="V46" s="1970"/>
      <c r="W46" s="128"/>
      <c r="X46" s="128"/>
      <c r="Y46" s="128"/>
      <c r="Z46" s="128"/>
      <c r="AA46" s="128"/>
      <c r="AB46" s="128"/>
      <c r="AC46" s="128"/>
      <c r="AD46" s="128"/>
      <c r="AE46" s="128"/>
      <c r="AF46" s="258">
        <f t="shared" si="6"/>
        <v>8</v>
      </c>
      <c r="AG46" s="128"/>
    </row>
    <row r="47" spans="2:34" ht="27.6" hidden="1" customHeight="1" outlineLevel="1" x14ac:dyDescent="0.25">
      <c r="B47" s="561"/>
      <c r="C47" s="127"/>
      <c r="D47" s="1982" t="s">
        <v>50</v>
      </c>
      <c r="E47" s="1982" t="s">
        <v>682</v>
      </c>
      <c r="F47" s="1314" t="s">
        <v>840</v>
      </c>
      <c r="G47" s="1893">
        <v>1.45</v>
      </c>
      <c r="H47" s="1336" t="s">
        <v>794</v>
      </c>
      <c r="I47" s="1359"/>
      <c r="J47" s="525"/>
      <c r="K47" s="270"/>
      <c r="L47" s="270"/>
      <c r="M47" s="588"/>
      <c r="N47" s="270"/>
      <c r="O47" s="270"/>
      <c r="P47" s="270"/>
      <c r="Q47" s="270"/>
      <c r="V47" s="1320" t="str">
        <f>D47</f>
        <v>Inc. Cost</v>
      </c>
      <c r="W47" s="128"/>
      <c r="X47" s="128"/>
      <c r="Y47" s="128"/>
      <c r="Z47" s="128"/>
      <c r="AA47" s="128"/>
      <c r="AB47" s="128"/>
      <c r="AC47" s="160"/>
      <c r="AD47" s="128"/>
      <c r="AE47" s="128"/>
      <c r="AF47" s="258">
        <f t="shared" si="6"/>
        <v>1.45</v>
      </c>
      <c r="AG47" s="128"/>
    </row>
    <row r="48" spans="2:34" collapsed="1" x14ac:dyDescent="0.25">
      <c r="D48" s="143"/>
      <c r="E48" s="531"/>
      <c r="F48" s="532"/>
      <c r="G48" s="143"/>
      <c r="H48" s="533"/>
      <c r="I48" s="525"/>
      <c r="J48" s="525"/>
      <c r="K48" s="525"/>
    </row>
  </sheetData>
  <autoFilter ref="A1:A4816" xr:uid="{00000000-0001-0000-0400-000000000000}"/>
  <mergeCells count="18">
    <mergeCell ref="G23:H23"/>
    <mergeCell ref="B28:N28"/>
    <mergeCell ref="V28:AH28"/>
    <mergeCell ref="G22:H22"/>
    <mergeCell ref="G24:H24"/>
    <mergeCell ref="G25:H25"/>
    <mergeCell ref="G26:H26"/>
    <mergeCell ref="G19:H19"/>
    <mergeCell ref="G18:H18"/>
    <mergeCell ref="G17:H17"/>
    <mergeCell ref="G16:H16"/>
    <mergeCell ref="G21:H21"/>
    <mergeCell ref="G20:H20"/>
    <mergeCell ref="V4:AH4"/>
    <mergeCell ref="A1:O1"/>
    <mergeCell ref="D2:J2"/>
    <mergeCell ref="B4:N4"/>
    <mergeCell ref="G15:H15"/>
  </mergeCells>
  <phoneticPr fontId="67" type="noConversion"/>
  <conditionalFormatting sqref="B1:B6 D7:D8 B8:B30 D33 B33:B1048576">
    <cfRule type="cellIs" dxfId="109" priority="129" operator="equal">
      <formula>"x"</formula>
    </cfRule>
  </conditionalFormatting>
  <conditionalFormatting sqref="AF7 AF16:AF26 AF31 AF38:AF47">
    <cfRule type="expression" dxfId="108" priority="66">
      <formula>AND(AF7=AE7,AE7&lt;&gt;"")</formula>
    </cfRule>
    <cfRule type="expression" dxfId="107" priority="67">
      <formula>AF7&lt;&gt;AE7</formula>
    </cfRule>
  </conditionalFormatting>
  <conditionalFormatting sqref="AH7 AH31">
    <cfRule type="cellIs" dxfId="106" priority="145" operator="lessThan">
      <formula>-0.1</formula>
    </cfRule>
    <cfRule type="cellIs" dxfId="105" priority="146" operator="greaterThan">
      <formula>0.1</formula>
    </cfRule>
  </conditionalFormatting>
  <pageMargins left="0.7" right="0.7" top="0.75" bottom="0.75" header="0.3" footer="0.3"/>
  <pageSetup scale="46" fitToHeight="0"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59633-AAC4-4F6E-842F-616C6FF0139E}">
  <sheetPr codeName="Sheet15">
    <tabColor rgb="FFFF9999"/>
  </sheetPr>
  <dimension ref="A1:DJ5260"/>
  <sheetViews>
    <sheetView zoomScale="70" zoomScaleNormal="70" workbookViewId="0">
      <selection sqref="A1:P1"/>
    </sheetView>
  </sheetViews>
  <sheetFormatPr defaultColWidth="8.7109375" defaultRowHeight="15" outlineLevelRow="1" x14ac:dyDescent="0.25"/>
  <cols>
    <col min="1" max="1" width="8.7109375" style="1071"/>
    <col min="2" max="2" width="8.7109375" style="531"/>
    <col min="3" max="3" width="17.7109375" style="531" customWidth="1"/>
    <col min="4" max="4" width="20.28515625" style="531" customWidth="1"/>
    <col min="5" max="5" width="64.28515625" style="531" customWidth="1"/>
    <col min="6" max="6" width="14.5703125" style="531" customWidth="1"/>
    <col min="7" max="7" width="19.42578125" style="531" customWidth="1"/>
    <col min="8" max="8" width="19.140625" style="531" bestFit="1" customWidth="1"/>
    <col min="9" max="9" width="15.5703125" style="531" customWidth="1"/>
    <col min="10" max="10" width="13.7109375" style="531" customWidth="1"/>
    <col min="11" max="11" width="15.7109375" style="531" customWidth="1"/>
    <col min="12" max="12" width="12.5703125" style="531" customWidth="1"/>
    <col min="13" max="13" width="13.5703125" style="531" customWidth="1"/>
    <col min="14" max="15" width="9.5703125" style="531" customWidth="1"/>
    <col min="16" max="16" width="7.42578125" style="531" customWidth="1"/>
    <col min="17" max="17" width="7.7109375" style="531" customWidth="1"/>
    <col min="18" max="18" width="9.28515625" style="531" customWidth="1"/>
    <col min="19" max="19" width="9.7109375" style="531" customWidth="1"/>
    <col min="20" max="21" width="8.7109375" style="1071"/>
    <col min="22" max="22" width="18.42578125" style="531" customWidth="1"/>
    <col min="23" max="23" width="10.7109375" style="1071" bestFit="1" customWidth="1"/>
    <col min="24" max="25" width="16.7109375" style="1071" bestFit="1" customWidth="1"/>
    <col min="26" max="26" width="15.42578125" style="1071" bestFit="1" customWidth="1"/>
    <col min="27" max="27" width="10" style="1071" bestFit="1" customWidth="1"/>
    <col min="28" max="29" width="16.7109375" style="1071" bestFit="1" customWidth="1"/>
    <col min="30" max="31" width="13.42578125" style="1071" bestFit="1" customWidth="1"/>
    <col min="32" max="32" width="20.5703125" style="1071" customWidth="1"/>
    <col min="33" max="110" width="8.7109375" style="1071"/>
    <col min="111" max="111" width="10.28515625" style="1071" bestFit="1" customWidth="1"/>
    <col min="112" max="112" width="31.28515625" style="1071" customWidth="1"/>
    <col min="113" max="113" width="9" style="1071" bestFit="1" customWidth="1"/>
    <col min="114" max="114" width="12.42578125" style="1131" customWidth="1"/>
    <col min="115" max="16384" width="8.7109375" style="1071"/>
  </cols>
  <sheetData>
    <row r="1" spans="1:114" s="1095" customFormat="1" ht="17.649999999999999" customHeight="1" x14ac:dyDescent="0.25">
      <c r="A1" s="2098" t="s">
        <v>842</v>
      </c>
      <c r="B1" s="2099"/>
      <c r="C1" s="2100"/>
      <c r="D1" s="2099"/>
      <c r="E1" s="2099"/>
      <c r="F1" s="2099"/>
      <c r="G1" s="2099"/>
      <c r="H1" s="2099"/>
      <c r="I1" s="2099"/>
      <c r="J1" s="2099"/>
      <c r="K1" s="2099"/>
      <c r="L1" s="2099"/>
      <c r="M1" s="2099"/>
      <c r="N1" s="2099"/>
      <c r="O1" s="2099"/>
      <c r="P1" s="2099"/>
      <c r="Q1" s="2146"/>
      <c r="R1" s="2147"/>
      <c r="S1" s="2147"/>
      <c r="T1" s="1096"/>
      <c r="U1" s="1096"/>
      <c r="V1" s="1101"/>
      <c r="W1" s="1098"/>
      <c r="X1" s="1098"/>
      <c r="Y1" s="1097"/>
      <c r="Z1" s="1097"/>
      <c r="AA1" s="1097"/>
      <c r="AB1" s="1097"/>
      <c r="AC1" s="1097"/>
      <c r="AD1" s="1097"/>
      <c r="AE1" s="1097"/>
      <c r="AF1" s="1097"/>
      <c r="AG1" s="1097"/>
      <c r="AH1" s="1097"/>
      <c r="DJ1" s="1129"/>
    </row>
    <row r="2" spans="1:114" s="1095" customFormat="1" hidden="1" outlineLevel="1" x14ac:dyDescent="0.25">
      <c r="A2" s="1096"/>
      <c r="B2" s="1202"/>
      <c r="C2" s="1203"/>
      <c r="D2" s="2139" t="s">
        <v>843</v>
      </c>
      <c r="E2" s="2102"/>
      <c r="F2" s="2102"/>
      <c r="G2" s="2102"/>
      <c r="H2" s="2102"/>
      <c r="I2" s="2102"/>
      <c r="J2" s="2102"/>
      <c r="K2" s="251"/>
      <c r="L2" s="251"/>
      <c r="M2" s="1096"/>
      <c r="N2" s="1096"/>
      <c r="O2" s="1096"/>
      <c r="P2" s="1096"/>
      <c r="Q2" s="1096"/>
      <c r="R2" s="1096"/>
      <c r="S2" s="1096"/>
      <c r="T2" s="1096"/>
      <c r="U2" s="1096"/>
      <c r="V2" s="1096"/>
      <c r="DJ2" s="1129"/>
    </row>
    <row r="3" spans="1:114" s="1095" customFormat="1" collapsed="1" x14ac:dyDescent="0.25">
      <c r="A3" s="1096"/>
      <c r="B3" s="1096"/>
      <c r="C3" s="1204"/>
      <c r="D3" s="1204"/>
      <c r="E3" s="1204"/>
      <c r="F3" s="1204"/>
      <c r="G3" s="1204"/>
      <c r="H3" s="1204"/>
      <c r="I3" s="1204"/>
      <c r="J3" s="1204"/>
      <c r="K3" s="1096"/>
      <c r="L3" s="1096"/>
      <c r="M3" s="1096"/>
      <c r="N3" s="1096"/>
      <c r="O3" s="1096"/>
      <c r="P3" s="1096"/>
      <c r="Q3" s="1096"/>
      <c r="R3" s="1096"/>
      <c r="S3" s="1096"/>
      <c r="T3" s="1096"/>
      <c r="U3" s="1096"/>
      <c r="V3" s="1096"/>
      <c r="DJ3" s="1129"/>
    </row>
    <row r="4" spans="1:114" s="2005" customFormat="1" x14ac:dyDescent="0.25">
      <c r="A4" s="531"/>
      <c r="B4" s="2142" t="s">
        <v>844</v>
      </c>
      <c r="C4" s="2143"/>
      <c r="D4" s="2143"/>
      <c r="E4" s="2143"/>
      <c r="F4" s="2143"/>
      <c r="G4" s="2143"/>
      <c r="H4" s="2143"/>
      <c r="I4" s="2144"/>
      <c r="J4" s="2144"/>
      <c r="K4" s="2144"/>
      <c r="L4" s="2144"/>
      <c r="M4" s="2144"/>
      <c r="N4" s="2144"/>
      <c r="O4" s="2144"/>
      <c r="P4" s="2144"/>
      <c r="Q4" s="2144"/>
      <c r="R4" s="2144"/>
      <c r="S4" s="2145"/>
      <c r="T4" s="531"/>
      <c r="U4" s="531"/>
      <c r="V4" s="2142" t="str">
        <f>B4</f>
        <v>LED Lamp</v>
      </c>
      <c r="W4" s="2143"/>
      <c r="X4" s="2143"/>
      <c r="Y4" s="2143"/>
      <c r="Z4" s="2143"/>
      <c r="AA4" s="2143"/>
      <c r="AB4" s="2143"/>
      <c r="AC4" s="2166"/>
      <c r="AD4" s="2166"/>
      <c r="AE4" s="2166"/>
      <c r="AF4" s="2166"/>
      <c r="AG4" s="2166"/>
      <c r="AH4" s="2166"/>
      <c r="AI4" s="2167"/>
      <c r="DI4" s="2006"/>
      <c r="DJ4" s="1129"/>
    </row>
    <row r="5" spans="1:114" s="2005" customFormat="1" x14ac:dyDescent="0.25">
      <c r="A5" s="531"/>
      <c r="B5" s="2007"/>
      <c r="C5" s="2008"/>
      <c r="D5" s="2007"/>
      <c r="E5" s="2009"/>
      <c r="F5" s="2007"/>
      <c r="G5" s="2007"/>
      <c r="H5" s="2007"/>
      <c r="I5" s="2007"/>
      <c r="J5" s="2007"/>
      <c r="K5" s="2007"/>
      <c r="L5" s="2007"/>
      <c r="M5" s="2007"/>
      <c r="N5" s="2007"/>
      <c r="O5" s="2007"/>
      <c r="P5" s="2007"/>
      <c r="Q5" s="2007"/>
      <c r="R5" s="2007"/>
      <c r="S5" s="2007"/>
      <c r="T5" s="531"/>
      <c r="U5" s="531"/>
      <c r="V5" s="2007"/>
      <c r="W5" s="2010"/>
      <c r="X5" s="2010"/>
      <c r="Y5" s="2010"/>
      <c r="Z5" s="2010"/>
      <c r="AA5" s="2010"/>
      <c r="AB5" s="2010"/>
      <c r="AC5" s="2010"/>
      <c r="AD5" s="2010"/>
      <c r="AE5" s="2010"/>
      <c r="AF5" s="2010"/>
      <c r="AG5" s="2010"/>
      <c r="AH5" s="2010"/>
      <c r="AI5" s="2010"/>
      <c r="DI5" s="2006"/>
      <c r="DJ5" s="1129"/>
    </row>
    <row r="6" spans="1:114" s="2005" customFormat="1" ht="30" x14ac:dyDescent="0.25">
      <c r="A6" s="531"/>
      <c r="B6" s="531"/>
      <c r="C6" s="1300" t="s">
        <v>42</v>
      </c>
      <c r="D6" s="1300" t="s">
        <v>43</v>
      </c>
      <c r="E6" s="1300" t="s">
        <v>845</v>
      </c>
      <c r="F6" s="1300" t="s">
        <v>45</v>
      </c>
      <c r="G6" s="1300" t="s">
        <v>48</v>
      </c>
      <c r="H6" s="1300" t="s">
        <v>846</v>
      </c>
      <c r="I6" s="1300" t="s">
        <v>847</v>
      </c>
      <c r="J6" s="1300" t="s">
        <v>848</v>
      </c>
      <c r="K6" s="1300" t="s">
        <v>849</v>
      </c>
      <c r="L6" s="1300" t="s">
        <v>850</v>
      </c>
      <c r="M6" s="1300" t="s">
        <v>851</v>
      </c>
      <c r="N6" s="1300" t="s">
        <v>852</v>
      </c>
      <c r="O6" s="1300" t="s">
        <v>853</v>
      </c>
      <c r="P6" s="1300" t="s">
        <v>854</v>
      </c>
      <c r="Q6" s="1300" t="s">
        <v>855</v>
      </c>
      <c r="R6" s="1300" t="s">
        <v>50</v>
      </c>
      <c r="S6" s="1300" t="s">
        <v>51</v>
      </c>
      <c r="T6" s="531"/>
      <c r="U6" s="531"/>
      <c r="V6" s="1093" t="s">
        <v>52</v>
      </c>
      <c r="W6" s="1081">
        <v>43252</v>
      </c>
      <c r="X6" s="1081">
        <v>43435</v>
      </c>
      <c r="Y6" s="1081">
        <v>43800</v>
      </c>
      <c r="Z6" s="1081">
        <v>43862</v>
      </c>
      <c r="AA6" s="1081">
        <v>44013</v>
      </c>
      <c r="AB6" s="1081">
        <v>44166</v>
      </c>
      <c r="AC6" s="1081">
        <v>44531</v>
      </c>
      <c r="AD6" s="1081">
        <v>44774</v>
      </c>
      <c r="AE6" s="1081">
        <v>45139</v>
      </c>
      <c r="AF6" s="1081">
        <f>'[1]Deemed Savings Tbl Revision Log'!C17</f>
        <v>45672</v>
      </c>
      <c r="AG6" s="1081" t="s">
        <v>53</v>
      </c>
      <c r="DG6" s="2012" t="s">
        <v>54</v>
      </c>
      <c r="DH6" s="2013" t="s">
        <v>55</v>
      </c>
      <c r="DI6" s="2014" t="s">
        <v>56</v>
      </c>
      <c r="DJ6" s="1130" t="s">
        <v>57</v>
      </c>
    </row>
    <row r="7" spans="1:114" s="2005" customFormat="1" x14ac:dyDescent="0.25">
      <c r="A7" s="531"/>
      <c r="B7" s="1384">
        <f>VALUE(LEFT(C7,6))</f>
        <v>450100</v>
      </c>
      <c r="C7" s="1295" t="s">
        <v>856</v>
      </c>
      <c r="D7" s="1375" t="s">
        <v>857</v>
      </c>
      <c r="E7" s="1306" t="s">
        <v>858</v>
      </c>
      <c r="F7" s="154">
        <f>ROUND(L7+M7,2)</f>
        <v>29.57</v>
      </c>
      <c r="G7" s="43">
        <f>ROUND(((L7/F7)*I7+(M7/F7)*K7)*F7,6)</f>
        <v>4.4140000000000004E-3</v>
      </c>
      <c r="H7" s="1306" t="s">
        <v>766</v>
      </c>
      <c r="I7" s="2015">
        <f>VLOOKUP(H7,'[1]CP FACTORS'!$A$3:$B$38, 2, FALSE)</f>
        <v>1.4925290000000001E-4</v>
      </c>
      <c r="J7" s="1306" t="s">
        <v>61</v>
      </c>
      <c r="K7" s="2015">
        <f>VLOOKUP(J7,'[1]CP FACTORS'!$A$3:$B$38, 2, FALSE)</f>
        <v>1.899635E-4</v>
      </c>
      <c r="L7" s="2025">
        <f>((G19-G20)*$G$29*$G$21*(1-$G$22)*($G$23*$G$24)/1000)</f>
        <v>29.571618480029997</v>
      </c>
      <c r="M7" s="2016">
        <f>((G19-G20)*(1-$G$29)*$G$21*(1-$G$22)*($G$26*$G$27)/1000)</f>
        <v>0</v>
      </c>
      <c r="N7" s="2017">
        <f>L7*I7</f>
        <v>4.4136498158380694E-3</v>
      </c>
      <c r="O7" s="2017">
        <f>M7*K7</f>
        <v>0</v>
      </c>
      <c r="P7" s="44">
        <f>$G$30</f>
        <v>2</v>
      </c>
      <c r="Q7" s="44">
        <f>$G$31</f>
        <v>0</v>
      </c>
      <c r="R7" s="2018">
        <f>$G$32</f>
        <v>1.45</v>
      </c>
      <c r="S7" s="1295" t="s">
        <v>859</v>
      </c>
      <c r="T7" s="531"/>
      <c r="U7" s="531"/>
      <c r="V7" s="744" t="s">
        <v>45</v>
      </c>
      <c r="W7" s="1099"/>
      <c r="X7" s="1099"/>
      <c r="Y7" s="1099"/>
      <c r="Z7" s="1099"/>
      <c r="AA7" s="1099"/>
      <c r="AB7" s="1099"/>
      <c r="AC7" s="1100"/>
      <c r="AD7" s="1100"/>
      <c r="AE7" s="2019">
        <v>8.9</v>
      </c>
      <c r="AF7" s="258">
        <f>IF(F7&lt;&gt;"",F7,"")</f>
        <v>29.57</v>
      </c>
      <c r="AG7" s="2020"/>
      <c r="AH7" s="2021"/>
      <c r="DG7" s="2022">
        <f>(DI7)/(DJ7)</f>
        <v>2.4846833571625995</v>
      </c>
      <c r="DH7" s="1997" t="str">
        <f>CONCATENATE(H7," ",P7," Year EUL")</f>
        <v>Lighting RES 2 Year EUL</v>
      </c>
      <c r="DI7" s="2023">
        <f>(INDEX('[1]Avoided Cost Benefits'!$B$4:$B$865,MATCH(DH7,'[1]Avoided Cost Benefits'!$A$4:$A$865,0)))*F7</f>
        <v>3.6027908678857692</v>
      </c>
      <c r="DJ7" s="2026">
        <f>R7</f>
        <v>1.45</v>
      </c>
    </row>
    <row r="8" spans="1:114" s="2005" customFormat="1" hidden="1" outlineLevel="1" x14ac:dyDescent="0.25">
      <c r="A8" s="531"/>
      <c r="B8" s="531"/>
      <c r="C8" s="553"/>
      <c r="D8" s="71" t="s">
        <v>94</v>
      </c>
      <c r="E8" s="270" t="s">
        <v>860</v>
      </c>
      <c r="F8" s="531"/>
      <c r="G8" s="531"/>
      <c r="H8" s="393"/>
      <c r="I8" s="393"/>
      <c r="J8" s="393"/>
      <c r="K8" s="393"/>
      <c r="L8" s="393"/>
      <c r="M8" s="393"/>
      <c r="N8" s="393"/>
      <c r="O8" s="393"/>
      <c r="P8" s="393"/>
      <c r="Q8" s="531"/>
      <c r="R8" s="393"/>
      <c r="S8" s="143"/>
      <c r="T8" s="531"/>
      <c r="U8" s="2011"/>
      <c r="V8" s="2011"/>
      <c r="DJ8" s="1129"/>
    </row>
    <row r="9" spans="1:114" s="2005" customFormat="1" hidden="1" outlineLevel="1" x14ac:dyDescent="0.25">
      <c r="A9" s="531"/>
      <c r="B9" s="531"/>
      <c r="C9" s="553"/>
      <c r="D9" s="2024" t="s">
        <v>604</v>
      </c>
      <c r="E9" s="50" t="s">
        <v>768</v>
      </c>
      <c r="F9" s="1200"/>
      <c r="G9" s="531"/>
      <c r="H9" s="531"/>
      <c r="I9" s="531"/>
      <c r="J9" s="531"/>
      <c r="K9" s="531"/>
      <c r="L9" s="531"/>
      <c r="M9" s="531"/>
      <c r="N9" s="531"/>
      <c r="O9" s="531"/>
      <c r="P9" s="531"/>
      <c r="Q9" s="531"/>
      <c r="R9" s="531"/>
      <c r="S9" s="531"/>
      <c r="T9" s="531"/>
      <c r="U9" s="531"/>
      <c r="V9" s="531"/>
      <c r="DJ9" s="1129"/>
    </row>
    <row r="10" spans="1:114" s="2005" customFormat="1" hidden="1" outlineLevel="1" x14ac:dyDescent="0.25">
      <c r="A10" s="531"/>
      <c r="B10" s="531"/>
      <c r="C10" s="553"/>
      <c r="D10" s="2024"/>
      <c r="E10" s="50" t="s">
        <v>607</v>
      </c>
      <c r="F10" s="531"/>
      <c r="G10" s="531"/>
      <c r="H10" s="1291"/>
      <c r="I10" s="1291"/>
      <c r="J10" s="1291"/>
      <c r="K10" s="1291"/>
      <c r="L10" s="1291"/>
      <c r="M10" s="531"/>
      <c r="N10" s="531"/>
      <c r="O10" s="531"/>
      <c r="P10" s="531"/>
      <c r="Q10" s="531"/>
      <c r="R10" s="531"/>
      <c r="S10" s="531"/>
      <c r="T10" s="531"/>
      <c r="U10" s="531"/>
      <c r="V10" s="531"/>
      <c r="DJ10" s="1129"/>
    </row>
    <row r="11" spans="1:114" s="2005" customFormat="1" hidden="1" outlineLevel="1" x14ac:dyDescent="0.25">
      <c r="A11" s="531"/>
      <c r="B11" s="531"/>
      <c r="C11" s="553"/>
      <c r="D11" s="531"/>
      <c r="E11" s="531"/>
      <c r="F11" s="531"/>
      <c r="G11" s="531"/>
      <c r="H11" s="531"/>
      <c r="I11" s="531"/>
      <c r="J11" s="531"/>
      <c r="K11" s="531"/>
      <c r="L11" s="531"/>
      <c r="M11" s="531"/>
      <c r="N11" s="531"/>
      <c r="O11" s="531"/>
      <c r="P11" s="531"/>
      <c r="Q11" s="531"/>
      <c r="R11" s="531"/>
      <c r="S11" s="531"/>
      <c r="T11" s="531"/>
      <c r="U11" s="531"/>
      <c r="V11" s="531"/>
      <c r="DJ11" s="1129"/>
    </row>
    <row r="12" spans="1:114" s="2005" customFormat="1" hidden="1" outlineLevel="1" x14ac:dyDescent="0.25">
      <c r="A12" s="531"/>
      <c r="B12" s="531"/>
      <c r="C12" s="553"/>
      <c r="D12" s="531"/>
      <c r="E12" s="531"/>
      <c r="F12" s="531"/>
      <c r="G12" s="531"/>
      <c r="H12" s="531"/>
      <c r="I12" s="531"/>
      <c r="J12" s="531"/>
      <c r="K12" s="531"/>
      <c r="L12" s="531"/>
      <c r="M12" s="531"/>
      <c r="N12" s="531"/>
      <c r="O12" s="531"/>
      <c r="P12" s="531"/>
      <c r="Q12" s="531"/>
      <c r="R12" s="531"/>
      <c r="S12" s="531"/>
      <c r="T12" s="531"/>
      <c r="U12" s="531"/>
      <c r="V12" s="531"/>
      <c r="DJ12" s="1129"/>
    </row>
    <row r="13" spans="1:114" s="2005" customFormat="1" hidden="1" outlineLevel="1" x14ac:dyDescent="0.25">
      <c r="A13" s="531"/>
      <c r="B13" s="531"/>
      <c r="C13" s="553"/>
      <c r="D13" s="531"/>
      <c r="E13" s="531"/>
      <c r="F13" s="531"/>
      <c r="G13" s="531"/>
      <c r="H13" s="531"/>
      <c r="I13" s="531"/>
      <c r="J13" s="531"/>
      <c r="K13" s="531"/>
      <c r="L13" s="531"/>
      <c r="M13" s="531"/>
      <c r="N13" s="531"/>
      <c r="O13" s="531"/>
      <c r="P13" s="531"/>
      <c r="Q13" s="531"/>
      <c r="R13" s="531"/>
      <c r="S13" s="531"/>
      <c r="T13" s="531"/>
      <c r="U13" s="531"/>
      <c r="V13" s="531"/>
      <c r="DJ13" s="1129"/>
    </row>
    <row r="14" spans="1:114" s="2005" customFormat="1" hidden="1" outlineLevel="1" x14ac:dyDescent="0.25">
      <c r="A14" s="531"/>
      <c r="B14" s="531"/>
      <c r="C14" s="553"/>
      <c r="D14" s="531"/>
      <c r="E14" s="531"/>
      <c r="F14" s="531"/>
      <c r="G14" s="531"/>
      <c r="H14" s="531"/>
      <c r="I14" s="531"/>
      <c r="J14" s="531"/>
      <c r="K14" s="531"/>
      <c r="L14" s="531"/>
      <c r="M14" s="531"/>
      <c r="N14" s="531"/>
      <c r="O14" s="531"/>
      <c r="P14" s="531"/>
      <c r="Q14" s="531"/>
      <c r="R14" s="531"/>
      <c r="S14" s="531"/>
      <c r="T14" s="531"/>
      <c r="U14" s="531"/>
      <c r="V14" s="531"/>
      <c r="DJ14" s="1129"/>
    </row>
    <row r="15" spans="1:114" s="2005" customFormat="1" hidden="1" outlineLevel="1" x14ac:dyDescent="0.25">
      <c r="A15" s="531"/>
      <c r="B15" s="531"/>
      <c r="C15" s="553"/>
      <c r="D15" s="531"/>
      <c r="E15" s="531"/>
      <c r="F15" s="531"/>
      <c r="G15" s="531"/>
      <c r="H15" s="531"/>
      <c r="I15" s="531"/>
      <c r="J15" s="531"/>
      <c r="K15" s="531"/>
      <c r="L15" s="531"/>
      <c r="M15" s="531"/>
      <c r="N15" s="531"/>
      <c r="O15" s="531"/>
      <c r="P15" s="531"/>
      <c r="Q15" s="531"/>
      <c r="R15" s="531"/>
      <c r="S15" s="531"/>
      <c r="T15" s="531"/>
      <c r="U15" s="531"/>
      <c r="V15" s="531"/>
      <c r="DJ15" s="1129"/>
    </row>
    <row r="16" spans="1:114" s="2005" customFormat="1" hidden="1" outlineLevel="1" x14ac:dyDescent="0.25">
      <c r="A16" s="531"/>
      <c r="B16" s="531"/>
      <c r="C16" s="553"/>
      <c r="D16" s="531"/>
      <c r="E16" s="531"/>
      <c r="F16" s="531"/>
      <c r="G16" s="531"/>
      <c r="H16" s="531"/>
      <c r="I16" s="531"/>
      <c r="J16" s="531"/>
      <c r="K16" s="531"/>
      <c r="L16" s="531"/>
      <c r="M16" s="531"/>
      <c r="N16" s="531"/>
      <c r="O16" s="531"/>
      <c r="P16" s="531"/>
      <c r="Q16" s="531"/>
      <c r="R16" s="531"/>
      <c r="S16" s="531"/>
      <c r="T16" s="531"/>
      <c r="U16" s="531"/>
      <c r="V16" s="531"/>
      <c r="DJ16" s="1129"/>
    </row>
    <row r="17" spans="1:114" s="2005" customFormat="1" hidden="1" outlineLevel="1" x14ac:dyDescent="0.25">
      <c r="A17" s="531"/>
      <c r="B17" s="531"/>
      <c r="C17" s="553"/>
      <c r="D17" s="531"/>
      <c r="E17" s="531"/>
      <c r="F17" s="531"/>
      <c r="G17" s="531"/>
      <c r="H17" s="531"/>
      <c r="I17" s="531"/>
      <c r="J17" s="531"/>
      <c r="K17" s="531"/>
      <c r="L17" s="531"/>
      <c r="M17" s="531"/>
      <c r="N17" s="531"/>
      <c r="O17" s="531"/>
      <c r="P17" s="531"/>
      <c r="Q17" s="531"/>
      <c r="R17" s="531"/>
      <c r="S17" s="531"/>
      <c r="T17" s="531"/>
      <c r="U17" s="531"/>
      <c r="V17" s="531"/>
      <c r="DJ17" s="1129"/>
    </row>
    <row r="18" spans="1:114" s="2005" customFormat="1" ht="30" hidden="1" outlineLevel="1" x14ac:dyDescent="0.25">
      <c r="A18" s="531"/>
      <c r="B18" s="531"/>
      <c r="C18" s="553"/>
      <c r="D18" s="1361" t="s">
        <v>712</v>
      </c>
      <c r="E18" s="1361" t="s">
        <v>608</v>
      </c>
      <c r="F18" s="1361" t="s">
        <v>98</v>
      </c>
      <c r="G18" s="1361" t="s">
        <v>610</v>
      </c>
      <c r="H18" s="1361" t="str">
        <f>C6</f>
        <v>Measure Reference No.</v>
      </c>
      <c r="I18" s="2168" t="s">
        <v>612</v>
      </c>
      <c r="J18" s="2168"/>
      <c r="K18" s="2168"/>
      <c r="L18" s="2168"/>
      <c r="M18" s="531"/>
      <c r="N18" s="531"/>
      <c r="O18" s="531"/>
      <c r="P18" s="531"/>
      <c r="Q18" s="531"/>
      <c r="R18" s="531"/>
      <c r="S18" s="531"/>
      <c r="T18" s="531"/>
      <c r="U18" s="531"/>
      <c r="V18" s="2027" t="s">
        <v>52</v>
      </c>
      <c r="W18" s="2028">
        <v>43252</v>
      </c>
      <c r="X18" s="2028">
        <f>$Y$6</f>
        <v>43800</v>
      </c>
      <c r="Y18" s="2028">
        <f>$Y$6</f>
        <v>43800</v>
      </c>
      <c r="Z18" s="2028">
        <f>$Z$6</f>
        <v>43862</v>
      </c>
      <c r="AA18" s="2028">
        <f>$AA$6</f>
        <v>44013</v>
      </c>
      <c r="AB18" s="2028">
        <f>$AB$6</f>
        <v>44166</v>
      </c>
      <c r="AC18" s="2028">
        <f>$AC$6</f>
        <v>44531</v>
      </c>
      <c r="AD18" s="2028">
        <f>$AD$6</f>
        <v>44774</v>
      </c>
      <c r="AE18" s="2028">
        <f>$AE$6</f>
        <v>45139</v>
      </c>
      <c r="AF18" s="2028">
        <f>$AF$6</f>
        <v>45672</v>
      </c>
      <c r="AG18" s="2028" t="str">
        <f>$AG$6</f>
        <v>-</v>
      </c>
      <c r="DJ18" s="1129"/>
    </row>
    <row r="19" spans="1:114" s="2005" customFormat="1" ht="15" hidden="1" customHeight="1" outlineLevel="1" x14ac:dyDescent="0.25">
      <c r="A19" s="531"/>
      <c r="B19" s="531"/>
      <c r="C19" s="553"/>
      <c r="D19" s="1306" t="s">
        <v>861</v>
      </c>
      <c r="E19" s="1306" t="s">
        <v>862</v>
      </c>
      <c r="F19" s="1314" t="str">
        <f>E7</f>
        <v>LED - 10W (750-899 lumens) DI</v>
      </c>
      <c r="G19" s="1649">
        <v>43</v>
      </c>
      <c r="H19" s="2029" t="str">
        <f>C7</f>
        <v>450100_2024_12_</v>
      </c>
      <c r="I19" s="2140" t="s">
        <v>771</v>
      </c>
      <c r="J19" s="2140"/>
      <c r="K19" s="2140"/>
      <c r="L19" s="2140"/>
      <c r="M19" s="531"/>
      <c r="N19" s="531"/>
      <c r="O19" s="531"/>
      <c r="P19" s="531"/>
      <c r="Q19" s="531"/>
      <c r="R19" s="531"/>
      <c r="S19" s="531"/>
      <c r="T19" s="531"/>
      <c r="U19" s="531"/>
      <c r="V19" s="1313" t="s">
        <v>861</v>
      </c>
      <c r="W19" s="1099"/>
      <c r="X19" s="1099"/>
      <c r="Y19" s="1099"/>
      <c r="Z19" s="1099"/>
      <c r="AA19" s="1099"/>
      <c r="AB19" s="1099"/>
      <c r="AC19" s="1100"/>
      <c r="AD19" s="1100"/>
      <c r="AE19" s="135">
        <v>18.888888888888889</v>
      </c>
      <c r="AF19" s="258">
        <f t="shared" ref="AF19:AF32" si="0">IF(G19&lt;&gt;"",G19,"")</f>
        <v>43</v>
      </c>
      <c r="AG19" s="2030"/>
      <c r="DJ19" s="1129"/>
    </row>
    <row r="20" spans="1:114" s="2005" customFormat="1" ht="15" hidden="1" customHeight="1" outlineLevel="1" x14ac:dyDescent="0.25">
      <c r="A20" s="531"/>
      <c r="B20" s="531"/>
      <c r="C20" s="553"/>
      <c r="D20" s="1306" t="s">
        <v>863</v>
      </c>
      <c r="E20" s="1306" t="s">
        <v>864</v>
      </c>
      <c r="F20" s="1314" t="str">
        <f>E7</f>
        <v>LED - 10W (750-899 lumens) DI</v>
      </c>
      <c r="G20" s="2031">
        <v>8.5</v>
      </c>
      <c r="H20" s="2029" t="str">
        <f>C7</f>
        <v>450100_2024_12_</v>
      </c>
      <c r="I20" s="2141" t="s">
        <v>865</v>
      </c>
      <c r="J20" s="2141"/>
      <c r="K20" s="2141"/>
      <c r="L20" s="2141"/>
      <c r="M20" s="531"/>
      <c r="N20" s="531"/>
      <c r="O20" s="531"/>
      <c r="P20" s="531"/>
      <c r="Q20" s="531"/>
      <c r="R20" s="531"/>
      <c r="S20" s="531"/>
      <c r="T20" s="531"/>
      <c r="U20" s="531"/>
      <c r="V20" s="1313" t="s">
        <v>863</v>
      </c>
      <c r="W20" s="1099"/>
      <c r="X20" s="1099"/>
      <c r="Y20" s="1099"/>
      <c r="Z20" s="1099"/>
      <c r="AA20" s="1099"/>
      <c r="AB20" s="1099"/>
      <c r="AC20" s="1100"/>
      <c r="AD20" s="1100"/>
      <c r="AE20" s="135">
        <v>8.5</v>
      </c>
      <c r="AF20" s="258">
        <f t="shared" si="0"/>
        <v>8.5</v>
      </c>
      <c r="AG20" s="2032"/>
      <c r="DJ20" s="1129"/>
    </row>
    <row r="21" spans="1:114" s="2005" customFormat="1" ht="14.65" hidden="1" customHeight="1" outlineLevel="1" x14ac:dyDescent="0.25">
      <c r="A21" s="531"/>
      <c r="B21" s="531"/>
      <c r="C21" s="553"/>
      <c r="D21" s="483" t="s">
        <v>104</v>
      </c>
      <c r="E21" s="744" t="s">
        <v>866</v>
      </c>
      <c r="F21" s="2033" t="s">
        <v>734</v>
      </c>
      <c r="G21" s="1648">
        <v>0.87</v>
      </c>
      <c r="H21" s="1638"/>
      <c r="I21" s="2140" t="s">
        <v>867</v>
      </c>
      <c r="J21" s="2140"/>
      <c r="K21" s="2140"/>
      <c r="L21" s="2140"/>
      <c r="M21" s="531"/>
      <c r="N21" s="531"/>
      <c r="O21" s="531"/>
      <c r="P21" s="531"/>
      <c r="Q21" s="531"/>
      <c r="R21" s="531"/>
      <c r="S21" s="531"/>
      <c r="T21" s="531"/>
      <c r="U21" s="531"/>
      <c r="V21" s="2034" t="s">
        <v>104</v>
      </c>
      <c r="W21" s="1099"/>
      <c r="X21" s="1099"/>
      <c r="Y21" s="1099"/>
      <c r="Z21" s="1099"/>
      <c r="AA21" s="1099"/>
      <c r="AB21" s="1099"/>
      <c r="AC21" s="1100"/>
      <c r="AD21" s="1100"/>
      <c r="AE21" s="1650">
        <v>0.87</v>
      </c>
      <c r="AF21" s="258">
        <f t="shared" si="0"/>
        <v>0.87</v>
      </c>
      <c r="AG21" s="1638"/>
      <c r="DJ21" s="1129"/>
    </row>
    <row r="22" spans="1:114" s="2005" customFormat="1" hidden="1" outlineLevel="1" x14ac:dyDescent="0.25">
      <c r="A22" s="531"/>
      <c r="B22" s="531"/>
      <c r="C22" s="553"/>
      <c r="D22" s="483" t="s">
        <v>785</v>
      </c>
      <c r="E22" s="744" t="s">
        <v>868</v>
      </c>
      <c r="F22" s="2033" t="s">
        <v>734</v>
      </c>
      <c r="G22" s="1648">
        <v>0</v>
      </c>
      <c r="H22" s="1638"/>
      <c r="I22" s="2141" t="s">
        <v>869</v>
      </c>
      <c r="J22" s="2141"/>
      <c r="K22" s="2141"/>
      <c r="L22" s="2141"/>
      <c r="M22" s="531"/>
      <c r="N22" s="531"/>
      <c r="O22" s="531"/>
      <c r="P22" s="531"/>
      <c r="Q22" s="531"/>
      <c r="R22" s="531"/>
      <c r="S22" s="531"/>
      <c r="T22" s="531"/>
      <c r="U22" s="531"/>
      <c r="V22" s="2034" t="s">
        <v>785</v>
      </c>
      <c r="W22" s="1099"/>
      <c r="X22" s="1099"/>
      <c r="Y22" s="1099"/>
      <c r="Z22" s="1099"/>
      <c r="AA22" s="1099"/>
      <c r="AB22" s="1099"/>
      <c r="AC22" s="1100"/>
      <c r="AD22" s="1100"/>
      <c r="AE22" s="1650">
        <v>0</v>
      </c>
      <c r="AF22" s="258">
        <f t="shared" si="0"/>
        <v>0</v>
      </c>
      <c r="AG22" s="1094"/>
      <c r="DJ22" s="1129"/>
    </row>
    <row r="23" spans="1:114" s="2005" customFormat="1" ht="15" hidden="1" customHeight="1" outlineLevel="1" x14ac:dyDescent="0.25">
      <c r="A23" s="531"/>
      <c r="B23" s="531"/>
      <c r="C23" s="553"/>
      <c r="D23" s="483" t="s">
        <v>870</v>
      </c>
      <c r="E23" s="744" t="s">
        <v>871</v>
      </c>
      <c r="F23" s="2033" t="s">
        <v>734</v>
      </c>
      <c r="G23" s="2035">
        <f>2.72652*365</f>
        <v>995.17979999999989</v>
      </c>
      <c r="H23" s="2036"/>
      <c r="I23" s="2140" t="s">
        <v>872</v>
      </c>
      <c r="J23" s="2140"/>
      <c r="K23" s="2140"/>
      <c r="L23" s="2140"/>
      <c r="M23" s="531"/>
      <c r="N23" s="531"/>
      <c r="O23" s="531"/>
      <c r="P23" s="531"/>
      <c r="Q23" s="531"/>
      <c r="R23" s="531"/>
      <c r="S23" s="531"/>
      <c r="T23" s="531"/>
      <c r="U23" s="531"/>
      <c r="V23" s="2034" t="s">
        <v>870</v>
      </c>
      <c r="W23" s="1099"/>
      <c r="X23" s="1099"/>
      <c r="Y23" s="1099"/>
      <c r="Z23" s="1099"/>
      <c r="AA23" s="1099"/>
      <c r="AB23" s="1099"/>
      <c r="AC23" s="1100"/>
      <c r="AD23" s="1100"/>
      <c r="AE23" s="2037">
        <v>995.17979999999989</v>
      </c>
      <c r="AF23" s="258">
        <f t="shared" si="0"/>
        <v>995.17979999999989</v>
      </c>
      <c r="AG23" s="2038"/>
      <c r="DJ23" s="1129"/>
    </row>
    <row r="24" spans="1:114" s="2005" customFormat="1" ht="43.15" hidden="1" customHeight="1" outlineLevel="1" x14ac:dyDescent="0.25">
      <c r="A24" s="531"/>
      <c r="B24" s="531"/>
      <c r="C24" s="553"/>
      <c r="D24" s="2160" t="s">
        <v>873</v>
      </c>
      <c r="E24" s="2138" t="s">
        <v>874</v>
      </c>
      <c r="F24" s="2033" t="s">
        <v>875</v>
      </c>
      <c r="G24" s="2035">
        <v>0.99</v>
      </c>
      <c r="H24" s="2036"/>
      <c r="I24" s="2141" t="s">
        <v>876</v>
      </c>
      <c r="J24" s="2141"/>
      <c r="K24" s="2141"/>
      <c r="L24" s="2141"/>
      <c r="M24" s="531"/>
      <c r="N24" s="531"/>
      <c r="O24" s="531"/>
      <c r="P24" s="531"/>
      <c r="Q24" s="531"/>
      <c r="R24" s="531"/>
      <c r="S24" s="531"/>
      <c r="T24" s="531"/>
      <c r="U24" s="531"/>
      <c r="V24" s="2169" t="s">
        <v>873</v>
      </c>
      <c r="W24" s="1099"/>
      <c r="X24" s="1099"/>
      <c r="Y24" s="1099"/>
      <c r="Z24" s="1099"/>
      <c r="AA24" s="1099"/>
      <c r="AB24" s="1099"/>
      <c r="AC24" s="1100"/>
      <c r="AD24" s="1100"/>
      <c r="AE24" s="2037">
        <v>0.99</v>
      </c>
      <c r="AF24" s="258">
        <f t="shared" si="0"/>
        <v>0.99</v>
      </c>
      <c r="AG24" s="2038"/>
      <c r="DJ24" s="1129"/>
    </row>
    <row r="25" spans="1:114" s="2005" customFormat="1" ht="60.75" hidden="1" customHeight="1" outlineLevel="1" x14ac:dyDescent="0.25">
      <c r="A25" s="531"/>
      <c r="B25" s="531"/>
      <c r="C25" s="553"/>
      <c r="D25" s="2160"/>
      <c r="E25" s="2138"/>
      <c r="F25" s="2033" t="s">
        <v>877</v>
      </c>
      <c r="G25" s="2035">
        <v>1</v>
      </c>
      <c r="H25" s="2036"/>
      <c r="I25" s="2141" t="s">
        <v>878</v>
      </c>
      <c r="J25" s="2141"/>
      <c r="K25" s="2141"/>
      <c r="L25" s="2141"/>
      <c r="M25" s="531"/>
      <c r="N25" s="531"/>
      <c r="O25" s="531"/>
      <c r="P25" s="531"/>
      <c r="Q25" s="531"/>
      <c r="R25" s="531"/>
      <c r="S25" s="531"/>
      <c r="T25" s="531"/>
      <c r="U25" s="531"/>
      <c r="V25" s="2169"/>
      <c r="W25" s="1099"/>
      <c r="X25" s="1099"/>
      <c r="Y25" s="1099"/>
      <c r="Z25" s="1099"/>
      <c r="AA25" s="1099"/>
      <c r="AB25" s="1099"/>
      <c r="AC25" s="1100"/>
      <c r="AD25" s="1100"/>
      <c r="AE25" s="2037">
        <v>1</v>
      </c>
      <c r="AF25" s="258">
        <f t="shared" si="0"/>
        <v>1</v>
      </c>
      <c r="AG25" s="2038"/>
      <c r="DJ25" s="1129"/>
    </row>
    <row r="26" spans="1:114" s="2005" customFormat="1" ht="48" hidden="1" customHeight="1" outlineLevel="1" x14ac:dyDescent="0.25">
      <c r="A26" s="531"/>
      <c r="B26" s="531"/>
      <c r="C26" s="553"/>
      <c r="D26" s="483" t="s">
        <v>879</v>
      </c>
      <c r="E26" s="744" t="s">
        <v>880</v>
      </c>
      <c r="F26" s="2033" t="s">
        <v>734</v>
      </c>
      <c r="G26" s="1642">
        <v>3612</v>
      </c>
      <c r="H26" s="2036"/>
      <c r="I26" s="2141" t="s">
        <v>881</v>
      </c>
      <c r="J26" s="2141"/>
      <c r="K26" s="2141"/>
      <c r="L26" s="2141"/>
      <c r="M26" s="531"/>
      <c r="N26" s="531"/>
      <c r="O26" s="531"/>
      <c r="P26" s="531"/>
      <c r="Q26" s="531"/>
      <c r="R26" s="531"/>
      <c r="S26" s="531"/>
      <c r="T26" s="531"/>
      <c r="U26" s="531"/>
      <c r="V26" s="2034" t="s">
        <v>879</v>
      </c>
      <c r="W26" s="1099"/>
      <c r="X26" s="1099"/>
      <c r="Y26" s="1099"/>
      <c r="Z26" s="1099"/>
      <c r="AA26" s="1099"/>
      <c r="AB26" s="1099"/>
      <c r="AC26" s="1100"/>
      <c r="AD26" s="1100"/>
      <c r="AE26" s="2037">
        <v>3612</v>
      </c>
      <c r="AF26" s="258">
        <f t="shared" si="0"/>
        <v>3612</v>
      </c>
      <c r="AG26" s="2038"/>
      <c r="DJ26" s="1129"/>
    </row>
    <row r="27" spans="1:114" s="2005" customFormat="1" ht="43.15" hidden="1" customHeight="1" outlineLevel="1" x14ac:dyDescent="0.25">
      <c r="A27" s="531"/>
      <c r="B27" s="531"/>
      <c r="C27" s="553"/>
      <c r="D27" s="2160" t="s">
        <v>882</v>
      </c>
      <c r="E27" s="2138" t="s">
        <v>874</v>
      </c>
      <c r="F27" s="2033" t="s">
        <v>883</v>
      </c>
      <c r="G27" s="1642">
        <v>1.1000000000000001</v>
      </c>
      <c r="H27" s="2036"/>
      <c r="I27" s="2141" t="s">
        <v>884</v>
      </c>
      <c r="J27" s="2141"/>
      <c r="K27" s="2141"/>
      <c r="L27" s="2141"/>
      <c r="M27" s="531"/>
      <c r="N27" s="531"/>
      <c r="O27" s="531"/>
      <c r="P27" s="531"/>
      <c r="Q27" s="531"/>
      <c r="R27" s="531"/>
      <c r="S27" s="531"/>
      <c r="T27" s="531"/>
      <c r="U27" s="531"/>
      <c r="V27" s="2169" t="s">
        <v>882</v>
      </c>
      <c r="W27" s="1099"/>
      <c r="X27" s="1099"/>
      <c r="Y27" s="1099"/>
      <c r="Z27" s="1099"/>
      <c r="AA27" s="1099"/>
      <c r="AB27" s="1099"/>
      <c r="AC27" s="1100"/>
      <c r="AD27" s="1100"/>
      <c r="AE27" s="2037">
        <v>1.1000000000000001</v>
      </c>
      <c r="AF27" s="258">
        <f t="shared" si="0"/>
        <v>1.1000000000000001</v>
      </c>
      <c r="AG27" s="2038"/>
      <c r="DJ27" s="1129"/>
    </row>
    <row r="28" spans="1:114" s="2005" customFormat="1" ht="45" hidden="1" outlineLevel="1" x14ac:dyDescent="0.25">
      <c r="A28" s="531"/>
      <c r="B28" s="531"/>
      <c r="C28" s="553"/>
      <c r="D28" s="2160"/>
      <c r="E28" s="2138"/>
      <c r="F28" s="2033" t="s">
        <v>885</v>
      </c>
      <c r="G28" s="1642">
        <v>1</v>
      </c>
      <c r="H28" s="2036"/>
      <c r="I28" s="2141"/>
      <c r="J28" s="2141"/>
      <c r="K28" s="2141"/>
      <c r="L28" s="2141"/>
      <c r="M28" s="531"/>
      <c r="N28" s="531"/>
      <c r="O28" s="531"/>
      <c r="P28" s="531"/>
      <c r="Q28" s="531"/>
      <c r="R28" s="531"/>
      <c r="S28" s="531"/>
      <c r="T28" s="531"/>
      <c r="U28" s="531"/>
      <c r="V28" s="2169"/>
      <c r="W28" s="1099"/>
      <c r="X28" s="1099"/>
      <c r="Y28" s="1099"/>
      <c r="Z28" s="1099"/>
      <c r="AA28" s="1099"/>
      <c r="AB28" s="1099"/>
      <c r="AC28" s="1100"/>
      <c r="AD28" s="1100"/>
      <c r="AE28" s="2037">
        <v>1</v>
      </c>
      <c r="AF28" s="258">
        <f t="shared" si="0"/>
        <v>1</v>
      </c>
      <c r="AG28" s="2038"/>
      <c r="DJ28" s="1129"/>
    </row>
    <row r="29" spans="1:114" s="2005" customFormat="1" hidden="1" outlineLevel="1" x14ac:dyDescent="0.25">
      <c r="A29" s="531"/>
      <c r="B29" s="531"/>
      <c r="C29" s="553"/>
      <c r="D29" s="483" t="s">
        <v>886</v>
      </c>
      <c r="E29" s="744" t="s">
        <v>887</v>
      </c>
      <c r="F29" s="2033" t="s">
        <v>734</v>
      </c>
      <c r="G29" s="1648">
        <v>1</v>
      </c>
      <c r="H29" s="405"/>
      <c r="I29" s="2141" t="s">
        <v>869</v>
      </c>
      <c r="J29" s="2141"/>
      <c r="K29" s="2141"/>
      <c r="L29" s="2141"/>
      <c r="M29" s="531"/>
      <c r="N29" s="531"/>
      <c r="O29" s="531"/>
      <c r="P29" s="531"/>
      <c r="Q29" s="531"/>
      <c r="R29" s="531"/>
      <c r="S29" s="531"/>
      <c r="T29" s="531"/>
      <c r="U29" s="531"/>
      <c r="V29" s="2034" t="s">
        <v>886</v>
      </c>
      <c r="W29" s="1099"/>
      <c r="X29" s="1099"/>
      <c r="Y29" s="1099"/>
      <c r="Z29" s="1099"/>
      <c r="AA29" s="1099"/>
      <c r="AB29" s="1099"/>
      <c r="AC29" s="1100"/>
      <c r="AD29" s="1100"/>
      <c r="AE29" s="1650">
        <v>1</v>
      </c>
      <c r="AF29" s="258">
        <f t="shared" si="0"/>
        <v>1</v>
      </c>
      <c r="AG29" s="405"/>
      <c r="DJ29" s="1129"/>
    </row>
    <row r="30" spans="1:114" s="2005" customFormat="1" ht="70.5" hidden="1" customHeight="1" outlineLevel="1" x14ac:dyDescent="0.25">
      <c r="A30" s="531"/>
      <c r="B30" s="531"/>
      <c r="C30" s="553"/>
      <c r="D30" s="579" t="s">
        <v>888</v>
      </c>
      <c r="E30" s="1368" t="s">
        <v>792</v>
      </c>
      <c r="F30" s="2033" t="s">
        <v>734</v>
      </c>
      <c r="G30" s="1505">
        <v>2</v>
      </c>
      <c r="H30" s="405"/>
      <c r="I30" s="2161" t="s">
        <v>889</v>
      </c>
      <c r="J30" s="2162"/>
      <c r="K30" s="2162"/>
      <c r="L30" s="2162"/>
      <c r="M30" s="531"/>
      <c r="N30" s="531"/>
      <c r="O30" s="531"/>
      <c r="P30" s="531"/>
      <c r="Q30" s="531"/>
      <c r="R30" s="531"/>
      <c r="S30" s="531"/>
      <c r="T30" s="531"/>
      <c r="U30" s="531"/>
      <c r="V30" s="1368" t="s">
        <v>888</v>
      </c>
      <c r="W30" s="1099"/>
      <c r="X30" s="1099"/>
      <c r="Y30" s="1099"/>
      <c r="Z30" s="1099"/>
      <c r="AA30" s="1099"/>
      <c r="AB30" s="1099"/>
      <c r="AC30" s="1100"/>
      <c r="AD30" s="1100"/>
      <c r="AE30" s="48">
        <v>19</v>
      </c>
      <c r="AF30" s="258">
        <f t="shared" si="0"/>
        <v>2</v>
      </c>
      <c r="AG30" s="57"/>
      <c r="DJ30" s="1129"/>
    </row>
    <row r="31" spans="1:114" s="2005" customFormat="1" ht="73.5" hidden="1" customHeight="1" outlineLevel="1" x14ac:dyDescent="0.25">
      <c r="A31" s="531"/>
      <c r="B31" s="531"/>
      <c r="C31" s="553"/>
      <c r="D31" s="2039" t="s">
        <v>890</v>
      </c>
      <c r="E31" s="1369" t="s">
        <v>792</v>
      </c>
      <c r="F31" s="2033" t="s">
        <v>734</v>
      </c>
      <c r="G31" s="1639"/>
      <c r="H31" s="405"/>
      <c r="I31" s="2162"/>
      <c r="J31" s="2162"/>
      <c r="K31" s="2162"/>
      <c r="L31" s="2162"/>
      <c r="M31" s="531"/>
      <c r="N31" s="531"/>
      <c r="O31" s="531"/>
      <c r="P31" s="531"/>
      <c r="Q31" s="531"/>
      <c r="R31" s="531"/>
      <c r="S31" s="531"/>
      <c r="T31" s="531"/>
      <c r="U31" s="531"/>
      <c r="V31" s="1369" t="s">
        <v>890</v>
      </c>
      <c r="W31" s="1099"/>
      <c r="X31" s="1099"/>
      <c r="Y31" s="1099"/>
      <c r="Z31" s="1099"/>
      <c r="AA31" s="1099"/>
      <c r="AB31" s="1099"/>
      <c r="AC31" s="1100"/>
      <c r="AD31" s="1100"/>
      <c r="AE31" s="48">
        <v>6</v>
      </c>
      <c r="AF31" s="258" t="str">
        <f t="shared" si="0"/>
        <v/>
      </c>
      <c r="AG31" s="57"/>
      <c r="DJ31" s="1129"/>
    </row>
    <row r="32" spans="1:114" s="2005" customFormat="1" ht="15" hidden="1" customHeight="1" outlineLevel="1" x14ac:dyDescent="0.25">
      <c r="A32" s="531"/>
      <c r="B32" s="531"/>
      <c r="C32" s="553"/>
      <c r="D32" s="2042" t="s">
        <v>50</v>
      </c>
      <c r="E32" s="1329" t="s">
        <v>682</v>
      </c>
      <c r="F32" s="2033" t="s">
        <v>111</v>
      </c>
      <c r="G32" s="2040">
        <v>1.45</v>
      </c>
      <c r="H32" s="405"/>
      <c r="I32" s="2163" t="s">
        <v>891</v>
      </c>
      <c r="J32" s="2164"/>
      <c r="K32" s="2164"/>
      <c r="L32" s="2165"/>
      <c r="M32" s="531"/>
      <c r="N32" s="531"/>
      <c r="O32" s="531"/>
      <c r="P32" s="531"/>
      <c r="Q32" s="531"/>
      <c r="R32" s="531"/>
      <c r="S32" s="531"/>
      <c r="T32" s="531"/>
      <c r="U32" s="531"/>
      <c r="V32" s="2043" t="s">
        <v>50</v>
      </c>
      <c r="W32" s="1099"/>
      <c r="X32" s="1099"/>
      <c r="Y32" s="1099"/>
      <c r="Z32" s="1099"/>
      <c r="AA32" s="1099"/>
      <c r="AB32" s="1099"/>
      <c r="AC32" s="1100"/>
      <c r="AD32" s="1100"/>
      <c r="AE32" s="2041">
        <v>1.45</v>
      </c>
      <c r="AF32" s="258">
        <f t="shared" si="0"/>
        <v>1.45</v>
      </c>
      <c r="AG32" s="57"/>
      <c r="DJ32" s="1129"/>
    </row>
    <row r="33" spans="1:114" s="1095" customFormat="1" collapsed="1" x14ac:dyDescent="0.25">
      <c r="A33" s="1096"/>
      <c r="B33" s="1096"/>
      <c r="C33" s="1204"/>
      <c r="D33" s="1204"/>
      <c r="E33" s="1204"/>
      <c r="F33" s="1204"/>
      <c r="G33" s="1204"/>
      <c r="H33" s="1204"/>
      <c r="I33" s="1204"/>
      <c r="J33" s="1204"/>
      <c r="K33" s="1096"/>
      <c r="L33" s="1096"/>
      <c r="M33" s="1096"/>
      <c r="N33" s="1096"/>
      <c r="O33" s="1096"/>
      <c r="P33" s="1096"/>
      <c r="Q33" s="1096"/>
      <c r="R33" s="1096"/>
      <c r="S33" s="1096"/>
      <c r="T33" s="1096"/>
      <c r="U33" s="1096"/>
      <c r="V33" s="1096"/>
      <c r="DJ33" s="1129"/>
    </row>
    <row r="34" spans="1:114" s="1095" customFormat="1" x14ac:dyDescent="0.25">
      <c r="A34" s="1096"/>
      <c r="B34" s="1096"/>
      <c r="C34" s="1204"/>
      <c r="D34" s="1204"/>
      <c r="E34" s="1204"/>
      <c r="F34" s="1204"/>
      <c r="G34" s="1204"/>
      <c r="H34" s="1204"/>
      <c r="I34" s="1204"/>
      <c r="J34" s="1204"/>
      <c r="K34" s="1096"/>
      <c r="L34" s="1096"/>
      <c r="M34" s="1096"/>
      <c r="N34" s="1096"/>
      <c r="O34" s="1096"/>
      <c r="P34" s="1096"/>
      <c r="Q34" s="1096"/>
      <c r="R34" s="1096"/>
      <c r="S34" s="1096"/>
      <c r="T34" s="1096"/>
      <c r="U34" s="1096"/>
      <c r="V34" s="1096"/>
      <c r="DJ34" s="1129"/>
    </row>
    <row r="35" spans="1:114" s="1072" customFormat="1" x14ac:dyDescent="0.25">
      <c r="A35" s="531"/>
      <c r="B35" s="1366" t="s">
        <v>892</v>
      </c>
      <c r="C35" s="1367"/>
      <c r="D35" s="1367"/>
      <c r="E35" s="1367"/>
      <c r="F35" s="1367"/>
      <c r="G35" s="1367"/>
      <c r="H35" s="1367"/>
      <c r="I35" s="1367"/>
      <c r="J35" s="1367"/>
      <c r="K35" s="1367"/>
      <c r="L35" s="1367"/>
      <c r="M35" s="1367"/>
      <c r="N35" s="1367"/>
      <c r="O35" s="1367"/>
      <c r="P35" s="1367"/>
      <c r="Q35" s="1367"/>
      <c r="R35" s="1091"/>
      <c r="S35" s="1073"/>
      <c r="T35" s="1073"/>
      <c r="U35" s="1073"/>
      <c r="V35" s="1366" t="str">
        <f>B35</f>
        <v>Advanced Power Strips Tier 1  / Load Sensing</v>
      </c>
      <c r="W35" s="1367"/>
      <c r="X35" s="1367"/>
      <c r="Y35" s="1367"/>
      <c r="Z35" s="1367"/>
      <c r="AA35" s="1367"/>
      <c r="AB35" s="1367"/>
      <c r="AC35" s="1367"/>
      <c r="AD35" s="1367"/>
      <c r="AE35" s="1367"/>
      <c r="AF35" s="1367"/>
      <c r="AG35" s="1367"/>
      <c r="AH35" s="1367"/>
      <c r="AI35" s="1091"/>
      <c r="AK35" s="1075"/>
      <c r="DG35" s="1074"/>
      <c r="DH35" s="1073"/>
      <c r="DI35" s="1073"/>
      <c r="DJ35" s="1129"/>
    </row>
    <row r="36" spans="1:114" s="1072" customFormat="1" x14ac:dyDescent="0.25">
      <c r="A36" s="531"/>
      <c r="B36" s="531"/>
      <c r="C36" s="553"/>
      <c r="D36" s="143"/>
      <c r="E36" s="143"/>
      <c r="F36" s="531"/>
      <c r="G36" s="531"/>
      <c r="H36" s="531"/>
      <c r="I36" s="531"/>
      <c r="J36" s="531"/>
      <c r="K36" s="531"/>
      <c r="L36" s="531"/>
      <c r="M36" s="531"/>
      <c r="N36" s="531"/>
      <c r="O36" s="1073"/>
      <c r="P36" s="1073"/>
      <c r="Q36" s="1073"/>
      <c r="R36" s="1073"/>
      <c r="S36" s="1073"/>
      <c r="T36" s="1073"/>
      <c r="U36" s="1073"/>
      <c r="V36" s="1073"/>
      <c r="Y36" s="1076"/>
      <c r="AK36" s="1075"/>
      <c r="DG36" s="1074"/>
      <c r="DH36" s="1073"/>
      <c r="DI36" s="1073"/>
      <c r="DJ36" s="1129"/>
    </row>
    <row r="37" spans="1:114" s="1072" customFormat="1" ht="30" x14ac:dyDescent="0.25">
      <c r="A37" s="531"/>
      <c r="B37" s="531"/>
      <c r="C37" s="1300" t="s">
        <v>42</v>
      </c>
      <c r="D37" s="1300" t="s">
        <v>594</v>
      </c>
      <c r="E37" s="1300" t="s">
        <v>44</v>
      </c>
      <c r="F37" s="1300" t="s">
        <v>45</v>
      </c>
      <c r="G37" s="1300" t="s">
        <v>46</v>
      </c>
      <c r="H37" s="1300" t="s">
        <v>47</v>
      </c>
      <c r="I37" s="1300" t="s">
        <v>48</v>
      </c>
      <c r="J37" s="1300" t="s">
        <v>49</v>
      </c>
      <c r="K37" s="1300" t="s">
        <v>50</v>
      </c>
      <c r="L37" s="1300" t="s">
        <v>51</v>
      </c>
      <c r="M37" s="531"/>
      <c r="N37" s="531"/>
      <c r="O37" s="1073"/>
      <c r="P37" s="1073"/>
      <c r="Q37" s="1073"/>
      <c r="R37" s="1073"/>
      <c r="S37" s="1073"/>
      <c r="T37" s="1073"/>
      <c r="U37" s="1073"/>
      <c r="V37" s="1093" t="s">
        <v>52</v>
      </c>
      <c r="W37" s="1081">
        <v>43252</v>
      </c>
      <c r="X37" s="1081" t="e">
        <f>#REF!</f>
        <v>#REF!</v>
      </c>
      <c r="Y37" s="1082" t="e">
        <f>#REF!</f>
        <v>#REF!</v>
      </c>
      <c r="Z37" s="1081" t="e">
        <f>#REF!</f>
        <v>#REF!</v>
      </c>
      <c r="AA37" s="1081" t="e">
        <f>#REF!</f>
        <v>#REF!</v>
      </c>
      <c r="AB37" s="1081" t="e">
        <f>#REF!</f>
        <v>#REF!</v>
      </c>
      <c r="AC37" s="1081" t="e">
        <f>#REF!</f>
        <v>#REF!</v>
      </c>
      <c r="AD37" s="1081" t="e">
        <f>#REF!</f>
        <v>#REF!</v>
      </c>
      <c r="AE37" s="1081" t="e">
        <f>#REF!</f>
        <v>#REF!</v>
      </c>
      <c r="AF37" s="1081" t="e">
        <f>#REF!</f>
        <v>#REF!</v>
      </c>
      <c r="AG37" s="1081" t="e">
        <f>#REF!</f>
        <v>#REF!</v>
      </c>
      <c r="AK37" s="1075"/>
      <c r="DG37" s="1090" t="e">
        <f>#REF!</f>
        <v>#REF!</v>
      </c>
      <c r="DH37" s="1089" t="e">
        <f>#REF!</f>
        <v>#REF!</v>
      </c>
      <c r="DI37" s="1088" t="e">
        <f>#REF!</f>
        <v>#REF!</v>
      </c>
      <c r="DJ37" s="1130" t="e">
        <f>#REF!</f>
        <v>#REF!</v>
      </c>
    </row>
    <row r="38" spans="1:114" s="1072" customFormat="1" x14ac:dyDescent="0.25">
      <c r="A38" s="531"/>
      <c r="B38" s="1384">
        <f t="shared" ref="B38" si="1">VALUE(LEFT(C38,6))</f>
        <v>450700</v>
      </c>
      <c r="C38" s="1295" t="s">
        <v>893</v>
      </c>
      <c r="D38" s="1375" t="s">
        <v>857</v>
      </c>
      <c r="E38" s="1297" t="s">
        <v>894</v>
      </c>
      <c r="F38" s="409">
        <f>ROUND((G46*G47)*G48,2)</f>
        <v>23.03</v>
      </c>
      <c r="G38" s="762" t="s">
        <v>895</v>
      </c>
      <c r="H38" s="102">
        <f>VLOOKUP(G38,'CP FACTORS'!$A$3:$B$38, 2, FALSE)</f>
        <v>1.148238E-4</v>
      </c>
      <c r="I38" s="1208">
        <f>ROUND(F38*H38,6)</f>
        <v>2.6440000000000001E-3</v>
      </c>
      <c r="J38" s="57">
        <f>G49</f>
        <v>10</v>
      </c>
      <c r="K38" s="162">
        <f>G50</f>
        <v>30</v>
      </c>
      <c r="L38" s="1295" t="s">
        <v>62</v>
      </c>
      <c r="M38" s="531"/>
      <c r="N38" s="531"/>
      <c r="O38" s="1073"/>
      <c r="P38" s="1073"/>
      <c r="Q38" s="1073"/>
      <c r="R38" s="1073"/>
      <c r="S38" s="1073"/>
      <c r="T38" s="1073"/>
      <c r="U38" s="1073"/>
      <c r="V38" s="1084" t="str">
        <f>$F$37</f>
        <v>kWh Annual Savings</v>
      </c>
      <c r="W38" s="1099"/>
      <c r="X38" s="1099"/>
      <c r="Y38" s="1099"/>
      <c r="Z38" s="1099"/>
      <c r="AA38" s="1099"/>
      <c r="AB38" s="1099"/>
      <c r="AC38" s="1100"/>
      <c r="AD38" s="1100"/>
      <c r="AE38" s="1083">
        <v>23.03</v>
      </c>
      <c r="AF38" s="258">
        <f>IF(F38&lt;&gt;"",F38,"")</f>
        <v>23.03</v>
      </c>
      <c r="AG38" s="1087"/>
      <c r="AK38" s="1075"/>
      <c r="DG38" s="1086">
        <f>(DI38)/(DJ38)</f>
        <v>0.38464720958253451</v>
      </c>
      <c r="DH38" s="1329" t="str">
        <f>CONCATENATE(G38," ",J38," Year EUL")</f>
        <v>Miscellaneous RES 10 Year EUL</v>
      </c>
      <c r="DI38" s="1085">
        <f>(INDEX('Avoided Cost Benefits'!$B$4:$B$865,MATCH(DH38,'Avoided Cost Benefits'!$A$4:$A$865,0)))*F38</f>
        <v>11.539416287476035</v>
      </c>
      <c r="DJ38" s="1950">
        <f>IFERROR(K38/((1+DiscountRate)^(CurrentYear-DiscountYear)),0)</f>
        <v>30</v>
      </c>
    </row>
    <row r="39" spans="1:114" s="1072" customFormat="1" hidden="1" outlineLevel="1" x14ac:dyDescent="0.25">
      <c r="A39" s="531"/>
      <c r="B39" s="531"/>
      <c r="C39" s="553"/>
      <c r="D39" s="74" t="s">
        <v>94</v>
      </c>
      <c r="E39" s="270" t="s">
        <v>896</v>
      </c>
      <c r="F39" s="394"/>
      <c r="G39" s="1565"/>
      <c r="H39" s="1566"/>
      <c r="I39" s="396"/>
      <c r="J39" s="607"/>
      <c r="K39" s="396"/>
      <c r="L39" s="531"/>
      <c r="M39" s="531"/>
      <c r="N39" s="531"/>
      <c r="O39" s="1073"/>
      <c r="P39" s="1073"/>
      <c r="Q39" s="1073"/>
      <c r="R39" s="1073"/>
      <c r="S39" s="1073"/>
      <c r="T39" s="1073"/>
      <c r="U39" s="1073"/>
      <c r="V39" s="1102"/>
      <c r="W39" s="1102"/>
      <c r="X39" s="1102"/>
      <c r="Y39" s="1102"/>
      <c r="Z39" s="1102"/>
      <c r="AA39" s="1102"/>
      <c r="AB39" s="1102"/>
      <c r="AC39" s="1102"/>
      <c r="AD39" s="1102"/>
      <c r="AE39" s="1102"/>
      <c r="AK39" s="1075"/>
      <c r="DG39" s="1074"/>
      <c r="DH39" s="1073"/>
      <c r="DI39" s="1073"/>
      <c r="DJ39" s="1129"/>
    </row>
    <row r="40" spans="1:114" s="1072" customFormat="1" hidden="1" outlineLevel="1" x14ac:dyDescent="0.25">
      <c r="A40" s="531"/>
      <c r="B40" s="531"/>
      <c r="C40" s="553"/>
      <c r="D40" s="108" t="s">
        <v>604</v>
      </c>
      <c r="E40" s="50" t="s">
        <v>897</v>
      </c>
      <c r="F40" s="531"/>
      <c r="G40" s="531"/>
      <c r="H40" s="531"/>
      <c r="I40" s="531"/>
      <c r="J40" s="531"/>
      <c r="K40" s="531"/>
      <c r="L40" s="531"/>
      <c r="M40" s="531"/>
      <c r="N40" s="531"/>
      <c r="O40" s="1073"/>
      <c r="P40" s="1073"/>
      <c r="Q40" s="1073"/>
      <c r="R40" s="1073"/>
      <c r="S40" s="1073"/>
      <c r="T40" s="1073"/>
      <c r="U40" s="1073"/>
      <c r="V40" s="1073"/>
      <c r="W40" s="1073"/>
      <c r="X40" s="1073"/>
      <c r="Y40" s="1073"/>
      <c r="Z40" s="1073"/>
      <c r="AA40" s="1073"/>
      <c r="AB40" s="1073"/>
      <c r="AC40" s="1073"/>
      <c r="AD40" s="1073"/>
      <c r="AE40" s="1073"/>
      <c r="AK40" s="1075"/>
      <c r="DG40" s="1074"/>
      <c r="DH40" s="1073"/>
      <c r="DI40" s="1073"/>
      <c r="DJ40" s="1129"/>
    </row>
    <row r="41" spans="1:114" s="1072" customFormat="1" hidden="1" outlineLevel="1" x14ac:dyDescent="0.25">
      <c r="A41" s="531"/>
      <c r="B41" s="531"/>
      <c r="C41" s="553"/>
      <c r="D41" s="143"/>
      <c r="E41" s="50" t="s">
        <v>607</v>
      </c>
      <c r="F41" s="531"/>
      <c r="G41" s="531"/>
      <c r="H41" s="531"/>
      <c r="I41" s="531"/>
      <c r="J41" s="531"/>
      <c r="K41" s="531"/>
      <c r="L41" s="531"/>
      <c r="M41" s="531"/>
      <c r="N41" s="531"/>
      <c r="O41" s="1073"/>
      <c r="P41" s="1073"/>
      <c r="Q41" s="1073"/>
      <c r="R41" s="1073"/>
      <c r="S41" s="1073"/>
      <c r="T41" s="1073"/>
      <c r="U41" s="1073"/>
      <c r="V41" s="1073"/>
      <c r="Y41" s="1076"/>
      <c r="AK41" s="1075"/>
      <c r="DG41" s="1074"/>
      <c r="DH41" s="1073"/>
      <c r="DI41" s="1073"/>
      <c r="DJ41" s="1129"/>
    </row>
    <row r="42" spans="1:114" s="1072" customFormat="1" hidden="1" outlineLevel="1" x14ac:dyDescent="0.25">
      <c r="A42" s="531"/>
      <c r="B42" s="531"/>
      <c r="C42" s="553"/>
      <c r="D42" s="143"/>
      <c r="E42" s="143"/>
      <c r="F42" s="531"/>
      <c r="G42" s="531"/>
      <c r="H42" s="531"/>
      <c r="I42" s="531"/>
      <c r="J42" s="531"/>
      <c r="K42" s="531"/>
      <c r="L42" s="531"/>
      <c r="M42" s="531"/>
      <c r="N42" s="531"/>
      <c r="O42" s="1073"/>
      <c r="P42" s="1073"/>
      <c r="Q42" s="1073"/>
      <c r="R42" s="1073"/>
      <c r="S42" s="1073"/>
      <c r="T42" s="1073"/>
      <c r="U42" s="1073"/>
      <c r="V42" s="1073"/>
      <c r="Y42" s="1076"/>
      <c r="AK42" s="1075"/>
      <c r="DG42" s="1074"/>
      <c r="DH42" s="1073"/>
      <c r="DI42" s="1073"/>
      <c r="DJ42" s="1129"/>
    </row>
    <row r="43" spans="1:114" s="1072" customFormat="1" hidden="1" outlineLevel="1" x14ac:dyDescent="0.25">
      <c r="A43" s="531"/>
      <c r="B43" s="531"/>
      <c r="C43" s="553"/>
      <c r="D43" s="143"/>
      <c r="E43" s="143"/>
      <c r="F43" s="531"/>
      <c r="G43" s="531"/>
      <c r="H43" s="531"/>
      <c r="I43" s="531"/>
      <c r="J43" s="531"/>
      <c r="K43" s="531"/>
      <c r="L43" s="531"/>
      <c r="M43" s="531"/>
      <c r="N43" s="531"/>
      <c r="O43" s="1073"/>
      <c r="P43" s="1073"/>
      <c r="Q43" s="1073"/>
      <c r="R43" s="1073"/>
      <c r="S43" s="1073"/>
      <c r="T43" s="1073"/>
      <c r="U43" s="1073"/>
      <c r="V43" s="1073"/>
      <c r="Y43" s="1076"/>
      <c r="AK43" s="1075"/>
      <c r="DG43" s="1074"/>
      <c r="DH43" s="1073"/>
      <c r="DI43" s="1073"/>
      <c r="DJ43" s="1129"/>
    </row>
    <row r="44" spans="1:114" s="1072" customFormat="1" hidden="1" outlineLevel="1" x14ac:dyDescent="0.25">
      <c r="A44" s="531"/>
      <c r="B44" s="531"/>
      <c r="C44" s="553"/>
      <c r="D44" s="114" t="s">
        <v>712</v>
      </c>
      <c r="E44" s="114" t="s">
        <v>608</v>
      </c>
      <c r="F44" s="1328" t="s">
        <v>609</v>
      </c>
      <c r="G44" s="1328" t="s">
        <v>610</v>
      </c>
      <c r="H44" s="1344" t="s">
        <v>898</v>
      </c>
      <c r="I44" s="1363"/>
      <c r="J44" s="1364"/>
      <c r="K44" s="1205"/>
      <c r="L44" s="531"/>
      <c r="M44" s="531"/>
      <c r="N44" s="531"/>
      <c r="O44" s="1073"/>
      <c r="P44" s="1073"/>
      <c r="Q44" s="1073"/>
      <c r="R44" s="1073"/>
      <c r="S44" s="1073"/>
      <c r="T44" s="1073"/>
      <c r="U44" s="1073"/>
      <c r="V44" s="1093" t="s">
        <v>52</v>
      </c>
      <c r="W44" s="1081"/>
      <c r="X44" s="1081"/>
      <c r="Y44" s="1082"/>
      <c r="Z44" s="1081"/>
      <c r="AA44" s="1081"/>
      <c r="AB44" s="1081"/>
      <c r="AC44" s="1081"/>
      <c r="AD44" s="1081"/>
      <c r="AE44" s="1081" t="e">
        <f>#REF!</f>
        <v>#REF!</v>
      </c>
      <c r="AF44" s="1081" t="e">
        <f>#REF!</f>
        <v>#REF!</v>
      </c>
      <c r="AG44" s="1081" t="e">
        <f>#REF!</f>
        <v>#REF!</v>
      </c>
      <c r="AK44" s="1075"/>
      <c r="DG44" s="1074"/>
      <c r="DH44" s="1073"/>
      <c r="DI44" s="1073"/>
      <c r="DJ44" s="1129"/>
    </row>
    <row r="45" spans="1:114" s="1072" customFormat="1" hidden="1" outlineLevel="1" x14ac:dyDescent="0.25">
      <c r="A45" s="531"/>
      <c r="B45" s="531"/>
      <c r="C45" s="553"/>
      <c r="D45" s="1013"/>
      <c r="E45" s="1013"/>
      <c r="F45" s="1014"/>
      <c r="G45" s="1014"/>
      <c r="H45" s="1377"/>
      <c r="I45" s="1378"/>
      <c r="J45" s="410"/>
      <c r="K45" s="1205"/>
      <c r="L45" s="531"/>
      <c r="M45" s="531"/>
      <c r="N45" s="531"/>
      <c r="O45" s="1073"/>
      <c r="P45" s="1073"/>
      <c r="Q45" s="1073"/>
      <c r="R45" s="1073"/>
      <c r="S45" s="1073"/>
      <c r="T45" s="1073"/>
      <c r="U45" s="1073"/>
      <c r="V45" s="1093"/>
      <c r="W45" s="1080"/>
      <c r="X45" s="1080"/>
      <c r="Y45" s="1080"/>
      <c r="Z45" s="1080"/>
      <c r="AA45" s="1080"/>
      <c r="AB45" s="1080"/>
      <c r="AC45" s="1080"/>
      <c r="AD45" s="1080"/>
      <c r="AE45" s="1080"/>
      <c r="AF45" s="1080"/>
      <c r="AG45" s="1080"/>
      <c r="AK45" s="1075"/>
      <c r="DG45" s="1074"/>
      <c r="DH45" s="1073"/>
      <c r="DI45" s="1073"/>
      <c r="DJ45" s="1129"/>
    </row>
    <row r="46" spans="1:114" s="1072" customFormat="1" ht="15" hidden="1" customHeight="1" outlineLevel="1" x14ac:dyDescent="0.25">
      <c r="A46" s="531"/>
      <c r="B46" s="531"/>
      <c r="C46" s="553"/>
      <c r="D46" s="1309" t="s">
        <v>899</v>
      </c>
      <c r="E46" s="1309" t="s">
        <v>900</v>
      </c>
      <c r="F46" s="1306" t="s">
        <v>901</v>
      </c>
      <c r="G46" s="1505">
        <v>31</v>
      </c>
      <c r="H46" s="2148" t="s">
        <v>902</v>
      </c>
      <c r="I46" s="2149"/>
      <c r="J46" s="2150"/>
      <c r="K46" s="1205"/>
      <c r="L46" s="531"/>
      <c r="M46" s="531"/>
      <c r="N46" s="531"/>
      <c r="O46" s="1073"/>
      <c r="P46" s="1073"/>
      <c r="Q46" s="1073"/>
      <c r="R46" s="1073"/>
      <c r="S46" s="1073"/>
      <c r="T46" s="1073"/>
      <c r="U46" s="1073"/>
      <c r="V46" s="1309" t="s">
        <v>899</v>
      </c>
      <c r="W46" s="1099"/>
      <c r="X46" s="1099"/>
      <c r="Y46" s="1099"/>
      <c r="Z46" s="1099"/>
      <c r="AA46" s="1099"/>
      <c r="AB46" s="1099"/>
      <c r="AC46" s="1100"/>
      <c r="AD46" s="1100"/>
      <c r="AE46" s="101">
        <v>31</v>
      </c>
      <c r="AF46" s="258">
        <f t="shared" ref="AF46:AF50" si="2">IF(G46&lt;&gt;"",G46,"")</f>
        <v>31</v>
      </c>
      <c r="AG46" s="1079"/>
      <c r="AK46" s="1075"/>
      <c r="DG46" s="1074"/>
      <c r="DH46" s="1073"/>
      <c r="DI46" s="1073"/>
      <c r="DJ46" s="1129"/>
    </row>
    <row r="47" spans="1:114" s="1072" customFormat="1" ht="15" hidden="1" customHeight="1" outlineLevel="1" x14ac:dyDescent="0.25">
      <c r="A47" s="531"/>
      <c r="B47" s="531"/>
      <c r="C47" s="553"/>
      <c r="D47" s="1309" t="s">
        <v>903</v>
      </c>
      <c r="E47" s="1309" t="s">
        <v>904</v>
      </c>
      <c r="F47" s="1306" t="s">
        <v>901</v>
      </c>
      <c r="G47" s="1514">
        <v>1</v>
      </c>
      <c r="H47" s="2154" t="s">
        <v>905</v>
      </c>
      <c r="I47" s="2155"/>
      <c r="J47" s="2156"/>
      <c r="K47" s="1205"/>
      <c r="L47" s="531"/>
      <c r="M47" s="531"/>
      <c r="N47" s="531"/>
      <c r="O47" s="1073"/>
      <c r="P47" s="1073"/>
      <c r="Q47" s="1073"/>
      <c r="R47" s="1073"/>
      <c r="S47" s="1073"/>
      <c r="T47" s="1073"/>
      <c r="U47" s="1073"/>
      <c r="V47" s="1309" t="s">
        <v>903</v>
      </c>
      <c r="W47" s="1099"/>
      <c r="X47" s="1099"/>
      <c r="Y47" s="1099"/>
      <c r="Z47" s="1099"/>
      <c r="AA47" s="1099"/>
      <c r="AB47" s="1099"/>
      <c r="AC47" s="1100"/>
      <c r="AD47" s="1100"/>
      <c r="AE47" s="215">
        <v>1</v>
      </c>
      <c r="AF47" s="258">
        <f t="shared" si="2"/>
        <v>1</v>
      </c>
      <c r="AG47" s="1079"/>
      <c r="AK47" s="1075"/>
      <c r="DG47" s="1074"/>
      <c r="DH47" s="1073"/>
      <c r="DI47" s="1073"/>
      <c r="DJ47" s="1129"/>
    </row>
    <row r="48" spans="1:114" s="1072" customFormat="1" ht="33" hidden="1" customHeight="1" outlineLevel="1" x14ac:dyDescent="0.25">
      <c r="A48" s="531"/>
      <c r="B48" s="531"/>
      <c r="C48" s="553"/>
      <c r="D48" s="1309" t="s">
        <v>104</v>
      </c>
      <c r="E48" s="1309" t="s">
        <v>906</v>
      </c>
      <c r="F48" s="1306" t="s">
        <v>907</v>
      </c>
      <c r="G48" s="1519">
        <v>0.74299999999999999</v>
      </c>
      <c r="H48" s="2157" t="s">
        <v>867</v>
      </c>
      <c r="I48" s="2158"/>
      <c r="J48" s="2159"/>
      <c r="K48" s="1205"/>
      <c r="L48" s="531"/>
      <c r="M48" s="531"/>
      <c r="N48" s="531"/>
      <c r="O48" s="1073"/>
      <c r="P48" s="1073"/>
      <c r="Q48" s="1073"/>
      <c r="R48" s="1073"/>
      <c r="S48" s="1073"/>
      <c r="T48" s="1073"/>
      <c r="U48" s="1073"/>
      <c r="V48" s="1309" t="s">
        <v>104</v>
      </c>
      <c r="W48" s="1099"/>
      <c r="X48" s="1099"/>
      <c r="Y48" s="1099"/>
      <c r="Z48" s="1099"/>
      <c r="AA48" s="1099"/>
      <c r="AB48" s="1099"/>
      <c r="AC48" s="1100"/>
      <c r="AD48" s="1100"/>
      <c r="AE48" s="152">
        <v>0.74299999999999999</v>
      </c>
      <c r="AF48" s="258">
        <f t="shared" si="2"/>
        <v>0.74299999999999999</v>
      </c>
      <c r="AG48" s="1079"/>
      <c r="AK48" s="1075"/>
      <c r="DG48" s="1074"/>
      <c r="DH48" s="1073"/>
      <c r="DI48" s="1073"/>
      <c r="DJ48" s="1129"/>
    </row>
    <row r="49" spans="1:114" s="1072" customFormat="1" ht="31.5" hidden="1" customHeight="1" outlineLevel="1" x14ac:dyDescent="0.25">
      <c r="A49" s="531"/>
      <c r="B49" s="1207"/>
      <c r="C49" s="1333"/>
      <c r="D49" s="1338" t="s">
        <v>49</v>
      </c>
      <c r="E49" s="1338" t="s">
        <v>792</v>
      </c>
      <c r="F49" s="772" t="s">
        <v>734</v>
      </c>
      <c r="G49" s="1510">
        <v>10</v>
      </c>
      <c r="H49" s="2151" t="s">
        <v>908</v>
      </c>
      <c r="I49" s="2152"/>
      <c r="J49" s="2153"/>
      <c r="K49" s="1205"/>
      <c r="L49" s="531"/>
      <c r="M49" s="1073"/>
      <c r="N49" s="1073"/>
      <c r="O49" s="1073"/>
      <c r="P49" s="1073"/>
      <c r="Q49" s="1073"/>
      <c r="R49" s="1073"/>
      <c r="S49" s="1073"/>
      <c r="T49" s="1073"/>
      <c r="U49" s="1073"/>
      <c r="V49" s="1338" t="e">
        <f>#REF!</f>
        <v>#REF!</v>
      </c>
      <c r="W49" s="1099"/>
      <c r="X49" s="1099"/>
      <c r="Y49" s="1099"/>
      <c r="Z49" s="1099"/>
      <c r="AA49" s="1099"/>
      <c r="AB49" s="1099"/>
      <c r="AC49" s="1100"/>
      <c r="AD49" s="1100"/>
      <c r="AE49" s="1103">
        <v>10</v>
      </c>
      <c r="AF49" s="258">
        <f t="shared" si="2"/>
        <v>10</v>
      </c>
      <c r="AG49" s="365"/>
      <c r="AK49" s="1075"/>
      <c r="DG49" s="1074"/>
      <c r="DH49" s="1073"/>
      <c r="DI49" s="1073"/>
      <c r="DJ49" s="1129"/>
    </row>
    <row r="50" spans="1:114" s="1072" customFormat="1" ht="31.5" hidden="1" customHeight="1" outlineLevel="1" x14ac:dyDescent="0.25">
      <c r="A50" s="531"/>
      <c r="B50" s="1207"/>
      <c r="C50" s="1333"/>
      <c r="D50" s="1360" t="s">
        <v>50</v>
      </c>
      <c r="E50" s="1360" t="s">
        <v>682</v>
      </c>
      <c r="F50" s="1209" t="s">
        <v>909</v>
      </c>
      <c r="G50" s="1511">
        <v>30</v>
      </c>
      <c r="H50" s="2151" t="s">
        <v>908</v>
      </c>
      <c r="I50" s="2152"/>
      <c r="J50" s="2153"/>
      <c r="K50" s="1205"/>
      <c r="L50" s="531"/>
      <c r="M50" s="1073"/>
      <c r="N50" s="1073"/>
      <c r="O50" s="1073"/>
      <c r="P50" s="1073"/>
      <c r="Q50" s="1073"/>
      <c r="R50" s="1073"/>
      <c r="S50" s="1073"/>
      <c r="T50" s="1073"/>
      <c r="U50" s="1073"/>
      <c r="V50" s="1360" t="s">
        <v>50</v>
      </c>
      <c r="W50" s="1099"/>
      <c r="X50" s="1099"/>
      <c r="Y50" s="1099"/>
      <c r="Z50" s="1099"/>
      <c r="AA50" s="1099"/>
      <c r="AB50" s="1099"/>
      <c r="AC50" s="1100"/>
      <c r="AD50" s="1100"/>
      <c r="AE50" s="1104">
        <v>30</v>
      </c>
      <c r="AF50" s="258">
        <f t="shared" si="2"/>
        <v>30</v>
      </c>
      <c r="AG50" s="1078"/>
      <c r="AK50" s="1075"/>
      <c r="DG50" s="1074"/>
      <c r="DH50" s="1073"/>
      <c r="DI50" s="1073"/>
      <c r="DJ50" s="1129"/>
    </row>
    <row r="51" spans="1:114" s="1072" customFormat="1" hidden="1" outlineLevel="1" x14ac:dyDescent="0.25">
      <c r="A51" s="531"/>
      <c r="B51" s="1073"/>
      <c r="C51" s="1333"/>
      <c r="D51" s="608"/>
      <c r="E51" s="894"/>
      <c r="F51" s="1210"/>
      <c r="G51" s="1210"/>
      <c r="H51" s="1345"/>
      <c r="I51" s="1345"/>
      <c r="J51" s="1345"/>
      <c r="K51" s="1205"/>
      <c r="L51" s="531"/>
      <c r="M51" s="1073"/>
      <c r="N51" s="1073"/>
      <c r="O51" s="1073"/>
      <c r="P51" s="1073"/>
      <c r="Q51" s="1073"/>
      <c r="R51" s="1073"/>
      <c r="S51" s="1073"/>
      <c r="T51" s="1073"/>
      <c r="U51" s="1073"/>
      <c r="V51" s="1102"/>
      <c r="W51" s="1102"/>
      <c r="X51" s="1102"/>
      <c r="Y51" s="1102"/>
      <c r="Z51" s="1102"/>
      <c r="AA51" s="1102"/>
      <c r="AB51" s="1102"/>
      <c r="AC51" s="1102"/>
      <c r="AD51" s="1102"/>
      <c r="AE51" s="1102"/>
      <c r="AF51" s="1077"/>
      <c r="AG51" s="1077"/>
      <c r="AK51" s="1075"/>
      <c r="DG51" s="1074"/>
      <c r="DH51" s="1073"/>
      <c r="DI51" s="1073"/>
      <c r="DJ51" s="1129"/>
    </row>
    <row r="52" spans="1:114" s="1072" customFormat="1" collapsed="1" x14ac:dyDescent="0.25">
      <c r="A52" s="531"/>
      <c r="B52" s="531"/>
      <c r="C52" s="553"/>
      <c r="D52" s="143"/>
      <c r="E52" s="1291"/>
      <c r="F52" s="1291"/>
      <c r="G52" s="1291"/>
      <c r="H52" s="1291"/>
      <c r="I52" s="1291"/>
      <c r="J52" s="1073"/>
      <c r="K52" s="1073"/>
      <c r="L52" s="1073"/>
      <c r="M52" s="531"/>
      <c r="N52" s="531"/>
      <c r="O52" s="1073"/>
      <c r="P52" s="1073"/>
      <c r="Q52" s="1073"/>
      <c r="R52" s="1073"/>
      <c r="S52" s="1073"/>
      <c r="T52" s="1073"/>
      <c r="U52" s="1073"/>
      <c r="V52" s="1073"/>
      <c r="W52" s="1073"/>
      <c r="X52" s="1073"/>
      <c r="Y52" s="1073"/>
      <c r="Z52" s="1073"/>
      <c r="AA52" s="1073"/>
      <c r="AB52" s="1073"/>
      <c r="AC52" s="1073"/>
      <c r="AD52" s="1073"/>
      <c r="AE52" s="1073"/>
      <c r="AK52" s="1075"/>
      <c r="DG52" s="1074"/>
      <c r="DH52" s="1073"/>
      <c r="DI52" s="1073"/>
      <c r="DJ52" s="1129"/>
    </row>
    <row r="53" spans="1:114" s="1072" customFormat="1" x14ac:dyDescent="0.25">
      <c r="A53" s="531"/>
      <c r="B53" s="531"/>
      <c r="C53" s="553"/>
      <c r="D53" s="143"/>
      <c r="E53" s="143"/>
      <c r="F53" s="531"/>
      <c r="G53" s="531"/>
      <c r="H53" s="531"/>
      <c r="I53" s="531"/>
      <c r="J53" s="531"/>
      <c r="K53" s="531"/>
      <c r="L53" s="531"/>
      <c r="M53" s="531"/>
      <c r="N53" s="531"/>
      <c r="O53" s="1073"/>
      <c r="P53" s="1073"/>
      <c r="Q53" s="1073"/>
      <c r="R53" s="1073"/>
      <c r="S53" s="1073"/>
      <c r="T53" s="1073"/>
      <c r="U53" s="1073"/>
      <c r="V53" s="1073"/>
      <c r="Y53" s="1076"/>
      <c r="AK53" s="1075"/>
      <c r="DG53" s="1074"/>
      <c r="DH53" s="1073"/>
      <c r="DI53" s="1073"/>
      <c r="DJ53" s="1129"/>
    </row>
    <row r="54" spans="1:114" x14ac:dyDescent="0.25">
      <c r="A54" s="531"/>
    </row>
    <row r="55" spans="1:114" x14ac:dyDescent="0.25">
      <c r="A55" s="531"/>
    </row>
    <row r="56" spans="1:114" x14ac:dyDescent="0.25">
      <c r="A56" s="531"/>
    </row>
    <row r="57" spans="1:114" x14ac:dyDescent="0.25">
      <c r="A57" s="531"/>
    </row>
    <row r="58" spans="1:114" x14ac:dyDescent="0.25">
      <c r="A58" s="531"/>
    </row>
    <row r="59" spans="1:114" x14ac:dyDescent="0.25">
      <c r="A59" s="531"/>
    </row>
    <row r="60" spans="1:114" x14ac:dyDescent="0.25">
      <c r="A60" s="531"/>
    </row>
    <row r="61" spans="1:114" x14ac:dyDescent="0.25">
      <c r="A61" s="531"/>
    </row>
    <row r="62" spans="1:114" x14ac:dyDescent="0.25">
      <c r="A62" s="531"/>
    </row>
    <row r="63" spans="1:114" x14ac:dyDescent="0.25">
      <c r="A63" s="531"/>
    </row>
    <row r="64" spans="1:114" x14ac:dyDescent="0.25">
      <c r="A64" s="531"/>
    </row>
    <row r="65" spans="1:1" x14ac:dyDescent="0.25">
      <c r="A65" s="531"/>
    </row>
    <row r="66" spans="1:1" x14ac:dyDescent="0.25">
      <c r="A66" s="531"/>
    </row>
    <row r="67" spans="1:1" x14ac:dyDescent="0.25">
      <c r="A67" s="531"/>
    </row>
    <row r="68" spans="1:1" x14ac:dyDescent="0.25">
      <c r="A68" s="531"/>
    </row>
    <row r="69" spans="1:1" x14ac:dyDescent="0.25">
      <c r="A69" s="531"/>
    </row>
    <row r="70" spans="1:1" x14ac:dyDescent="0.25">
      <c r="A70" s="531"/>
    </row>
    <row r="71" spans="1:1" x14ac:dyDescent="0.25">
      <c r="A71" s="531"/>
    </row>
    <row r="72" spans="1:1" x14ac:dyDescent="0.25">
      <c r="A72" s="531"/>
    </row>
    <row r="73" spans="1:1" x14ac:dyDescent="0.25">
      <c r="A73" s="531"/>
    </row>
    <row r="74" spans="1:1" x14ac:dyDescent="0.25">
      <c r="A74" s="531"/>
    </row>
    <row r="75" spans="1:1" x14ac:dyDescent="0.25">
      <c r="A75" s="531"/>
    </row>
    <row r="76" spans="1:1" x14ac:dyDescent="0.25">
      <c r="A76" s="531"/>
    </row>
    <row r="77" spans="1:1" x14ac:dyDescent="0.25">
      <c r="A77" s="531"/>
    </row>
    <row r="78" spans="1:1" x14ac:dyDescent="0.25">
      <c r="A78" s="531"/>
    </row>
    <row r="79" spans="1:1" x14ac:dyDescent="0.25">
      <c r="A79" s="531"/>
    </row>
    <row r="80" spans="1:1" x14ac:dyDescent="0.25">
      <c r="A80" s="531"/>
    </row>
    <row r="81" spans="1:1" x14ac:dyDescent="0.25">
      <c r="A81" s="531"/>
    </row>
    <row r="82" spans="1:1" x14ac:dyDescent="0.25">
      <c r="A82" s="531"/>
    </row>
    <row r="83" spans="1:1" x14ac:dyDescent="0.25">
      <c r="A83" s="531"/>
    </row>
    <row r="84" spans="1:1" x14ac:dyDescent="0.25">
      <c r="A84" s="531"/>
    </row>
    <row r="85" spans="1:1" x14ac:dyDescent="0.25">
      <c r="A85" s="531"/>
    </row>
    <row r="86" spans="1:1" x14ac:dyDescent="0.25">
      <c r="A86" s="531"/>
    </row>
    <row r="87" spans="1:1" x14ac:dyDescent="0.25">
      <c r="A87" s="531"/>
    </row>
    <row r="88" spans="1:1" x14ac:dyDescent="0.25">
      <c r="A88" s="531"/>
    </row>
    <row r="89" spans="1:1" x14ac:dyDescent="0.25">
      <c r="A89" s="531"/>
    </row>
    <row r="90" spans="1:1" x14ac:dyDescent="0.25">
      <c r="A90" s="531"/>
    </row>
    <row r="91" spans="1:1" x14ac:dyDescent="0.25">
      <c r="A91" s="531"/>
    </row>
    <row r="92" spans="1:1" x14ac:dyDescent="0.25">
      <c r="A92" s="531"/>
    </row>
    <row r="93" spans="1:1" x14ac:dyDescent="0.25">
      <c r="A93" s="531"/>
    </row>
    <row r="94" spans="1:1" x14ac:dyDescent="0.25">
      <c r="A94" s="531"/>
    </row>
    <row r="95" spans="1:1" x14ac:dyDescent="0.25">
      <c r="A95" s="531"/>
    </row>
    <row r="96" spans="1:1" x14ac:dyDescent="0.25">
      <c r="A96" s="531"/>
    </row>
    <row r="97" spans="1:1" x14ac:dyDescent="0.25">
      <c r="A97" s="531"/>
    </row>
    <row r="98" spans="1:1" x14ac:dyDescent="0.25">
      <c r="A98" s="531"/>
    </row>
    <row r="99" spans="1:1" x14ac:dyDescent="0.25">
      <c r="A99" s="531"/>
    </row>
    <row r="100" spans="1:1" x14ac:dyDescent="0.25">
      <c r="A100" s="531"/>
    </row>
    <row r="101" spans="1:1" x14ac:dyDescent="0.25">
      <c r="A101" s="531"/>
    </row>
    <row r="102" spans="1:1" x14ac:dyDescent="0.25">
      <c r="A102" s="531"/>
    </row>
    <row r="103" spans="1:1" x14ac:dyDescent="0.25">
      <c r="A103" s="531"/>
    </row>
    <row r="104" spans="1:1" x14ac:dyDescent="0.25">
      <c r="A104" s="531"/>
    </row>
    <row r="105" spans="1:1" x14ac:dyDescent="0.25">
      <c r="A105" s="531"/>
    </row>
    <row r="106" spans="1:1" x14ac:dyDescent="0.25">
      <c r="A106" s="531"/>
    </row>
    <row r="107" spans="1:1" x14ac:dyDescent="0.25">
      <c r="A107" s="531"/>
    </row>
    <row r="108" spans="1:1" x14ac:dyDescent="0.25">
      <c r="A108" s="531"/>
    </row>
    <row r="109" spans="1:1" x14ac:dyDescent="0.25">
      <c r="A109" s="531"/>
    </row>
    <row r="110" spans="1:1" x14ac:dyDescent="0.25">
      <c r="A110" s="531"/>
    </row>
    <row r="111" spans="1:1" x14ac:dyDescent="0.25">
      <c r="A111" s="531"/>
    </row>
    <row r="112" spans="1:1" x14ac:dyDescent="0.25">
      <c r="A112" s="531"/>
    </row>
    <row r="113" spans="1:1" x14ac:dyDescent="0.25">
      <c r="A113" s="531"/>
    </row>
    <row r="114" spans="1:1" x14ac:dyDescent="0.25">
      <c r="A114" s="531"/>
    </row>
    <row r="115" spans="1:1" x14ac:dyDescent="0.25">
      <c r="A115" s="531"/>
    </row>
    <row r="116" spans="1:1" x14ac:dyDescent="0.25">
      <c r="A116" s="531"/>
    </row>
    <row r="117" spans="1:1" x14ac:dyDescent="0.25">
      <c r="A117" s="531"/>
    </row>
    <row r="118" spans="1:1" x14ac:dyDescent="0.25">
      <c r="A118" s="531"/>
    </row>
    <row r="119" spans="1:1" x14ac:dyDescent="0.25">
      <c r="A119" s="531"/>
    </row>
    <row r="120" spans="1:1" x14ac:dyDescent="0.25">
      <c r="A120" s="531"/>
    </row>
    <row r="121" spans="1:1" x14ac:dyDescent="0.25">
      <c r="A121" s="531"/>
    </row>
    <row r="122" spans="1:1" x14ac:dyDescent="0.25">
      <c r="A122" s="531"/>
    </row>
    <row r="123" spans="1:1" x14ac:dyDescent="0.25">
      <c r="A123" s="531"/>
    </row>
    <row r="124" spans="1:1" x14ac:dyDescent="0.25">
      <c r="A124" s="531"/>
    </row>
    <row r="125" spans="1:1" x14ac:dyDescent="0.25">
      <c r="A125" s="531"/>
    </row>
    <row r="126" spans="1:1" x14ac:dyDescent="0.25">
      <c r="A126" s="531"/>
    </row>
    <row r="127" spans="1:1" x14ac:dyDescent="0.25">
      <c r="A127" s="531"/>
    </row>
    <row r="128" spans="1:1" x14ac:dyDescent="0.25">
      <c r="A128" s="531"/>
    </row>
    <row r="129" spans="1:1" x14ac:dyDescent="0.25">
      <c r="A129" s="531"/>
    </row>
    <row r="130" spans="1:1" x14ac:dyDescent="0.25">
      <c r="A130" s="531"/>
    </row>
    <row r="131" spans="1:1" x14ac:dyDescent="0.25">
      <c r="A131" s="531"/>
    </row>
    <row r="132" spans="1:1" x14ac:dyDescent="0.25">
      <c r="A132" s="531"/>
    </row>
    <row r="133" spans="1:1" x14ac:dyDescent="0.25">
      <c r="A133" s="531"/>
    </row>
    <row r="134" spans="1:1" x14ac:dyDescent="0.25">
      <c r="A134" s="531"/>
    </row>
    <row r="135" spans="1:1" x14ac:dyDescent="0.25">
      <c r="A135" s="531"/>
    </row>
    <row r="136" spans="1:1" x14ac:dyDescent="0.25">
      <c r="A136" s="531"/>
    </row>
    <row r="137" spans="1:1" x14ac:dyDescent="0.25">
      <c r="A137" s="531"/>
    </row>
    <row r="138" spans="1:1" x14ac:dyDescent="0.25">
      <c r="A138" s="531"/>
    </row>
    <row r="139" spans="1:1" x14ac:dyDescent="0.25">
      <c r="A139" s="531"/>
    </row>
    <row r="140" spans="1:1" x14ac:dyDescent="0.25">
      <c r="A140" s="531"/>
    </row>
    <row r="141" spans="1:1" x14ac:dyDescent="0.25">
      <c r="A141" s="531"/>
    </row>
    <row r="142" spans="1:1" x14ac:dyDescent="0.25">
      <c r="A142" s="531"/>
    </row>
    <row r="143" spans="1:1" x14ac:dyDescent="0.25">
      <c r="A143" s="531"/>
    </row>
    <row r="144" spans="1:1" x14ac:dyDescent="0.25">
      <c r="A144" s="531"/>
    </row>
    <row r="145" spans="1:1" x14ac:dyDescent="0.25">
      <c r="A145" s="531"/>
    </row>
    <row r="146" spans="1:1" x14ac:dyDescent="0.25">
      <c r="A146" s="531"/>
    </row>
    <row r="147" spans="1:1" x14ac:dyDescent="0.25">
      <c r="A147" s="531"/>
    </row>
    <row r="148" spans="1:1" x14ac:dyDescent="0.25">
      <c r="A148" s="531"/>
    </row>
    <row r="149" spans="1:1" x14ac:dyDescent="0.25">
      <c r="A149" s="531"/>
    </row>
    <row r="150" spans="1:1" x14ac:dyDescent="0.25">
      <c r="A150" s="531"/>
    </row>
    <row r="151" spans="1:1" x14ac:dyDescent="0.25">
      <c r="A151" s="531"/>
    </row>
    <row r="152" spans="1:1" x14ac:dyDescent="0.25">
      <c r="A152" s="531"/>
    </row>
    <row r="153" spans="1:1" x14ac:dyDescent="0.25">
      <c r="A153" s="531"/>
    </row>
    <row r="154" spans="1:1" x14ac:dyDescent="0.25">
      <c r="A154" s="531"/>
    </row>
    <row r="155" spans="1:1" x14ac:dyDescent="0.25">
      <c r="A155" s="531"/>
    </row>
    <row r="156" spans="1:1" x14ac:dyDescent="0.25">
      <c r="A156" s="531"/>
    </row>
    <row r="157" spans="1:1" x14ac:dyDescent="0.25">
      <c r="A157" s="531"/>
    </row>
    <row r="158" spans="1:1" x14ac:dyDescent="0.25">
      <c r="A158" s="531"/>
    </row>
    <row r="159" spans="1:1" x14ac:dyDescent="0.25">
      <c r="A159" s="531"/>
    </row>
    <row r="160" spans="1:1" x14ac:dyDescent="0.25">
      <c r="A160" s="531"/>
    </row>
    <row r="161" spans="1:1" x14ac:dyDescent="0.25">
      <c r="A161" s="531"/>
    </row>
    <row r="162" spans="1:1" x14ac:dyDescent="0.25">
      <c r="A162" s="531"/>
    </row>
    <row r="163" spans="1:1" x14ac:dyDescent="0.25">
      <c r="A163" s="531"/>
    </row>
    <row r="164" spans="1:1" x14ac:dyDescent="0.25">
      <c r="A164" s="531"/>
    </row>
    <row r="165" spans="1:1" x14ac:dyDescent="0.25">
      <c r="A165" s="531"/>
    </row>
    <row r="166" spans="1:1" x14ac:dyDescent="0.25">
      <c r="A166" s="531"/>
    </row>
    <row r="167" spans="1:1" x14ac:dyDescent="0.25">
      <c r="A167" s="531"/>
    </row>
    <row r="168" spans="1:1" x14ac:dyDescent="0.25">
      <c r="A168" s="531"/>
    </row>
    <row r="169" spans="1:1" x14ac:dyDescent="0.25">
      <c r="A169" s="531"/>
    </row>
    <row r="170" spans="1:1" x14ac:dyDescent="0.25">
      <c r="A170" s="531"/>
    </row>
    <row r="171" spans="1:1" x14ac:dyDescent="0.25">
      <c r="A171" s="531"/>
    </row>
    <row r="172" spans="1:1" x14ac:dyDescent="0.25">
      <c r="A172" s="531"/>
    </row>
    <row r="173" spans="1:1" x14ac:dyDescent="0.25">
      <c r="A173" s="531"/>
    </row>
    <row r="174" spans="1:1" x14ac:dyDescent="0.25">
      <c r="A174" s="531"/>
    </row>
    <row r="175" spans="1:1" x14ac:dyDescent="0.25">
      <c r="A175" s="531"/>
    </row>
    <row r="176" spans="1:1" x14ac:dyDescent="0.25">
      <c r="A176" s="531"/>
    </row>
    <row r="177" spans="1:1" x14ac:dyDescent="0.25">
      <c r="A177" s="531"/>
    </row>
    <row r="178" spans="1:1" x14ac:dyDescent="0.25">
      <c r="A178" s="531"/>
    </row>
    <row r="179" spans="1:1" x14ac:dyDescent="0.25">
      <c r="A179" s="531"/>
    </row>
    <row r="180" spans="1:1" x14ac:dyDescent="0.25">
      <c r="A180" s="531"/>
    </row>
    <row r="181" spans="1:1" x14ac:dyDescent="0.25">
      <c r="A181" s="531"/>
    </row>
    <row r="182" spans="1:1" x14ac:dyDescent="0.25">
      <c r="A182" s="531"/>
    </row>
    <row r="183" spans="1:1" x14ac:dyDescent="0.25">
      <c r="A183" s="531"/>
    </row>
    <row r="184" spans="1:1" x14ac:dyDescent="0.25">
      <c r="A184" s="531"/>
    </row>
    <row r="185" spans="1:1" x14ac:dyDescent="0.25">
      <c r="A185" s="531"/>
    </row>
    <row r="186" spans="1:1" x14ac:dyDescent="0.25">
      <c r="A186" s="531"/>
    </row>
    <row r="187" spans="1:1" x14ac:dyDescent="0.25">
      <c r="A187" s="531"/>
    </row>
    <row r="188" spans="1:1" x14ac:dyDescent="0.25">
      <c r="A188" s="531"/>
    </row>
    <row r="189" spans="1:1" x14ac:dyDescent="0.25">
      <c r="A189" s="531"/>
    </row>
    <row r="190" spans="1:1" x14ac:dyDescent="0.25">
      <c r="A190" s="531"/>
    </row>
    <row r="191" spans="1:1" x14ac:dyDescent="0.25">
      <c r="A191" s="531"/>
    </row>
    <row r="192" spans="1:1" x14ac:dyDescent="0.25">
      <c r="A192" s="531"/>
    </row>
    <row r="193" spans="1:1" x14ac:dyDescent="0.25">
      <c r="A193" s="531"/>
    </row>
    <row r="194" spans="1:1" x14ac:dyDescent="0.25">
      <c r="A194" s="531"/>
    </row>
    <row r="195" spans="1:1" x14ac:dyDescent="0.25">
      <c r="A195" s="531"/>
    </row>
    <row r="196" spans="1:1" x14ac:dyDescent="0.25">
      <c r="A196" s="531"/>
    </row>
    <row r="197" spans="1:1" x14ac:dyDescent="0.25">
      <c r="A197" s="531"/>
    </row>
    <row r="198" spans="1:1" x14ac:dyDescent="0.25">
      <c r="A198" s="531"/>
    </row>
    <row r="199" spans="1:1" x14ac:dyDescent="0.25">
      <c r="A199" s="531"/>
    </row>
    <row r="200" spans="1:1" x14ac:dyDescent="0.25">
      <c r="A200" s="531"/>
    </row>
    <row r="201" spans="1:1" x14ac:dyDescent="0.25">
      <c r="A201" s="531"/>
    </row>
    <row r="202" spans="1:1" x14ac:dyDescent="0.25">
      <c r="A202" s="531"/>
    </row>
    <row r="203" spans="1:1" x14ac:dyDescent="0.25">
      <c r="A203" s="531"/>
    </row>
    <row r="204" spans="1:1" x14ac:dyDescent="0.25">
      <c r="A204" s="531"/>
    </row>
    <row r="205" spans="1:1" x14ac:dyDescent="0.25">
      <c r="A205" s="531"/>
    </row>
    <row r="206" spans="1:1" x14ac:dyDescent="0.25">
      <c r="A206" s="531"/>
    </row>
    <row r="207" spans="1:1" x14ac:dyDescent="0.25">
      <c r="A207" s="531"/>
    </row>
    <row r="208" spans="1:1" x14ac:dyDescent="0.25">
      <c r="A208" s="531"/>
    </row>
    <row r="209" spans="1:1" x14ac:dyDescent="0.25">
      <c r="A209" s="531"/>
    </row>
    <row r="210" spans="1:1" x14ac:dyDescent="0.25">
      <c r="A210" s="531"/>
    </row>
    <row r="211" spans="1:1" x14ac:dyDescent="0.25">
      <c r="A211" s="531"/>
    </row>
    <row r="212" spans="1:1" x14ac:dyDescent="0.25">
      <c r="A212" s="531"/>
    </row>
    <row r="213" spans="1:1" x14ac:dyDescent="0.25">
      <c r="A213" s="531"/>
    </row>
    <row r="214" spans="1:1" x14ac:dyDescent="0.25">
      <c r="A214" s="531"/>
    </row>
    <row r="215" spans="1:1" x14ac:dyDescent="0.25">
      <c r="A215" s="531"/>
    </row>
    <row r="216" spans="1:1" x14ac:dyDescent="0.25">
      <c r="A216" s="531"/>
    </row>
    <row r="217" spans="1:1" x14ac:dyDescent="0.25">
      <c r="A217" s="531"/>
    </row>
    <row r="218" spans="1:1" x14ac:dyDescent="0.25">
      <c r="A218" s="531"/>
    </row>
    <row r="219" spans="1:1" x14ac:dyDescent="0.25">
      <c r="A219" s="531"/>
    </row>
    <row r="220" spans="1:1" x14ac:dyDescent="0.25">
      <c r="A220" s="531"/>
    </row>
    <row r="221" spans="1:1" x14ac:dyDescent="0.25">
      <c r="A221" s="531"/>
    </row>
    <row r="222" spans="1:1" x14ac:dyDescent="0.25">
      <c r="A222" s="531"/>
    </row>
    <row r="223" spans="1:1" x14ac:dyDescent="0.25">
      <c r="A223" s="531"/>
    </row>
    <row r="224" spans="1:1" x14ac:dyDescent="0.25">
      <c r="A224" s="531"/>
    </row>
    <row r="225" spans="1:1" x14ac:dyDescent="0.25">
      <c r="A225" s="531"/>
    </row>
    <row r="226" spans="1:1" x14ac:dyDescent="0.25">
      <c r="A226" s="531"/>
    </row>
    <row r="227" spans="1:1" x14ac:dyDescent="0.25">
      <c r="A227" s="531"/>
    </row>
    <row r="228" spans="1:1" x14ac:dyDescent="0.25">
      <c r="A228" s="531"/>
    </row>
    <row r="229" spans="1:1" x14ac:dyDescent="0.25">
      <c r="A229" s="531"/>
    </row>
    <row r="230" spans="1:1" x14ac:dyDescent="0.25">
      <c r="A230" s="531"/>
    </row>
    <row r="231" spans="1:1" x14ac:dyDescent="0.25">
      <c r="A231" s="531"/>
    </row>
    <row r="232" spans="1:1" x14ac:dyDescent="0.25">
      <c r="A232" s="531"/>
    </row>
    <row r="233" spans="1:1" x14ac:dyDescent="0.25">
      <c r="A233" s="531"/>
    </row>
    <row r="234" spans="1:1" x14ac:dyDescent="0.25">
      <c r="A234" s="531"/>
    </row>
    <row r="235" spans="1:1" x14ac:dyDescent="0.25">
      <c r="A235" s="531"/>
    </row>
    <row r="236" spans="1:1" x14ac:dyDescent="0.25">
      <c r="A236" s="531"/>
    </row>
    <row r="237" spans="1:1" x14ac:dyDescent="0.25">
      <c r="A237" s="531"/>
    </row>
    <row r="238" spans="1:1" x14ac:dyDescent="0.25">
      <c r="A238" s="531"/>
    </row>
    <row r="239" spans="1:1" x14ac:dyDescent="0.25">
      <c r="A239" s="531"/>
    </row>
    <row r="240" spans="1:1" x14ac:dyDescent="0.25">
      <c r="A240" s="531"/>
    </row>
    <row r="241" spans="1:1" x14ac:dyDescent="0.25">
      <c r="A241" s="531"/>
    </row>
    <row r="242" spans="1:1" x14ac:dyDescent="0.25">
      <c r="A242" s="531"/>
    </row>
    <row r="243" spans="1:1" x14ac:dyDescent="0.25">
      <c r="A243" s="531"/>
    </row>
    <row r="244" spans="1:1" x14ac:dyDescent="0.25">
      <c r="A244" s="531"/>
    </row>
    <row r="245" spans="1:1" x14ac:dyDescent="0.25">
      <c r="A245" s="531"/>
    </row>
    <row r="246" spans="1:1" x14ac:dyDescent="0.25">
      <c r="A246" s="531"/>
    </row>
    <row r="247" spans="1:1" x14ac:dyDescent="0.25">
      <c r="A247" s="531"/>
    </row>
    <row r="248" spans="1:1" x14ac:dyDescent="0.25">
      <c r="A248" s="531"/>
    </row>
    <row r="249" spans="1:1" x14ac:dyDescent="0.25">
      <c r="A249" s="531"/>
    </row>
    <row r="250" spans="1:1" x14ac:dyDescent="0.25">
      <c r="A250" s="531"/>
    </row>
    <row r="251" spans="1:1" x14ac:dyDescent="0.25">
      <c r="A251" s="531"/>
    </row>
    <row r="252" spans="1:1" x14ac:dyDescent="0.25">
      <c r="A252" s="531"/>
    </row>
    <row r="253" spans="1:1" x14ac:dyDescent="0.25">
      <c r="A253" s="531"/>
    </row>
    <row r="254" spans="1:1" x14ac:dyDescent="0.25">
      <c r="A254" s="531"/>
    </row>
    <row r="255" spans="1:1" x14ac:dyDescent="0.25">
      <c r="A255" s="531"/>
    </row>
    <row r="256" spans="1:1" x14ac:dyDescent="0.25">
      <c r="A256" s="531"/>
    </row>
    <row r="257" spans="1:1" x14ac:dyDescent="0.25">
      <c r="A257" s="531"/>
    </row>
    <row r="258" spans="1:1" x14ac:dyDescent="0.25">
      <c r="A258" s="531"/>
    </row>
    <row r="259" spans="1:1" x14ac:dyDescent="0.25">
      <c r="A259" s="531"/>
    </row>
    <row r="260" spans="1:1" x14ac:dyDescent="0.25">
      <c r="A260" s="531"/>
    </row>
    <row r="261" spans="1:1" x14ac:dyDescent="0.25">
      <c r="A261" s="531"/>
    </row>
    <row r="262" spans="1:1" x14ac:dyDescent="0.25">
      <c r="A262" s="531"/>
    </row>
    <row r="263" spans="1:1" x14ac:dyDescent="0.25">
      <c r="A263" s="531"/>
    </row>
    <row r="264" spans="1:1" x14ac:dyDescent="0.25">
      <c r="A264" s="531"/>
    </row>
    <row r="265" spans="1:1" x14ac:dyDescent="0.25">
      <c r="A265" s="531"/>
    </row>
    <row r="266" spans="1:1" x14ac:dyDescent="0.25">
      <c r="A266" s="531"/>
    </row>
    <row r="267" spans="1:1" x14ac:dyDescent="0.25">
      <c r="A267" s="531"/>
    </row>
    <row r="268" spans="1:1" x14ac:dyDescent="0.25">
      <c r="A268" s="531"/>
    </row>
    <row r="269" spans="1:1" x14ac:dyDescent="0.25">
      <c r="A269" s="531"/>
    </row>
    <row r="270" spans="1:1" x14ac:dyDescent="0.25">
      <c r="A270" s="531"/>
    </row>
    <row r="271" spans="1:1" x14ac:dyDescent="0.25">
      <c r="A271" s="531"/>
    </row>
    <row r="272" spans="1:1" x14ac:dyDescent="0.25">
      <c r="A272" s="531"/>
    </row>
    <row r="273" spans="1:1" x14ac:dyDescent="0.25">
      <c r="A273" s="531"/>
    </row>
    <row r="274" spans="1:1" x14ac:dyDescent="0.25">
      <c r="A274" s="531"/>
    </row>
    <row r="275" spans="1:1" x14ac:dyDescent="0.25">
      <c r="A275" s="531"/>
    </row>
    <row r="276" spans="1:1" x14ac:dyDescent="0.25">
      <c r="A276" s="531"/>
    </row>
    <row r="277" spans="1:1" x14ac:dyDescent="0.25">
      <c r="A277" s="531"/>
    </row>
    <row r="278" spans="1:1" x14ac:dyDescent="0.25">
      <c r="A278" s="531"/>
    </row>
    <row r="279" spans="1:1" x14ac:dyDescent="0.25">
      <c r="A279" s="531"/>
    </row>
    <row r="280" spans="1:1" x14ac:dyDescent="0.25">
      <c r="A280" s="531"/>
    </row>
    <row r="281" spans="1:1" x14ac:dyDescent="0.25">
      <c r="A281" s="531"/>
    </row>
    <row r="282" spans="1:1" x14ac:dyDescent="0.25">
      <c r="A282" s="531"/>
    </row>
    <row r="283" spans="1:1" x14ac:dyDescent="0.25">
      <c r="A283" s="531"/>
    </row>
    <row r="284" spans="1:1" x14ac:dyDescent="0.25">
      <c r="A284" s="531"/>
    </row>
    <row r="285" spans="1:1" x14ac:dyDescent="0.25">
      <c r="A285" s="531"/>
    </row>
    <row r="286" spans="1:1" x14ac:dyDescent="0.25">
      <c r="A286" s="531"/>
    </row>
    <row r="287" spans="1:1" x14ac:dyDescent="0.25">
      <c r="A287" s="531"/>
    </row>
    <row r="288" spans="1:1" x14ac:dyDescent="0.25">
      <c r="A288" s="531"/>
    </row>
    <row r="289" spans="1:1" x14ac:dyDescent="0.25">
      <c r="A289" s="531"/>
    </row>
    <row r="290" spans="1:1" x14ac:dyDescent="0.25">
      <c r="A290" s="531"/>
    </row>
    <row r="291" spans="1:1" x14ac:dyDescent="0.25">
      <c r="A291" s="531"/>
    </row>
    <row r="292" spans="1:1" x14ac:dyDescent="0.25">
      <c r="A292" s="531"/>
    </row>
    <row r="293" spans="1:1" x14ac:dyDescent="0.25">
      <c r="A293" s="531"/>
    </row>
    <row r="294" spans="1:1" x14ac:dyDescent="0.25">
      <c r="A294" s="531"/>
    </row>
    <row r="295" spans="1:1" x14ac:dyDescent="0.25">
      <c r="A295" s="531"/>
    </row>
    <row r="296" spans="1:1" x14ac:dyDescent="0.25">
      <c r="A296" s="531"/>
    </row>
    <row r="297" spans="1:1" x14ac:dyDescent="0.25">
      <c r="A297" s="531"/>
    </row>
    <row r="298" spans="1:1" x14ac:dyDescent="0.25">
      <c r="A298" s="531"/>
    </row>
    <row r="299" spans="1:1" x14ac:dyDescent="0.25">
      <c r="A299" s="531"/>
    </row>
    <row r="300" spans="1:1" x14ac:dyDescent="0.25">
      <c r="A300" s="531"/>
    </row>
    <row r="301" spans="1:1" x14ac:dyDescent="0.25">
      <c r="A301" s="531"/>
    </row>
    <row r="302" spans="1:1" x14ac:dyDescent="0.25">
      <c r="A302" s="531"/>
    </row>
    <row r="303" spans="1:1" x14ac:dyDescent="0.25">
      <c r="A303" s="531"/>
    </row>
    <row r="304" spans="1:1" x14ac:dyDescent="0.25">
      <c r="A304" s="531"/>
    </row>
    <row r="305" spans="1:1" x14ac:dyDescent="0.25">
      <c r="A305" s="531"/>
    </row>
    <row r="306" spans="1:1" x14ac:dyDescent="0.25">
      <c r="A306" s="531"/>
    </row>
    <row r="307" spans="1:1" x14ac:dyDescent="0.25">
      <c r="A307" s="531"/>
    </row>
    <row r="308" spans="1:1" x14ac:dyDescent="0.25">
      <c r="A308" s="531"/>
    </row>
    <row r="309" spans="1:1" x14ac:dyDescent="0.25">
      <c r="A309" s="531"/>
    </row>
    <row r="310" spans="1:1" x14ac:dyDescent="0.25">
      <c r="A310" s="531"/>
    </row>
    <row r="311" spans="1:1" x14ac:dyDescent="0.25">
      <c r="A311" s="531"/>
    </row>
    <row r="312" spans="1:1" x14ac:dyDescent="0.25">
      <c r="A312" s="531"/>
    </row>
    <row r="313" spans="1:1" x14ac:dyDescent="0.25">
      <c r="A313" s="531"/>
    </row>
    <row r="314" spans="1:1" x14ac:dyDescent="0.25">
      <c r="A314" s="531"/>
    </row>
    <row r="315" spans="1:1" x14ac:dyDescent="0.25">
      <c r="A315" s="531"/>
    </row>
    <row r="316" spans="1:1" x14ac:dyDescent="0.25">
      <c r="A316" s="531"/>
    </row>
    <row r="317" spans="1:1" x14ac:dyDescent="0.25">
      <c r="A317" s="531"/>
    </row>
    <row r="318" spans="1:1" x14ac:dyDescent="0.25">
      <c r="A318" s="531"/>
    </row>
    <row r="319" spans="1:1" x14ac:dyDescent="0.25">
      <c r="A319" s="531"/>
    </row>
    <row r="320" spans="1:1" x14ac:dyDescent="0.25">
      <c r="A320" s="531"/>
    </row>
    <row r="321" spans="1:1" x14ac:dyDescent="0.25">
      <c r="A321" s="531"/>
    </row>
    <row r="322" spans="1:1" x14ac:dyDescent="0.25">
      <c r="A322" s="531"/>
    </row>
    <row r="323" spans="1:1" x14ac:dyDescent="0.25">
      <c r="A323" s="531"/>
    </row>
    <row r="324" spans="1:1" x14ac:dyDescent="0.25">
      <c r="A324" s="531"/>
    </row>
    <row r="325" spans="1:1" x14ac:dyDescent="0.25">
      <c r="A325" s="531"/>
    </row>
    <row r="326" spans="1:1" x14ac:dyDescent="0.25">
      <c r="A326" s="531"/>
    </row>
    <row r="327" spans="1:1" x14ac:dyDescent="0.25">
      <c r="A327" s="531"/>
    </row>
    <row r="328" spans="1:1" x14ac:dyDescent="0.25">
      <c r="A328" s="531"/>
    </row>
    <row r="329" spans="1:1" x14ac:dyDescent="0.25">
      <c r="A329" s="531"/>
    </row>
    <row r="330" spans="1:1" x14ac:dyDescent="0.25">
      <c r="A330" s="531"/>
    </row>
    <row r="331" spans="1:1" x14ac:dyDescent="0.25">
      <c r="A331" s="531"/>
    </row>
    <row r="332" spans="1:1" x14ac:dyDescent="0.25">
      <c r="A332" s="531"/>
    </row>
    <row r="333" spans="1:1" x14ac:dyDescent="0.25">
      <c r="A333" s="531"/>
    </row>
    <row r="334" spans="1:1" x14ac:dyDescent="0.25">
      <c r="A334" s="531"/>
    </row>
    <row r="335" spans="1:1" x14ac:dyDescent="0.25">
      <c r="A335" s="531"/>
    </row>
    <row r="336" spans="1:1" x14ac:dyDescent="0.25">
      <c r="A336" s="531"/>
    </row>
    <row r="337" spans="1:1" x14ac:dyDescent="0.25">
      <c r="A337" s="531"/>
    </row>
    <row r="338" spans="1:1" x14ac:dyDescent="0.25">
      <c r="A338" s="531"/>
    </row>
    <row r="339" spans="1:1" x14ac:dyDescent="0.25">
      <c r="A339" s="531"/>
    </row>
    <row r="340" spans="1:1" x14ac:dyDescent="0.25">
      <c r="A340" s="531"/>
    </row>
    <row r="341" spans="1:1" x14ac:dyDescent="0.25">
      <c r="A341" s="531"/>
    </row>
    <row r="342" spans="1:1" x14ac:dyDescent="0.25">
      <c r="A342" s="531"/>
    </row>
    <row r="343" spans="1:1" x14ac:dyDescent="0.25">
      <c r="A343" s="531"/>
    </row>
    <row r="344" spans="1:1" x14ac:dyDescent="0.25">
      <c r="A344" s="531"/>
    </row>
    <row r="345" spans="1:1" x14ac:dyDescent="0.25">
      <c r="A345" s="531"/>
    </row>
    <row r="346" spans="1:1" x14ac:dyDescent="0.25">
      <c r="A346" s="531"/>
    </row>
    <row r="347" spans="1:1" x14ac:dyDescent="0.25">
      <c r="A347" s="531"/>
    </row>
    <row r="348" spans="1:1" x14ac:dyDescent="0.25">
      <c r="A348" s="531"/>
    </row>
    <row r="349" spans="1:1" x14ac:dyDescent="0.25">
      <c r="A349" s="531"/>
    </row>
    <row r="350" spans="1:1" x14ac:dyDescent="0.25">
      <c r="A350" s="531"/>
    </row>
    <row r="351" spans="1:1" x14ac:dyDescent="0.25">
      <c r="A351" s="531"/>
    </row>
    <row r="352" spans="1:1" x14ac:dyDescent="0.25">
      <c r="A352" s="531"/>
    </row>
    <row r="353" spans="1:1" x14ac:dyDescent="0.25">
      <c r="A353" s="531"/>
    </row>
    <row r="354" spans="1:1" x14ac:dyDescent="0.25">
      <c r="A354" s="531"/>
    </row>
    <row r="355" spans="1:1" x14ac:dyDescent="0.25">
      <c r="A355" s="531"/>
    </row>
    <row r="356" spans="1:1" x14ac:dyDescent="0.25">
      <c r="A356" s="531"/>
    </row>
    <row r="357" spans="1:1" x14ac:dyDescent="0.25">
      <c r="A357" s="531"/>
    </row>
    <row r="358" spans="1:1" x14ac:dyDescent="0.25">
      <c r="A358" s="531"/>
    </row>
    <row r="359" spans="1:1" x14ac:dyDescent="0.25">
      <c r="A359" s="531"/>
    </row>
    <row r="360" spans="1:1" x14ac:dyDescent="0.25">
      <c r="A360" s="531"/>
    </row>
    <row r="361" spans="1:1" x14ac:dyDescent="0.25">
      <c r="A361" s="531"/>
    </row>
    <row r="362" spans="1:1" x14ac:dyDescent="0.25">
      <c r="A362" s="531"/>
    </row>
    <row r="363" spans="1:1" x14ac:dyDescent="0.25">
      <c r="A363" s="531"/>
    </row>
    <row r="364" spans="1:1" x14ac:dyDescent="0.25">
      <c r="A364" s="531"/>
    </row>
    <row r="365" spans="1:1" x14ac:dyDescent="0.25">
      <c r="A365" s="531"/>
    </row>
    <row r="366" spans="1:1" x14ac:dyDescent="0.25">
      <c r="A366" s="531"/>
    </row>
    <row r="367" spans="1:1" x14ac:dyDescent="0.25">
      <c r="A367" s="531"/>
    </row>
    <row r="368" spans="1:1" x14ac:dyDescent="0.25">
      <c r="A368" s="531"/>
    </row>
    <row r="369" spans="1:1" x14ac:dyDescent="0.25">
      <c r="A369" s="531"/>
    </row>
    <row r="370" spans="1:1" x14ac:dyDescent="0.25">
      <c r="A370" s="531"/>
    </row>
    <row r="371" spans="1:1" x14ac:dyDescent="0.25">
      <c r="A371" s="531"/>
    </row>
    <row r="372" spans="1:1" x14ac:dyDescent="0.25">
      <c r="A372" s="531"/>
    </row>
    <row r="373" spans="1:1" x14ac:dyDescent="0.25">
      <c r="A373" s="531"/>
    </row>
    <row r="374" spans="1:1" x14ac:dyDescent="0.25">
      <c r="A374" s="531"/>
    </row>
    <row r="375" spans="1:1" x14ac:dyDescent="0.25">
      <c r="A375" s="531"/>
    </row>
    <row r="376" spans="1:1" x14ac:dyDescent="0.25">
      <c r="A376" s="531"/>
    </row>
    <row r="377" spans="1:1" x14ac:dyDescent="0.25">
      <c r="A377" s="531"/>
    </row>
    <row r="378" spans="1:1" x14ac:dyDescent="0.25">
      <c r="A378" s="531"/>
    </row>
    <row r="379" spans="1:1" x14ac:dyDescent="0.25">
      <c r="A379" s="531"/>
    </row>
    <row r="380" spans="1:1" x14ac:dyDescent="0.25">
      <c r="A380" s="531"/>
    </row>
    <row r="381" spans="1:1" x14ac:dyDescent="0.25">
      <c r="A381" s="531"/>
    </row>
    <row r="382" spans="1:1" x14ac:dyDescent="0.25">
      <c r="A382" s="531"/>
    </row>
    <row r="383" spans="1:1" x14ac:dyDescent="0.25">
      <c r="A383" s="531"/>
    </row>
    <row r="384" spans="1:1" x14ac:dyDescent="0.25">
      <c r="A384" s="531"/>
    </row>
    <row r="385" spans="1:1" x14ac:dyDescent="0.25">
      <c r="A385" s="531"/>
    </row>
    <row r="386" spans="1:1" x14ac:dyDescent="0.25">
      <c r="A386" s="531"/>
    </row>
    <row r="387" spans="1:1" x14ac:dyDescent="0.25">
      <c r="A387" s="531"/>
    </row>
    <row r="388" spans="1:1" x14ac:dyDescent="0.25">
      <c r="A388" s="531"/>
    </row>
    <row r="389" spans="1:1" x14ac:dyDescent="0.25">
      <c r="A389" s="531"/>
    </row>
    <row r="390" spans="1:1" x14ac:dyDescent="0.25">
      <c r="A390" s="531"/>
    </row>
    <row r="391" spans="1:1" x14ac:dyDescent="0.25">
      <c r="A391" s="531"/>
    </row>
    <row r="392" spans="1:1" x14ac:dyDescent="0.25">
      <c r="A392" s="531"/>
    </row>
    <row r="393" spans="1:1" x14ac:dyDescent="0.25">
      <c r="A393" s="531"/>
    </row>
    <row r="394" spans="1:1" x14ac:dyDescent="0.25">
      <c r="A394" s="531"/>
    </row>
    <row r="395" spans="1:1" x14ac:dyDescent="0.25">
      <c r="A395" s="531"/>
    </row>
    <row r="396" spans="1:1" x14ac:dyDescent="0.25">
      <c r="A396" s="531"/>
    </row>
    <row r="397" spans="1:1" x14ac:dyDescent="0.25">
      <c r="A397" s="531"/>
    </row>
    <row r="398" spans="1:1" x14ac:dyDescent="0.25">
      <c r="A398" s="531"/>
    </row>
    <row r="399" spans="1:1" x14ac:dyDescent="0.25">
      <c r="A399" s="531"/>
    </row>
    <row r="400" spans="1:1" x14ac:dyDescent="0.25">
      <c r="A400" s="531"/>
    </row>
    <row r="401" spans="1:1" x14ac:dyDescent="0.25">
      <c r="A401" s="531"/>
    </row>
    <row r="402" spans="1:1" x14ac:dyDescent="0.25">
      <c r="A402" s="531"/>
    </row>
    <row r="403" spans="1:1" x14ac:dyDescent="0.25">
      <c r="A403" s="531"/>
    </row>
    <row r="404" spans="1:1" x14ac:dyDescent="0.25">
      <c r="A404" s="531"/>
    </row>
    <row r="405" spans="1:1" x14ac:dyDescent="0.25">
      <c r="A405" s="531"/>
    </row>
    <row r="406" spans="1:1" x14ac:dyDescent="0.25">
      <c r="A406" s="531"/>
    </row>
    <row r="407" spans="1:1" x14ac:dyDescent="0.25">
      <c r="A407" s="531"/>
    </row>
    <row r="408" spans="1:1" x14ac:dyDescent="0.25">
      <c r="A408" s="531"/>
    </row>
    <row r="409" spans="1:1" x14ac:dyDescent="0.25">
      <c r="A409" s="531"/>
    </row>
    <row r="410" spans="1:1" x14ac:dyDescent="0.25">
      <c r="A410" s="531"/>
    </row>
    <row r="411" spans="1:1" x14ac:dyDescent="0.25">
      <c r="A411" s="531"/>
    </row>
    <row r="412" spans="1:1" x14ac:dyDescent="0.25">
      <c r="A412" s="531"/>
    </row>
    <row r="413" spans="1:1" x14ac:dyDescent="0.25">
      <c r="A413" s="531"/>
    </row>
    <row r="414" spans="1:1" x14ac:dyDescent="0.25">
      <c r="A414" s="531"/>
    </row>
    <row r="415" spans="1:1" x14ac:dyDescent="0.25">
      <c r="A415" s="531"/>
    </row>
    <row r="416" spans="1:1" x14ac:dyDescent="0.25">
      <c r="A416" s="531"/>
    </row>
    <row r="417" spans="1:1" x14ac:dyDescent="0.25">
      <c r="A417" s="531"/>
    </row>
    <row r="418" spans="1:1" x14ac:dyDescent="0.25">
      <c r="A418" s="531"/>
    </row>
    <row r="419" spans="1:1" x14ac:dyDescent="0.25">
      <c r="A419" s="531"/>
    </row>
    <row r="420" spans="1:1" x14ac:dyDescent="0.25">
      <c r="A420" s="531"/>
    </row>
    <row r="421" spans="1:1" x14ac:dyDescent="0.25">
      <c r="A421" s="531"/>
    </row>
    <row r="422" spans="1:1" x14ac:dyDescent="0.25">
      <c r="A422" s="531"/>
    </row>
    <row r="423" spans="1:1" x14ac:dyDescent="0.25">
      <c r="A423" s="531"/>
    </row>
    <row r="424" spans="1:1" x14ac:dyDescent="0.25">
      <c r="A424" s="531"/>
    </row>
    <row r="425" spans="1:1" x14ac:dyDescent="0.25">
      <c r="A425" s="531"/>
    </row>
    <row r="426" spans="1:1" x14ac:dyDescent="0.25">
      <c r="A426" s="531"/>
    </row>
    <row r="427" spans="1:1" x14ac:dyDescent="0.25">
      <c r="A427" s="531"/>
    </row>
    <row r="428" spans="1:1" x14ac:dyDescent="0.25">
      <c r="A428" s="531"/>
    </row>
    <row r="429" spans="1:1" x14ac:dyDescent="0.25">
      <c r="A429" s="531"/>
    </row>
    <row r="430" spans="1:1" x14ac:dyDescent="0.25">
      <c r="A430" s="531"/>
    </row>
    <row r="431" spans="1:1" x14ac:dyDescent="0.25">
      <c r="A431" s="531"/>
    </row>
    <row r="432" spans="1:1" x14ac:dyDescent="0.25">
      <c r="A432" s="531"/>
    </row>
    <row r="433" spans="1:1" x14ac:dyDescent="0.25">
      <c r="A433" s="531"/>
    </row>
    <row r="434" spans="1:1" x14ac:dyDescent="0.25">
      <c r="A434" s="531"/>
    </row>
    <row r="435" spans="1:1" x14ac:dyDescent="0.25">
      <c r="A435" s="531"/>
    </row>
    <row r="436" spans="1:1" x14ac:dyDescent="0.25">
      <c r="A436" s="531"/>
    </row>
    <row r="437" spans="1:1" x14ac:dyDescent="0.25">
      <c r="A437" s="531"/>
    </row>
    <row r="438" spans="1:1" x14ac:dyDescent="0.25">
      <c r="A438" s="531"/>
    </row>
    <row r="439" spans="1:1" x14ac:dyDescent="0.25">
      <c r="A439" s="531"/>
    </row>
    <row r="440" spans="1:1" x14ac:dyDescent="0.25">
      <c r="A440" s="531"/>
    </row>
    <row r="441" spans="1:1" x14ac:dyDescent="0.25">
      <c r="A441" s="531"/>
    </row>
    <row r="442" spans="1:1" x14ac:dyDescent="0.25">
      <c r="A442" s="531"/>
    </row>
    <row r="443" spans="1:1" x14ac:dyDescent="0.25">
      <c r="A443" s="531"/>
    </row>
    <row r="444" spans="1:1" x14ac:dyDescent="0.25">
      <c r="A444" s="531"/>
    </row>
    <row r="445" spans="1:1" x14ac:dyDescent="0.25">
      <c r="A445" s="531"/>
    </row>
    <row r="446" spans="1:1" x14ac:dyDescent="0.25">
      <c r="A446" s="531"/>
    </row>
    <row r="447" spans="1:1" x14ac:dyDescent="0.25">
      <c r="A447" s="531"/>
    </row>
    <row r="448" spans="1:1" x14ac:dyDescent="0.25">
      <c r="A448" s="531"/>
    </row>
    <row r="449" spans="1:1" x14ac:dyDescent="0.25">
      <c r="A449" s="531"/>
    </row>
    <row r="450" spans="1:1" x14ac:dyDescent="0.25">
      <c r="A450" s="531"/>
    </row>
    <row r="451" spans="1:1" x14ac:dyDescent="0.25">
      <c r="A451" s="531"/>
    </row>
    <row r="452" spans="1:1" x14ac:dyDescent="0.25">
      <c r="A452" s="531"/>
    </row>
    <row r="453" spans="1:1" x14ac:dyDescent="0.25">
      <c r="A453" s="531"/>
    </row>
    <row r="454" spans="1:1" x14ac:dyDescent="0.25">
      <c r="A454" s="531"/>
    </row>
    <row r="455" spans="1:1" x14ac:dyDescent="0.25">
      <c r="A455" s="531"/>
    </row>
    <row r="456" spans="1:1" x14ac:dyDescent="0.25">
      <c r="A456" s="531"/>
    </row>
    <row r="457" spans="1:1" x14ac:dyDescent="0.25">
      <c r="A457" s="531"/>
    </row>
    <row r="458" spans="1:1" x14ac:dyDescent="0.25">
      <c r="A458" s="531"/>
    </row>
    <row r="459" spans="1:1" x14ac:dyDescent="0.25">
      <c r="A459" s="531"/>
    </row>
    <row r="460" spans="1:1" x14ac:dyDescent="0.25">
      <c r="A460" s="531"/>
    </row>
    <row r="461" spans="1:1" x14ac:dyDescent="0.25">
      <c r="A461" s="531"/>
    </row>
    <row r="462" spans="1:1" x14ac:dyDescent="0.25">
      <c r="A462" s="531"/>
    </row>
    <row r="463" spans="1:1" x14ac:dyDescent="0.25">
      <c r="A463" s="531"/>
    </row>
    <row r="464" spans="1:1" x14ac:dyDescent="0.25">
      <c r="A464" s="531"/>
    </row>
    <row r="465" spans="1:1" x14ac:dyDescent="0.25">
      <c r="A465" s="531"/>
    </row>
    <row r="466" spans="1:1" x14ac:dyDescent="0.25">
      <c r="A466" s="531"/>
    </row>
    <row r="467" spans="1:1" x14ac:dyDescent="0.25">
      <c r="A467" s="531"/>
    </row>
    <row r="468" spans="1:1" x14ac:dyDescent="0.25">
      <c r="A468" s="531"/>
    </row>
    <row r="469" spans="1:1" x14ac:dyDescent="0.25">
      <c r="A469" s="531"/>
    </row>
    <row r="470" spans="1:1" x14ac:dyDescent="0.25">
      <c r="A470" s="531"/>
    </row>
    <row r="471" spans="1:1" x14ac:dyDescent="0.25">
      <c r="A471" s="531"/>
    </row>
    <row r="472" spans="1:1" x14ac:dyDescent="0.25">
      <c r="A472" s="531"/>
    </row>
    <row r="473" spans="1:1" x14ac:dyDescent="0.25">
      <c r="A473" s="531"/>
    </row>
    <row r="474" spans="1:1" x14ac:dyDescent="0.25">
      <c r="A474" s="531"/>
    </row>
    <row r="475" spans="1:1" x14ac:dyDescent="0.25">
      <c r="A475" s="531"/>
    </row>
    <row r="476" spans="1:1" x14ac:dyDescent="0.25">
      <c r="A476" s="531"/>
    </row>
    <row r="477" spans="1:1" x14ac:dyDescent="0.25">
      <c r="A477" s="531"/>
    </row>
    <row r="478" spans="1:1" x14ac:dyDescent="0.25">
      <c r="A478" s="531"/>
    </row>
    <row r="479" spans="1:1" x14ac:dyDescent="0.25">
      <c r="A479" s="531"/>
    </row>
    <row r="480" spans="1:1" x14ac:dyDescent="0.25">
      <c r="A480" s="531"/>
    </row>
    <row r="481" spans="1:1" x14ac:dyDescent="0.25">
      <c r="A481" s="531"/>
    </row>
    <row r="482" spans="1:1" x14ac:dyDescent="0.25">
      <c r="A482" s="531"/>
    </row>
    <row r="483" spans="1:1" x14ac:dyDescent="0.25">
      <c r="A483" s="531"/>
    </row>
    <row r="484" spans="1:1" x14ac:dyDescent="0.25">
      <c r="A484" s="531"/>
    </row>
    <row r="485" spans="1:1" x14ac:dyDescent="0.25">
      <c r="A485" s="531"/>
    </row>
    <row r="486" spans="1:1" x14ac:dyDescent="0.25">
      <c r="A486" s="531"/>
    </row>
    <row r="487" spans="1:1" x14ac:dyDescent="0.25">
      <c r="A487" s="531"/>
    </row>
    <row r="488" spans="1:1" x14ac:dyDescent="0.25">
      <c r="A488" s="531"/>
    </row>
    <row r="489" spans="1:1" x14ac:dyDescent="0.25">
      <c r="A489" s="531"/>
    </row>
    <row r="490" spans="1:1" x14ac:dyDescent="0.25">
      <c r="A490" s="531"/>
    </row>
    <row r="491" spans="1:1" x14ac:dyDescent="0.25">
      <c r="A491" s="531"/>
    </row>
    <row r="492" spans="1:1" x14ac:dyDescent="0.25">
      <c r="A492" s="531"/>
    </row>
    <row r="493" spans="1:1" x14ac:dyDescent="0.25">
      <c r="A493" s="531"/>
    </row>
    <row r="494" spans="1:1" x14ac:dyDescent="0.25">
      <c r="A494" s="531"/>
    </row>
    <row r="495" spans="1:1" x14ac:dyDescent="0.25">
      <c r="A495" s="531"/>
    </row>
    <row r="496" spans="1:1" x14ac:dyDescent="0.25">
      <c r="A496" s="531"/>
    </row>
    <row r="497" spans="1:1" x14ac:dyDescent="0.25">
      <c r="A497" s="531"/>
    </row>
    <row r="498" spans="1:1" x14ac:dyDescent="0.25">
      <c r="A498" s="531"/>
    </row>
    <row r="499" spans="1:1" x14ac:dyDescent="0.25">
      <c r="A499" s="531"/>
    </row>
    <row r="500" spans="1:1" x14ac:dyDescent="0.25">
      <c r="A500" s="531"/>
    </row>
    <row r="501" spans="1:1" x14ac:dyDescent="0.25">
      <c r="A501" s="531"/>
    </row>
    <row r="502" spans="1:1" x14ac:dyDescent="0.25">
      <c r="A502" s="531"/>
    </row>
    <row r="503" spans="1:1" x14ac:dyDescent="0.25">
      <c r="A503" s="531"/>
    </row>
    <row r="504" spans="1:1" x14ac:dyDescent="0.25">
      <c r="A504" s="531"/>
    </row>
    <row r="505" spans="1:1" x14ac:dyDescent="0.25">
      <c r="A505" s="531"/>
    </row>
    <row r="506" spans="1:1" x14ac:dyDescent="0.25">
      <c r="A506" s="531"/>
    </row>
    <row r="507" spans="1:1" x14ac:dyDescent="0.25">
      <c r="A507" s="531"/>
    </row>
    <row r="508" spans="1:1" x14ac:dyDescent="0.25">
      <c r="A508" s="531"/>
    </row>
    <row r="509" spans="1:1" x14ac:dyDescent="0.25">
      <c r="A509" s="531"/>
    </row>
    <row r="510" spans="1:1" x14ac:dyDescent="0.25">
      <c r="A510" s="531"/>
    </row>
    <row r="511" spans="1:1" x14ac:dyDescent="0.25">
      <c r="A511" s="531"/>
    </row>
    <row r="512" spans="1:1" x14ac:dyDescent="0.25">
      <c r="A512" s="531"/>
    </row>
    <row r="513" spans="1:1" x14ac:dyDescent="0.25">
      <c r="A513" s="531"/>
    </row>
    <row r="514" spans="1:1" x14ac:dyDescent="0.25">
      <c r="A514" s="531"/>
    </row>
    <row r="515" spans="1:1" x14ac:dyDescent="0.25">
      <c r="A515" s="531"/>
    </row>
    <row r="516" spans="1:1" x14ac:dyDescent="0.25">
      <c r="A516" s="531"/>
    </row>
    <row r="517" spans="1:1" x14ac:dyDescent="0.25">
      <c r="A517" s="531"/>
    </row>
    <row r="518" spans="1:1" x14ac:dyDescent="0.25">
      <c r="A518" s="531"/>
    </row>
    <row r="519" spans="1:1" x14ac:dyDescent="0.25">
      <c r="A519" s="531"/>
    </row>
    <row r="520" spans="1:1" x14ac:dyDescent="0.25">
      <c r="A520" s="531"/>
    </row>
    <row r="521" spans="1:1" x14ac:dyDescent="0.25">
      <c r="A521" s="531"/>
    </row>
    <row r="522" spans="1:1" x14ac:dyDescent="0.25">
      <c r="A522" s="531"/>
    </row>
    <row r="523" spans="1:1" x14ac:dyDescent="0.25">
      <c r="A523" s="531"/>
    </row>
    <row r="524" spans="1:1" x14ac:dyDescent="0.25">
      <c r="A524" s="531"/>
    </row>
    <row r="525" spans="1:1" x14ac:dyDescent="0.25">
      <c r="A525" s="531"/>
    </row>
    <row r="526" spans="1:1" x14ac:dyDescent="0.25">
      <c r="A526" s="531"/>
    </row>
    <row r="527" spans="1:1" x14ac:dyDescent="0.25">
      <c r="A527" s="531"/>
    </row>
    <row r="528" spans="1:1" x14ac:dyDescent="0.25">
      <c r="A528" s="531"/>
    </row>
    <row r="529" spans="1:1" x14ac:dyDescent="0.25">
      <c r="A529" s="531"/>
    </row>
    <row r="530" spans="1:1" x14ac:dyDescent="0.25">
      <c r="A530" s="531"/>
    </row>
    <row r="531" spans="1:1" x14ac:dyDescent="0.25">
      <c r="A531" s="531"/>
    </row>
    <row r="532" spans="1:1" x14ac:dyDescent="0.25">
      <c r="A532" s="531"/>
    </row>
    <row r="533" spans="1:1" x14ac:dyDescent="0.25">
      <c r="A533" s="531"/>
    </row>
    <row r="534" spans="1:1" x14ac:dyDescent="0.25">
      <c r="A534" s="531"/>
    </row>
    <row r="535" spans="1:1" x14ac:dyDescent="0.25">
      <c r="A535" s="531"/>
    </row>
    <row r="536" spans="1:1" x14ac:dyDescent="0.25">
      <c r="A536" s="531"/>
    </row>
    <row r="537" spans="1:1" x14ac:dyDescent="0.25">
      <c r="A537" s="531"/>
    </row>
    <row r="538" spans="1:1" x14ac:dyDescent="0.25">
      <c r="A538" s="531"/>
    </row>
    <row r="539" spans="1:1" x14ac:dyDescent="0.25">
      <c r="A539" s="531"/>
    </row>
    <row r="540" spans="1:1" x14ac:dyDescent="0.25">
      <c r="A540" s="531"/>
    </row>
    <row r="541" spans="1:1" x14ac:dyDescent="0.25">
      <c r="A541" s="531"/>
    </row>
    <row r="542" spans="1:1" x14ac:dyDescent="0.25">
      <c r="A542" s="531"/>
    </row>
    <row r="543" spans="1:1" x14ac:dyDescent="0.25">
      <c r="A543" s="531"/>
    </row>
    <row r="544" spans="1:1" x14ac:dyDescent="0.25">
      <c r="A544" s="531"/>
    </row>
    <row r="545" spans="1:1" x14ac:dyDescent="0.25">
      <c r="A545" s="531"/>
    </row>
    <row r="546" spans="1:1" x14ac:dyDescent="0.25">
      <c r="A546" s="531"/>
    </row>
    <row r="547" spans="1:1" x14ac:dyDescent="0.25">
      <c r="A547" s="531"/>
    </row>
    <row r="548" spans="1:1" x14ac:dyDescent="0.25">
      <c r="A548" s="531"/>
    </row>
    <row r="549" spans="1:1" x14ac:dyDescent="0.25">
      <c r="A549" s="531"/>
    </row>
    <row r="550" spans="1:1" x14ac:dyDescent="0.25">
      <c r="A550" s="531"/>
    </row>
    <row r="551" spans="1:1" x14ac:dyDescent="0.25">
      <c r="A551" s="531"/>
    </row>
    <row r="552" spans="1:1" x14ac:dyDescent="0.25">
      <c r="A552" s="531"/>
    </row>
    <row r="553" spans="1:1" x14ac:dyDescent="0.25">
      <c r="A553" s="531"/>
    </row>
    <row r="554" spans="1:1" x14ac:dyDescent="0.25">
      <c r="A554" s="531"/>
    </row>
    <row r="555" spans="1:1" x14ac:dyDescent="0.25">
      <c r="A555" s="531"/>
    </row>
    <row r="556" spans="1:1" x14ac:dyDescent="0.25">
      <c r="A556" s="531"/>
    </row>
    <row r="557" spans="1:1" x14ac:dyDescent="0.25">
      <c r="A557" s="531"/>
    </row>
    <row r="558" spans="1:1" x14ac:dyDescent="0.25">
      <c r="A558" s="531"/>
    </row>
    <row r="559" spans="1:1" x14ac:dyDescent="0.25">
      <c r="A559" s="531"/>
    </row>
    <row r="560" spans="1:1" x14ac:dyDescent="0.25">
      <c r="A560" s="531"/>
    </row>
    <row r="561" spans="1:1" x14ac:dyDescent="0.25">
      <c r="A561" s="531"/>
    </row>
    <row r="562" spans="1:1" x14ac:dyDescent="0.25">
      <c r="A562" s="531"/>
    </row>
    <row r="563" spans="1:1" x14ac:dyDescent="0.25">
      <c r="A563" s="531"/>
    </row>
    <row r="564" spans="1:1" x14ac:dyDescent="0.25">
      <c r="A564" s="531"/>
    </row>
    <row r="565" spans="1:1" x14ac:dyDescent="0.25">
      <c r="A565" s="531"/>
    </row>
    <row r="566" spans="1:1" x14ac:dyDescent="0.25">
      <c r="A566" s="531"/>
    </row>
    <row r="567" spans="1:1" x14ac:dyDescent="0.25">
      <c r="A567" s="531"/>
    </row>
    <row r="568" spans="1:1" x14ac:dyDescent="0.25">
      <c r="A568" s="531"/>
    </row>
    <row r="569" spans="1:1" x14ac:dyDescent="0.25">
      <c r="A569" s="531"/>
    </row>
    <row r="570" spans="1:1" x14ac:dyDescent="0.25">
      <c r="A570" s="531"/>
    </row>
    <row r="571" spans="1:1" x14ac:dyDescent="0.25">
      <c r="A571" s="531"/>
    </row>
    <row r="572" spans="1:1" x14ac:dyDescent="0.25">
      <c r="A572" s="531"/>
    </row>
    <row r="573" spans="1:1" x14ac:dyDescent="0.25">
      <c r="A573" s="531"/>
    </row>
    <row r="574" spans="1:1" x14ac:dyDescent="0.25">
      <c r="A574" s="531"/>
    </row>
    <row r="575" spans="1:1" x14ac:dyDescent="0.25">
      <c r="A575" s="531"/>
    </row>
    <row r="576" spans="1:1" x14ac:dyDescent="0.25">
      <c r="A576" s="531"/>
    </row>
    <row r="577" spans="1:1" x14ac:dyDescent="0.25">
      <c r="A577" s="531"/>
    </row>
    <row r="578" spans="1:1" x14ac:dyDescent="0.25">
      <c r="A578" s="531"/>
    </row>
    <row r="579" spans="1:1" x14ac:dyDescent="0.25">
      <c r="A579" s="531"/>
    </row>
    <row r="580" spans="1:1" x14ac:dyDescent="0.25">
      <c r="A580" s="531"/>
    </row>
    <row r="581" spans="1:1" x14ac:dyDescent="0.25">
      <c r="A581" s="531"/>
    </row>
    <row r="582" spans="1:1" x14ac:dyDescent="0.25">
      <c r="A582" s="531"/>
    </row>
    <row r="583" spans="1:1" x14ac:dyDescent="0.25">
      <c r="A583" s="531"/>
    </row>
    <row r="584" spans="1:1" x14ac:dyDescent="0.25">
      <c r="A584" s="531"/>
    </row>
    <row r="585" spans="1:1" x14ac:dyDescent="0.25">
      <c r="A585" s="531"/>
    </row>
    <row r="586" spans="1:1" x14ac:dyDescent="0.25">
      <c r="A586" s="531"/>
    </row>
    <row r="587" spans="1:1" x14ac:dyDescent="0.25">
      <c r="A587" s="531"/>
    </row>
    <row r="588" spans="1:1" x14ac:dyDescent="0.25">
      <c r="A588" s="531"/>
    </row>
    <row r="589" spans="1:1" x14ac:dyDescent="0.25">
      <c r="A589" s="531"/>
    </row>
    <row r="590" spans="1:1" x14ac:dyDescent="0.25">
      <c r="A590" s="531"/>
    </row>
    <row r="591" spans="1:1" x14ac:dyDescent="0.25">
      <c r="A591" s="531"/>
    </row>
    <row r="592" spans="1:1" x14ac:dyDescent="0.25">
      <c r="A592" s="531"/>
    </row>
    <row r="593" spans="1:1" x14ac:dyDescent="0.25">
      <c r="A593" s="531"/>
    </row>
    <row r="594" spans="1:1" x14ac:dyDescent="0.25">
      <c r="A594" s="531"/>
    </row>
    <row r="595" spans="1:1" x14ac:dyDescent="0.25">
      <c r="A595" s="531"/>
    </row>
    <row r="596" spans="1:1" x14ac:dyDescent="0.25">
      <c r="A596" s="531"/>
    </row>
    <row r="597" spans="1:1" x14ac:dyDescent="0.25">
      <c r="A597" s="531"/>
    </row>
    <row r="598" spans="1:1" x14ac:dyDescent="0.25">
      <c r="A598" s="531"/>
    </row>
    <row r="599" spans="1:1" x14ac:dyDescent="0.25">
      <c r="A599" s="531"/>
    </row>
    <row r="600" spans="1:1" x14ac:dyDescent="0.25">
      <c r="A600" s="531"/>
    </row>
    <row r="601" spans="1:1" x14ac:dyDescent="0.25">
      <c r="A601" s="531"/>
    </row>
    <row r="602" spans="1:1" x14ac:dyDescent="0.25">
      <c r="A602" s="531"/>
    </row>
    <row r="603" spans="1:1" x14ac:dyDescent="0.25">
      <c r="A603" s="531"/>
    </row>
    <row r="604" spans="1:1" x14ac:dyDescent="0.25">
      <c r="A604" s="531"/>
    </row>
    <row r="605" spans="1:1" x14ac:dyDescent="0.25">
      <c r="A605" s="531"/>
    </row>
    <row r="606" spans="1:1" x14ac:dyDescent="0.25">
      <c r="A606" s="531"/>
    </row>
    <row r="607" spans="1:1" x14ac:dyDescent="0.25">
      <c r="A607" s="531"/>
    </row>
    <row r="608" spans="1:1" x14ac:dyDescent="0.25">
      <c r="A608" s="531"/>
    </row>
    <row r="609" spans="1:1" x14ac:dyDescent="0.25">
      <c r="A609" s="531"/>
    </row>
    <row r="610" spans="1:1" x14ac:dyDescent="0.25">
      <c r="A610" s="531"/>
    </row>
    <row r="611" spans="1:1" x14ac:dyDescent="0.25">
      <c r="A611" s="531"/>
    </row>
    <row r="612" spans="1:1" x14ac:dyDescent="0.25">
      <c r="A612" s="531"/>
    </row>
    <row r="613" spans="1:1" x14ac:dyDescent="0.25">
      <c r="A613" s="531"/>
    </row>
    <row r="614" spans="1:1" x14ac:dyDescent="0.25">
      <c r="A614" s="531"/>
    </row>
    <row r="615" spans="1:1" x14ac:dyDescent="0.25">
      <c r="A615" s="531"/>
    </row>
    <row r="616" spans="1:1" x14ac:dyDescent="0.25">
      <c r="A616" s="531"/>
    </row>
    <row r="617" spans="1:1" x14ac:dyDescent="0.25">
      <c r="A617" s="531"/>
    </row>
    <row r="618" spans="1:1" x14ac:dyDescent="0.25">
      <c r="A618" s="531"/>
    </row>
    <row r="619" spans="1:1" x14ac:dyDescent="0.25">
      <c r="A619" s="531"/>
    </row>
    <row r="620" spans="1:1" x14ac:dyDescent="0.25">
      <c r="A620" s="531"/>
    </row>
    <row r="621" spans="1:1" x14ac:dyDescent="0.25">
      <c r="A621" s="531"/>
    </row>
    <row r="622" spans="1:1" x14ac:dyDescent="0.25">
      <c r="A622" s="531"/>
    </row>
    <row r="623" spans="1:1" x14ac:dyDescent="0.25">
      <c r="A623" s="531"/>
    </row>
    <row r="624" spans="1:1" x14ac:dyDescent="0.25">
      <c r="A624" s="531"/>
    </row>
    <row r="625" spans="1:1" x14ac:dyDescent="0.25">
      <c r="A625" s="531"/>
    </row>
    <row r="626" spans="1:1" x14ac:dyDescent="0.25">
      <c r="A626" s="531"/>
    </row>
    <row r="627" spans="1:1" x14ac:dyDescent="0.25">
      <c r="A627" s="531"/>
    </row>
    <row r="628" spans="1:1" x14ac:dyDescent="0.25">
      <c r="A628" s="531"/>
    </row>
    <row r="629" spans="1:1" x14ac:dyDescent="0.25">
      <c r="A629" s="531"/>
    </row>
    <row r="630" spans="1:1" x14ac:dyDescent="0.25">
      <c r="A630" s="531"/>
    </row>
    <row r="631" spans="1:1" x14ac:dyDescent="0.25">
      <c r="A631" s="531"/>
    </row>
    <row r="632" spans="1:1" x14ac:dyDescent="0.25">
      <c r="A632" s="531"/>
    </row>
    <row r="633" spans="1:1" x14ac:dyDescent="0.25">
      <c r="A633" s="531"/>
    </row>
    <row r="634" spans="1:1" x14ac:dyDescent="0.25">
      <c r="A634" s="531"/>
    </row>
    <row r="635" spans="1:1" x14ac:dyDescent="0.25">
      <c r="A635" s="531"/>
    </row>
    <row r="636" spans="1:1" x14ac:dyDescent="0.25">
      <c r="A636" s="531"/>
    </row>
    <row r="637" spans="1:1" x14ac:dyDescent="0.25">
      <c r="A637" s="531"/>
    </row>
    <row r="638" spans="1:1" x14ac:dyDescent="0.25">
      <c r="A638" s="531"/>
    </row>
    <row r="639" spans="1:1" x14ac:dyDescent="0.25">
      <c r="A639" s="531"/>
    </row>
    <row r="640" spans="1:1" x14ac:dyDescent="0.25">
      <c r="A640" s="531"/>
    </row>
    <row r="641" spans="1:1" x14ac:dyDescent="0.25">
      <c r="A641" s="531"/>
    </row>
    <row r="642" spans="1:1" x14ac:dyDescent="0.25">
      <c r="A642" s="531"/>
    </row>
    <row r="643" spans="1:1" x14ac:dyDescent="0.25">
      <c r="A643" s="531"/>
    </row>
    <row r="644" spans="1:1" x14ac:dyDescent="0.25">
      <c r="A644" s="531"/>
    </row>
    <row r="645" spans="1:1" x14ac:dyDescent="0.25">
      <c r="A645" s="531"/>
    </row>
    <row r="646" spans="1:1" x14ac:dyDescent="0.25">
      <c r="A646" s="531"/>
    </row>
    <row r="647" spans="1:1" x14ac:dyDescent="0.25">
      <c r="A647" s="531"/>
    </row>
    <row r="648" spans="1:1" x14ac:dyDescent="0.25">
      <c r="A648" s="531"/>
    </row>
    <row r="649" spans="1:1" x14ac:dyDescent="0.25">
      <c r="A649" s="531"/>
    </row>
    <row r="650" spans="1:1" x14ac:dyDescent="0.25">
      <c r="A650" s="531"/>
    </row>
    <row r="651" spans="1:1" x14ac:dyDescent="0.25">
      <c r="A651" s="531"/>
    </row>
    <row r="652" spans="1:1" x14ac:dyDescent="0.25">
      <c r="A652" s="531"/>
    </row>
    <row r="653" spans="1:1" x14ac:dyDescent="0.25">
      <c r="A653" s="531"/>
    </row>
    <row r="654" spans="1:1" x14ac:dyDescent="0.25">
      <c r="A654" s="531"/>
    </row>
    <row r="655" spans="1:1" x14ac:dyDescent="0.25">
      <c r="A655" s="531"/>
    </row>
    <row r="656" spans="1:1" x14ac:dyDescent="0.25">
      <c r="A656" s="531"/>
    </row>
    <row r="657" spans="1:1" x14ac:dyDescent="0.25">
      <c r="A657" s="531"/>
    </row>
    <row r="658" spans="1:1" x14ac:dyDescent="0.25">
      <c r="A658" s="531"/>
    </row>
    <row r="659" spans="1:1" x14ac:dyDescent="0.25">
      <c r="A659" s="531"/>
    </row>
    <row r="660" spans="1:1" x14ac:dyDescent="0.25">
      <c r="A660" s="531"/>
    </row>
    <row r="661" spans="1:1" x14ac:dyDescent="0.25">
      <c r="A661" s="531"/>
    </row>
    <row r="662" spans="1:1" x14ac:dyDescent="0.25">
      <c r="A662" s="531"/>
    </row>
    <row r="663" spans="1:1" x14ac:dyDescent="0.25">
      <c r="A663" s="531"/>
    </row>
    <row r="664" spans="1:1" x14ac:dyDescent="0.25">
      <c r="A664" s="531"/>
    </row>
    <row r="665" spans="1:1" x14ac:dyDescent="0.25">
      <c r="A665" s="531"/>
    </row>
    <row r="666" spans="1:1" x14ac:dyDescent="0.25">
      <c r="A666" s="531"/>
    </row>
    <row r="667" spans="1:1" x14ac:dyDescent="0.25">
      <c r="A667" s="531"/>
    </row>
    <row r="668" spans="1:1" x14ac:dyDescent="0.25">
      <c r="A668" s="531"/>
    </row>
    <row r="669" spans="1:1" x14ac:dyDescent="0.25">
      <c r="A669" s="531"/>
    </row>
    <row r="670" spans="1:1" x14ac:dyDescent="0.25">
      <c r="A670" s="531"/>
    </row>
    <row r="671" spans="1:1" x14ac:dyDescent="0.25">
      <c r="A671" s="531"/>
    </row>
    <row r="672" spans="1:1" x14ac:dyDescent="0.25">
      <c r="A672" s="531"/>
    </row>
    <row r="673" spans="1:1" x14ac:dyDescent="0.25">
      <c r="A673" s="531"/>
    </row>
    <row r="674" spans="1:1" x14ac:dyDescent="0.25">
      <c r="A674" s="531"/>
    </row>
    <row r="675" spans="1:1" x14ac:dyDescent="0.25">
      <c r="A675" s="531"/>
    </row>
    <row r="676" spans="1:1" x14ac:dyDescent="0.25">
      <c r="A676" s="531"/>
    </row>
    <row r="677" spans="1:1" x14ac:dyDescent="0.25">
      <c r="A677" s="531"/>
    </row>
    <row r="678" spans="1:1" x14ac:dyDescent="0.25">
      <c r="A678" s="531"/>
    </row>
    <row r="679" spans="1:1" x14ac:dyDescent="0.25">
      <c r="A679" s="531"/>
    </row>
    <row r="680" spans="1:1" x14ac:dyDescent="0.25">
      <c r="A680" s="531"/>
    </row>
    <row r="681" spans="1:1" x14ac:dyDescent="0.25">
      <c r="A681" s="531"/>
    </row>
    <row r="682" spans="1:1" x14ac:dyDescent="0.25">
      <c r="A682" s="531"/>
    </row>
    <row r="683" spans="1:1" x14ac:dyDescent="0.25">
      <c r="A683" s="531"/>
    </row>
    <row r="684" spans="1:1" x14ac:dyDescent="0.25">
      <c r="A684" s="531"/>
    </row>
    <row r="685" spans="1:1" x14ac:dyDescent="0.25">
      <c r="A685" s="531"/>
    </row>
    <row r="686" spans="1:1" x14ac:dyDescent="0.25">
      <c r="A686" s="531"/>
    </row>
    <row r="687" spans="1:1" x14ac:dyDescent="0.25">
      <c r="A687" s="531"/>
    </row>
    <row r="688" spans="1:1" x14ac:dyDescent="0.25">
      <c r="A688" s="531"/>
    </row>
    <row r="689" spans="1:1" x14ac:dyDescent="0.25">
      <c r="A689" s="531"/>
    </row>
    <row r="690" spans="1:1" x14ac:dyDescent="0.25">
      <c r="A690" s="531"/>
    </row>
    <row r="691" spans="1:1" x14ac:dyDescent="0.25">
      <c r="A691" s="531"/>
    </row>
    <row r="692" spans="1:1" x14ac:dyDescent="0.25">
      <c r="A692" s="531"/>
    </row>
    <row r="693" spans="1:1" x14ac:dyDescent="0.25">
      <c r="A693" s="531"/>
    </row>
    <row r="694" spans="1:1" x14ac:dyDescent="0.25">
      <c r="A694" s="531"/>
    </row>
    <row r="695" spans="1:1" x14ac:dyDescent="0.25">
      <c r="A695" s="531"/>
    </row>
    <row r="696" spans="1:1" x14ac:dyDescent="0.25">
      <c r="A696" s="531"/>
    </row>
    <row r="697" spans="1:1" x14ac:dyDescent="0.25">
      <c r="A697" s="531"/>
    </row>
    <row r="698" spans="1:1" x14ac:dyDescent="0.25">
      <c r="A698" s="531"/>
    </row>
    <row r="699" spans="1:1" x14ac:dyDescent="0.25">
      <c r="A699" s="531"/>
    </row>
    <row r="700" spans="1:1" x14ac:dyDescent="0.25">
      <c r="A700" s="531"/>
    </row>
    <row r="701" spans="1:1" x14ac:dyDescent="0.25">
      <c r="A701" s="531"/>
    </row>
    <row r="702" spans="1:1" x14ac:dyDescent="0.25">
      <c r="A702" s="531"/>
    </row>
    <row r="703" spans="1:1" x14ac:dyDescent="0.25">
      <c r="A703" s="531"/>
    </row>
    <row r="704" spans="1:1" x14ac:dyDescent="0.25">
      <c r="A704" s="531"/>
    </row>
    <row r="705" spans="1:1" x14ac:dyDescent="0.25">
      <c r="A705" s="531"/>
    </row>
    <row r="706" spans="1:1" x14ac:dyDescent="0.25">
      <c r="A706" s="531"/>
    </row>
    <row r="707" spans="1:1" x14ac:dyDescent="0.25">
      <c r="A707" s="531"/>
    </row>
    <row r="708" spans="1:1" x14ac:dyDescent="0.25">
      <c r="A708" s="531"/>
    </row>
    <row r="709" spans="1:1" x14ac:dyDescent="0.25">
      <c r="A709" s="531"/>
    </row>
    <row r="710" spans="1:1" x14ac:dyDescent="0.25">
      <c r="A710" s="531"/>
    </row>
    <row r="711" spans="1:1" x14ac:dyDescent="0.25">
      <c r="A711" s="531"/>
    </row>
    <row r="712" spans="1:1" x14ac:dyDescent="0.25">
      <c r="A712" s="531"/>
    </row>
    <row r="713" spans="1:1" x14ac:dyDescent="0.25">
      <c r="A713" s="531"/>
    </row>
    <row r="714" spans="1:1" x14ac:dyDescent="0.25">
      <c r="A714" s="531"/>
    </row>
    <row r="715" spans="1:1" x14ac:dyDescent="0.25">
      <c r="A715" s="531"/>
    </row>
    <row r="716" spans="1:1" x14ac:dyDescent="0.25">
      <c r="A716" s="531"/>
    </row>
    <row r="717" spans="1:1" x14ac:dyDescent="0.25">
      <c r="A717" s="531"/>
    </row>
    <row r="718" spans="1:1" x14ac:dyDescent="0.25">
      <c r="A718" s="531"/>
    </row>
    <row r="719" spans="1:1" x14ac:dyDescent="0.25">
      <c r="A719" s="531"/>
    </row>
    <row r="720" spans="1:1" x14ac:dyDescent="0.25">
      <c r="A720" s="531"/>
    </row>
    <row r="721" spans="1:1" x14ac:dyDescent="0.25">
      <c r="A721" s="531"/>
    </row>
    <row r="722" spans="1:1" x14ac:dyDescent="0.25">
      <c r="A722" s="531"/>
    </row>
    <row r="723" spans="1:1" x14ac:dyDescent="0.25">
      <c r="A723" s="531"/>
    </row>
    <row r="724" spans="1:1" x14ac:dyDescent="0.25">
      <c r="A724" s="531"/>
    </row>
    <row r="725" spans="1:1" x14ac:dyDescent="0.25">
      <c r="A725" s="531"/>
    </row>
    <row r="726" spans="1:1" x14ac:dyDescent="0.25">
      <c r="A726" s="531"/>
    </row>
    <row r="727" spans="1:1" x14ac:dyDescent="0.25">
      <c r="A727" s="531"/>
    </row>
    <row r="728" spans="1:1" x14ac:dyDescent="0.25">
      <c r="A728" s="531"/>
    </row>
    <row r="729" spans="1:1" x14ac:dyDescent="0.25">
      <c r="A729" s="531"/>
    </row>
    <row r="730" spans="1:1" x14ac:dyDescent="0.25">
      <c r="A730" s="531"/>
    </row>
    <row r="731" spans="1:1" x14ac:dyDescent="0.25">
      <c r="A731" s="531"/>
    </row>
    <row r="732" spans="1:1" x14ac:dyDescent="0.25">
      <c r="A732" s="531"/>
    </row>
    <row r="733" spans="1:1" x14ac:dyDescent="0.25">
      <c r="A733" s="531"/>
    </row>
    <row r="734" spans="1:1" x14ac:dyDescent="0.25">
      <c r="A734" s="531"/>
    </row>
    <row r="735" spans="1:1" x14ac:dyDescent="0.25">
      <c r="A735" s="531"/>
    </row>
    <row r="736" spans="1:1" x14ac:dyDescent="0.25">
      <c r="A736" s="531"/>
    </row>
    <row r="737" spans="1:1" x14ac:dyDescent="0.25">
      <c r="A737" s="531"/>
    </row>
    <row r="738" spans="1:1" x14ac:dyDescent="0.25">
      <c r="A738" s="531"/>
    </row>
    <row r="739" spans="1:1" x14ac:dyDescent="0.25">
      <c r="A739" s="531"/>
    </row>
    <row r="740" spans="1:1" x14ac:dyDescent="0.25">
      <c r="A740" s="531"/>
    </row>
    <row r="741" spans="1:1" x14ac:dyDescent="0.25">
      <c r="A741" s="531"/>
    </row>
    <row r="742" spans="1:1" x14ac:dyDescent="0.25">
      <c r="A742" s="531"/>
    </row>
    <row r="743" spans="1:1" x14ac:dyDescent="0.25">
      <c r="A743" s="531"/>
    </row>
    <row r="744" spans="1:1" x14ac:dyDescent="0.25">
      <c r="A744" s="531"/>
    </row>
    <row r="745" spans="1:1" x14ac:dyDescent="0.25">
      <c r="A745" s="531"/>
    </row>
    <row r="746" spans="1:1" x14ac:dyDescent="0.25">
      <c r="A746" s="531"/>
    </row>
    <row r="747" spans="1:1" x14ac:dyDescent="0.25">
      <c r="A747" s="531"/>
    </row>
    <row r="748" spans="1:1" x14ac:dyDescent="0.25">
      <c r="A748" s="531"/>
    </row>
    <row r="749" spans="1:1" x14ac:dyDescent="0.25">
      <c r="A749" s="531"/>
    </row>
    <row r="750" spans="1:1" x14ac:dyDescent="0.25">
      <c r="A750" s="531"/>
    </row>
    <row r="751" spans="1:1" x14ac:dyDescent="0.25">
      <c r="A751" s="531"/>
    </row>
    <row r="752" spans="1:1" x14ac:dyDescent="0.25">
      <c r="A752" s="531"/>
    </row>
    <row r="753" spans="1:1" x14ac:dyDescent="0.25">
      <c r="A753" s="531"/>
    </row>
    <row r="754" spans="1:1" x14ac:dyDescent="0.25">
      <c r="A754" s="531"/>
    </row>
    <row r="755" spans="1:1" x14ac:dyDescent="0.25">
      <c r="A755" s="531"/>
    </row>
    <row r="756" spans="1:1" x14ac:dyDescent="0.25">
      <c r="A756" s="531"/>
    </row>
    <row r="757" spans="1:1" x14ac:dyDescent="0.25">
      <c r="A757" s="531"/>
    </row>
    <row r="758" spans="1:1" x14ac:dyDescent="0.25">
      <c r="A758" s="531"/>
    </row>
    <row r="759" spans="1:1" x14ac:dyDescent="0.25">
      <c r="A759" s="531"/>
    </row>
    <row r="760" spans="1:1" x14ac:dyDescent="0.25">
      <c r="A760" s="531"/>
    </row>
    <row r="761" spans="1:1" x14ac:dyDescent="0.25">
      <c r="A761" s="531"/>
    </row>
    <row r="762" spans="1:1" x14ac:dyDescent="0.25">
      <c r="A762" s="531"/>
    </row>
    <row r="763" spans="1:1" x14ac:dyDescent="0.25">
      <c r="A763" s="531"/>
    </row>
    <row r="764" spans="1:1" x14ac:dyDescent="0.25">
      <c r="A764" s="531"/>
    </row>
    <row r="765" spans="1:1" x14ac:dyDescent="0.25">
      <c r="A765" s="531"/>
    </row>
    <row r="766" spans="1:1" x14ac:dyDescent="0.25">
      <c r="A766" s="531"/>
    </row>
    <row r="767" spans="1:1" x14ac:dyDescent="0.25">
      <c r="A767" s="531"/>
    </row>
    <row r="768" spans="1:1" x14ac:dyDescent="0.25">
      <c r="A768" s="531"/>
    </row>
    <row r="769" spans="1:1" x14ac:dyDescent="0.25">
      <c r="A769" s="531"/>
    </row>
    <row r="770" spans="1:1" x14ac:dyDescent="0.25">
      <c r="A770" s="531"/>
    </row>
    <row r="771" spans="1:1" x14ac:dyDescent="0.25">
      <c r="A771" s="531"/>
    </row>
    <row r="772" spans="1:1" x14ac:dyDescent="0.25">
      <c r="A772" s="531"/>
    </row>
    <row r="773" spans="1:1" x14ac:dyDescent="0.25">
      <c r="A773" s="531"/>
    </row>
    <row r="774" spans="1:1" x14ac:dyDescent="0.25">
      <c r="A774" s="531"/>
    </row>
    <row r="775" spans="1:1" x14ac:dyDescent="0.25">
      <c r="A775" s="531"/>
    </row>
    <row r="776" spans="1:1" x14ac:dyDescent="0.25">
      <c r="A776" s="531"/>
    </row>
    <row r="777" spans="1:1" x14ac:dyDescent="0.25">
      <c r="A777" s="531"/>
    </row>
    <row r="778" spans="1:1" x14ac:dyDescent="0.25">
      <c r="A778" s="531"/>
    </row>
    <row r="779" spans="1:1" x14ac:dyDescent="0.25">
      <c r="A779" s="531"/>
    </row>
    <row r="780" spans="1:1" x14ac:dyDescent="0.25">
      <c r="A780" s="531"/>
    </row>
    <row r="781" spans="1:1" x14ac:dyDescent="0.25">
      <c r="A781" s="531"/>
    </row>
    <row r="782" spans="1:1" x14ac:dyDescent="0.25">
      <c r="A782" s="531"/>
    </row>
    <row r="783" spans="1:1" x14ac:dyDescent="0.25">
      <c r="A783" s="531"/>
    </row>
    <row r="784" spans="1:1" x14ac:dyDescent="0.25">
      <c r="A784" s="531"/>
    </row>
    <row r="785" spans="1:1" x14ac:dyDescent="0.25">
      <c r="A785" s="531"/>
    </row>
    <row r="786" spans="1:1" x14ac:dyDescent="0.25">
      <c r="A786" s="531"/>
    </row>
    <row r="787" spans="1:1" x14ac:dyDescent="0.25">
      <c r="A787" s="531"/>
    </row>
    <row r="788" spans="1:1" x14ac:dyDescent="0.25">
      <c r="A788" s="531"/>
    </row>
    <row r="789" spans="1:1" x14ac:dyDescent="0.25">
      <c r="A789" s="531"/>
    </row>
    <row r="790" spans="1:1" x14ac:dyDescent="0.25">
      <c r="A790" s="531"/>
    </row>
    <row r="791" spans="1:1" x14ac:dyDescent="0.25">
      <c r="A791" s="531"/>
    </row>
    <row r="792" spans="1:1" x14ac:dyDescent="0.25">
      <c r="A792" s="531"/>
    </row>
    <row r="793" spans="1:1" x14ac:dyDescent="0.25">
      <c r="A793" s="531"/>
    </row>
    <row r="794" spans="1:1" x14ac:dyDescent="0.25">
      <c r="A794" s="531"/>
    </row>
    <row r="795" spans="1:1" x14ac:dyDescent="0.25">
      <c r="A795" s="531"/>
    </row>
    <row r="796" spans="1:1" x14ac:dyDescent="0.25">
      <c r="A796" s="531"/>
    </row>
    <row r="797" spans="1:1" x14ac:dyDescent="0.25">
      <c r="A797" s="531"/>
    </row>
    <row r="798" spans="1:1" x14ac:dyDescent="0.25">
      <c r="A798" s="531"/>
    </row>
    <row r="799" spans="1:1" x14ac:dyDescent="0.25">
      <c r="A799" s="531"/>
    </row>
    <row r="800" spans="1:1" x14ac:dyDescent="0.25">
      <c r="A800" s="531"/>
    </row>
    <row r="801" spans="1:1" x14ac:dyDescent="0.25">
      <c r="A801" s="531"/>
    </row>
    <row r="802" spans="1:1" x14ac:dyDescent="0.25">
      <c r="A802" s="531"/>
    </row>
    <row r="803" spans="1:1" x14ac:dyDescent="0.25">
      <c r="A803" s="531"/>
    </row>
    <row r="804" spans="1:1" x14ac:dyDescent="0.25">
      <c r="A804" s="531"/>
    </row>
    <row r="805" spans="1:1" x14ac:dyDescent="0.25">
      <c r="A805" s="531"/>
    </row>
    <row r="806" spans="1:1" x14ac:dyDescent="0.25">
      <c r="A806" s="531"/>
    </row>
    <row r="807" spans="1:1" x14ac:dyDescent="0.25">
      <c r="A807" s="531"/>
    </row>
    <row r="808" spans="1:1" x14ac:dyDescent="0.25">
      <c r="A808" s="531"/>
    </row>
    <row r="809" spans="1:1" x14ac:dyDescent="0.25">
      <c r="A809" s="531"/>
    </row>
    <row r="810" spans="1:1" x14ac:dyDescent="0.25">
      <c r="A810" s="531"/>
    </row>
    <row r="811" spans="1:1" x14ac:dyDescent="0.25">
      <c r="A811" s="531"/>
    </row>
    <row r="812" spans="1:1" x14ac:dyDescent="0.25">
      <c r="A812" s="531"/>
    </row>
    <row r="813" spans="1:1" x14ac:dyDescent="0.25">
      <c r="A813" s="531"/>
    </row>
    <row r="814" spans="1:1" x14ac:dyDescent="0.25">
      <c r="A814" s="531"/>
    </row>
    <row r="815" spans="1:1" x14ac:dyDescent="0.25">
      <c r="A815" s="531"/>
    </row>
    <row r="816" spans="1:1" x14ac:dyDescent="0.25">
      <c r="A816" s="531"/>
    </row>
    <row r="817" spans="1:1" x14ac:dyDescent="0.25">
      <c r="A817" s="531"/>
    </row>
    <row r="818" spans="1:1" x14ac:dyDescent="0.25">
      <c r="A818" s="531"/>
    </row>
    <row r="819" spans="1:1" x14ac:dyDescent="0.25">
      <c r="A819" s="531"/>
    </row>
    <row r="820" spans="1:1" x14ac:dyDescent="0.25">
      <c r="A820" s="531"/>
    </row>
    <row r="821" spans="1:1" x14ac:dyDescent="0.25">
      <c r="A821" s="531"/>
    </row>
    <row r="822" spans="1:1" x14ac:dyDescent="0.25">
      <c r="A822" s="531"/>
    </row>
    <row r="823" spans="1:1" x14ac:dyDescent="0.25">
      <c r="A823" s="531"/>
    </row>
    <row r="824" spans="1:1" x14ac:dyDescent="0.25">
      <c r="A824" s="531"/>
    </row>
    <row r="825" spans="1:1" x14ac:dyDescent="0.25">
      <c r="A825" s="531"/>
    </row>
    <row r="826" spans="1:1" x14ac:dyDescent="0.25">
      <c r="A826" s="531"/>
    </row>
    <row r="827" spans="1:1" x14ac:dyDescent="0.25">
      <c r="A827" s="531"/>
    </row>
    <row r="828" spans="1:1" x14ac:dyDescent="0.25">
      <c r="A828" s="531"/>
    </row>
    <row r="829" spans="1:1" x14ac:dyDescent="0.25">
      <c r="A829" s="531"/>
    </row>
    <row r="830" spans="1:1" x14ac:dyDescent="0.25">
      <c r="A830" s="531"/>
    </row>
    <row r="831" spans="1:1" x14ac:dyDescent="0.25">
      <c r="A831" s="531"/>
    </row>
    <row r="832" spans="1:1" x14ac:dyDescent="0.25">
      <c r="A832" s="531"/>
    </row>
    <row r="833" spans="1:1" x14ac:dyDescent="0.25">
      <c r="A833" s="531"/>
    </row>
    <row r="834" spans="1:1" x14ac:dyDescent="0.25">
      <c r="A834" s="531"/>
    </row>
    <row r="835" spans="1:1" x14ac:dyDescent="0.25">
      <c r="A835" s="531"/>
    </row>
    <row r="836" spans="1:1" x14ac:dyDescent="0.25">
      <c r="A836" s="531"/>
    </row>
    <row r="837" spans="1:1" x14ac:dyDescent="0.25">
      <c r="A837" s="531"/>
    </row>
    <row r="838" spans="1:1" x14ac:dyDescent="0.25">
      <c r="A838" s="531"/>
    </row>
    <row r="839" spans="1:1" x14ac:dyDescent="0.25">
      <c r="A839" s="531"/>
    </row>
    <row r="840" spans="1:1" x14ac:dyDescent="0.25">
      <c r="A840" s="531"/>
    </row>
    <row r="841" spans="1:1" x14ac:dyDescent="0.25">
      <c r="A841" s="531"/>
    </row>
    <row r="842" spans="1:1" x14ac:dyDescent="0.25">
      <c r="A842" s="531"/>
    </row>
    <row r="843" spans="1:1" x14ac:dyDescent="0.25">
      <c r="A843" s="531"/>
    </row>
    <row r="844" spans="1:1" x14ac:dyDescent="0.25">
      <c r="A844" s="531"/>
    </row>
    <row r="845" spans="1:1" x14ac:dyDescent="0.25">
      <c r="A845" s="531"/>
    </row>
    <row r="846" spans="1:1" x14ac:dyDescent="0.25">
      <c r="A846" s="531"/>
    </row>
    <row r="847" spans="1:1" x14ac:dyDescent="0.25">
      <c r="A847" s="531"/>
    </row>
    <row r="848" spans="1:1" x14ac:dyDescent="0.25">
      <c r="A848" s="531"/>
    </row>
    <row r="849" spans="1:1" x14ac:dyDescent="0.25">
      <c r="A849" s="531"/>
    </row>
    <row r="850" spans="1:1" x14ac:dyDescent="0.25">
      <c r="A850" s="531"/>
    </row>
    <row r="851" spans="1:1" x14ac:dyDescent="0.25">
      <c r="A851" s="531"/>
    </row>
    <row r="852" spans="1:1" x14ac:dyDescent="0.25">
      <c r="A852" s="531"/>
    </row>
    <row r="853" spans="1:1" x14ac:dyDescent="0.25">
      <c r="A853" s="531"/>
    </row>
    <row r="854" spans="1:1" x14ac:dyDescent="0.25">
      <c r="A854" s="531"/>
    </row>
    <row r="855" spans="1:1" x14ac:dyDescent="0.25">
      <c r="A855" s="531"/>
    </row>
    <row r="856" spans="1:1" x14ac:dyDescent="0.25">
      <c r="A856" s="531"/>
    </row>
    <row r="857" spans="1:1" x14ac:dyDescent="0.25">
      <c r="A857" s="531"/>
    </row>
    <row r="858" spans="1:1" x14ac:dyDescent="0.25">
      <c r="A858" s="531"/>
    </row>
    <row r="859" spans="1:1" x14ac:dyDescent="0.25">
      <c r="A859" s="531"/>
    </row>
    <row r="860" spans="1:1" x14ac:dyDescent="0.25">
      <c r="A860" s="531"/>
    </row>
    <row r="861" spans="1:1" x14ac:dyDescent="0.25">
      <c r="A861" s="531"/>
    </row>
    <row r="862" spans="1:1" x14ac:dyDescent="0.25">
      <c r="A862" s="531"/>
    </row>
    <row r="863" spans="1:1" x14ac:dyDescent="0.25">
      <c r="A863" s="531"/>
    </row>
    <row r="864" spans="1:1" x14ac:dyDescent="0.25">
      <c r="A864" s="531"/>
    </row>
    <row r="865" spans="1:1" x14ac:dyDescent="0.25">
      <c r="A865" s="531"/>
    </row>
    <row r="866" spans="1:1" x14ac:dyDescent="0.25">
      <c r="A866" s="531"/>
    </row>
    <row r="867" spans="1:1" x14ac:dyDescent="0.25">
      <c r="A867" s="531"/>
    </row>
    <row r="868" spans="1:1" x14ac:dyDescent="0.25">
      <c r="A868" s="531"/>
    </row>
    <row r="869" spans="1:1" x14ac:dyDescent="0.25">
      <c r="A869" s="531"/>
    </row>
    <row r="870" spans="1:1" x14ac:dyDescent="0.25">
      <c r="A870" s="531"/>
    </row>
    <row r="871" spans="1:1" x14ac:dyDescent="0.25">
      <c r="A871" s="531"/>
    </row>
    <row r="872" spans="1:1" x14ac:dyDescent="0.25">
      <c r="A872" s="531"/>
    </row>
    <row r="873" spans="1:1" x14ac:dyDescent="0.25">
      <c r="A873" s="531"/>
    </row>
    <row r="874" spans="1:1" x14ac:dyDescent="0.25">
      <c r="A874" s="531"/>
    </row>
    <row r="875" spans="1:1" x14ac:dyDescent="0.25">
      <c r="A875" s="531"/>
    </row>
    <row r="876" spans="1:1" x14ac:dyDescent="0.25">
      <c r="A876" s="531"/>
    </row>
    <row r="877" spans="1:1" x14ac:dyDescent="0.25">
      <c r="A877" s="531"/>
    </row>
    <row r="878" spans="1:1" x14ac:dyDescent="0.25">
      <c r="A878" s="531"/>
    </row>
    <row r="879" spans="1:1" x14ac:dyDescent="0.25">
      <c r="A879" s="531"/>
    </row>
    <row r="880" spans="1:1" x14ac:dyDescent="0.25">
      <c r="A880" s="531"/>
    </row>
    <row r="881" spans="1:1" x14ac:dyDescent="0.25">
      <c r="A881" s="531"/>
    </row>
    <row r="882" spans="1:1" x14ac:dyDescent="0.25">
      <c r="A882" s="531"/>
    </row>
    <row r="883" spans="1:1" x14ac:dyDescent="0.25">
      <c r="A883" s="531"/>
    </row>
    <row r="884" spans="1:1" x14ac:dyDescent="0.25">
      <c r="A884" s="531"/>
    </row>
    <row r="885" spans="1:1" x14ac:dyDescent="0.25">
      <c r="A885" s="531"/>
    </row>
    <row r="886" spans="1:1" x14ac:dyDescent="0.25">
      <c r="A886" s="531"/>
    </row>
    <row r="887" spans="1:1" x14ac:dyDescent="0.25">
      <c r="A887" s="531"/>
    </row>
    <row r="888" spans="1:1" x14ac:dyDescent="0.25">
      <c r="A888" s="531"/>
    </row>
    <row r="889" spans="1:1" x14ac:dyDescent="0.25">
      <c r="A889" s="531"/>
    </row>
    <row r="890" spans="1:1" x14ac:dyDescent="0.25">
      <c r="A890" s="531"/>
    </row>
    <row r="891" spans="1:1" x14ac:dyDescent="0.25">
      <c r="A891" s="531"/>
    </row>
    <row r="892" spans="1:1" x14ac:dyDescent="0.25">
      <c r="A892" s="531"/>
    </row>
    <row r="893" spans="1:1" x14ac:dyDescent="0.25">
      <c r="A893" s="531"/>
    </row>
    <row r="894" spans="1:1" x14ac:dyDescent="0.25">
      <c r="A894" s="531"/>
    </row>
    <row r="895" spans="1:1" x14ac:dyDescent="0.25">
      <c r="A895" s="531"/>
    </row>
    <row r="896" spans="1:1" x14ac:dyDescent="0.25">
      <c r="A896" s="531"/>
    </row>
    <row r="897" spans="1:1" x14ac:dyDescent="0.25">
      <c r="A897" s="531"/>
    </row>
    <row r="898" spans="1:1" x14ac:dyDescent="0.25">
      <c r="A898" s="531"/>
    </row>
    <row r="899" spans="1:1" x14ac:dyDescent="0.25">
      <c r="A899" s="531"/>
    </row>
    <row r="900" spans="1:1" x14ac:dyDescent="0.25">
      <c r="A900" s="531"/>
    </row>
    <row r="901" spans="1:1" x14ac:dyDescent="0.25">
      <c r="A901" s="531"/>
    </row>
    <row r="902" spans="1:1" x14ac:dyDescent="0.25">
      <c r="A902" s="531"/>
    </row>
    <row r="903" spans="1:1" x14ac:dyDescent="0.25">
      <c r="A903" s="531"/>
    </row>
    <row r="904" spans="1:1" x14ac:dyDescent="0.25">
      <c r="A904" s="531"/>
    </row>
    <row r="905" spans="1:1" x14ac:dyDescent="0.25">
      <c r="A905" s="531"/>
    </row>
    <row r="906" spans="1:1" x14ac:dyDescent="0.25">
      <c r="A906" s="531"/>
    </row>
    <row r="907" spans="1:1" x14ac:dyDescent="0.25">
      <c r="A907" s="531"/>
    </row>
    <row r="908" spans="1:1" x14ac:dyDescent="0.25">
      <c r="A908" s="531"/>
    </row>
    <row r="909" spans="1:1" x14ac:dyDescent="0.25">
      <c r="A909" s="531"/>
    </row>
    <row r="910" spans="1:1" x14ac:dyDescent="0.25">
      <c r="A910" s="531"/>
    </row>
    <row r="911" spans="1:1" x14ac:dyDescent="0.25">
      <c r="A911" s="531"/>
    </row>
    <row r="912" spans="1:1" x14ac:dyDescent="0.25">
      <c r="A912" s="531"/>
    </row>
    <row r="913" spans="1:1" x14ac:dyDescent="0.25">
      <c r="A913" s="531"/>
    </row>
    <row r="914" spans="1:1" x14ac:dyDescent="0.25">
      <c r="A914" s="531"/>
    </row>
    <row r="915" spans="1:1" x14ac:dyDescent="0.25">
      <c r="A915" s="531"/>
    </row>
    <row r="916" spans="1:1" x14ac:dyDescent="0.25">
      <c r="A916" s="531"/>
    </row>
    <row r="917" spans="1:1" x14ac:dyDescent="0.25">
      <c r="A917" s="531"/>
    </row>
    <row r="918" spans="1:1" x14ac:dyDescent="0.25">
      <c r="A918" s="531"/>
    </row>
    <row r="919" spans="1:1" x14ac:dyDescent="0.25">
      <c r="A919" s="531"/>
    </row>
    <row r="920" spans="1:1" x14ac:dyDescent="0.25">
      <c r="A920" s="531"/>
    </row>
    <row r="921" spans="1:1" x14ac:dyDescent="0.25">
      <c r="A921" s="531"/>
    </row>
    <row r="922" spans="1:1" x14ac:dyDescent="0.25">
      <c r="A922" s="531"/>
    </row>
    <row r="923" spans="1:1" x14ac:dyDescent="0.25">
      <c r="A923" s="531"/>
    </row>
    <row r="924" spans="1:1" x14ac:dyDescent="0.25">
      <c r="A924" s="531"/>
    </row>
    <row r="925" spans="1:1" x14ac:dyDescent="0.25">
      <c r="A925" s="531"/>
    </row>
    <row r="926" spans="1:1" x14ac:dyDescent="0.25">
      <c r="A926" s="531"/>
    </row>
    <row r="927" spans="1:1" x14ac:dyDescent="0.25">
      <c r="A927" s="531"/>
    </row>
    <row r="928" spans="1:1" x14ac:dyDescent="0.25">
      <c r="A928" s="531"/>
    </row>
    <row r="929" spans="1:1" x14ac:dyDescent="0.25">
      <c r="A929" s="531"/>
    </row>
    <row r="930" spans="1:1" x14ac:dyDescent="0.25">
      <c r="A930" s="531"/>
    </row>
    <row r="931" spans="1:1" x14ac:dyDescent="0.25">
      <c r="A931" s="531"/>
    </row>
    <row r="932" spans="1:1" x14ac:dyDescent="0.25">
      <c r="A932" s="531"/>
    </row>
    <row r="933" spans="1:1" x14ac:dyDescent="0.25">
      <c r="A933" s="531"/>
    </row>
    <row r="934" spans="1:1" x14ac:dyDescent="0.25">
      <c r="A934" s="531"/>
    </row>
    <row r="935" spans="1:1" x14ac:dyDescent="0.25">
      <c r="A935" s="531"/>
    </row>
    <row r="936" spans="1:1" x14ac:dyDescent="0.25">
      <c r="A936" s="531"/>
    </row>
    <row r="937" spans="1:1" x14ac:dyDescent="0.25">
      <c r="A937" s="531"/>
    </row>
    <row r="938" spans="1:1" x14ac:dyDescent="0.25">
      <c r="A938" s="531"/>
    </row>
    <row r="939" spans="1:1" x14ac:dyDescent="0.25">
      <c r="A939" s="531"/>
    </row>
    <row r="940" spans="1:1" x14ac:dyDescent="0.25">
      <c r="A940" s="531"/>
    </row>
    <row r="941" spans="1:1" x14ac:dyDescent="0.25">
      <c r="A941" s="531"/>
    </row>
    <row r="942" spans="1:1" x14ac:dyDescent="0.25">
      <c r="A942" s="531"/>
    </row>
    <row r="943" spans="1:1" x14ac:dyDescent="0.25">
      <c r="A943" s="531"/>
    </row>
    <row r="944" spans="1:1" x14ac:dyDescent="0.25">
      <c r="A944" s="531"/>
    </row>
    <row r="945" spans="1:1" x14ac:dyDescent="0.25">
      <c r="A945" s="531"/>
    </row>
    <row r="946" spans="1:1" x14ac:dyDescent="0.25">
      <c r="A946" s="531"/>
    </row>
    <row r="947" spans="1:1" x14ac:dyDescent="0.25">
      <c r="A947" s="531"/>
    </row>
    <row r="948" spans="1:1" x14ac:dyDescent="0.25">
      <c r="A948" s="531"/>
    </row>
    <row r="949" spans="1:1" x14ac:dyDescent="0.25">
      <c r="A949" s="531"/>
    </row>
    <row r="950" spans="1:1" x14ac:dyDescent="0.25">
      <c r="A950" s="531"/>
    </row>
    <row r="951" spans="1:1" x14ac:dyDescent="0.25">
      <c r="A951" s="531"/>
    </row>
    <row r="952" spans="1:1" x14ac:dyDescent="0.25">
      <c r="A952" s="531"/>
    </row>
    <row r="953" spans="1:1" x14ac:dyDescent="0.25">
      <c r="A953" s="531"/>
    </row>
    <row r="954" spans="1:1" x14ac:dyDescent="0.25">
      <c r="A954" s="531"/>
    </row>
    <row r="955" spans="1:1" x14ac:dyDescent="0.25">
      <c r="A955" s="531"/>
    </row>
    <row r="956" spans="1:1" x14ac:dyDescent="0.25">
      <c r="A956" s="531"/>
    </row>
    <row r="957" spans="1:1" x14ac:dyDescent="0.25">
      <c r="A957" s="531"/>
    </row>
    <row r="958" spans="1:1" x14ac:dyDescent="0.25">
      <c r="A958" s="531"/>
    </row>
    <row r="959" spans="1:1" x14ac:dyDescent="0.25">
      <c r="A959" s="531"/>
    </row>
    <row r="960" spans="1:1" x14ac:dyDescent="0.25">
      <c r="A960" s="531"/>
    </row>
    <row r="961" spans="1:1" x14ac:dyDescent="0.25">
      <c r="A961" s="531"/>
    </row>
    <row r="962" spans="1:1" x14ac:dyDescent="0.25">
      <c r="A962" s="531"/>
    </row>
    <row r="963" spans="1:1" x14ac:dyDescent="0.25">
      <c r="A963" s="531"/>
    </row>
    <row r="964" spans="1:1" x14ac:dyDescent="0.25">
      <c r="A964" s="531"/>
    </row>
    <row r="965" spans="1:1" x14ac:dyDescent="0.25">
      <c r="A965" s="531"/>
    </row>
    <row r="966" spans="1:1" x14ac:dyDescent="0.25">
      <c r="A966" s="531"/>
    </row>
    <row r="967" spans="1:1" x14ac:dyDescent="0.25">
      <c r="A967" s="531"/>
    </row>
    <row r="968" spans="1:1" x14ac:dyDescent="0.25">
      <c r="A968" s="531"/>
    </row>
    <row r="969" spans="1:1" x14ac:dyDescent="0.25">
      <c r="A969" s="531"/>
    </row>
    <row r="970" spans="1:1" x14ac:dyDescent="0.25">
      <c r="A970" s="531"/>
    </row>
    <row r="971" spans="1:1" x14ac:dyDescent="0.25">
      <c r="A971" s="531"/>
    </row>
    <row r="972" spans="1:1" x14ac:dyDescent="0.25">
      <c r="A972" s="531"/>
    </row>
    <row r="973" spans="1:1" x14ac:dyDescent="0.25">
      <c r="A973" s="531"/>
    </row>
    <row r="974" spans="1:1" x14ac:dyDescent="0.25">
      <c r="A974" s="531"/>
    </row>
    <row r="975" spans="1:1" x14ac:dyDescent="0.25">
      <c r="A975" s="531"/>
    </row>
    <row r="976" spans="1:1" x14ac:dyDescent="0.25">
      <c r="A976" s="531"/>
    </row>
    <row r="977" spans="1:1" x14ac:dyDescent="0.25">
      <c r="A977" s="531"/>
    </row>
    <row r="978" spans="1:1" x14ac:dyDescent="0.25">
      <c r="A978" s="531"/>
    </row>
    <row r="979" spans="1:1" x14ac:dyDescent="0.25">
      <c r="A979" s="531"/>
    </row>
    <row r="980" spans="1:1" x14ac:dyDescent="0.25">
      <c r="A980" s="531"/>
    </row>
    <row r="981" spans="1:1" x14ac:dyDescent="0.25">
      <c r="A981" s="531"/>
    </row>
    <row r="982" spans="1:1" x14ac:dyDescent="0.25">
      <c r="A982" s="531"/>
    </row>
    <row r="983" spans="1:1" x14ac:dyDescent="0.25">
      <c r="A983" s="531"/>
    </row>
    <row r="984" spans="1:1" x14ac:dyDescent="0.25">
      <c r="A984" s="531"/>
    </row>
    <row r="985" spans="1:1" x14ac:dyDescent="0.25">
      <c r="A985" s="531"/>
    </row>
    <row r="986" spans="1:1" x14ac:dyDescent="0.25">
      <c r="A986" s="531"/>
    </row>
    <row r="987" spans="1:1" x14ac:dyDescent="0.25">
      <c r="A987" s="531"/>
    </row>
    <row r="988" spans="1:1" x14ac:dyDescent="0.25">
      <c r="A988" s="531"/>
    </row>
    <row r="989" spans="1:1" x14ac:dyDescent="0.25">
      <c r="A989" s="531"/>
    </row>
    <row r="990" spans="1:1" x14ac:dyDescent="0.25">
      <c r="A990" s="531"/>
    </row>
    <row r="991" spans="1:1" x14ac:dyDescent="0.25">
      <c r="A991" s="531"/>
    </row>
    <row r="992" spans="1:1" x14ac:dyDescent="0.25">
      <c r="A992" s="531"/>
    </row>
    <row r="993" spans="1:1" x14ac:dyDescent="0.25">
      <c r="A993" s="531"/>
    </row>
    <row r="994" spans="1:1" x14ac:dyDescent="0.25">
      <c r="A994" s="531"/>
    </row>
    <row r="995" spans="1:1" x14ac:dyDescent="0.25">
      <c r="A995" s="531"/>
    </row>
    <row r="996" spans="1:1" x14ac:dyDescent="0.25">
      <c r="A996" s="531"/>
    </row>
    <row r="997" spans="1:1" x14ac:dyDescent="0.25">
      <c r="A997" s="531"/>
    </row>
    <row r="998" spans="1:1" x14ac:dyDescent="0.25">
      <c r="A998" s="531"/>
    </row>
    <row r="999" spans="1:1" x14ac:dyDescent="0.25">
      <c r="A999" s="531"/>
    </row>
    <row r="1000" spans="1:1" x14ac:dyDescent="0.25">
      <c r="A1000" s="531"/>
    </row>
    <row r="1001" spans="1:1" x14ac:dyDescent="0.25">
      <c r="A1001" s="531"/>
    </row>
    <row r="1002" spans="1:1" x14ac:dyDescent="0.25">
      <c r="A1002" s="531"/>
    </row>
    <row r="1003" spans="1:1" x14ac:dyDescent="0.25">
      <c r="A1003" s="531"/>
    </row>
    <row r="1004" spans="1:1" x14ac:dyDescent="0.25">
      <c r="A1004" s="531"/>
    </row>
    <row r="1005" spans="1:1" x14ac:dyDescent="0.25">
      <c r="A1005" s="531"/>
    </row>
    <row r="1006" spans="1:1" x14ac:dyDescent="0.25">
      <c r="A1006" s="531"/>
    </row>
    <row r="1007" spans="1:1" x14ac:dyDescent="0.25">
      <c r="A1007" s="531"/>
    </row>
    <row r="1008" spans="1:1" x14ac:dyDescent="0.25">
      <c r="A1008" s="531"/>
    </row>
    <row r="1009" spans="1:1" x14ac:dyDescent="0.25">
      <c r="A1009" s="531"/>
    </row>
    <row r="1010" spans="1:1" x14ac:dyDescent="0.25">
      <c r="A1010" s="531"/>
    </row>
    <row r="1011" spans="1:1" x14ac:dyDescent="0.25">
      <c r="A1011" s="531"/>
    </row>
    <row r="1012" spans="1:1" x14ac:dyDescent="0.25">
      <c r="A1012" s="531"/>
    </row>
    <row r="1013" spans="1:1" x14ac:dyDescent="0.25">
      <c r="A1013" s="531"/>
    </row>
    <row r="1014" spans="1:1" x14ac:dyDescent="0.25">
      <c r="A1014" s="531"/>
    </row>
    <row r="1015" spans="1:1" x14ac:dyDescent="0.25">
      <c r="A1015" s="531"/>
    </row>
    <row r="1016" spans="1:1" x14ac:dyDescent="0.25">
      <c r="A1016" s="531"/>
    </row>
    <row r="1017" spans="1:1" x14ac:dyDescent="0.25">
      <c r="A1017" s="531"/>
    </row>
    <row r="1018" spans="1:1" x14ac:dyDescent="0.25">
      <c r="A1018" s="531"/>
    </row>
    <row r="1019" spans="1:1" x14ac:dyDescent="0.25">
      <c r="A1019" s="531"/>
    </row>
    <row r="1020" spans="1:1" x14ac:dyDescent="0.25">
      <c r="A1020" s="531"/>
    </row>
    <row r="1021" spans="1:1" x14ac:dyDescent="0.25">
      <c r="A1021" s="531"/>
    </row>
    <row r="1022" spans="1:1" x14ac:dyDescent="0.25">
      <c r="A1022" s="531"/>
    </row>
    <row r="1023" spans="1:1" x14ac:dyDescent="0.25">
      <c r="A1023" s="531"/>
    </row>
    <row r="1024" spans="1:1" x14ac:dyDescent="0.25">
      <c r="A1024" s="531"/>
    </row>
    <row r="1025" spans="1:1" x14ac:dyDescent="0.25">
      <c r="A1025" s="531"/>
    </row>
    <row r="1026" spans="1:1" x14ac:dyDescent="0.25">
      <c r="A1026" s="531"/>
    </row>
    <row r="1027" spans="1:1" x14ac:dyDescent="0.25">
      <c r="A1027" s="531"/>
    </row>
    <row r="1028" spans="1:1" x14ac:dyDescent="0.25">
      <c r="A1028" s="531"/>
    </row>
    <row r="1029" spans="1:1" x14ac:dyDescent="0.25">
      <c r="A1029" s="531"/>
    </row>
    <row r="1030" spans="1:1" x14ac:dyDescent="0.25">
      <c r="A1030" s="531"/>
    </row>
    <row r="1031" spans="1:1" x14ac:dyDescent="0.25">
      <c r="A1031" s="531"/>
    </row>
    <row r="1032" spans="1:1" x14ac:dyDescent="0.25">
      <c r="A1032" s="531"/>
    </row>
    <row r="1033" spans="1:1" x14ac:dyDescent="0.25">
      <c r="A1033" s="531"/>
    </row>
    <row r="1034" spans="1:1" x14ac:dyDescent="0.25">
      <c r="A1034" s="531"/>
    </row>
    <row r="1035" spans="1:1" x14ac:dyDescent="0.25">
      <c r="A1035" s="531"/>
    </row>
    <row r="1036" spans="1:1" x14ac:dyDescent="0.25">
      <c r="A1036" s="531"/>
    </row>
    <row r="1037" spans="1:1" x14ac:dyDescent="0.25">
      <c r="A1037" s="531"/>
    </row>
    <row r="1038" spans="1:1" x14ac:dyDescent="0.25">
      <c r="A1038" s="531"/>
    </row>
    <row r="1039" spans="1:1" x14ac:dyDescent="0.25">
      <c r="A1039" s="531"/>
    </row>
    <row r="1040" spans="1:1" x14ac:dyDescent="0.25">
      <c r="A1040" s="531"/>
    </row>
    <row r="1041" spans="1:1" x14ac:dyDescent="0.25">
      <c r="A1041" s="531"/>
    </row>
    <row r="1042" spans="1:1" x14ac:dyDescent="0.25">
      <c r="A1042" s="531"/>
    </row>
    <row r="1043" spans="1:1" x14ac:dyDescent="0.25">
      <c r="A1043" s="531"/>
    </row>
    <row r="1044" spans="1:1" x14ac:dyDescent="0.25">
      <c r="A1044" s="531"/>
    </row>
    <row r="1045" spans="1:1" x14ac:dyDescent="0.25">
      <c r="A1045" s="531"/>
    </row>
    <row r="1046" spans="1:1" x14ac:dyDescent="0.25">
      <c r="A1046" s="531"/>
    </row>
    <row r="1047" spans="1:1" x14ac:dyDescent="0.25">
      <c r="A1047" s="531"/>
    </row>
    <row r="1048" spans="1:1" x14ac:dyDescent="0.25">
      <c r="A1048" s="531"/>
    </row>
    <row r="1049" spans="1:1" x14ac:dyDescent="0.25">
      <c r="A1049" s="531"/>
    </row>
    <row r="1050" spans="1:1" x14ac:dyDescent="0.25">
      <c r="A1050" s="531"/>
    </row>
    <row r="1051" spans="1:1" x14ac:dyDescent="0.25">
      <c r="A1051" s="531"/>
    </row>
    <row r="1052" spans="1:1" x14ac:dyDescent="0.25">
      <c r="A1052" s="531"/>
    </row>
    <row r="1053" spans="1:1" x14ac:dyDescent="0.25">
      <c r="A1053" s="531"/>
    </row>
    <row r="1054" spans="1:1" x14ac:dyDescent="0.25">
      <c r="A1054" s="531"/>
    </row>
    <row r="1055" spans="1:1" x14ac:dyDescent="0.25">
      <c r="A1055" s="531"/>
    </row>
    <row r="1056" spans="1:1" x14ac:dyDescent="0.25">
      <c r="A1056" s="531"/>
    </row>
    <row r="1057" spans="1:1" x14ac:dyDescent="0.25">
      <c r="A1057" s="531"/>
    </row>
    <row r="1058" spans="1:1" x14ac:dyDescent="0.25">
      <c r="A1058" s="531"/>
    </row>
    <row r="1059" spans="1:1" x14ac:dyDescent="0.25">
      <c r="A1059" s="531"/>
    </row>
    <row r="1060" spans="1:1" x14ac:dyDescent="0.25">
      <c r="A1060" s="531"/>
    </row>
    <row r="1061" spans="1:1" x14ac:dyDescent="0.25">
      <c r="A1061" s="531"/>
    </row>
    <row r="1062" spans="1:1" x14ac:dyDescent="0.25">
      <c r="A1062" s="531"/>
    </row>
    <row r="1063" spans="1:1" x14ac:dyDescent="0.25">
      <c r="A1063" s="531"/>
    </row>
    <row r="1064" spans="1:1" x14ac:dyDescent="0.25">
      <c r="A1064" s="531"/>
    </row>
    <row r="1065" spans="1:1" x14ac:dyDescent="0.25">
      <c r="A1065" s="531"/>
    </row>
    <row r="1066" spans="1:1" x14ac:dyDescent="0.25">
      <c r="A1066" s="531"/>
    </row>
    <row r="1067" spans="1:1" x14ac:dyDescent="0.25">
      <c r="A1067" s="531"/>
    </row>
    <row r="1068" spans="1:1" x14ac:dyDescent="0.25">
      <c r="A1068" s="531"/>
    </row>
    <row r="1069" spans="1:1" x14ac:dyDescent="0.25">
      <c r="A1069" s="531"/>
    </row>
    <row r="1070" spans="1:1" x14ac:dyDescent="0.25">
      <c r="A1070" s="531"/>
    </row>
    <row r="1071" spans="1:1" x14ac:dyDescent="0.25">
      <c r="A1071" s="531"/>
    </row>
    <row r="1072" spans="1:1" x14ac:dyDescent="0.25">
      <c r="A1072" s="531"/>
    </row>
    <row r="1073" spans="1:1" x14ac:dyDescent="0.25">
      <c r="A1073" s="531"/>
    </row>
    <row r="1074" spans="1:1" x14ac:dyDescent="0.25">
      <c r="A1074" s="531"/>
    </row>
    <row r="1075" spans="1:1" x14ac:dyDescent="0.25">
      <c r="A1075" s="531"/>
    </row>
    <row r="1076" spans="1:1" x14ac:dyDescent="0.25">
      <c r="A1076" s="531"/>
    </row>
    <row r="1077" spans="1:1" x14ac:dyDescent="0.25">
      <c r="A1077" s="531"/>
    </row>
    <row r="1078" spans="1:1" x14ac:dyDescent="0.25">
      <c r="A1078" s="531"/>
    </row>
    <row r="1079" spans="1:1" x14ac:dyDescent="0.25">
      <c r="A1079" s="531"/>
    </row>
    <row r="1080" spans="1:1" x14ac:dyDescent="0.25">
      <c r="A1080" s="531"/>
    </row>
    <row r="1081" spans="1:1" x14ac:dyDescent="0.25">
      <c r="A1081" s="531"/>
    </row>
    <row r="1082" spans="1:1" x14ac:dyDescent="0.25">
      <c r="A1082" s="531"/>
    </row>
    <row r="1083" spans="1:1" x14ac:dyDescent="0.25">
      <c r="A1083" s="531"/>
    </row>
    <row r="1084" spans="1:1" x14ac:dyDescent="0.25">
      <c r="A1084" s="531"/>
    </row>
    <row r="1085" spans="1:1" x14ac:dyDescent="0.25">
      <c r="A1085" s="531"/>
    </row>
    <row r="1086" spans="1:1" x14ac:dyDescent="0.25">
      <c r="A1086" s="531"/>
    </row>
    <row r="1087" spans="1:1" x14ac:dyDescent="0.25">
      <c r="A1087" s="531"/>
    </row>
    <row r="1088" spans="1:1" x14ac:dyDescent="0.25">
      <c r="A1088" s="531"/>
    </row>
    <row r="1089" spans="1:1" x14ac:dyDescent="0.25">
      <c r="A1089" s="531"/>
    </row>
    <row r="1090" spans="1:1" x14ac:dyDescent="0.25">
      <c r="A1090" s="531"/>
    </row>
    <row r="1091" spans="1:1" x14ac:dyDescent="0.25">
      <c r="A1091" s="531"/>
    </row>
    <row r="1092" spans="1:1" x14ac:dyDescent="0.25">
      <c r="A1092" s="531"/>
    </row>
    <row r="1093" spans="1:1" x14ac:dyDescent="0.25">
      <c r="A1093" s="531"/>
    </row>
    <row r="1094" spans="1:1" x14ac:dyDescent="0.25">
      <c r="A1094" s="531"/>
    </row>
    <row r="1095" spans="1:1" x14ac:dyDescent="0.25">
      <c r="A1095" s="531"/>
    </row>
    <row r="1096" spans="1:1" x14ac:dyDescent="0.25">
      <c r="A1096" s="531"/>
    </row>
    <row r="1097" spans="1:1" x14ac:dyDescent="0.25">
      <c r="A1097" s="531"/>
    </row>
    <row r="1098" spans="1:1" x14ac:dyDescent="0.25">
      <c r="A1098" s="531"/>
    </row>
    <row r="1099" spans="1:1" x14ac:dyDescent="0.25">
      <c r="A1099" s="531"/>
    </row>
    <row r="1100" spans="1:1" x14ac:dyDescent="0.25">
      <c r="A1100" s="531"/>
    </row>
    <row r="1101" spans="1:1" x14ac:dyDescent="0.25">
      <c r="A1101" s="531"/>
    </row>
    <row r="1102" spans="1:1" x14ac:dyDescent="0.25">
      <c r="A1102" s="531"/>
    </row>
    <row r="1103" spans="1:1" x14ac:dyDescent="0.25">
      <c r="A1103" s="531"/>
    </row>
    <row r="1104" spans="1:1" x14ac:dyDescent="0.25">
      <c r="A1104" s="531"/>
    </row>
    <row r="1105" spans="1:1" x14ac:dyDescent="0.25">
      <c r="A1105" s="531"/>
    </row>
    <row r="1106" spans="1:1" x14ac:dyDescent="0.25">
      <c r="A1106" s="531"/>
    </row>
    <row r="1107" spans="1:1" x14ac:dyDescent="0.25">
      <c r="A1107" s="531"/>
    </row>
    <row r="1108" spans="1:1" x14ac:dyDescent="0.25">
      <c r="A1108" s="531"/>
    </row>
    <row r="1109" spans="1:1" x14ac:dyDescent="0.25">
      <c r="A1109" s="531"/>
    </row>
    <row r="1110" spans="1:1" x14ac:dyDescent="0.25">
      <c r="A1110" s="531"/>
    </row>
    <row r="1111" spans="1:1" x14ac:dyDescent="0.25">
      <c r="A1111" s="531"/>
    </row>
    <row r="1112" spans="1:1" x14ac:dyDescent="0.25">
      <c r="A1112" s="531"/>
    </row>
    <row r="1113" spans="1:1" x14ac:dyDescent="0.25">
      <c r="A1113" s="531"/>
    </row>
    <row r="1114" spans="1:1" x14ac:dyDescent="0.25">
      <c r="A1114" s="531"/>
    </row>
    <row r="1115" spans="1:1" x14ac:dyDescent="0.25">
      <c r="A1115" s="531"/>
    </row>
    <row r="1116" spans="1:1" x14ac:dyDescent="0.25">
      <c r="A1116" s="531"/>
    </row>
    <row r="1117" spans="1:1" x14ac:dyDescent="0.25">
      <c r="A1117" s="531"/>
    </row>
    <row r="1118" spans="1:1" x14ac:dyDescent="0.25">
      <c r="A1118" s="531"/>
    </row>
    <row r="1119" spans="1:1" x14ac:dyDescent="0.25">
      <c r="A1119" s="531"/>
    </row>
    <row r="1120" spans="1:1" x14ac:dyDescent="0.25">
      <c r="A1120" s="531"/>
    </row>
    <row r="1121" spans="1:1" x14ac:dyDescent="0.25">
      <c r="A1121" s="531"/>
    </row>
    <row r="1122" spans="1:1" x14ac:dyDescent="0.25">
      <c r="A1122" s="531"/>
    </row>
    <row r="1123" spans="1:1" x14ac:dyDescent="0.25">
      <c r="A1123" s="531"/>
    </row>
    <row r="1124" spans="1:1" x14ac:dyDescent="0.25">
      <c r="A1124" s="531"/>
    </row>
    <row r="1125" spans="1:1" x14ac:dyDescent="0.25">
      <c r="A1125" s="531"/>
    </row>
    <row r="1126" spans="1:1" x14ac:dyDescent="0.25">
      <c r="A1126" s="531"/>
    </row>
    <row r="1127" spans="1:1" x14ac:dyDescent="0.25">
      <c r="A1127" s="531"/>
    </row>
    <row r="1128" spans="1:1" x14ac:dyDescent="0.25">
      <c r="A1128" s="531"/>
    </row>
    <row r="1129" spans="1:1" x14ac:dyDescent="0.25">
      <c r="A1129" s="531"/>
    </row>
    <row r="1130" spans="1:1" x14ac:dyDescent="0.25">
      <c r="A1130" s="531"/>
    </row>
    <row r="1131" spans="1:1" x14ac:dyDescent="0.25">
      <c r="A1131" s="531"/>
    </row>
    <row r="1132" spans="1:1" x14ac:dyDescent="0.25">
      <c r="A1132" s="531"/>
    </row>
    <row r="1133" spans="1:1" x14ac:dyDescent="0.25">
      <c r="A1133" s="531"/>
    </row>
    <row r="1134" spans="1:1" x14ac:dyDescent="0.25">
      <c r="A1134" s="531"/>
    </row>
    <row r="1135" spans="1:1" x14ac:dyDescent="0.25">
      <c r="A1135" s="531"/>
    </row>
    <row r="1136" spans="1:1" x14ac:dyDescent="0.25">
      <c r="A1136" s="531"/>
    </row>
    <row r="1137" spans="1:1" x14ac:dyDescent="0.25">
      <c r="A1137" s="531"/>
    </row>
    <row r="1138" spans="1:1" x14ac:dyDescent="0.25">
      <c r="A1138" s="531"/>
    </row>
    <row r="1139" spans="1:1" x14ac:dyDescent="0.25">
      <c r="A1139" s="531"/>
    </row>
    <row r="1140" spans="1:1" x14ac:dyDescent="0.25">
      <c r="A1140" s="531"/>
    </row>
    <row r="1141" spans="1:1" x14ac:dyDescent="0.25">
      <c r="A1141" s="531"/>
    </row>
    <row r="1142" spans="1:1" x14ac:dyDescent="0.25">
      <c r="A1142" s="531"/>
    </row>
    <row r="1143" spans="1:1" x14ac:dyDescent="0.25">
      <c r="A1143" s="531"/>
    </row>
    <row r="1144" spans="1:1" x14ac:dyDescent="0.25">
      <c r="A1144" s="531"/>
    </row>
    <row r="1145" spans="1:1" x14ac:dyDescent="0.25">
      <c r="A1145" s="531"/>
    </row>
    <row r="1146" spans="1:1" x14ac:dyDescent="0.25">
      <c r="A1146" s="531"/>
    </row>
    <row r="1147" spans="1:1" x14ac:dyDescent="0.25">
      <c r="A1147" s="531"/>
    </row>
    <row r="1148" spans="1:1" x14ac:dyDescent="0.25">
      <c r="A1148" s="531"/>
    </row>
    <row r="1149" spans="1:1" x14ac:dyDescent="0.25">
      <c r="A1149" s="531"/>
    </row>
    <row r="1150" spans="1:1" x14ac:dyDescent="0.25">
      <c r="A1150" s="531"/>
    </row>
    <row r="1151" spans="1:1" x14ac:dyDescent="0.25">
      <c r="A1151" s="531"/>
    </row>
    <row r="1152" spans="1:1" x14ac:dyDescent="0.25">
      <c r="A1152" s="531"/>
    </row>
    <row r="1153" spans="1:1" x14ac:dyDescent="0.25">
      <c r="A1153" s="531"/>
    </row>
    <row r="1154" spans="1:1" x14ac:dyDescent="0.25">
      <c r="A1154" s="531"/>
    </row>
    <row r="1155" spans="1:1" x14ac:dyDescent="0.25">
      <c r="A1155" s="531"/>
    </row>
    <row r="1156" spans="1:1" x14ac:dyDescent="0.25">
      <c r="A1156" s="531"/>
    </row>
    <row r="1157" spans="1:1" x14ac:dyDescent="0.25">
      <c r="A1157" s="531"/>
    </row>
    <row r="1158" spans="1:1" x14ac:dyDescent="0.25">
      <c r="A1158" s="531"/>
    </row>
    <row r="1159" spans="1:1" x14ac:dyDescent="0.25">
      <c r="A1159" s="531"/>
    </row>
    <row r="1160" spans="1:1" x14ac:dyDescent="0.25">
      <c r="A1160" s="531"/>
    </row>
    <row r="1161" spans="1:1" x14ac:dyDescent="0.25">
      <c r="A1161" s="531"/>
    </row>
    <row r="1162" spans="1:1" x14ac:dyDescent="0.25">
      <c r="A1162" s="531"/>
    </row>
    <row r="1163" spans="1:1" x14ac:dyDescent="0.25">
      <c r="A1163" s="531"/>
    </row>
    <row r="1164" spans="1:1" x14ac:dyDescent="0.25">
      <c r="A1164" s="531"/>
    </row>
    <row r="1165" spans="1:1" x14ac:dyDescent="0.25">
      <c r="A1165" s="531"/>
    </row>
    <row r="1166" spans="1:1" x14ac:dyDescent="0.25">
      <c r="A1166" s="531"/>
    </row>
    <row r="1167" spans="1:1" x14ac:dyDescent="0.25">
      <c r="A1167" s="531"/>
    </row>
    <row r="1168" spans="1:1" x14ac:dyDescent="0.25">
      <c r="A1168" s="531"/>
    </row>
    <row r="1169" spans="1:1" x14ac:dyDescent="0.25">
      <c r="A1169" s="531"/>
    </row>
    <row r="1170" spans="1:1" x14ac:dyDescent="0.25">
      <c r="A1170" s="531"/>
    </row>
    <row r="1171" spans="1:1" x14ac:dyDescent="0.25">
      <c r="A1171" s="531"/>
    </row>
    <row r="1172" spans="1:1" x14ac:dyDescent="0.25">
      <c r="A1172" s="531"/>
    </row>
    <row r="1173" spans="1:1" x14ac:dyDescent="0.25">
      <c r="A1173" s="531"/>
    </row>
    <row r="1174" spans="1:1" x14ac:dyDescent="0.25">
      <c r="A1174" s="531"/>
    </row>
    <row r="1175" spans="1:1" x14ac:dyDescent="0.25">
      <c r="A1175" s="531"/>
    </row>
    <row r="1176" spans="1:1" x14ac:dyDescent="0.25">
      <c r="A1176" s="531"/>
    </row>
    <row r="1177" spans="1:1" x14ac:dyDescent="0.25">
      <c r="A1177" s="531"/>
    </row>
    <row r="1178" spans="1:1" x14ac:dyDescent="0.25">
      <c r="A1178" s="531"/>
    </row>
    <row r="1179" spans="1:1" x14ac:dyDescent="0.25">
      <c r="A1179" s="531"/>
    </row>
    <row r="1180" spans="1:1" x14ac:dyDescent="0.25">
      <c r="A1180" s="531"/>
    </row>
    <row r="1181" spans="1:1" x14ac:dyDescent="0.25">
      <c r="A1181" s="531"/>
    </row>
    <row r="1182" spans="1:1" x14ac:dyDescent="0.25">
      <c r="A1182" s="531"/>
    </row>
    <row r="1183" spans="1:1" x14ac:dyDescent="0.25">
      <c r="A1183" s="531"/>
    </row>
    <row r="1184" spans="1:1" x14ac:dyDescent="0.25">
      <c r="A1184" s="531"/>
    </row>
    <row r="1185" spans="1:1" x14ac:dyDescent="0.25">
      <c r="A1185" s="531"/>
    </row>
    <row r="1186" spans="1:1" x14ac:dyDescent="0.25">
      <c r="A1186" s="531"/>
    </row>
    <row r="1187" spans="1:1" x14ac:dyDescent="0.25">
      <c r="A1187" s="531"/>
    </row>
    <row r="1188" spans="1:1" x14ac:dyDescent="0.25">
      <c r="A1188" s="531"/>
    </row>
    <row r="1189" spans="1:1" x14ac:dyDescent="0.25">
      <c r="A1189" s="531"/>
    </row>
    <row r="1190" spans="1:1" x14ac:dyDescent="0.25">
      <c r="A1190" s="531"/>
    </row>
    <row r="1191" spans="1:1" x14ac:dyDescent="0.25">
      <c r="A1191" s="531"/>
    </row>
    <row r="1192" spans="1:1" x14ac:dyDescent="0.25">
      <c r="A1192" s="531"/>
    </row>
    <row r="1193" spans="1:1" x14ac:dyDescent="0.25">
      <c r="A1193" s="531"/>
    </row>
    <row r="1194" spans="1:1" x14ac:dyDescent="0.25">
      <c r="A1194" s="531"/>
    </row>
    <row r="1195" spans="1:1" x14ac:dyDescent="0.25">
      <c r="A1195" s="531"/>
    </row>
    <row r="1196" spans="1:1" x14ac:dyDescent="0.25">
      <c r="A1196" s="531"/>
    </row>
    <row r="1197" spans="1:1" x14ac:dyDescent="0.25">
      <c r="A1197" s="531"/>
    </row>
    <row r="1198" spans="1:1" x14ac:dyDescent="0.25">
      <c r="A1198" s="531"/>
    </row>
    <row r="1199" spans="1:1" x14ac:dyDescent="0.25">
      <c r="A1199" s="531"/>
    </row>
    <row r="1200" spans="1:1" x14ac:dyDescent="0.25">
      <c r="A1200" s="531"/>
    </row>
    <row r="1201" spans="1:1" x14ac:dyDescent="0.25">
      <c r="A1201" s="531"/>
    </row>
    <row r="1202" spans="1:1" x14ac:dyDescent="0.25">
      <c r="A1202" s="531"/>
    </row>
    <row r="1203" spans="1:1" x14ac:dyDescent="0.25">
      <c r="A1203" s="531"/>
    </row>
    <row r="1204" spans="1:1" x14ac:dyDescent="0.25">
      <c r="A1204" s="531"/>
    </row>
    <row r="1205" spans="1:1" x14ac:dyDescent="0.25">
      <c r="A1205" s="531"/>
    </row>
    <row r="1206" spans="1:1" x14ac:dyDescent="0.25">
      <c r="A1206" s="531"/>
    </row>
    <row r="1207" spans="1:1" x14ac:dyDescent="0.25">
      <c r="A1207" s="531"/>
    </row>
    <row r="1208" spans="1:1" x14ac:dyDescent="0.25">
      <c r="A1208" s="531"/>
    </row>
    <row r="1209" spans="1:1" x14ac:dyDescent="0.25">
      <c r="A1209" s="531"/>
    </row>
    <row r="1210" spans="1:1" x14ac:dyDescent="0.25">
      <c r="A1210" s="531"/>
    </row>
    <row r="1211" spans="1:1" x14ac:dyDescent="0.25">
      <c r="A1211" s="531"/>
    </row>
    <row r="1212" spans="1:1" x14ac:dyDescent="0.25">
      <c r="A1212" s="531"/>
    </row>
    <row r="1213" spans="1:1" x14ac:dyDescent="0.25">
      <c r="A1213" s="531"/>
    </row>
    <row r="1214" spans="1:1" x14ac:dyDescent="0.25">
      <c r="A1214" s="531"/>
    </row>
    <row r="1215" spans="1:1" x14ac:dyDescent="0.25">
      <c r="A1215" s="531"/>
    </row>
    <row r="1216" spans="1:1" x14ac:dyDescent="0.25">
      <c r="A1216" s="531"/>
    </row>
    <row r="1217" spans="1:1" x14ac:dyDescent="0.25">
      <c r="A1217" s="531"/>
    </row>
    <row r="1218" spans="1:1" x14ac:dyDescent="0.25">
      <c r="A1218" s="531"/>
    </row>
    <row r="1219" spans="1:1" x14ac:dyDescent="0.25">
      <c r="A1219" s="531"/>
    </row>
    <row r="1220" spans="1:1" x14ac:dyDescent="0.25">
      <c r="A1220" s="531"/>
    </row>
    <row r="1221" spans="1:1" x14ac:dyDescent="0.25">
      <c r="A1221" s="531"/>
    </row>
    <row r="1222" spans="1:1" x14ac:dyDescent="0.25">
      <c r="A1222" s="531"/>
    </row>
    <row r="1223" spans="1:1" x14ac:dyDescent="0.25">
      <c r="A1223" s="531"/>
    </row>
    <row r="1224" spans="1:1" x14ac:dyDescent="0.25">
      <c r="A1224" s="531"/>
    </row>
    <row r="1225" spans="1:1" x14ac:dyDescent="0.25">
      <c r="A1225" s="531"/>
    </row>
    <row r="1226" spans="1:1" x14ac:dyDescent="0.25">
      <c r="A1226" s="531"/>
    </row>
    <row r="1227" spans="1:1" x14ac:dyDescent="0.25">
      <c r="A1227" s="531"/>
    </row>
    <row r="1228" spans="1:1" x14ac:dyDescent="0.25">
      <c r="A1228" s="531"/>
    </row>
    <row r="1229" spans="1:1" x14ac:dyDescent="0.25">
      <c r="A1229" s="531"/>
    </row>
    <row r="1230" spans="1:1" x14ac:dyDescent="0.25">
      <c r="A1230" s="531"/>
    </row>
    <row r="1231" spans="1:1" x14ac:dyDescent="0.25">
      <c r="A1231" s="531"/>
    </row>
    <row r="1232" spans="1:1" x14ac:dyDescent="0.25">
      <c r="A1232" s="531"/>
    </row>
    <row r="1233" spans="1:1" x14ac:dyDescent="0.25">
      <c r="A1233" s="531"/>
    </row>
    <row r="1234" spans="1:1" x14ac:dyDescent="0.25">
      <c r="A1234" s="531"/>
    </row>
    <row r="1235" spans="1:1" x14ac:dyDescent="0.25">
      <c r="A1235" s="531"/>
    </row>
    <row r="1236" spans="1:1" x14ac:dyDescent="0.25">
      <c r="A1236" s="531"/>
    </row>
    <row r="1237" spans="1:1" x14ac:dyDescent="0.25">
      <c r="A1237" s="531"/>
    </row>
    <row r="1238" spans="1:1" x14ac:dyDescent="0.25">
      <c r="A1238" s="531"/>
    </row>
    <row r="1239" spans="1:1" x14ac:dyDescent="0.25">
      <c r="A1239" s="531"/>
    </row>
    <row r="1240" spans="1:1" x14ac:dyDescent="0.25">
      <c r="A1240" s="531"/>
    </row>
    <row r="1241" spans="1:1" x14ac:dyDescent="0.25">
      <c r="A1241" s="531"/>
    </row>
    <row r="1242" spans="1:1" x14ac:dyDescent="0.25">
      <c r="A1242" s="531"/>
    </row>
    <row r="1243" spans="1:1" x14ac:dyDescent="0.25">
      <c r="A1243" s="531"/>
    </row>
    <row r="1244" spans="1:1" x14ac:dyDescent="0.25">
      <c r="A1244" s="531"/>
    </row>
    <row r="1245" spans="1:1" x14ac:dyDescent="0.25">
      <c r="A1245" s="531"/>
    </row>
    <row r="1246" spans="1:1" x14ac:dyDescent="0.25">
      <c r="A1246" s="531"/>
    </row>
    <row r="1247" spans="1:1" x14ac:dyDescent="0.25">
      <c r="A1247" s="531"/>
    </row>
    <row r="1248" spans="1:1" x14ac:dyDescent="0.25">
      <c r="A1248" s="531"/>
    </row>
    <row r="1249" spans="1:1" x14ac:dyDescent="0.25">
      <c r="A1249" s="531"/>
    </row>
    <row r="1250" spans="1:1" x14ac:dyDescent="0.25">
      <c r="A1250" s="531"/>
    </row>
    <row r="1251" spans="1:1" x14ac:dyDescent="0.25">
      <c r="A1251" s="531"/>
    </row>
    <row r="1252" spans="1:1" x14ac:dyDescent="0.25">
      <c r="A1252" s="531"/>
    </row>
    <row r="1253" spans="1:1" x14ac:dyDescent="0.25">
      <c r="A1253" s="531"/>
    </row>
    <row r="1254" spans="1:1" x14ac:dyDescent="0.25">
      <c r="A1254" s="531"/>
    </row>
    <row r="1255" spans="1:1" x14ac:dyDescent="0.25">
      <c r="A1255" s="531"/>
    </row>
    <row r="1256" spans="1:1" x14ac:dyDescent="0.25">
      <c r="A1256" s="531"/>
    </row>
    <row r="1257" spans="1:1" x14ac:dyDescent="0.25">
      <c r="A1257" s="531"/>
    </row>
    <row r="1258" spans="1:1" x14ac:dyDescent="0.25">
      <c r="A1258" s="531"/>
    </row>
    <row r="1259" spans="1:1" x14ac:dyDescent="0.25">
      <c r="A1259" s="531"/>
    </row>
    <row r="1260" spans="1:1" x14ac:dyDescent="0.25">
      <c r="A1260" s="531"/>
    </row>
    <row r="1261" spans="1:1" x14ac:dyDescent="0.25">
      <c r="A1261" s="531"/>
    </row>
    <row r="1262" spans="1:1" x14ac:dyDescent="0.25">
      <c r="A1262" s="531"/>
    </row>
    <row r="1263" spans="1:1" x14ac:dyDescent="0.25">
      <c r="A1263" s="531"/>
    </row>
    <row r="1264" spans="1:1" x14ac:dyDescent="0.25">
      <c r="A1264" s="531"/>
    </row>
    <row r="1265" spans="1:1" x14ac:dyDescent="0.25">
      <c r="A1265" s="531"/>
    </row>
    <row r="1266" spans="1:1" x14ac:dyDescent="0.25">
      <c r="A1266" s="531"/>
    </row>
    <row r="1267" spans="1:1" x14ac:dyDescent="0.25">
      <c r="A1267" s="531"/>
    </row>
    <row r="1268" spans="1:1" x14ac:dyDescent="0.25">
      <c r="A1268" s="531"/>
    </row>
    <row r="1269" spans="1:1" x14ac:dyDescent="0.25">
      <c r="A1269" s="531"/>
    </row>
    <row r="1270" spans="1:1" x14ac:dyDescent="0.25">
      <c r="A1270" s="531"/>
    </row>
    <row r="1271" spans="1:1" x14ac:dyDescent="0.25">
      <c r="A1271" s="531"/>
    </row>
    <row r="1272" spans="1:1" x14ac:dyDescent="0.25">
      <c r="A1272" s="531"/>
    </row>
    <row r="1273" spans="1:1" x14ac:dyDescent="0.25">
      <c r="A1273" s="531"/>
    </row>
    <row r="1274" spans="1:1" x14ac:dyDescent="0.25">
      <c r="A1274" s="531"/>
    </row>
    <row r="1275" spans="1:1" x14ac:dyDescent="0.25">
      <c r="A1275" s="531"/>
    </row>
    <row r="1276" spans="1:1" x14ac:dyDescent="0.25">
      <c r="A1276" s="531"/>
    </row>
    <row r="1277" spans="1:1" x14ac:dyDescent="0.25">
      <c r="A1277" s="531"/>
    </row>
    <row r="1278" spans="1:1" x14ac:dyDescent="0.25">
      <c r="A1278" s="531"/>
    </row>
    <row r="1279" spans="1:1" x14ac:dyDescent="0.25">
      <c r="A1279" s="531"/>
    </row>
    <row r="1280" spans="1:1" x14ac:dyDescent="0.25">
      <c r="A1280" s="531"/>
    </row>
    <row r="1281" spans="1:1" x14ac:dyDescent="0.25">
      <c r="A1281" s="531"/>
    </row>
    <row r="1282" spans="1:1" x14ac:dyDescent="0.25">
      <c r="A1282" s="531"/>
    </row>
    <row r="1283" spans="1:1" x14ac:dyDescent="0.25">
      <c r="A1283" s="531"/>
    </row>
    <row r="1284" spans="1:1" x14ac:dyDescent="0.25">
      <c r="A1284" s="531"/>
    </row>
    <row r="1285" spans="1:1" x14ac:dyDescent="0.25">
      <c r="A1285" s="531"/>
    </row>
    <row r="1286" spans="1:1" x14ac:dyDescent="0.25">
      <c r="A1286" s="531"/>
    </row>
    <row r="1287" spans="1:1" x14ac:dyDescent="0.25">
      <c r="A1287" s="531"/>
    </row>
    <row r="1288" spans="1:1" x14ac:dyDescent="0.25">
      <c r="A1288" s="531"/>
    </row>
    <row r="1289" spans="1:1" x14ac:dyDescent="0.25">
      <c r="A1289" s="531"/>
    </row>
    <row r="1290" spans="1:1" x14ac:dyDescent="0.25">
      <c r="A1290" s="531"/>
    </row>
    <row r="1291" spans="1:1" x14ac:dyDescent="0.25">
      <c r="A1291" s="531"/>
    </row>
    <row r="1292" spans="1:1" x14ac:dyDescent="0.25">
      <c r="A1292" s="531"/>
    </row>
    <row r="1293" spans="1:1" x14ac:dyDescent="0.25">
      <c r="A1293" s="531"/>
    </row>
    <row r="1294" spans="1:1" x14ac:dyDescent="0.25">
      <c r="A1294" s="531"/>
    </row>
    <row r="1295" spans="1:1" x14ac:dyDescent="0.25">
      <c r="A1295" s="531"/>
    </row>
    <row r="1296" spans="1:1" x14ac:dyDescent="0.25">
      <c r="A1296" s="531"/>
    </row>
    <row r="1297" spans="1:1" x14ac:dyDescent="0.25">
      <c r="A1297" s="531"/>
    </row>
    <row r="1298" spans="1:1" x14ac:dyDescent="0.25">
      <c r="A1298" s="531"/>
    </row>
    <row r="1299" spans="1:1" x14ac:dyDescent="0.25">
      <c r="A1299" s="531"/>
    </row>
    <row r="1300" spans="1:1" x14ac:dyDescent="0.25">
      <c r="A1300" s="531"/>
    </row>
    <row r="1301" spans="1:1" x14ac:dyDescent="0.25">
      <c r="A1301" s="531"/>
    </row>
    <row r="1302" spans="1:1" x14ac:dyDescent="0.25">
      <c r="A1302" s="531"/>
    </row>
    <row r="1303" spans="1:1" x14ac:dyDescent="0.25">
      <c r="A1303" s="531"/>
    </row>
    <row r="1304" spans="1:1" x14ac:dyDescent="0.25">
      <c r="A1304" s="531"/>
    </row>
    <row r="1305" spans="1:1" x14ac:dyDescent="0.25">
      <c r="A1305" s="531"/>
    </row>
    <row r="1306" spans="1:1" x14ac:dyDescent="0.25">
      <c r="A1306" s="531"/>
    </row>
    <row r="1307" spans="1:1" x14ac:dyDescent="0.25">
      <c r="A1307" s="531"/>
    </row>
    <row r="1308" spans="1:1" x14ac:dyDescent="0.25">
      <c r="A1308" s="531"/>
    </row>
    <row r="1309" spans="1:1" x14ac:dyDescent="0.25">
      <c r="A1309" s="531"/>
    </row>
    <row r="1310" spans="1:1" x14ac:dyDescent="0.25">
      <c r="A1310" s="531"/>
    </row>
    <row r="1311" spans="1:1" x14ac:dyDescent="0.25">
      <c r="A1311" s="531"/>
    </row>
    <row r="1312" spans="1:1" x14ac:dyDescent="0.25">
      <c r="A1312" s="531"/>
    </row>
    <row r="1313" spans="1:1" x14ac:dyDescent="0.25">
      <c r="A1313" s="531"/>
    </row>
    <row r="1314" spans="1:1" x14ac:dyDescent="0.25">
      <c r="A1314" s="531"/>
    </row>
    <row r="1315" spans="1:1" x14ac:dyDescent="0.25">
      <c r="A1315" s="531"/>
    </row>
    <row r="1316" spans="1:1" x14ac:dyDescent="0.25">
      <c r="A1316" s="531"/>
    </row>
    <row r="1317" spans="1:1" x14ac:dyDescent="0.25">
      <c r="A1317" s="531"/>
    </row>
    <row r="1318" spans="1:1" x14ac:dyDescent="0.25">
      <c r="A1318" s="531"/>
    </row>
    <row r="1319" spans="1:1" x14ac:dyDescent="0.25">
      <c r="A1319" s="531"/>
    </row>
    <row r="1320" spans="1:1" x14ac:dyDescent="0.25">
      <c r="A1320" s="531"/>
    </row>
    <row r="1321" spans="1:1" x14ac:dyDescent="0.25">
      <c r="A1321" s="531"/>
    </row>
    <row r="1322" spans="1:1" x14ac:dyDescent="0.25">
      <c r="A1322" s="531"/>
    </row>
    <row r="1323" spans="1:1" x14ac:dyDescent="0.25">
      <c r="A1323" s="531"/>
    </row>
    <row r="1324" spans="1:1" x14ac:dyDescent="0.25">
      <c r="A1324" s="531"/>
    </row>
    <row r="1325" spans="1:1" x14ac:dyDescent="0.25">
      <c r="A1325" s="531"/>
    </row>
    <row r="1326" spans="1:1" x14ac:dyDescent="0.25">
      <c r="A1326" s="531"/>
    </row>
    <row r="1327" spans="1:1" x14ac:dyDescent="0.25">
      <c r="A1327" s="531"/>
    </row>
    <row r="1328" spans="1:1" x14ac:dyDescent="0.25">
      <c r="A1328" s="531"/>
    </row>
    <row r="1329" spans="1:1" x14ac:dyDescent="0.25">
      <c r="A1329" s="531"/>
    </row>
    <row r="1330" spans="1:1" x14ac:dyDescent="0.25">
      <c r="A1330" s="531"/>
    </row>
    <row r="1331" spans="1:1" x14ac:dyDescent="0.25">
      <c r="A1331" s="531"/>
    </row>
    <row r="1332" spans="1:1" x14ac:dyDescent="0.25">
      <c r="A1332" s="531"/>
    </row>
    <row r="1333" spans="1:1" x14ac:dyDescent="0.25">
      <c r="A1333" s="531"/>
    </row>
    <row r="1334" spans="1:1" x14ac:dyDescent="0.25">
      <c r="A1334" s="531"/>
    </row>
    <row r="1335" spans="1:1" x14ac:dyDescent="0.25">
      <c r="A1335" s="531"/>
    </row>
    <row r="1336" spans="1:1" x14ac:dyDescent="0.25">
      <c r="A1336" s="531"/>
    </row>
    <row r="1337" spans="1:1" x14ac:dyDescent="0.25">
      <c r="A1337" s="531"/>
    </row>
    <row r="1338" spans="1:1" x14ac:dyDescent="0.25">
      <c r="A1338" s="531"/>
    </row>
    <row r="1339" spans="1:1" x14ac:dyDescent="0.25">
      <c r="A1339" s="531"/>
    </row>
    <row r="1340" spans="1:1" x14ac:dyDescent="0.25">
      <c r="A1340" s="531"/>
    </row>
    <row r="1341" spans="1:1" x14ac:dyDescent="0.25">
      <c r="A1341" s="531"/>
    </row>
    <row r="1342" spans="1:1" x14ac:dyDescent="0.25">
      <c r="A1342" s="531"/>
    </row>
    <row r="1343" spans="1:1" x14ac:dyDescent="0.25">
      <c r="A1343" s="531"/>
    </row>
    <row r="1344" spans="1:1" x14ac:dyDescent="0.25">
      <c r="A1344" s="531"/>
    </row>
    <row r="1345" spans="1:1" x14ac:dyDescent="0.25">
      <c r="A1345" s="531"/>
    </row>
    <row r="1346" spans="1:1" x14ac:dyDescent="0.25">
      <c r="A1346" s="531"/>
    </row>
    <row r="1347" spans="1:1" x14ac:dyDescent="0.25">
      <c r="A1347" s="531"/>
    </row>
    <row r="1348" spans="1:1" x14ac:dyDescent="0.25">
      <c r="A1348" s="531"/>
    </row>
    <row r="1349" spans="1:1" x14ac:dyDescent="0.25">
      <c r="A1349" s="531"/>
    </row>
    <row r="1350" spans="1:1" x14ac:dyDescent="0.25">
      <c r="A1350" s="531"/>
    </row>
    <row r="1351" spans="1:1" x14ac:dyDescent="0.25">
      <c r="A1351" s="531"/>
    </row>
    <row r="1352" spans="1:1" x14ac:dyDescent="0.25">
      <c r="A1352" s="531"/>
    </row>
    <row r="1353" spans="1:1" x14ac:dyDescent="0.25">
      <c r="A1353" s="531"/>
    </row>
    <row r="1354" spans="1:1" x14ac:dyDescent="0.25">
      <c r="A1354" s="531"/>
    </row>
    <row r="1355" spans="1:1" x14ac:dyDescent="0.25">
      <c r="A1355" s="531"/>
    </row>
    <row r="1356" spans="1:1" x14ac:dyDescent="0.25">
      <c r="A1356" s="531"/>
    </row>
    <row r="1357" spans="1:1" x14ac:dyDescent="0.25">
      <c r="A1357" s="531"/>
    </row>
    <row r="1358" spans="1:1" x14ac:dyDescent="0.25">
      <c r="A1358" s="531"/>
    </row>
    <row r="1359" spans="1:1" x14ac:dyDescent="0.25">
      <c r="A1359" s="531"/>
    </row>
    <row r="1360" spans="1:1" x14ac:dyDescent="0.25">
      <c r="A1360" s="531"/>
    </row>
    <row r="1361" spans="1:1" x14ac:dyDescent="0.25">
      <c r="A1361" s="531"/>
    </row>
    <row r="1362" spans="1:1" x14ac:dyDescent="0.25">
      <c r="A1362" s="531"/>
    </row>
    <row r="1363" spans="1:1" x14ac:dyDescent="0.25">
      <c r="A1363" s="531"/>
    </row>
    <row r="1364" spans="1:1" x14ac:dyDescent="0.25">
      <c r="A1364" s="531"/>
    </row>
    <row r="1365" spans="1:1" x14ac:dyDescent="0.25">
      <c r="A1365" s="531"/>
    </row>
    <row r="1366" spans="1:1" x14ac:dyDescent="0.25">
      <c r="A1366" s="531"/>
    </row>
    <row r="1367" spans="1:1" x14ac:dyDescent="0.25">
      <c r="A1367" s="531"/>
    </row>
    <row r="1368" spans="1:1" x14ac:dyDescent="0.25">
      <c r="A1368" s="531"/>
    </row>
    <row r="1369" spans="1:1" x14ac:dyDescent="0.25">
      <c r="A1369" s="531"/>
    </row>
    <row r="1370" spans="1:1" x14ac:dyDescent="0.25">
      <c r="A1370" s="531"/>
    </row>
    <row r="1371" spans="1:1" x14ac:dyDescent="0.25">
      <c r="A1371" s="531"/>
    </row>
    <row r="1372" spans="1:1" x14ac:dyDescent="0.25">
      <c r="A1372" s="531"/>
    </row>
    <row r="1373" spans="1:1" x14ac:dyDescent="0.25">
      <c r="A1373" s="531"/>
    </row>
    <row r="1374" spans="1:1" x14ac:dyDescent="0.25">
      <c r="A1374" s="531"/>
    </row>
    <row r="1375" spans="1:1" x14ac:dyDescent="0.25">
      <c r="A1375" s="531"/>
    </row>
    <row r="1376" spans="1:1" x14ac:dyDescent="0.25">
      <c r="A1376" s="531"/>
    </row>
    <row r="1377" spans="1:1" x14ac:dyDescent="0.25">
      <c r="A1377" s="531"/>
    </row>
    <row r="1378" spans="1:1" x14ac:dyDescent="0.25">
      <c r="A1378" s="531"/>
    </row>
    <row r="1379" spans="1:1" x14ac:dyDescent="0.25">
      <c r="A1379" s="531"/>
    </row>
    <row r="1380" spans="1:1" x14ac:dyDescent="0.25">
      <c r="A1380" s="531"/>
    </row>
    <row r="1381" spans="1:1" x14ac:dyDescent="0.25">
      <c r="A1381" s="531"/>
    </row>
    <row r="1382" spans="1:1" x14ac:dyDescent="0.25">
      <c r="A1382" s="531"/>
    </row>
    <row r="1383" spans="1:1" x14ac:dyDescent="0.25">
      <c r="A1383" s="531"/>
    </row>
    <row r="1384" spans="1:1" x14ac:dyDescent="0.25">
      <c r="A1384" s="531"/>
    </row>
    <row r="1385" spans="1:1" x14ac:dyDescent="0.25">
      <c r="A1385" s="531"/>
    </row>
    <row r="1386" spans="1:1" x14ac:dyDescent="0.25">
      <c r="A1386" s="531"/>
    </row>
    <row r="1387" spans="1:1" x14ac:dyDescent="0.25">
      <c r="A1387" s="531"/>
    </row>
    <row r="1388" spans="1:1" x14ac:dyDescent="0.25">
      <c r="A1388" s="531"/>
    </row>
    <row r="1389" spans="1:1" x14ac:dyDescent="0.25">
      <c r="A1389" s="531"/>
    </row>
    <row r="1390" spans="1:1" x14ac:dyDescent="0.25">
      <c r="A1390" s="531"/>
    </row>
    <row r="1391" spans="1:1" x14ac:dyDescent="0.25">
      <c r="A1391" s="531"/>
    </row>
    <row r="1392" spans="1:1" x14ac:dyDescent="0.25">
      <c r="A1392" s="531"/>
    </row>
    <row r="1393" spans="1:1" x14ac:dyDescent="0.25">
      <c r="A1393" s="531"/>
    </row>
    <row r="1394" spans="1:1" x14ac:dyDescent="0.25">
      <c r="A1394" s="531"/>
    </row>
    <row r="1395" spans="1:1" x14ac:dyDescent="0.25">
      <c r="A1395" s="531"/>
    </row>
    <row r="1396" spans="1:1" x14ac:dyDescent="0.25">
      <c r="A1396" s="531"/>
    </row>
    <row r="1397" spans="1:1" x14ac:dyDescent="0.25">
      <c r="A1397" s="531"/>
    </row>
    <row r="1398" spans="1:1" x14ac:dyDescent="0.25">
      <c r="A1398" s="531"/>
    </row>
    <row r="1399" spans="1:1" x14ac:dyDescent="0.25">
      <c r="A1399" s="531"/>
    </row>
    <row r="1400" spans="1:1" x14ac:dyDescent="0.25">
      <c r="A1400" s="531"/>
    </row>
    <row r="1401" spans="1:1" x14ac:dyDescent="0.25">
      <c r="A1401" s="531"/>
    </row>
    <row r="1402" spans="1:1" x14ac:dyDescent="0.25">
      <c r="A1402" s="531"/>
    </row>
    <row r="1403" spans="1:1" x14ac:dyDescent="0.25">
      <c r="A1403" s="531"/>
    </row>
    <row r="1404" spans="1:1" x14ac:dyDescent="0.25">
      <c r="A1404" s="531"/>
    </row>
    <row r="1405" spans="1:1" x14ac:dyDescent="0.25">
      <c r="A1405" s="531"/>
    </row>
    <row r="1406" spans="1:1" x14ac:dyDescent="0.25">
      <c r="A1406" s="531"/>
    </row>
    <row r="1407" spans="1:1" x14ac:dyDescent="0.25">
      <c r="A1407" s="531"/>
    </row>
    <row r="1408" spans="1:1" x14ac:dyDescent="0.25">
      <c r="A1408" s="531"/>
    </row>
    <row r="1409" spans="1:1" x14ac:dyDescent="0.25">
      <c r="A1409" s="531"/>
    </row>
    <row r="1410" spans="1:1" x14ac:dyDescent="0.25">
      <c r="A1410" s="531"/>
    </row>
    <row r="1411" spans="1:1" x14ac:dyDescent="0.25">
      <c r="A1411" s="531"/>
    </row>
    <row r="1412" spans="1:1" x14ac:dyDescent="0.25">
      <c r="A1412" s="531"/>
    </row>
    <row r="1413" spans="1:1" x14ac:dyDescent="0.25">
      <c r="A1413" s="531"/>
    </row>
    <row r="1414" spans="1:1" x14ac:dyDescent="0.25">
      <c r="A1414" s="531"/>
    </row>
    <row r="1415" spans="1:1" x14ac:dyDescent="0.25">
      <c r="A1415" s="531"/>
    </row>
    <row r="1416" spans="1:1" x14ac:dyDescent="0.25">
      <c r="A1416" s="531"/>
    </row>
    <row r="1417" spans="1:1" x14ac:dyDescent="0.25">
      <c r="A1417" s="531"/>
    </row>
    <row r="1418" spans="1:1" x14ac:dyDescent="0.25">
      <c r="A1418" s="531"/>
    </row>
    <row r="1419" spans="1:1" x14ac:dyDescent="0.25">
      <c r="A1419" s="531"/>
    </row>
    <row r="1420" spans="1:1" x14ac:dyDescent="0.25">
      <c r="A1420" s="531"/>
    </row>
    <row r="1421" spans="1:1" x14ac:dyDescent="0.25">
      <c r="A1421" s="531"/>
    </row>
    <row r="1422" spans="1:1" x14ac:dyDescent="0.25">
      <c r="A1422" s="531"/>
    </row>
    <row r="1423" spans="1:1" x14ac:dyDescent="0.25">
      <c r="A1423" s="531"/>
    </row>
    <row r="1424" spans="1:1" x14ac:dyDescent="0.25">
      <c r="A1424" s="531"/>
    </row>
    <row r="1425" spans="1:1" x14ac:dyDescent="0.25">
      <c r="A1425" s="531"/>
    </row>
    <row r="1426" spans="1:1" x14ac:dyDescent="0.25">
      <c r="A1426" s="531"/>
    </row>
    <row r="1427" spans="1:1" x14ac:dyDescent="0.25">
      <c r="A1427" s="531"/>
    </row>
    <row r="1428" spans="1:1" x14ac:dyDescent="0.25">
      <c r="A1428" s="531"/>
    </row>
    <row r="1429" spans="1:1" x14ac:dyDescent="0.25">
      <c r="A1429" s="531"/>
    </row>
    <row r="1430" spans="1:1" x14ac:dyDescent="0.25">
      <c r="A1430" s="531"/>
    </row>
    <row r="1431" spans="1:1" x14ac:dyDescent="0.25">
      <c r="A1431" s="531"/>
    </row>
    <row r="1432" spans="1:1" x14ac:dyDescent="0.25">
      <c r="A1432" s="531"/>
    </row>
    <row r="1433" spans="1:1" x14ac:dyDescent="0.25">
      <c r="A1433" s="531"/>
    </row>
    <row r="1434" spans="1:1" x14ac:dyDescent="0.25">
      <c r="A1434" s="531"/>
    </row>
    <row r="1435" spans="1:1" x14ac:dyDescent="0.25">
      <c r="A1435" s="531"/>
    </row>
    <row r="1436" spans="1:1" x14ac:dyDescent="0.25">
      <c r="A1436" s="531"/>
    </row>
    <row r="1437" spans="1:1" x14ac:dyDescent="0.25">
      <c r="A1437" s="531"/>
    </row>
    <row r="1438" spans="1:1" x14ac:dyDescent="0.25">
      <c r="A1438" s="531"/>
    </row>
    <row r="1439" spans="1:1" x14ac:dyDescent="0.25">
      <c r="A1439" s="531"/>
    </row>
    <row r="1440" spans="1:1" x14ac:dyDescent="0.25">
      <c r="A1440" s="531"/>
    </row>
    <row r="1441" spans="1:1" x14ac:dyDescent="0.25">
      <c r="A1441" s="531"/>
    </row>
    <row r="1442" spans="1:1" x14ac:dyDescent="0.25">
      <c r="A1442" s="531"/>
    </row>
    <row r="1443" spans="1:1" x14ac:dyDescent="0.25">
      <c r="A1443" s="531"/>
    </row>
    <row r="1444" spans="1:1" x14ac:dyDescent="0.25">
      <c r="A1444" s="531"/>
    </row>
    <row r="1445" spans="1:1" x14ac:dyDescent="0.25">
      <c r="A1445" s="531"/>
    </row>
    <row r="1446" spans="1:1" x14ac:dyDescent="0.25">
      <c r="A1446" s="531"/>
    </row>
    <row r="1447" spans="1:1" x14ac:dyDescent="0.25">
      <c r="A1447" s="531"/>
    </row>
    <row r="1448" spans="1:1" x14ac:dyDescent="0.25">
      <c r="A1448" s="531"/>
    </row>
    <row r="1449" spans="1:1" x14ac:dyDescent="0.25">
      <c r="A1449" s="531"/>
    </row>
    <row r="1450" spans="1:1" x14ac:dyDescent="0.25">
      <c r="A1450" s="531"/>
    </row>
    <row r="1451" spans="1:1" x14ac:dyDescent="0.25">
      <c r="A1451" s="531"/>
    </row>
    <row r="1452" spans="1:1" x14ac:dyDescent="0.25">
      <c r="A1452" s="531"/>
    </row>
    <row r="1453" spans="1:1" x14ac:dyDescent="0.25">
      <c r="A1453" s="531"/>
    </row>
    <row r="1454" spans="1:1" x14ac:dyDescent="0.25">
      <c r="A1454" s="531"/>
    </row>
    <row r="1455" spans="1:1" x14ac:dyDescent="0.25">
      <c r="A1455" s="531"/>
    </row>
    <row r="1456" spans="1:1" x14ac:dyDescent="0.25">
      <c r="A1456" s="531"/>
    </row>
    <row r="1457" spans="1:1" x14ac:dyDescent="0.25">
      <c r="A1457" s="531"/>
    </row>
    <row r="1458" spans="1:1" x14ac:dyDescent="0.25">
      <c r="A1458" s="531"/>
    </row>
    <row r="1459" spans="1:1" x14ac:dyDescent="0.25">
      <c r="A1459" s="531"/>
    </row>
    <row r="1460" spans="1:1" x14ac:dyDescent="0.25">
      <c r="A1460" s="531"/>
    </row>
    <row r="1461" spans="1:1" x14ac:dyDescent="0.25">
      <c r="A1461" s="531"/>
    </row>
    <row r="1462" spans="1:1" x14ac:dyDescent="0.25">
      <c r="A1462" s="531"/>
    </row>
    <row r="1463" spans="1:1" x14ac:dyDescent="0.25">
      <c r="A1463" s="531"/>
    </row>
    <row r="1464" spans="1:1" x14ac:dyDescent="0.25">
      <c r="A1464" s="531"/>
    </row>
    <row r="1465" spans="1:1" x14ac:dyDescent="0.25">
      <c r="A1465" s="531"/>
    </row>
    <row r="1466" spans="1:1" x14ac:dyDescent="0.25">
      <c r="A1466" s="531"/>
    </row>
    <row r="1467" spans="1:1" x14ac:dyDescent="0.25">
      <c r="A1467" s="531"/>
    </row>
    <row r="1468" spans="1:1" x14ac:dyDescent="0.25">
      <c r="A1468" s="531"/>
    </row>
    <row r="1469" spans="1:1" x14ac:dyDescent="0.25">
      <c r="A1469" s="531"/>
    </row>
    <row r="1470" spans="1:1" x14ac:dyDescent="0.25">
      <c r="A1470" s="531"/>
    </row>
    <row r="1471" spans="1:1" x14ac:dyDescent="0.25">
      <c r="A1471" s="531"/>
    </row>
    <row r="1472" spans="1:1" x14ac:dyDescent="0.25">
      <c r="A1472" s="531"/>
    </row>
    <row r="1473" spans="1:1" x14ac:dyDescent="0.25">
      <c r="A1473" s="531"/>
    </row>
    <row r="1474" spans="1:1" x14ac:dyDescent="0.25">
      <c r="A1474" s="531"/>
    </row>
    <row r="1475" spans="1:1" x14ac:dyDescent="0.25">
      <c r="A1475" s="531"/>
    </row>
    <row r="1476" spans="1:1" x14ac:dyDescent="0.25">
      <c r="A1476" s="531"/>
    </row>
    <row r="1477" spans="1:1" x14ac:dyDescent="0.25">
      <c r="A1477" s="531"/>
    </row>
    <row r="1478" spans="1:1" x14ac:dyDescent="0.25">
      <c r="A1478" s="531"/>
    </row>
    <row r="1479" spans="1:1" x14ac:dyDescent="0.25">
      <c r="A1479" s="531"/>
    </row>
    <row r="1480" spans="1:1" x14ac:dyDescent="0.25">
      <c r="A1480" s="531"/>
    </row>
    <row r="1481" spans="1:1" x14ac:dyDescent="0.25">
      <c r="A1481" s="531"/>
    </row>
    <row r="1482" spans="1:1" x14ac:dyDescent="0.25">
      <c r="A1482" s="531"/>
    </row>
    <row r="1483" spans="1:1" x14ac:dyDescent="0.25">
      <c r="A1483" s="531"/>
    </row>
    <row r="1484" spans="1:1" x14ac:dyDescent="0.25">
      <c r="A1484" s="531"/>
    </row>
    <row r="1485" spans="1:1" x14ac:dyDescent="0.25">
      <c r="A1485" s="531"/>
    </row>
    <row r="1486" spans="1:1" x14ac:dyDescent="0.25">
      <c r="A1486" s="531"/>
    </row>
    <row r="1487" spans="1:1" x14ac:dyDescent="0.25">
      <c r="A1487" s="531"/>
    </row>
    <row r="1488" spans="1:1" x14ac:dyDescent="0.25">
      <c r="A1488" s="531"/>
    </row>
    <row r="1489" spans="1:1" x14ac:dyDescent="0.25">
      <c r="A1489" s="531"/>
    </row>
    <row r="1490" spans="1:1" x14ac:dyDescent="0.25">
      <c r="A1490" s="531"/>
    </row>
    <row r="1491" spans="1:1" x14ac:dyDescent="0.25">
      <c r="A1491" s="531"/>
    </row>
    <row r="1492" spans="1:1" x14ac:dyDescent="0.25">
      <c r="A1492" s="531"/>
    </row>
    <row r="1493" spans="1:1" x14ac:dyDescent="0.25">
      <c r="A1493" s="531"/>
    </row>
    <row r="1494" spans="1:1" x14ac:dyDescent="0.25">
      <c r="A1494" s="531"/>
    </row>
    <row r="1495" spans="1:1" x14ac:dyDescent="0.25">
      <c r="A1495" s="531"/>
    </row>
    <row r="1496" spans="1:1" x14ac:dyDescent="0.25">
      <c r="A1496" s="531"/>
    </row>
    <row r="1497" spans="1:1" x14ac:dyDescent="0.25">
      <c r="A1497" s="531"/>
    </row>
    <row r="1498" spans="1:1" x14ac:dyDescent="0.25">
      <c r="A1498" s="531"/>
    </row>
    <row r="1499" spans="1:1" x14ac:dyDescent="0.25">
      <c r="A1499" s="531"/>
    </row>
    <row r="1500" spans="1:1" x14ac:dyDescent="0.25">
      <c r="A1500" s="531"/>
    </row>
    <row r="1501" spans="1:1" x14ac:dyDescent="0.25">
      <c r="A1501" s="531"/>
    </row>
    <row r="1502" spans="1:1" x14ac:dyDescent="0.25">
      <c r="A1502" s="531"/>
    </row>
    <row r="1503" spans="1:1" x14ac:dyDescent="0.25">
      <c r="A1503" s="531"/>
    </row>
    <row r="1504" spans="1:1" x14ac:dyDescent="0.25">
      <c r="A1504" s="531"/>
    </row>
    <row r="1505" spans="1:1" x14ac:dyDescent="0.25">
      <c r="A1505" s="531"/>
    </row>
    <row r="1506" spans="1:1" x14ac:dyDescent="0.25">
      <c r="A1506" s="531"/>
    </row>
    <row r="1507" spans="1:1" x14ac:dyDescent="0.25">
      <c r="A1507" s="531"/>
    </row>
    <row r="1508" spans="1:1" x14ac:dyDescent="0.25">
      <c r="A1508" s="531"/>
    </row>
    <row r="1509" spans="1:1" x14ac:dyDescent="0.25">
      <c r="A1509" s="531"/>
    </row>
    <row r="1510" spans="1:1" x14ac:dyDescent="0.25">
      <c r="A1510" s="531"/>
    </row>
    <row r="1511" spans="1:1" x14ac:dyDescent="0.25">
      <c r="A1511" s="531"/>
    </row>
    <row r="1512" spans="1:1" x14ac:dyDescent="0.25">
      <c r="A1512" s="531"/>
    </row>
    <row r="1513" spans="1:1" x14ac:dyDescent="0.25">
      <c r="A1513" s="531"/>
    </row>
    <row r="1514" spans="1:1" x14ac:dyDescent="0.25">
      <c r="A1514" s="531"/>
    </row>
    <row r="1515" spans="1:1" x14ac:dyDescent="0.25">
      <c r="A1515" s="531"/>
    </row>
    <row r="1516" spans="1:1" x14ac:dyDescent="0.25">
      <c r="A1516" s="531"/>
    </row>
    <row r="1517" spans="1:1" x14ac:dyDescent="0.25">
      <c r="A1517" s="531"/>
    </row>
    <row r="1518" spans="1:1" x14ac:dyDescent="0.25">
      <c r="A1518" s="531"/>
    </row>
    <row r="1519" spans="1:1" x14ac:dyDescent="0.25">
      <c r="A1519" s="531"/>
    </row>
    <row r="1520" spans="1:1" x14ac:dyDescent="0.25">
      <c r="A1520" s="531"/>
    </row>
    <row r="1521" spans="1:1" x14ac:dyDescent="0.25">
      <c r="A1521" s="531"/>
    </row>
    <row r="1522" spans="1:1" x14ac:dyDescent="0.25">
      <c r="A1522" s="531"/>
    </row>
    <row r="1523" spans="1:1" x14ac:dyDescent="0.25">
      <c r="A1523" s="531"/>
    </row>
    <row r="1524" spans="1:1" x14ac:dyDescent="0.25">
      <c r="A1524" s="531"/>
    </row>
    <row r="1525" spans="1:1" x14ac:dyDescent="0.25">
      <c r="A1525" s="531"/>
    </row>
    <row r="1526" spans="1:1" x14ac:dyDescent="0.25">
      <c r="A1526" s="531"/>
    </row>
    <row r="1527" spans="1:1" x14ac:dyDescent="0.25">
      <c r="A1527" s="531"/>
    </row>
    <row r="1528" spans="1:1" x14ac:dyDescent="0.25">
      <c r="A1528" s="531"/>
    </row>
    <row r="1529" spans="1:1" x14ac:dyDescent="0.25">
      <c r="A1529" s="531"/>
    </row>
    <row r="1530" spans="1:1" x14ac:dyDescent="0.25">
      <c r="A1530" s="531"/>
    </row>
    <row r="1531" spans="1:1" x14ac:dyDescent="0.25">
      <c r="A1531" s="531"/>
    </row>
    <row r="1532" spans="1:1" x14ac:dyDescent="0.25">
      <c r="A1532" s="531"/>
    </row>
    <row r="1533" spans="1:1" x14ac:dyDescent="0.25">
      <c r="A1533" s="531"/>
    </row>
    <row r="1534" spans="1:1" x14ac:dyDescent="0.25">
      <c r="A1534" s="531"/>
    </row>
    <row r="1535" spans="1:1" x14ac:dyDescent="0.25">
      <c r="A1535" s="531"/>
    </row>
    <row r="1536" spans="1:1" x14ac:dyDescent="0.25">
      <c r="A1536" s="531"/>
    </row>
    <row r="1537" spans="1:1" x14ac:dyDescent="0.25">
      <c r="A1537" s="531"/>
    </row>
    <row r="1538" spans="1:1" x14ac:dyDescent="0.25">
      <c r="A1538" s="531"/>
    </row>
    <row r="1539" spans="1:1" x14ac:dyDescent="0.25">
      <c r="A1539" s="531"/>
    </row>
    <row r="1540" spans="1:1" x14ac:dyDescent="0.25">
      <c r="A1540" s="531"/>
    </row>
    <row r="1541" spans="1:1" x14ac:dyDescent="0.25">
      <c r="A1541" s="531"/>
    </row>
    <row r="1542" spans="1:1" x14ac:dyDescent="0.25">
      <c r="A1542" s="531"/>
    </row>
    <row r="1543" spans="1:1" x14ac:dyDescent="0.25">
      <c r="A1543" s="531"/>
    </row>
    <row r="1544" spans="1:1" x14ac:dyDescent="0.25">
      <c r="A1544" s="531"/>
    </row>
    <row r="1545" spans="1:1" x14ac:dyDescent="0.25">
      <c r="A1545" s="531"/>
    </row>
    <row r="1546" spans="1:1" x14ac:dyDescent="0.25">
      <c r="A1546" s="531"/>
    </row>
    <row r="1547" spans="1:1" x14ac:dyDescent="0.25">
      <c r="A1547" s="531"/>
    </row>
    <row r="1548" spans="1:1" x14ac:dyDescent="0.25">
      <c r="A1548" s="531"/>
    </row>
    <row r="1549" spans="1:1" x14ac:dyDescent="0.25">
      <c r="A1549" s="531"/>
    </row>
    <row r="1550" spans="1:1" x14ac:dyDescent="0.25">
      <c r="A1550" s="531"/>
    </row>
    <row r="1551" spans="1:1" x14ac:dyDescent="0.25">
      <c r="A1551" s="531"/>
    </row>
    <row r="1552" spans="1:1" x14ac:dyDescent="0.25">
      <c r="A1552" s="531"/>
    </row>
    <row r="1553" spans="1:1" x14ac:dyDescent="0.25">
      <c r="A1553" s="531"/>
    </row>
    <row r="1554" spans="1:1" x14ac:dyDescent="0.25">
      <c r="A1554" s="531"/>
    </row>
    <row r="1555" spans="1:1" x14ac:dyDescent="0.25">
      <c r="A1555" s="531"/>
    </row>
    <row r="1556" spans="1:1" x14ac:dyDescent="0.25">
      <c r="A1556" s="531"/>
    </row>
    <row r="1557" spans="1:1" x14ac:dyDescent="0.25">
      <c r="A1557" s="531"/>
    </row>
    <row r="1558" spans="1:1" x14ac:dyDescent="0.25">
      <c r="A1558" s="531"/>
    </row>
    <row r="1559" spans="1:1" x14ac:dyDescent="0.25">
      <c r="A1559" s="531"/>
    </row>
    <row r="1560" spans="1:1" x14ac:dyDescent="0.25">
      <c r="A1560" s="531"/>
    </row>
    <row r="1561" spans="1:1" x14ac:dyDescent="0.25">
      <c r="A1561" s="531"/>
    </row>
    <row r="1562" spans="1:1" x14ac:dyDescent="0.25">
      <c r="A1562" s="531"/>
    </row>
    <row r="1563" spans="1:1" x14ac:dyDescent="0.25">
      <c r="A1563" s="531"/>
    </row>
    <row r="1564" spans="1:1" x14ac:dyDescent="0.25">
      <c r="A1564" s="531"/>
    </row>
    <row r="1565" spans="1:1" x14ac:dyDescent="0.25">
      <c r="A1565" s="531"/>
    </row>
    <row r="1566" spans="1:1" x14ac:dyDescent="0.25">
      <c r="A1566" s="531"/>
    </row>
    <row r="1567" spans="1:1" x14ac:dyDescent="0.25">
      <c r="A1567" s="531"/>
    </row>
    <row r="1568" spans="1:1" x14ac:dyDescent="0.25">
      <c r="A1568" s="531"/>
    </row>
    <row r="1569" spans="1:1" x14ac:dyDescent="0.25">
      <c r="A1569" s="531"/>
    </row>
    <row r="1570" spans="1:1" x14ac:dyDescent="0.25">
      <c r="A1570" s="531"/>
    </row>
    <row r="1571" spans="1:1" x14ac:dyDescent="0.25">
      <c r="A1571" s="531"/>
    </row>
    <row r="1572" spans="1:1" x14ac:dyDescent="0.25">
      <c r="A1572" s="531"/>
    </row>
    <row r="1573" spans="1:1" x14ac:dyDescent="0.25">
      <c r="A1573" s="531"/>
    </row>
    <row r="1574" spans="1:1" x14ac:dyDescent="0.25">
      <c r="A1574" s="531"/>
    </row>
    <row r="1575" spans="1:1" x14ac:dyDescent="0.25">
      <c r="A1575" s="531"/>
    </row>
    <row r="1576" spans="1:1" x14ac:dyDescent="0.25">
      <c r="A1576" s="531"/>
    </row>
    <row r="1577" spans="1:1" x14ac:dyDescent="0.25">
      <c r="A1577" s="531"/>
    </row>
    <row r="1578" spans="1:1" x14ac:dyDescent="0.25">
      <c r="A1578" s="531"/>
    </row>
    <row r="1579" spans="1:1" x14ac:dyDescent="0.25">
      <c r="A1579" s="531"/>
    </row>
    <row r="1580" spans="1:1" x14ac:dyDescent="0.25">
      <c r="A1580" s="531"/>
    </row>
    <row r="1581" spans="1:1" x14ac:dyDescent="0.25">
      <c r="A1581" s="531"/>
    </row>
    <row r="1582" spans="1:1" x14ac:dyDescent="0.25">
      <c r="A1582" s="531"/>
    </row>
    <row r="1583" spans="1:1" x14ac:dyDescent="0.25">
      <c r="A1583" s="531"/>
    </row>
    <row r="1584" spans="1:1" x14ac:dyDescent="0.25">
      <c r="A1584" s="531"/>
    </row>
    <row r="1585" spans="1:1" x14ac:dyDescent="0.25">
      <c r="A1585" s="531"/>
    </row>
    <row r="1586" spans="1:1" x14ac:dyDescent="0.25">
      <c r="A1586" s="531"/>
    </row>
    <row r="1587" spans="1:1" x14ac:dyDescent="0.25">
      <c r="A1587" s="531"/>
    </row>
    <row r="1588" spans="1:1" x14ac:dyDescent="0.25">
      <c r="A1588" s="531"/>
    </row>
    <row r="1589" spans="1:1" x14ac:dyDescent="0.25">
      <c r="A1589" s="531"/>
    </row>
    <row r="1590" spans="1:1" x14ac:dyDescent="0.25">
      <c r="A1590" s="531"/>
    </row>
    <row r="1591" spans="1:1" x14ac:dyDescent="0.25">
      <c r="A1591" s="531"/>
    </row>
    <row r="1592" spans="1:1" x14ac:dyDescent="0.25">
      <c r="A1592" s="531"/>
    </row>
    <row r="1593" spans="1:1" x14ac:dyDescent="0.25">
      <c r="A1593" s="531"/>
    </row>
    <row r="1594" spans="1:1" x14ac:dyDescent="0.25">
      <c r="A1594" s="531"/>
    </row>
    <row r="1595" spans="1:1" x14ac:dyDescent="0.25">
      <c r="A1595" s="531"/>
    </row>
    <row r="1596" spans="1:1" x14ac:dyDescent="0.25">
      <c r="A1596" s="531"/>
    </row>
    <row r="1597" spans="1:1" x14ac:dyDescent="0.25">
      <c r="A1597" s="531"/>
    </row>
    <row r="1598" spans="1:1" x14ac:dyDescent="0.25">
      <c r="A1598" s="531"/>
    </row>
    <row r="1599" spans="1:1" x14ac:dyDescent="0.25">
      <c r="A1599" s="531"/>
    </row>
    <row r="1600" spans="1:1" x14ac:dyDescent="0.25">
      <c r="A1600" s="531"/>
    </row>
    <row r="1601" spans="1:1" x14ac:dyDescent="0.25">
      <c r="A1601" s="531"/>
    </row>
    <row r="1602" spans="1:1" x14ac:dyDescent="0.25">
      <c r="A1602" s="531"/>
    </row>
    <row r="1603" spans="1:1" x14ac:dyDescent="0.25">
      <c r="A1603" s="531"/>
    </row>
    <row r="1604" spans="1:1" x14ac:dyDescent="0.25">
      <c r="A1604" s="531"/>
    </row>
    <row r="1605" spans="1:1" x14ac:dyDescent="0.25">
      <c r="A1605" s="531"/>
    </row>
    <row r="1606" spans="1:1" x14ac:dyDescent="0.25">
      <c r="A1606" s="531"/>
    </row>
    <row r="1607" spans="1:1" x14ac:dyDescent="0.25">
      <c r="A1607" s="531"/>
    </row>
    <row r="1608" spans="1:1" x14ac:dyDescent="0.25">
      <c r="A1608" s="531"/>
    </row>
    <row r="1609" spans="1:1" x14ac:dyDescent="0.25">
      <c r="A1609" s="531"/>
    </row>
    <row r="1610" spans="1:1" x14ac:dyDescent="0.25">
      <c r="A1610" s="531"/>
    </row>
    <row r="1611" spans="1:1" x14ac:dyDescent="0.25">
      <c r="A1611" s="531"/>
    </row>
    <row r="1612" spans="1:1" x14ac:dyDescent="0.25">
      <c r="A1612" s="531"/>
    </row>
    <row r="1613" spans="1:1" x14ac:dyDescent="0.25">
      <c r="A1613" s="531"/>
    </row>
    <row r="1614" spans="1:1" x14ac:dyDescent="0.25">
      <c r="A1614" s="531"/>
    </row>
    <row r="1615" spans="1:1" x14ac:dyDescent="0.25">
      <c r="A1615" s="531"/>
    </row>
    <row r="1616" spans="1:1" x14ac:dyDescent="0.25">
      <c r="A1616" s="531"/>
    </row>
    <row r="1617" spans="1:1" x14ac:dyDescent="0.25">
      <c r="A1617" s="531"/>
    </row>
    <row r="1618" spans="1:1" x14ac:dyDescent="0.25">
      <c r="A1618" s="531"/>
    </row>
    <row r="1619" spans="1:1" x14ac:dyDescent="0.25">
      <c r="A1619" s="531"/>
    </row>
    <row r="1620" spans="1:1" x14ac:dyDescent="0.25">
      <c r="A1620" s="531"/>
    </row>
    <row r="1621" spans="1:1" x14ac:dyDescent="0.25">
      <c r="A1621" s="531"/>
    </row>
    <row r="1622" spans="1:1" x14ac:dyDescent="0.25">
      <c r="A1622" s="531"/>
    </row>
    <row r="1623" spans="1:1" x14ac:dyDescent="0.25">
      <c r="A1623" s="531"/>
    </row>
    <row r="1624" spans="1:1" x14ac:dyDescent="0.25">
      <c r="A1624" s="531"/>
    </row>
    <row r="1625" spans="1:1" x14ac:dyDescent="0.25">
      <c r="A1625" s="531"/>
    </row>
    <row r="1626" spans="1:1" x14ac:dyDescent="0.25">
      <c r="A1626" s="531"/>
    </row>
    <row r="1627" spans="1:1" x14ac:dyDescent="0.25">
      <c r="A1627" s="531"/>
    </row>
    <row r="1628" spans="1:1" x14ac:dyDescent="0.25">
      <c r="A1628" s="531"/>
    </row>
    <row r="1629" spans="1:1" x14ac:dyDescent="0.25">
      <c r="A1629" s="531"/>
    </row>
    <row r="1630" spans="1:1" x14ac:dyDescent="0.25">
      <c r="A1630" s="531"/>
    </row>
    <row r="1631" spans="1:1" x14ac:dyDescent="0.25">
      <c r="A1631" s="531"/>
    </row>
    <row r="1632" spans="1:1" x14ac:dyDescent="0.25">
      <c r="A1632" s="531"/>
    </row>
    <row r="1633" spans="1:1" x14ac:dyDescent="0.25">
      <c r="A1633" s="531"/>
    </row>
    <row r="1634" spans="1:1" x14ac:dyDescent="0.25">
      <c r="A1634" s="531"/>
    </row>
    <row r="1635" spans="1:1" x14ac:dyDescent="0.25">
      <c r="A1635" s="531"/>
    </row>
    <row r="1636" spans="1:1" x14ac:dyDescent="0.25">
      <c r="A1636" s="531"/>
    </row>
    <row r="1637" spans="1:1" x14ac:dyDescent="0.25">
      <c r="A1637" s="531"/>
    </row>
    <row r="1638" spans="1:1" x14ac:dyDescent="0.25">
      <c r="A1638" s="531"/>
    </row>
    <row r="1639" spans="1:1" x14ac:dyDescent="0.25">
      <c r="A1639" s="531"/>
    </row>
    <row r="1640" spans="1:1" x14ac:dyDescent="0.25">
      <c r="A1640" s="531"/>
    </row>
    <row r="1641" spans="1:1" x14ac:dyDescent="0.25">
      <c r="A1641" s="531"/>
    </row>
    <row r="1642" spans="1:1" x14ac:dyDescent="0.25">
      <c r="A1642" s="531"/>
    </row>
    <row r="1643" spans="1:1" x14ac:dyDescent="0.25">
      <c r="A1643" s="531"/>
    </row>
    <row r="1644" spans="1:1" x14ac:dyDescent="0.25">
      <c r="A1644" s="531"/>
    </row>
    <row r="1645" spans="1:1" x14ac:dyDescent="0.25">
      <c r="A1645" s="531"/>
    </row>
    <row r="1646" spans="1:1" x14ac:dyDescent="0.25">
      <c r="A1646" s="531"/>
    </row>
    <row r="1647" spans="1:1" x14ac:dyDescent="0.25">
      <c r="A1647" s="531"/>
    </row>
    <row r="1648" spans="1:1" x14ac:dyDescent="0.25">
      <c r="A1648" s="531"/>
    </row>
    <row r="1649" spans="1:1" x14ac:dyDescent="0.25">
      <c r="A1649" s="531"/>
    </row>
    <row r="1650" spans="1:1" x14ac:dyDescent="0.25">
      <c r="A1650" s="531"/>
    </row>
    <row r="1651" spans="1:1" x14ac:dyDescent="0.25">
      <c r="A1651" s="531"/>
    </row>
    <row r="1652" spans="1:1" x14ac:dyDescent="0.25">
      <c r="A1652" s="531"/>
    </row>
    <row r="1653" spans="1:1" x14ac:dyDescent="0.25">
      <c r="A1653" s="531"/>
    </row>
    <row r="1654" spans="1:1" x14ac:dyDescent="0.25">
      <c r="A1654" s="531"/>
    </row>
    <row r="1655" spans="1:1" x14ac:dyDescent="0.25">
      <c r="A1655" s="531"/>
    </row>
    <row r="1656" spans="1:1" x14ac:dyDescent="0.25">
      <c r="A1656" s="531"/>
    </row>
    <row r="1657" spans="1:1" x14ac:dyDescent="0.25">
      <c r="A1657" s="531"/>
    </row>
    <row r="1658" spans="1:1" x14ac:dyDescent="0.25">
      <c r="A1658" s="531"/>
    </row>
    <row r="1659" spans="1:1" x14ac:dyDescent="0.25">
      <c r="A1659" s="531"/>
    </row>
    <row r="1660" spans="1:1" x14ac:dyDescent="0.25">
      <c r="A1660" s="531"/>
    </row>
    <row r="1661" spans="1:1" x14ac:dyDescent="0.25">
      <c r="A1661" s="531"/>
    </row>
    <row r="1662" spans="1:1" x14ac:dyDescent="0.25">
      <c r="A1662" s="531"/>
    </row>
    <row r="1663" spans="1:1" x14ac:dyDescent="0.25">
      <c r="A1663" s="531"/>
    </row>
    <row r="1664" spans="1:1" x14ac:dyDescent="0.25">
      <c r="A1664" s="531"/>
    </row>
    <row r="1665" spans="1:1" x14ac:dyDescent="0.25">
      <c r="A1665" s="531"/>
    </row>
    <row r="1666" spans="1:1" x14ac:dyDescent="0.25">
      <c r="A1666" s="531"/>
    </row>
    <row r="1667" spans="1:1" x14ac:dyDescent="0.25">
      <c r="A1667" s="531"/>
    </row>
    <row r="1668" spans="1:1" x14ac:dyDescent="0.25">
      <c r="A1668" s="531"/>
    </row>
    <row r="1669" spans="1:1" x14ac:dyDescent="0.25">
      <c r="A1669" s="531"/>
    </row>
    <row r="1670" spans="1:1" x14ac:dyDescent="0.25">
      <c r="A1670" s="531"/>
    </row>
    <row r="1671" spans="1:1" x14ac:dyDescent="0.25">
      <c r="A1671" s="531"/>
    </row>
    <row r="1672" spans="1:1" x14ac:dyDescent="0.25">
      <c r="A1672" s="531"/>
    </row>
    <row r="1673" spans="1:1" x14ac:dyDescent="0.25">
      <c r="A1673" s="531"/>
    </row>
    <row r="1674" spans="1:1" x14ac:dyDescent="0.25">
      <c r="A1674" s="531"/>
    </row>
    <row r="1675" spans="1:1" x14ac:dyDescent="0.25">
      <c r="A1675" s="531"/>
    </row>
    <row r="1676" spans="1:1" x14ac:dyDescent="0.25">
      <c r="A1676" s="531"/>
    </row>
    <row r="1677" spans="1:1" x14ac:dyDescent="0.25">
      <c r="A1677" s="531"/>
    </row>
    <row r="1678" spans="1:1" x14ac:dyDescent="0.25">
      <c r="A1678" s="531"/>
    </row>
    <row r="1679" spans="1:1" x14ac:dyDescent="0.25">
      <c r="A1679" s="531"/>
    </row>
    <row r="1680" spans="1:1" x14ac:dyDescent="0.25">
      <c r="A1680" s="531"/>
    </row>
    <row r="1681" spans="1:1" x14ac:dyDescent="0.25">
      <c r="A1681" s="531"/>
    </row>
    <row r="1682" spans="1:1" x14ac:dyDescent="0.25">
      <c r="A1682" s="531"/>
    </row>
    <row r="1683" spans="1:1" x14ac:dyDescent="0.25">
      <c r="A1683" s="531"/>
    </row>
    <row r="1684" spans="1:1" x14ac:dyDescent="0.25">
      <c r="A1684" s="531"/>
    </row>
    <row r="1685" spans="1:1" x14ac:dyDescent="0.25">
      <c r="A1685" s="531"/>
    </row>
    <row r="1686" spans="1:1" x14ac:dyDescent="0.25">
      <c r="A1686" s="531"/>
    </row>
    <row r="1687" spans="1:1" x14ac:dyDescent="0.25">
      <c r="A1687" s="531"/>
    </row>
    <row r="1688" spans="1:1" x14ac:dyDescent="0.25">
      <c r="A1688" s="531"/>
    </row>
    <row r="1689" spans="1:1" x14ac:dyDescent="0.25">
      <c r="A1689" s="531"/>
    </row>
    <row r="1690" spans="1:1" x14ac:dyDescent="0.25">
      <c r="A1690" s="531"/>
    </row>
    <row r="1691" spans="1:1" x14ac:dyDescent="0.25">
      <c r="A1691" s="531"/>
    </row>
    <row r="1692" spans="1:1" x14ac:dyDescent="0.25">
      <c r="A1692" s="531"/>
    </row>
    <row r="1693" spans="1:1" x14ac:dyDescent="0.25">
      <c r="A1693" s="531"/>
    </row>
    <row r="1694" spans="1:1" x14ac:dyDescent="0.25">
      <c r="A1694" s="531"/>
    </row>
    <row r="1695" spans="1:1" x14ac:dyDescent="0.25">
      <c r="A1695" s="531"/>
    </row>
    <row r="1696" spans="1:1" x14ac:dyDescent="0.25">
      <c r="A1696" s="531"/>
    </row>
    <row r="1697" spans="1:1" x14ac:dyDescent="0.25">
      <c r="A1697" s="531"/>
    </row>
    <row r="1698" spans="1:1" x14ac:dyDescent="0.25">
      <c r="A1698" s="531"/>
    </row>
    <row r="1699" spans="1:1" x14ac:dyDescent="0.25">
      <c r="A1699" s="531"/>
    </row>
    <row r="1700" spans="1:1" x14ac:dyDescent="0.25">
      <c r="A1700" s="531"/>
    </row>
    <row r="1701" spans="1:1" x14ac:dyDescent="0.25">
      <c r="A1701" s="531"/>
    </row>
    <row r="1702" spans="1:1" x14ac:dyDescent="0.25">
      <c r="A1702" s="531"/>
    </row>
    <row r="1703" spans="1:1" x14ac:dyDescent="0.25">
      <c r="A1703" s="531"/>
    </row>
    <row r="1704" spans="1:1" x14ac:dyDescent="0.25">
      <c r="A1704" s="531"/>
    </row>
    <row r="1705" spans="1:1" x14ac:dyDescent="0.25">
      <c r="A1705" s="531"/>
    </row>
    <row r="1706" spans="1:1" x14ac:dyDescent="0.25">
      <c r="A1706" s="531"/>
    </row>
    <row r="1707" spans="1:1" x14ac:dyDescent="0.25">
      <c r="A1707" s="531"/>
    </row>
    <row r="1708" spans="1:1" x14ac:dyDescent="0.25">
      <c r="A1708" s="531"/>
    </row>
    <row r="1709" spans="1:1" x14ac:dyDescent="0.25">
      <c r="A1709" s="531"/>
    </row>
    <row r="1710" spans="1:1" x14ac:dyDescent="0.25">
      <c r="A1710" s="531"/>
    </row>
    <row r="1711" spans="1:1" x14ac:dyDescent="0.25">
      <c r="A1711" s="531"/>
    </row>
    <row r="1712" spans="1:1" x14ac:dyDescent="0.25">
      <c r="A1712" s="531"/>
    </row>
    <row r="1713" spans="1:1" x14ac:dyDescent="0.25">
      <c r="A1713" s="531"/>
    </row>
    <row r="1714" spans="1:1" x14ac:dyDescent="0.25">
      <c r="A1714" s="531"/>
    </row>
    <row r="1715" spans="1:1" x14ac:dyDescent="0.25">
      <c r="A1715" s="531"/>
    </row>
    <row r="1716" spans="1:1" x14ac:dyDescent="0.25">
      <c r="A1716" s="531"/>
    </row>
    <row r="1717" spans="1:1" x14ac:dyDescent="0.25">
      <c r="A1717" s="531"/>
    </row>
    <row r="1718" spans="1:1" x14ac:dyDescent="0.25">
      <c r="A1718" s="531"/>
    </row>
    <row r="1719" spans="1:1" x14ac:dyDescent="0.25">
      <c r="A1719" s="531"/>
    </row>
    <row r="1720" spans="1:1" x14ac:dyDescent="0.25">
      <c r="A1720" s="531"/>
    </row>
    <row r="1721" spans="1:1" x14ac:dyDescent="0.25">
      <c r="A1721" s="531"/>
    </row>
    <row r="1722" spans="1:1" x14ac:dyDescent="0.25">
      <c r="A1722" s="531"/>
    </row>
    <row r="1723" spans="1:1" x14ac:dyDescent="0.25">
      <c r="A1723" s="531"/>
    </row>
    <row r="1724" spans="1:1" x14ac:dyDescent="0.25">
      <c r="A1724" s="531"/>
    </row>
    <row r="1725" spans="1:1" x14ac:dyDescent="0.25">
      <c r="A1725" s="531"/>
    </row>
    <row r="1726" spans="1:1" x14ac:dyDescent="0.25">
      <c r="A1726" s="531"/>
    </row>
    <row r="1727" spans="1:1" x14ac:dyDescent="0.25">
      <c r="A1727" s="531"/>
    </row>
    <row r="1728" spans="1:1" x14ac:dyDescent="0.25">
      <c r="A1728" s="531"/>
    </row>
    <row r="1729" spans="1:1" x14ac:dyDescent="0.25">
      <c r="A1729" s="531"/>
    </row>
    <row r="1730" spans="1:1" x14ac:dyDescent="0.25">
      <c r="A1730" s="531"/>
    </row>
    <row r="1731" spans="1:1" x14ac:dyDescent="0.25">
      <c r="A1731" s="531"/>
    </row>
    <row r="1732" spans="1:1" x14ac:dyDescent="0.25">
      <c r="A1732" s="531"/>
    </row>
    <row r="1733" spans="1:1" x14ac:dyDescent="0.25">
      <c r="A1733" s="531"/>
    </row>
    <row r="1734" spans="1:1" x14ac:dyDescent="0.25">
      <c r="A1734" s="531"/>
    </row>
    <row r="1735" spans="1:1" x14ac:dyDescent="0.25">
      <c r="A1735" s="531"/>
    </row>
    <row r="1736" spans="1:1" x14ac:dyDescent="0.25">
      <c r="A1736" s="531"/>
    </row>
    <row r="1737" spans="1:1" x14ac:dyDescent="0.25">
      <c r="A1737" s="531"/>
    </row>
    <row r="1738" spans="1:1" x14ac:dyDescent="0.25">
      <c r="A1738" s="531"/>
    </row>
    <row r="1739" spans="1:1" x14ac:dyDescent="0.25">
      <c r="A1739" s="531"/>
    </row>
    <row r="1740" spans="1:1" x14ac:dyDescent="0.25">
      <c r="A1740" s="531"/>
    </row>
    <row r="1741" spans="1:1" x14ac:dyDescent="0.25">
      <c r="A1741" s="531"/>
    </row>
    <row r="1742" spans="1:1" x14ac:dyDescent="0.25">
      <c r="A1742" s="531"/>
    </row>
    <row r="1743" spans="1:1" x14ac:dyDescent="0.25">
      <c r="A1743" s="531"/>
    </row>
    <row r="1744" spans="1:1" x14ac:dyDescent="0.25">
      <c r="A1744" s="531"/>
    </row>
    <row r="1745" spans="1:1" x14ac:dyDescent="0.25">
      <c r="A1745" s="531"/>
    </row>
    <row r="1746" spans="1:1" x14ac:dyDescent="0.25">
      <c r="A1746" s="531"/>
    </row>
    <row r="1747" spans="1:1" x14ac:dyDescent="0.25">
      <c r="A1747" s="531"/>
    </row>
    <row r="1748" spans="1:1" x14ac:dyDescent="0.25">
      <c r="A1748" s="531"/>
    </row>
    <row r="1749" spans="1:1" x14ac:dyDescent="0.25">
      <c r="A1749" s="531"/>
    </row>
    <row r="1750" spans="1:1" x14ac:dyDescent="0.25">
      <c r="A1750" s="531"/>
    </row>
    <row r="1751" spans="1:1" x14ac:dyDescent="0.25">
      <c r="A1751" s="531"/>
    </row>
    <row r="1752" spans="1:1" x14ac:dyDescent="0.25">
      <c r="A1752" s="531"/>
    </row>
    <row r="1753" spans="1:1" x14ac:dyDescent="0.25">
      <c r="A1753" s="531"/>
    </row>
    <row r="1754" spans="1:1" x14ac:dyDescent="0.25">
      <c r="A1754" s="531"/>
    </row>
    <row r="1755" spans="1:1" x14ac:dyDescent="0.25">
      <c r="A1755" s="531"/>
    </row>
    <row r="1756" spans="1:1" x14ac:dyDescent="0.25">
      <c r="A1756" s="531"/>
    </row>
    <row r="1757" spans="1:1" x14ac:dyDescent="0.25">
      <c r="A1757" s="531"/>
    </row>
    <row r="1758" spans="1:1" x14ac:dyDescent="0.25">
      <c r="A1758" s="531"/>
    </row>
    <row r="1759" spans="1:1" x14ac:dyDescent="0.25">
      <c r="A1759" s="531"/>
    </row>
    <row r="1760" spans="1:1" x14ac:dyDescent="0.25">
      <c r="A1760" s="531"/>
    </row>
    <row r="1761" spans="1:1" x14ac:dyDescent="0.25">
      <c r="A1761" s="531"/>
    </row>
    <row r="1762" spans="1:1" x14ac:dyDescent="0.25">
      <c r="A1762" s="531"/>
    </row>
    <row r="1763" spans="1:1" x14ac:dyDescent="0.25">
      <c r="A1763" s="531"/>
    </row>
    <row r="1764" spans="1:1" x14ac:dyDescent="0.25">
      <c r="A1764" s="531"/>
    </row>
    <row r="1765" spans="1:1" x14ac:dyDescent="0.25">
      <c r="A1765" s="531"/>
    </row>
    <row r="1766" spans="1:1" x14ac:dyDescent="0.25">
      <c r="A1766" s="531"/>
    </row>
    <row r="1767" spans="1:1" x14ac:dyDescent="0.25">
      <c r="A1767" s="531"/>
    </row>
    <row r="1768" spans="1:1" x14ac:dyDescent="0.25">
      <c r="A1768" s="531"/>
    </row>
    <row r="1769" spans="1:1" x14ac:dyDescent="0.25">
      <c r="A1769" s="531"/>
    </row>
    <row r="1770" spans="1:1" x14ac:dyDescent="0.25">
      <c r="A1770" s="531"/>
    </row>
    <row r="1771" spans="1:1" x14ac:dyDescent="0.25">
      <c r="A1771" s="531"/>
    </row>
    <row r="1772" spans="1:1" x14ac:dyDescent="0.25">
      <c r="A1772" s="531"/>
    </row>
    <row r="1773" spans="1:1" x14ac:dyDescent="0.25">
      <c r="A1773" s="531"/>
    </row>
    <row r="1774" spans="1:1" x14ac:dyDescent="0.25">
      <c r="A1774" s="531"/>
    </row>
    <row r="1775" spans="1:1" x14ac:dyDescent="0.25">
      <c r="A1775" s="531"/>
    </row>
    <row r="1776" spans="1:1" x14ac:dyDescent="0.25">
      <c r="A1776" s="531"/>
    </row>
    <row r="1777" spans="1:1" x14ac:dyDescent="0.25">
      <c r="A1777" s="531"/>
    </row>
    <row r="1778" spans="1:1" x14ac:dyDescent="0.25">
      <c r="A1778" s="531"/>
    </row>
    <row r="1779" spans="1:1" x14ac:dyDescent="0.25">
      <c r="A1779" s="531"/>
    </row>
    <row r="1780" spans="1:1" x14ac:dyDescent="0.25">
      <c r="A1780" s="531"/>
    </row>
    <row r="1781" spans="1:1" x14ac:dyDescent="0.25">
      <c r="A1781" s="531"/>
    </row>
    <row r="1782" spans="1:1" x14ac:dyDescent="0.25">
      <c r="A1782" s="531"/>
    </row>
    <row r="1783" spans="1:1" x14ac:dyDescent="0.25">
      <c r="A1783" s="531"/>
    </row>
    <row r="1784" spans="1:1" x14ac:dyDescent="0.25">
      <c r="A1784" s="531"/>
    </row>
    <row r="1785" spans="1:1" x14ac:dyDescent="0.25">
      <c r="A1785" s="531"/>
    </row>
    <row r="1786" spans="1:1" x14ac:dyDescent="0.25">
      <c r="A1786" s="531"/>
    </row>
    <row r="1787" spans="1:1" x14ac:dyDescent="0.25">
      <c r="A1787" s="531"/>
    </row>
    <row r="1788" spans="1:1" x14ac:dyDescent="0.25">
      <c r="A1788" s="531"/>
    </row>
    <row r="1789" spans="1:1" x14ac:dyDescent="0.25">
      <c r="A1789" s="531"/>
    </row>
    <row r="1790" spans="1:1" x14ac:dyDescent="0.25">
      <c r="A1790" s="531"/>
    </row>
    <row r="1791" spans="1:1" x14ac:dyDescent="0.25">
      <c r="A1791" s="531"/>
    </row>
    <row r="1792" spans="1:1" x14ac:dyDescent="0.25">
      <c r="A1792" s="531"/>
    </row>
    <row r="1793" spans="1:1" x14ac:dyDescent="0.25">
      <c r="A1793" s="531"/>
    </row>
    <row r="1794" spans="1:1" x14ac:dyDescent="0.25">
      <c r="A1794" s="531"/>
    </row>
    <row r="1795" spans="1:1" x14ac:dyDescent="0.25">
      <c r="A1795" s="531"/>
    </row>
    <row r="1796" spans="1:1" x14ac:dyDescent="0.25">
      <c r="A1796" s="531"/>
    </row>
    <row r="1797" spans="1:1" x14ac:dyDescent="0.25">
      <c r="A1797" s="531"/>
    </row>
    <row r="1798" spans="1:1" x14ac:dyDescent="0.25">
      <c r="A1798" s="531"/>
    </row>
    <row r="1799" spans="1:1" x14ac:dyDescent="0.25">
      <c r="A1799" s="531"/>
    </row>
    <row r="1800" spans="1:1" x14ac:dyDescent="0.25">
      <c r="A1800" s="531"/>
    </row>
    <row r="1801" spans="1:1" x14ac:dyDescent="0.25">
      <c r="A1801" s="531"/>
    </row>
    <row r="1802" spans="1:1" x14ac:dyDescent="0.25">
      <c r="A1802" s="531"/>
    </row>
    <row r="1803" spans="1:1" x14ac:dyDescent="0.25">
      <c r="A1803" s="531"/>
    </row>
    <row r="1804" spans="1:1" x14ac:dyDescent="0.25">
      <c r="A1804" s="531"/>
    </row>
    <row r="1805" spans="1:1" x14ac:dyDescent="0.25">
      <c r="A1805" s="531"/>
    </row>
    <row r="1806" spans="1:1" x14ac:dyDescent="0.25">
      <c r="A1806" s="531"/>
    </row>
    <row r="1807" spans="1:1" x14ac:dyDescent="0.25">
      <c r="A1807" s="531"/>
    </row>
    <row r="1808" spans="1:1" x14ac:dyDescent="0.25">
      <c r="A1808" s="531"/>
    </row>
    <row r="1809" spans="1:1" x14ac:dyDescent="0.25">
      <c r="A1809" s="531"/>
    </row>
    <row r="1810" spans="1:1" x14ac:dyDescent="0.25">
      <c r="A1810" s="531"/>
    </row>
    <row r="1811" spans="1:1" x14ac:dyDescent="0.25">
      <c r="A1811" s="531"/>
    </row>
    <row r="1812" spans="1:1" x14ac:dyDescent="0.25">
      <c r="A1812" s="531"/>
    </row>
    <row r="1813" spans="1:1" x14ac:dyDescent="0.25">
      <c r="A1813" s="531"/>
    </row>
    <row r="1814" spans="1:1" x14ac:dyDescent="0.25">
      <c r="A1814" s="531"/>
    </row>
    <row r="1815" spans="1:1" x14ac:dyDescent="0.25">
      <c r="A1815" s="531"/>
    </row>
    <row r="1816" spans="1:1" x14ac:dyDescent="0.25">
      <c r="A1816" s="531"/>
    </row>
    <row r="1817" spans="1:1" x14ac:dyDescent="0.25">
      <c r="A1817" s="531"/>
    </row>
    <row r="1818" spans="1:1" x14ac:dyDescent="0.25">
      <c r="A1818" s="531"/>
    </row>
    <row r="1819" spans="1:1" x14ac:dyDescent="0.25">
      <c r="A1819" s="531"/>
    </row>
    <row r="1820" spans="1:1" x14ac:dyDescent="0.25">
      <c r="A1820" s="531"/>
    </row>
    <row r="1821" spans="1:1" x14ac:dyDescent="0.25">
      <c r="A1821" s="531"/>
    </row>
    <row r="1822" spans="1:1" x14ac:dyDescent="0.25">
      <c r="A1822" s="531"/>
    </row>
    <row r="1823" spans="1:1" x14ac:dyDescent="0.25">
      <c r="A1823" s="531"/>
    </row>
    <row r="1824" spans="1:1" x14ac:dyDescent="0.25">
      <c r="A1824" s="531"/>
    </row>
    <row r="1825" spans="1:1" x14ac:dyDescent="0.25">
      <c r="A1825" s="531"/>
    </row>
    <row r="1826" spans="1:1" x14ac:dyDescent="0.25">
      <c r="A1826" s="531"/>
    </row>
    <row r="1827" spans="1:1" x14ac:dyDescent="0.25">
      <c r="A1827" s="531"/>
    </row>
    <row r="1828" spans="1:1" x14ac:dyDescent="0.25">
      <c r="A1828" s="531"/>
    </row>
    <row r="1829" spans="1:1" x14ac:dyDescent="0.25">
      <c r="A1829" s="531"/>
    </row>
    <row r="1830" spans="1:1" x14ac:dyDescent="0.25">
      <c r="A1830" s="531"/>
    </row>
    <row r="1831" spans="1:1" x14ac:dyDescent="0.25">
      <c r="A1831" s="531"/>
    </row>
    <row r="1832" spans="1:1" x14ac:dyDescent="0.25">
      <c r="A1832" s="531"/>
    </row>
    <row r="1833" spans="1:1" x14ac:dyDescent="0.25">
      <c r="A1833" s="531"/>
    </row>
    <row r="1834" spans="1:1" x14ac:dyDescent="0.25">
      <c r="A1834" s="531"/>
    </row>
    <row r="1835" spans="1:1" x14ac:dyDescent="0.25">
      <c r="A1835" s="531"/>
    </row>
    <row r="1836" spans="1:1" x14ac:dyDescent="0.25">
      <c r="A1836" s="531"/>
    </row>
    <row r="1837" spans="1:1" x14ac:dyDescent="0.25">
      <c r="A1837" s="531"/>
    </row>
    <row r="1838" spans="1:1" x14ac:dyDescent="0.25">
      <c r="A1838" s="531"/>
    </row>
    <row r="1839" spans="1:1" x14ac:dyDescent="0.25">
      <c r="A1839" s="531"/>
    </row>
    <row r="1840" spans="1:1" x14ac:dyDescent="0.25">
      <c r="A1840" s="531"/>
    </row>
    <row r="1841" spans="1:1" x14ac:dyDescent="0.25">
      <c r="A1841" s="531"/>
    </row>
    <row r="1842" spans="1:1" x14ac:dyDescent="0.25">
      <c r="A1842" s="531"/>
    </row>
    <row r="1843" spans="1:1" x14ac:dyDescent="0.25">
      <c r="A1843" s="531"/>
    </row>
    <row r="1844" spans="1:1" x14ac:dyDescent="0.25">
      <c r="A1844" s="531"/>
    </row>
    <row r="1845" spans="1:1" x14ac:dyDescent="0.25">
      <c r="A1845" s="531"/>
    </row>
    <row r="1846" spans="1:1" x14ac:dyDescent="0.25">
      <c r="A1846" s="531"/>
    </row>
    <row r="1847" spans="1:1" x14ac:dyDescent="0.25">
      <c r="A1847" s="531"/>
    </row>
    <row r="1848" spans="1:1" x14ac:dyDescent="0.25">
      <c r="A1848" s="531"/>
    </row>
    <row r="1849" spans="1:1" x14ac:dyDescent="0.25">
      <c r="A1849" s="531"/>
    </row>
    <row r="1850" spans="1:1" x14ac:dyDescent="0.25">
      <c r="A1850" s="531"/>
    </row>
    <row r="1851" spans="1:1" x14ac:dyDescent="0.25">
      <c r="A1851" s="531"/>
    </row>
    <row r="1852" spans="1:1" x14ac:dyDescent="0.25">
      <c r="A1852" s="531"/>
    </row>
    <row r="1853" spans="1:1" x14ac:dyDescent="0.25">
      <c r="A1853" s="531"/>
    </row>
    <row r="1854" spans="1:1" x14ac:dyDescent="0.25">
      <c r="A1854" s="531"/>
    </row>
    <row r="1855" spans="1:1" x14ac:dyDescent="0.25">
      <c r="A1855" s="531"/>
    </row>
    <row r="1856" spans="1:1" x14ac:dyDescent="0.25">
      <c r="A1856" s="531"/>
    </row>
    <row r="1857" spans="1:1" x14ac:dyDescent="0.25">
      <c r="A1857" s="531"/>
    </row>
    <row r="1858" spans="1:1" x14ac:dyDescent="0.25">
      <c r="A1858" s="531"/>
    </row>
    <row r="1859" spans="1:1" x14ac:dyDescent="0.25">
      <c r="A1859" s="531"/>
    </row>
    <row r="1860" spans="1:1" x14ac:dyDescent="0.25">
      <c r="A1860" s="531"/>
    </row>
    <row r="1861" spans="1:1" x14ac:dyDescent="0.25">
      <c r="A1861" s="531"/>
    </row>
    <row r="1862" spans="1:1" x14ac:dyDescent="0.25">
      <c r="A1862" s="531"/>
    </row>
    <row r="1863" spans="1:1" x14ac:dyDescent="0.25">
      <c r="A1863" s="531"/>
    </row>
    <row r="1864" spans="1:1" x14ac:dyDescent="0.25">
      <c r="A1864" s="531"/>
    </row>
    <row r="1865" spans="1:1" x14ac:dyDescent="0.25">
      <c r="A1865" s="531"/>
    </row>
    <row r="1866" spans="1:1" x14ac:dyDescent="0.25">
      <c r="A1866" s="531"/>
    </row>
    <row r="1867" spans="1:1" x14ac:dyDescent="0.25">
      <c r="A1867" s="531"/>
    </row>
    <row r="1868" spans="1:1" x14ac:dyDescent="0.25">
      <c r="A1868" s="531"/>
    </row>
    <row r="1869" spans="1:1" x14ac:dyDescent="0.25">
      <c r="A1869" s="531"/>
    </row>
    <row r="1870" spans="1:1" x14ac:dyDescent="0.25">
      <c r="A1870" s="531"/>
    </row>
    <row r="1871" spans="1:1" x14ac:dyDescent="0.25">
      <c r="A1871" s="531"/>
    </row>
    <row r="1872" spans="1:1" x14ac:dyDescent="0.25">
      <c r="A1872" s="531"/>
    </row>
    <row r="1873" spans="1:1" x14ac:dyDescent="0.25">
      <c r="A1873" s="531"/>
    </row>
    <row r="1874" spans="1:1" x14ac:dyDescent="0.25">
      <c r="A1874" s="531"/>
    </row>
    <row r="1875" spans="1:1" x14ac:dyDescent="0.25">
      <c r="A1875" s="531"/>
    </row>
    <row r="1876" spans="1:1" x14ac:dyDescent="0.25">
      <c r="A1876" s="531"/>
    </row>
    <row r="1877" spans="1:1" x14ac:dyDescent="0.25">
      <c r="A1877" s="531"/>
    </row>
    <row r="1878" spans="1:1" x14ac:dyDescent="0.25">
      <c r="A1878" s="531"/>
    </row>
    <row r="1879" spans="1:1" x14ac:dyDescent="0.25">
      <c r="A1879" s="531"/>
    </row>
    <row r="1880" spans="1:1" x14ac:dyDescent="0.25">
      <c r="A1880" s="531"/>
    </row>
    <row r="1881" spans="1:1" x14ac:dyDescent="0.25">
      <c r="A1881" s="531"/>
    </row>
    <row r="1882" spans="1:1" x14ac:dyDescent="0.25">
      <c r="A1882" s="531"/>
    </row>
    <row r="1883" spans="1:1" x14ac:dyDescent="0.25">
      <c r="A1883" s="531"/>
    </row>
    <row r="1884" spans="1:1" x14ac:dyDescent="0.25">
      <c r="A1884" s="531"/>
    </row>
    <row r="1885" spans="1:1" x14ac:dyDescent="0.25">
      <c r="A1885" s="531"/>
    </row>
    <row r="1886" spans="1:1" x14ac:dyDescent="0.25">
      <c r="A1886" s="531"/>
    </row>
    <row r="1887" spans="1:1" x14ac:dyDescent="0.25">
      <c r="A1887" s="531"/>
    </row>
    <row r="1888" spans="1:1" x14ac:dyDescent="0.25">
      <c r="A1888" s="531"/>
    </row>
    <row r="1889" spans="1:1" x14ac:dyDescent="0.25">
      <c r="A1889" s="531"/>
    </row>
    <row r="1890" spans="1:1" x14ac:dyDescent="0.25">
      <c r="A1890" s="531"/>
    </row>
    <row r="1891" spans="1:1" x14ac:dyDescent="0.25">
      <c r="A1891" s="531"/>
    </row>
    <row r="1892" spans="1:1" x14ac:dyDescent="0.25">
      <c r="A1892" s="531"/>
    </row>
    <row r="1893" spans="1:1" x14ac:dyDescent="0.25">
      <c r="A1893" s="531"/>
    </row>
    <row r="1894" spans="1:1" x14ac:dyDescent="0.25">
      <c r="A1894" s="531"/>
    </row>
    <row r="1895" spans="1:1" x14ac:dyDescent="0.25">
      <c r="A1895" s="531"/>
    </row>
    <row r="1896" spans="1:1" x14ac:dyDescent="0.25">
      <c r="A1896" s="531"/>
    </row>
    <row r="1897" spans="1:1" x14ac:dyDescent="0.25">
      <c r="A1897" s="531"/>
    </row>
    <row r="1898" spans="1:1" x14ac:dyDescent="0.25">
      <c r="A1898" s="531"/>
    </row>
    <row r="1899" spans="1:1" x14ac:dyDescent="0.25">
      <c r="A1899" s="531"/>
    </row>
    <row r="1900" spans="1:1" x14ac:dyDescent="0.25">
      <c r="A1900" s="531"/>
    </row>
    <row r="1901" spans="1:1" x14ac:dyDescent="0.25">
      <c r="A1901" s="531"/>
    </row>
    <row r="1902" spans="1:1" x14ac:dyDescent="0.25">
      <c r="A1902" s="531"/>
    </row>
    <row r="1903" spans="1:1" x14ac:dyDescent="0.25">
      <c r="A1903" s="531"/>
    </row>
    <row r="1904" spans="1:1" x14ac:dyDescent="0.25">
      <c r="A1904" s="531"/>
    </row>
    <row r="1905" spans="1:1" x14ac:dyDescent="0.25">
      <c r="A1905" s="531"/>
    </row>
    <row r="1906" spans="1:1" x14ac:dyDescent="0.25">
      <c r="A1906" s="531"/>
    </row>
    <row r="1907" spans="1:1" x14ac:dyDescent="0.25">
      <c r="A1907" s="531"/>
    </row>
    <row r="1908" spans="1:1" x14ac:dyDescent="0.25">
      <c r="A1908" s="531"/>
    </row>
    <row r="1909" spans="1:1" x14ac:dyDescent="0.25">
      <c r="A1909" s="531"/>
    </row>
    <row r="1910" spans="1:1" x14ac:dyDescent="0.25">
      <c r="A1910" s="531"/>
    </row>
    <row r="1911" spans="1:1" x14ac:dyDescent="0.25">
      <c r="A1911" s="531"/>
    </row>
    <row r="1912" spans="1:1" x14ac:dyDescent="0.25">
      <c r="A1912" s="531"/>
    </row>
    <row r="1913" spans="1:1" x14ac:dyDescent="0.25">
      <c r="A1913" s="531"/>
    </row>
    <row r="1914" spans="1:1" x14ac:dyDescent="0.25">
      <c r="A1914" s="531"/>
    </row>
    <row r="1915" spans="1:1" x14ac:dyDescent="0.25">
      <c r="A1915" s="531"/>
    </row>
    <row r="1916" spans="1:1" x14ac:dyDescent="0.25">
      <c r="A1916" s="531"/>
    </row>
    <row r="1917" spans="1:1" x14ac:dyDescent="0.25">
      <c r="A1917" s="531"/>
    </row>
    <row r="1918" spans="1:1" x14ac:dyDescent="0.25">
      <c r="A1918" s="531"/>
    </row>
    <row r="1919" spans="1:1" x14ac:dyDescent="0.25">
      <c r="A1919" s="531"/>
    </row>
    <row r="1920" spans="1:1" x14ac:dyDescent="0.25">
      <c r="A1920" s="531"/>
    </row>
    <row r="1921" spans="1:1" x14ac:dyDescent="0.25">
      <c r="A1921" s="531"/>
    </row>
    <row r="1922" spans="1:1" x14ac:dyDescent="0.25">
      <c r="A1922" s="531"/>
    </row>
    <row r="1923" spans="1:1" x14ac:dyDescent="0.25">
      <c r="A1923" s="531"/>
    </row>
    <row r="1924" spans="1:1" x14ac:dyDescent="0.25">
      <c r="A1924" s="531"/>
    </row>
    <row r="1925" spans="1:1" x14ac:dyDescent="0.25">
      <c r="A1925" s="531"/>
    </row>
    <row r="1926" spans="1:1" x14ac:dyDescent="0.25">
      <c r="A1926" s="531"/>
    </row>
    <row r="1927" spans="1:1" x14ac:dyDescent="0.25">
      <c r="A1927" s="531"/>
    </row>
    <row r="1928" spans="1:1" x14ac:dyDescent="0.25">
      <c r="A1928" s="531"/>
    </row>
    <row r="1929" spans="1:1" x14ac:dyDescent="0.25">
      <c r="A1929" s="531"/>
    </row>
    <row r="1930" spans="1:1" x14ac:dyDescent="0.25">
      <c r="A1930" s="531"/>
    </row>
    <row r="1931" spans="1:1" x14ac:dyDescent="0.25">
      <c r="A1931" s="531"/>
    </row>
    <row r="1932" spans="1:1" x14ac:dyDescent="0.25">
      <c r="A1932" s="531"/>
    </row>
    <row r="1933" spans="1:1" x14ac:dyDescent="0.25">
      <c r="A1933" s="531"/>
    </row>
    <row r="1934" spans="1:1" x14ac:dyDescent="0.25">
      <c r="A1934" s="531"/>
    </row>
    <row r="1935" spans="1:1" x14ac:dyDescent="0.25">
      <c r="A1935" s="531"/>
    </row>
    <row r="1936" spans="1:1" x14ac:dyDescent="0.25">
      <c r="A1936" s="531"/>
    </row>
    <row r="1937" spans="1:1" x14ac:dyDescent="0.25">
      <c r="A1937" s="531"/>
    </row>
    <row r="1938" spans="1:1" x14ac:dyDescent="0.25">
      <c r="A1938" s="531"/>
    </row>
    <row r="1939" spans="1:1" x14ac:dyDescent="0.25">
      <c r="A1939" s="531"/>
    </row>
    <row r="1940" spans="1:1" x14ac:dyDescent="0.25">
      <c r="A1940" s="531"/>
    </row>
    <row r="1941" spans="1:1" x14ac:dyDescent="0.25">
      <c r="A1941" s="531"/>
    </row>
    <row r="1942" spans="1:1" x14ac:dyDescent="0.25">
      <c r="A1942" s="531"/>
    </row>
    <row r="1943" spans="1:1" x14ac:dyDescent="0.25">
      <c r="A1943" s="531"/>
    </row>
    <row r="1944" spans="1:1" x14ac:dyDescent="0.25">
      <c r="A1944" s="531"/>
    </row>
    <row r="1945" spans="1:1" x14ac:dyDescent="0.25">
      <c r="A1945" s="531"/>
    </row>
    <row r="1946" spans="1:1" x14ac:dyDescent="0.25">
      <c r="A1946" s="531"/>
    </row>
    <row r="1947" spans="1:1" x14ac:dyDescent="0.25">
      <c r="A1947" s="531"/>
    </row>
    <row r="1948" spans="1:1" x14ac:dyDescent="0.25">
      <c r="A1948" s="531"/>
    </row>
    <row r="1949" spans="1:1" x14ac:dyDescent="0.25">
      <c r="A1949" s="531"/>
    </row>
    <row r="1950" spans="1:1" x14ac:dyDescent="0.25">
      <c r="A1950" s="531"/>
    </row>
    <row r="1951" spans="1:1" x14ac:dyDescent="0.25">
      <c r="A1951" s="531"/>
    </row>
    <row r="1952" spans="1:1" x14ac:dyDescent="0.25">
      <c r="A1952" s="531"/>
    </row>
    <row r="1953" spans="1:1" x14ac:dyDescent="0.25">
      <c r="A1953" s="531"/>
    </row>
    <row r="1954" spans="1:1" x14ac:dyDescent="0.25">
      <c r="A1954" s="531"/>
    </row>
    <row r="1955" spans="1:1" x14ac:dyDescent="0.25">
      <c r="A1955" s="531"/>
    </row>
    <row r="1956" spans="1:1" x14ac:dyDescent="0.25">
      <c r="A1956" s="531"/>
    </row>
    <row r="1957" spans="1:1" x14ac:dyDescent="0.25">
      <c r="A1957" s="531"/>
    </row>
    <row r="1958" spans="1:1" x14ac:dyDescent="0.25">
      <c r="A1958" s="531"/>
    </row>
    <row r="1959" spans="1:1" x14ac:dyDescent="0.25">
      <c r="A1959" s="531"/>
    </row>
    <row r="1960" spans="1:1" x14ac:dyDescent="0.25">
      <c r="A1960" s="531"/>
    </row>
    <row r="1961" spans="1:1" x14ac:dyDescent="0.25">
      <c r="A1961" s="531"/>
    </row>
    <row r="1962" spans="1:1" x14ac:dyDescent="0.25">
      <c r="A1962" s="531"/>
    </row>
    <row r="1963" spans="1:1" x14ac:dyDescent="0.25">
      <c r="A1963" s="531"/>
    </row>
    <row r="1964" spans="1:1" x14ac:dyDescent="0.25">
      <c r="A1964" s="531"/>
    </row>
    <row r="1965" spans="1:1" x14ac:dyDescent="0.25">
      <c r="A1965" s="531"/>
    </row>
    <row r="1966" spans="1:1" x14ac:dyDescent="0.25">
      <c r="A1966" s="531"/>
    </row>
    <row r="1967" spans="1:1" x14ac:dyDescent="0.25">
      <c r="A1967" s="531"/>
    </row>
    <row r="1968" spans="1:1" x14ac:dyDescent="0.25">
      <c r="A1968" s="531"/>
    </row>
    <row r="1969" spans="1:1" x14ac:dyDescent="0.25">
      <c r="A1969" s="531"/>
    </row>
    <row r="1970" spans="1:1" x14ac:dyDescent="0.25">
      <c r="A1970" s="531"/>
    </row>
    <row r="1971" spans="1:1" x14ac:dyDescent="0.25">
      <c r="A1971" s="531"/>
    </row>
    <row r="1972" spans="1:1" x14ac:dyDescent="0.25">
      <c r="A1972" s="531"/>
    </row>
    <row r="1973" spans="1:1" x14ac:dyDescent="0.25">
      <c r="A1973" s="531"/>
    </row>
    <row r="1974" spans="1:1" x14ac:dyDescent="0.25">
      <c r="A1974" s="531"/>
    </row>
    <row r="1975" spans="1:1" x14ac:dyDescent="0.25">
      <c r="A1975" s="531"/>
    </row>
    <row r="1976" spans="1:1" x14ac:dyDescent="0.25">
      <c r="A1976" s="531"/>
    </row>
    <row r="1977" spans="1:1" x14ac:dyDescent="0.25">
      <c r="A1977" s="531"/>
    </row>
    <row r="1978" spans="1:1" x14ac:dyDescent="0.25">
      <c r="A1978" s="531"/>
    </row>
    <row r="1979" spans="1:1" x14ac:dyDescent="0.25">
      <c r="A1979" s="531"/>
    </row>
    <row r="1980" spans="1:1" x14ac:dyDescent="0.25">
      <c r="A1980" s="531"/>
    </row>
    <row r="1981" spans="1:1" x14ac:dyDescent="0.25">
      <c r="A1981" s="531"/>
    </row>
    <row r="1982" spans="1:1" x14ac:dyDescent="0.25">
      <c r="A1982" s="531"/>
    </row>
    <row r="1983" spans="1:1" x14ac:dyDescent="0.25">
      <c r="A1983" s="531"/>
    </row>
    <row r="1984" spans="1:1" x14ac:dyDescent="0.25">
      <c r="A1984" s="531"/>
    </row>
    <row r="1985" spans="1:1" x14ac:dyDescent="0.25">
      <c r="A1985" s="531"/>
    </row>
    <row r="1986" spans="1:1" x14ac:dyDescent="0.25">
      <c r="A1986" s="531"/>
    </row>
    <row r="1987" spans="1:1" x14ac:dyDescent="0.25">
      <c r="A1987" s="531"/>
    </row>
    <row r="1988" spans="1:1" x14ac:dyDescent="0.25">
      <c r="A1988" s="531"/>
    </row>
    <row r="1989" spans="1:1" x14ac:dyDescent="0.25">
      <c r="A1989" s="531"/>
    </row>
    <row r="1990" spans="1:1" x14ac:dyDescent="0.25">
      <c r="A1990" s="531"/>
    </row>
    <row r="1991" spans="1:1" x14ac:dyDescent="0.25">
      <c r="A1991" s="531"/>
    </row>
    <row r="1992" spans="1:1" x14ac:dyDescent="0.25">
      <c r="A1992" s="531"/>
    </row>
    <row r="1993" spans="1:1" x14ac:dyDescent="0.25">
      <c r="A1993" s="531"/>
    </row>
    <row r="1994" spans="1:1" x14ac:dyDescent="0.25">
      <c r="A1994" s="531"/>
    </row>
    <row r="1995" spans="1:1" x14ac:dyDescent="0.25">
      <c r="A1995" s="531"/>
    </row>
    <row r="1996" spans="1:1" x14ac:dyDescent="0.25">
      <c r="A1996" s="531"/>
    </row>
    <row r="1997" spans="1:1" x14ac:dyDescent="0.25">
      <c r="A1997" s="531"/>
    </row>
    <row r="1998" spans="1:1" x14ac:dyDescent="0.25">
      <c r="A1998" s="531"/>
    </row>
    <row r="1999" spans="1:1" x14ac:dyDescent="0.25">
      <c r="A1999" s="531"/>
    </row>
    <row r="2000" spans="1:1" x14ac:dyDescent="0.25">
      <c r="A2000" s="531"/>
    </row>
    <row r="2001" spans="1:1" x14ac:dyDescent="0.25">
      <c r="A2001" s="531"/>
    </row>
    <row r="2002" spans="1:1" x14ac:dyDescent="0.25">
      <c r="A2002" s="531"/>
    </row>
    <row r="2003" spans="1:1" x14ac:dyDescent="0.25">
      <c r="A2003" s="531"/>
    </row>
    <row r="2004" spans="1:1" x14ac:dyDescent="0.25">
      <c r="A2004" s="531"/>
    </row>
    <row r="2005" spans="1:1" x14ac:dyDescent="0.25">
      <c r="A2005" s="531"/>
    </row>
    <row r="2006" spans="1:1" x14ac:dyDescent="0.25">
      <c r="A2006" s="531"/>
    </row>
    <row r="2007" spans="1:1" x14ac:dyDescent="0.25">
      <c r="A2007" s="531"/>
    </row>
    <row r="2008" spans="1:1" x14ac:dyDescent="0.25">
      <c r="A2008" s="531"/>
    </row>
    <row r="2009" spans="1:1" x14ac:dyDescent="0.25">
      <c r="A2009" s="531"/>
    </row>
    <row r="2010" spans="1:1" x14ac:dyDescent="0.25">
      <c r="A2010" s="531"/>
    </row>
    <row r="2011" spans="1:1" x14ac:dyDescent="0.25">
      <c r="A2011" s="531"/>
    </row>
    <row r="2012" spans="1:1" x14ac:dyDescent="0.25">
      <c r="A2012" s="531"/>
    </row>
    <row r="2013" spans="1:1" x14ac:dyDescent="0.25">
      <c r="A2013" s="531"/>
    </row>
    <row r="2014" spans="1:1" x14ac:dyDescent="0.25">
      <c r="A2014" s="531"/>
    </row>
    <row r="2015" spans="1:1" x14ac:dyDescent="0.25">
      <c r="A2015" s="531"/>
    </row>
    <row r="2016" spans="1:1" x14ac:dyDescent="0.25">
      <c r="A2016" s="531"/>
    </row>
    <row r="2017" spans="1:1" x14ac:dyDescent="0.25">
      <c r="A2017" s="531"/>
    </row>
    <row r="2018" spans="1:1" x14ac:dyDescent="0.25">
      <c r="A2018" s="531"/>
    </row>
    <row r="2019" spans="1:1" x14ac:dyDescent="0.25">
      <c r="A2019" s="531"/>
    </row>
    <row r="2020" spans="1:1" x14ac:dyDescent="0.25">
      <c r="A2020" s="531"/>
    </row>
    <row r="2021" spans="1:1" x14ac:dyDescent="0.25">
      <c r="A2021" s="531"/>
    </row>
    <row r="2022" spans="1:1" x14ac:dyDescent="0.25">
      <c r="A2022" s="531"/>
    </row>
    <row r="2023" spans="1:1" x14ac:dyDescent="0.25">
      <c r="A2023" s="531"/>
    </row>
    <row r="2024" spans="1:1" x14ac:dyDescent="0.25">
      <c r="A2024" s="531"/>
    </row>
    <row r="2025" spans="1:1" x14ac:dyDescent="0.25">
      <c r="A2025" s="531"/>
    </row>
    <row r="2026" spans="1:1" x14ac:dyDescent="0.25">
      <c r="A2026" s="531"/>
    </row>
    <row r="2027" spans="1:1" x14ac:dyDescent="0.25">
      <c r="A2027" s="531"/>
    </row>
    <row r="2028" spans="1:1" x14ac:dyDescent="0.25">
      <c r="A2028" s="531"/>
    </row>
    <row r="2029" spans="1:1" x14ac:dyDescent="0.25">
      <c r="A2029" s="531"/>
    </row>
    <row r="2030" spans="1:1" x14ac:dyDescent="0.25">
      <c r="A2030" s="531"/>
    </row>
    <row r="2031" spans="1:1" x14ac:dyDescent="0.25">
      <c r="A2031" s="531"/>
    </row>
    <row r="2032" spans="1:1" x14ac:dyDescent="0.25">
      <c r="A2032" s="531"/>
    </row>
    <row r="2033" spans="1:1" x14ac:dyDescent="0.25">
      <c r="A2033" s="531"/>
    </row>
    <row r="2034" spans="1:1" x14ac:dyDescent="0.25">
      <c r="A2034" s="531"/>
    </row>
    <row r="2035" spans="1:1" x14ac:dyDescent="0.25">
      <c r="A2035" s="531"/>
    </row>
    <row r="2036" spans="1:1" x14ac:dyDescent="0.25">
      <c r="A2036" s="531"/>
    </row>
    <row r="2037" spans="1:1" x14ac:dyDescent="0.25">
      <c r="A2037" s="531"/>
    </row>
    <row r="2038" spans="1:1" x14ac:dyDescent="0.25">
      <c r="A2038" s="531"/>
    </row>
    <row r="2039" spans="1:1" x14ac:dyDescent="0.25">
      <c r="A2039" s="531"/>
    </row>
    <row r="2040" spans="1:1" x14ac:dyDescent="0.25">
      <c r="A2040" s="531"/>
    </row>
    <row r="2041" spans="1:1" x14ac:dyDescent="0.25">
      <c r="A2041" s="531"/>
    </row>
    <row r="2042" spans="1:1" x14ac:dyDescent="0.25">
      <c r="A2042" s="531"/>
    </row>
    <row r="2043" spans="1:1" x14ac:dyDescent="0.25">
      <c r="A2043" s="531"/>
    </row>
    <row r="2044" spans="1:1" x14ac:dyDescent="0.25">
      <c r="A2044" s="531"/>
    </row>
    <row r="2045" spans="1:1" x14ac:dyDescent="0.25">
      <c r="A2045" s="531"/>
    </row>
    <row r="2046" spans="1:1" x14ac:dyDescent="0.25">
      <c r="A2046" s="531"/>
    </row>
    <row r="2047" spans="1:1" x14ac:dyDescent="0.25">
      <c r="A2047" s="531"/>
    </row>
    <row r="2048" spans="1:1" x14ac:dyDescent="0.25">
      <c r="A2048" s="531"/>
    </row>
    <row r="2049" spans="1:1" x14ac:dyDescent="0.25">
      <c r="A2049" s="531"/>
    </row>
    <row r="2050" spans="1:1" x14ac:dyDescent="0.25">
      <c r="A2050" s="531"/>
    </row>
    <row r="2051" spans="1:1" x14ac:dyDescent="0.25">
      <c r="A2051" s="531"/>
    </row>
    <row r="2052" spans="1:1" x14ac:dyDescent="0.25">
      <c r="A2052" s="531"/>
    </row>
    <row r="2053" spans="1:1" x14ac:dyDescent="0.25">
      <c r="A2053" s="531"/>
    </row>
    <row r="2054" spans="1:1" x14ac:dyDescent="0.25">
      <c r="A2054" s="531"/>
    </row>
    <row r="2055" spans="1:1" x14ac:dyDescent="0.25">
      <c r="A2055" s="531"/>
    </row>
    <row r="2056" spans="1:1" x14ac:dyDescent="0.25">
      <c r="A2056" s="531"/>
    </row>
    <row r="2057" spans="1:1" x14ac:dyDescent="0.25">
      <c r="A2057" s="531"/>
    </row>
    <row r="2058" spans="1:1" x14ac:dyDescent="0.25">
      <c r="A2058" s="531"/>
    </row>
    <row r="2059" spans="1:1" x14ac:dyDescent="0.25">
      <c r="A2059" s="531"/>
    </row>
    <row r="2060" spans="1:1" x14ac:dyDescent="0.25">
      <c r="A2060" s="531"/>
    </row>
    <row r="2061" spans="1:1" x14ac:dyDescent="0.25">
      <c r="A2061" s="531"/>
    </row>
    <row r="2062" spans="1:1" x14ac:dyDescent="0.25">
      <c r="A2062" s="531"/>
    </row>
    <row r="2063" spans="1:1" x14ac:dyDescent="0.25">
      <c r="A2063" s="531"/>
    </row>
    <row r="2064" spans="1:1" x14ac:dyDescent="0.25">
      <c r="A2064" s="531"/>
    </row>
    <row r="2065" spans="1:1" x14ac:dyDescent="0.25">
      <c r="A2065" s="531"/>
    </row>
    <row r="2066" spans="1:1" x14ac:dyDescent="0.25">
      <c r="A2066" s="531"/>
    </row>
    <row r="2067" spans="1:1" x14ac:dyDescent="0.25">
      <c r="A2067" s="531"/>
    </row>
    <row r="2068" spans="1:1" x14ac:dyDescent="0.25">
      <c r="A2068" s="531"/>
    </row>
    <row r="2069" spans="1:1" x14ac:dyDescent="0.25">
      <c r="A2069" s="531"/>
    </row>
    <row r="2070" spans="1:1" x14ac:dyDescent="0.25">
      <c r="A2070" s="531"/>
    </row>
    <row r="2071" spans="1:1" x14ac:dyDescent="0.25">
      <c r="A2071" s="531"/>
    </row>
    <row r="2072" spans="1:1" x14ac:dyDescent="0.25">
      <c r="A2072" s="531"/>
    </row>
    <row r="2073" spans="1:1" x14ac:dyDescent="0.25">
      <c r="A2073" s="531"/>
    </row>
    <row r="2074" spans="1:1" x14ac:dyDescent="0.25">
      <c r="A2074" s="531"/>
    </row>
    <row r="2075" spans="1:1" x14ac:dyDescent="0.25">
      <c r="A2075" s="531"/>
    </row>
    <row r="2076" spans="1:1" x14ac:dyDescent="0.25">
      <c r="A2076" s="531"/>
    </row>
    <row r="2077" spans="1:1" x14ac:dyDescent="0.25">
      <c r="A2077" s="531"/>
    </row>
    <row r="2078" spans="1:1" x14ac:dyDescent="0.25">
      <c r="A2078" s="531"/>
    </row>
    <row r="2079" spans="1:1" x14ac:dyDescent="0.25">
      <c r="A2079" s="531"/>
    </row>
    <row r="2080" spans="1:1" x14ac:dyDescent="0.25">
      <c r="A2080" s="531"/>
    </row>
    <row r="2081" spans="1:1" x14ac:dyDescent="0.25">
      <c r="A2081" s="531"/>
    </row>
    <row r="2082" spans="1:1" x14ac:dyDescent="0.25">
      <c r="A2082" s="531"/>
    </row>
    <row r="2083" spans="1:1" x14ac:dyDescent="0.25">
      <c r="A2083" s="531"/>
    </row>
    <row r="2084" spans="1:1" x14ac:dyDescent="0.25">
      <c r="A2084" s="531"/>
    </row>
    <row r="2085" spans="1:1" x14ac:dyDescent="0.25">
      <c r="A2085" s="531"/>
    </row>
    <row r="2086" spans="1:1" x14ac:dyDescent="0.25">
      <c r="A2086" s="531"/>
    </row>
    <row r="2087" spans="1:1" x14ac:dyDescent="0.25">
      <c r="A2087" s="531"/>
    </row>
    <row r="2088" spans="1:1" x14ac:dyDescent="0.25">
      <c r="A2088" s="531"/>
    </row>
    <row r="2089" spans="1:1" x14ac:dyDescent="0.25">
      <c r="A2089" s="531"/>
    </row>
    <row r="2090" spans="1:1" x14ac:dyDescent="0.25">
      <c r="A2090" s="531"/>
    </row>
    <row r="2091" spans="1:1" x14ac:dyDescent="0.25">
      <c r="A2091" s="531"/>
    </row>
    <row r="2092" spans="1:1" x14ac:dyDescent="0.25">
      <c r="A2092" s="531"/>
    </row>
    <row r="2093" spans="1:1" x14ac:dyDescent="0.25">
      <c r="A2093" s="531"/>
    </row>
    <row r="2094" spans="1:1" x14ac:dyDescent="0.25">
      <c r="A2094" s="531"/>
    </row>
    <row r="2095" spans="1:1" x14ac:dyDescent="0.25">
      <c r="A2095" s="531"/>
    </row>
    <row r="2096" spans="1:1" x14ac:dyDescent="0.25">
      <c r="A2096" s="531"/>
    </row>
    <row r="2097" spans="1:1" x14ac:dyDescent="0.25">
      <c r="A2097" s="531"/>
    </row>
    <row r="2098" spans="1:1" x14ac:dyDescent="0.25">
      <c r="A2098" s="531"/>
    </row>
    <row r="2099" spans="1:1" x14ac:dyDescent="0.25">
      <c r="A2099" s="531"/>
    </row>
    <row r="2100" spans="1:1" x14ac:dyDescent="0.25">
      <c r="A2100" s="531"/>
    </row>
    <row r="2101" spans="1:1" x14ac:dyDescent="0.25">
      <c r="A2101" s="531"/>
    </row>
    <row r="2102" spans="1:1" x14ac:dyDescent="0.25">
      <c r="A2102" s="531"/>
    </row>
    <row r="2103" spans="1:1" x14ac:dyDescent="0.25">
      <c r="A2103" s="531"/>
    </row>
    <row r="2104" spans="1:1" x14ac:dyDescent="0.25">
      <c r="A2104" s="531"/>
    </row>
    <row r="2105" spans="1:1" x14ac:dyDescent="0.25">
      <c r="A2105" s="531"/>
    </row>
    <row r="2106" spans="1:1" x14ac:dyDescent="0.25">
      <c r="A2106" s="531"/>
    </row>
    <row r="2107" spans="1:1" x14ac:dyDescent="0.25">
      <c r="A2107" s="531"/>
    </row>
    <row r="2108" spans="1:1" x14ac:dyDescent="0.25">
      <c r="A2108" s="531"/>
    </row>
    <row r="2109" spans="1:1" x14ac:dyDescent="0.25">
      <c r="A2109" s="531"/>
    </row>
    <row r="2110" spans="1:1" x14ac:dyDescent="0.25">
      <c r="A2110" s="531"/>
    </row>
    <row r="2111" spans="1:1" x14ac:dyDescent="0.25">
      <c r="A2111" s="531"/>
    </row>
    <row r="2112" spans="1:1" x14ac:dyDescent="0.25">
      <c r="A2112" s="531"/>
    </row>
    <row r="2113" spans="1:1" x14ac:dyDescent="0.25">
      <c r="A2113" s="531"/>
    </row>
    <row r="2114" spans="1:1" x14ac:dyDescent="0.25">
      <c r="A2114" s="531"/>
    </row>
    <row r="2115" spans="1:1" x14ac:dyDescent="0.25">
      <c r="A2115" s="531"/>
    </row>
    <row r="2116" spans="1:1" x14ac:dyDescent="0.25">
      <c r="A2116" s="531"/>
    </row>
    <row r="2117" spans="1:1" x14ac:dyDescent="0.25">
      <c r="A2117" s="531"/>
    </row>
    <row r="2118" spans="1:1" x14ac:dyDescent="0.25">
      <c r="A2118" s="531"/>
    </row>
    <row r="2119" spans="1:1" x14ac:dyDescent="0.25">
      <c r="A2119" s="531"/>
    </row>
    <row r="2120" spans="1:1" x14ac:dyDescent="0.25">
      <c r="A2120" s="531"/>
    </row>
    <row r="2121" spans="1:1" x14ac:dyDescent="0.25">
      <c r="A2121" s="531"/>
    </row>
    <row r="2122" spans="1:1" x14ac:dyDescent="0.25">
      <c r="A2122" s="531"/>
    </row>
    <row r="2123" spans="1:1" x14ac:dyDescent="0.25">
      <c r="A2123" s="531"/>
    </row>
    <row r="2124" spans="1:1" x14ac:dyDescent="0.25">
      <c r="A2124" s="531"/>
    </row>
    <row r="2125" spans="1:1" x14ac:dyDescent="0.25">
      <c r="A2125" s="531"/>
    </row>
    <row r="2126" spans="1:1" x14ac:dyDescent="0.25">
      <c r="A2126" s="531"/>
    </row>
    <row r="2127" spans="1:1" x14ac:dyDescent="0.25">
      <c r="A2127" s="531"/>
    </row>
    <row r="2128" spans="1:1" x14ac:dyDescent="0.25">
      <c r="A2128" s="531"/>
    </row>
    <row r="2129" spans="1:1" x14ac:dyDescent="0.25">
      <c r="A2129" s="531"/>
    </row>
    <row r="2130" spans="1:1" x14ac:dyDescent="0.25">
      <c r="A2130" s="531"/>
    </row>
    <row r="2131" spans="1:1" x14ac:dyDescent="0.25">
      <c r="A2131" s="531"/>
    </row>
    <row r="2132" spans="1:1" x14ac:dyDescent="0.25">
      <c r="A2132" s="531"/>
    </row>
    <row r="2133" spans="1:1" x14ac:dyDescent="0.25">
      <c r="A2133" s="531"/>
    </row>
    <row r="2134" spans="1:1" x14ac:dyDescent="0.25">
      <c r="A2134" s="531"/>
    </row>
    <row r="2135" spans="1:1" x14ac:dyDescent="0.25">
      <c r="A2135" s="531"/>
    </row>
    <row r="2136" spans="1:1" x14ac:dyDescent="0.25">
      <c r="A2136" s="531"/>
    </row>
    <row r="2137" spans="1:1" x14ac:dyDescent="0.25">
      <c r="A2137" s="531"/>
    </row>
    <row r="2138" spans="1:1" x14ac:dyDescent="0.25">
      <c r="A2138" s="531"/>
    </row>
    <row r="2139" spans="1:1" x14ac:dyDescent="0.25">
      <c r="A2139" s="531"/>
    </row>
    <row r="2140" spans="1:1" x14ac:dyDescent="0.25">
      <c r="A2140" s="531"/>
    </row>
    <row r="2141" spans="1:1" x14ac:dyDescent="0.25">
      <c r="A2141" s="531"/>
    </row>
    <row r="2142" spans="1:1" x14ac:dyDescent="0.25">
      <c r="A2142" s="531"/>
    </row>
    <row r="2143" spans="1:1" x14ac:dyDescent="0.25">
      <c r="A2143" s="531"/>
    </row>
    <row r="2144" spans="1:1" x14ac:dyDescent="0.25">
      <c r="A2144" s="531"/>
    </row>
    <row r="2145" spans="1:1" x14ac:dyDescent="0.25">
      <c r="A2145" s="531"/>
    </row>
    <row r="2146" spans="1:1" x14ac:dyDescent="0.25">
      <c r="A2146" s="531"/>
    </row>
    <row r="2147" spans="1:1" x14ac:dyDescent="0.25">
      <c r="A2147" s="531"/>
    </row>
    <row r="2148" spans="1:1" x14ac:dyDescent="0.25">
      <c r="A2148" s="531"/>
    </row>
    <row r="2149" spans="1:1" x14ac:dyDescent="0.25">
      <c r="A2149" s="531"/>
    </row>
    <row r="2150" spans="1:1" x14ac:dyDescent="0.25">
      <c r="A2150" s="531"/>
    </row>
    <row r="2151" spans="1:1" x14ac:dyDescent="0.25">
      <c r="A2151" s="531"/>
    </row>
    <row r="2152" spans="1:1" x14ac:dyDescent="0.25">
      <c r="A2152" s="531"/>
    </row>
    <row r="2153" spans="1:1" x14ac:dyDescent="0.25">
      <c r="A2153" s="531"/>
    </row>
    <row r="2154" spans="1:1" x14ac:dyDescent="0.25">
      <c r="A2154" s="531"/>
    </row>
    <row r="2155" spans="1:1" x14ac:dyDescent="0.25">
      <c r="A2155" s="531"/>
    </row>
    <row r="2156" spans="1:1" x14ac:dyDescent="0.25">
      <c r="A2156" s="531"/>
    </row>
    <row r="2157" spans="1:1" x14ac:dyDescent="0.25">
      <c r="A2157" s="531"/>
    </row>
    <row r="2158" spans="1:1" x14ac:dyDescent="0.25">
      <c r="A2158" s="531"/>
    </row>
    <row r="2159" spans="1:1" x14ac:dyDescent="0.25">
      <c r="A2159" s="531"/>
    </row>
    <row r="2160" spans="1:1" x14ac:dyDescent="0.25">
      <c r="A2160" s="531"/>
    </row>
    <row r="2161" spans="1:1" x14ac:dyDescent="0.25">
      <c r="A2161" s="531"/>
    </row>
    <row r="2162" spans="1:1" x14ac:dyDescent="0.25">
      <c r="A2162" s="531"/>
    </row>
    <row r="2163" spans="1:1" x14ac:dyDescent="0.25">
      <c r="A2163" s="531"/>
    </row>
    <row r="2164" spans="1:1" x14ac:dyDescent="0.25">
      <c r="A2164" s="531"/>
    </row>
    <row r="2165" spans="1:1" x14ac:dyDescent="0.25">
      <c r="A2165" s="531"/>
    </row>
    <row r="2166" spans="1:1" x14ac:dyDescent="0.25">
      <c r="A2166" s="531"/>
    </row>
    <row r="2167" spans="1:1" x14ac:dyDescent="0.25">
      <c r="A2167" s="531"/>
    </row>
    <row r="2168" spans="1:1" x14ac:dyDescent="0.25">
      <c r="A2168" s="531"/>
    </row>
    <row r="2169" spans="1:1" x14ac:dyDescent="0.25">
      <c r="A2169" s="531"/>
    </row>
    <row r="2170" spans="1:1" x14ac:dyDescent="0.25">
      <c r="A2170" s="531"/>
    </row>
    <row r="2171" spans="1:1" x14ac:dyDescent="0.25">
      <c r="A2171" s="531"/>
    </row>
    <row r="2172" spans="1:1" x14ac:dyDescent="0.25">
      <c r="A2172" s="531"/>
    </row>
    <row r="2173" spans="1:1" x14ac:dyDescent="0.25">
      <c r="A2173" s="531"/>
    </row>
    <row r="2174" spans="1:1" x14ac:dyDescent="0.25">
      <c r="A2174" s="531"/>
    </row>
    <row r="2175" spans="1:1" x14ac:dyDescent="0.25">
      <c r="A2175" s="531"/>
    </row>
    <row r="2176" spans="1:1" x14ac:dyDescent="0.25">
      <c r="A2176" s="531"/>
    </row>
    <row r="2177" spans="1:1" x14ac:dyDescent="0.25">
      <c r="A2177" s="531"/>
    </row>
    <row r="2178" spans="1:1" x14ac:dyDescent="0.25">
      <c r="A2178" s="531"/>
    </row>
    <row r="2179" spans="1:1" x14ac:dyDescent="0.25">
      <c r="A2179" s="531"/>
    </row>
    <row r="2180" spans="1:1" x14ac:dyDescent="0.25">
      <c r="A2180" s="531"/>
    </row>
    <row r="2181" spans="1:1" x14ac:dyDescent="0.25">
      <c r="A2181" s="531"/>
    </row>
    <row r="2182" spans="1:1" x14ac:dyDescent="0.25">
      <c r="A2182" s="531"/>
    </row>
    <row r="2183" spans="1:1" x14ac:dyDescent="0.25">
      <c r="A2183" s="531"/>
    </row>
    <row r="2184" spans="1:1" x14ac:dyDescent="0.25">
      <c r="A2184" s="531"/>
    </row>
    <row r="2185" spans="1:1" x14ac:dyDescent="0.25">
      <c r="A2185" s="531"/>
    </row>
    <row r="2186" spans="1:1" x14ac:dyDescent="0.25">
      <c r="A2186" s="531"/>
    </row>
    <row r="2187" spans="1:1" x14ac:dyDescent="0.25">
      <c r="A2187" s="531"/>
    </row>
    <row r="2188" spans="1:1" x14ac:dyDescent="0.25">
      <c r="A2188" s="531"/>
    </row>
    <row r="2189" spans="1:1" x14ac:dyDescent="0.25">
      <c r="A2189" s="531"/>
    </row>
    <row r="2190" spans="1:1" x14ac:dyDescent="0.25">
      <c r="A2190" s="531"/>
    </row>
    <row r="2191" spans="1:1" x14ac:dyDescent="0.25">
      <c r="A2191" s="531"/>
    </row>
    <row r="2192" spans="1:1" x14ac:dyDescent="0.25">
      <c r="A2192" s="531"/>
    </row>
    <row r="2193" spans="1:1" x14ac:dyDescent="0.25">
      <c r="A2193" s="531"/>
    </row>
    <row r="2194" spans="1:1" x14ac:dyDescent="0.25">
      <c r="A2194" s="531"/>
    </row>
    <row r="2195" spans="1:1" x14ac:dyDescent="0.25">
      <c r="A2195" s="531"/>
    </row>
    <row r="2196" spans="1:1" x14ac:dyDescent="0.25">
      <c r="A2196" s="531"/>
    </row>
    <row r="2197" spans="1:1" x14ac:dyDescent="0.25">
      <c r="A2197" s="531"/>
    </row>
    <row r="2198" spans="1:1" x14ac:dyDescent="0.25">
      <c r="A2198" s="531"/>
    </row>
    <row r="2199" spans="1:1" x14ac:dyDescent="0.25">
      <c r="A2199" s="531"/>
    </row>
    <row r="2200" spans="1:1" x14ac:dyDescent="0.25">
      <c r="A2200" s="531"/>
    </row>
    <row r="2201" spans="1:1" x14ac:dyDescent="0.25">
      <c r="A2201" s="531"/>
    </row>
    <row r="2202" spans="1:1" x14ac:dyDescent="0.25">
      <c r="A2202" s="531"/>
    </row>
    <row r="2203" spans="1:1" x14ac:dyDescent="0.25">
      <c r="A2203" s="531"/>
    </row>
    <row r="2204" spans="1:1" x14ac:dyDescent="0.25">
      <c r="A2204" s="531"/>
    </row>
    <row r="2205" spans="1:1" x14ac:dyDescent="0.25">
      <c r="A2205" s="531"/>
    </row>
    <row r="2206" spans="1:1" x14ac:dyDescent="0.25">
      <c r="A2206" s="531"/>
    </row>
    <row r="2207" spans="1:1" x14ac:dyDescent="0.25">
      <c r="A2207" s="531"/>
    </row>
    <row r="2208" spans="1:1" x14ac:dyDescent="0.25">
      <c r="A2208" s="531"/>
    </row>
    <row r="2209" spans="1:1" x14ac:dyDescent="0.25">
      <c r="A2209" s="531"/>
    </row>
    <row r="2210" spans="1:1" x14ac:dyDescent="0.25">
      <c r="A2210" s="531"/>
    </row>
    <row r="2211" spans="1:1" x14ac:dyDescent="0.25">
      <c r="A2211" s="531"/>
    </row>
    <row r="2212" spans="1:1" x14ac:dyDescent="0.25">
      <c r="A2212" s="531"/>
    </row>
    <row r="2213" spans="1:1" x14ac:dyDescent="0.25">
      <c r="A2213" s="531"/>
    </row>
    <row r="2214" spans="1:1" x14ac:dyDescent="0.25">
      <c r="A2214" s="531"/>
    </row>
    <row r="2215" spans="1:1" x14ac:dyDescent="0.25">
      <c r="A2215" s="531"/>
    </row>
    <row r="2216" spans="1:1" x14ac:dyDescent="0.25">
      <c r="A2216" s="531"/>
    </row>
    <row r="2217" spans="1:1" x14ac:dyDescent="0.25">
      <c r="A2217" s="531"/>
    </row>
    <row r="2218" spans="1:1" x14ac:dyDescent="0.25">
      <c r="A2218" s="531"/>
    </row>
    <row r="2219" spans="1:1" x14ac:dyDescent="0.25">
      <c r="A2219" s="531"/>
    </row>
    <row r="2220" spans="1:1" x14ac:dyDescent="0.25">
      <c r="A2220" s="531"/>
    </row>
    <row r="2221" spans="1:1" x14ac:dyDescent="0.25">
      <c r="A2221" s="531"/>
    </row>
    <row r="2222" spans="1:1" x14ac:dyDescent="0.25">
      <c r="A2222" s="531"/>
    </row>
    <row r="2223" spans="1:1" x14ac:dyDescent="0.25">
      <c r="A2223" s="531"/>
    </row>
    <row r="2224" spans="1:1" x14ac:dyDescent="0.25">
      <c r="A2224" s="531"/>
    </row>
    <row r="2225" spans="1:1" x14ac:dyDescent="0.25">
      <c r="A2225" s="531"/>
    </row>
    <row r="2226" spans="1:1" x14ac:dyDescent="0.25">
      <c r="A2226" s="531"/>
    </row>
    <row r="2227" spans="1:1" x14ac:dyDescent="0.25">
      <c r="A2227" s="531"/>
    </row>
    <row r="2228" spans="1:1" x14ac:dyDescent="0.25">
      <c r="A2228" s="531"/>
    </row>
    <row r="2229" spans="1:1" x14ac:dyDescent="0.25">
      <c r="A2229" s="531"/>
    </row>
    <row r="2230" spans="1:1" x14ac:dyDescent="0.25">
      <c r="A2230" s="531"/>
    </row>
    <row r="2231" spans="1:1" x14ac:dyDescent="0.25">
      <c r="A2231" s="531"/>
    </row>
    <row r="2232" spans="1:1" x14ac:dyDescent="0.25">
      <c r="A2232" s="531"/>
    </row>
    <row r="2233" spans="1:1" x14ac:dyDescent="0.25">
      <c r="A2233" s="531"/>
    </row>
    <row r="2234" spans="1:1" x14ac:dyDescent="0.25">
      <c r="A2234" s="531"/>
    </row>
    <row r="2235" spans="1:1" x14ac:dyDescent="0.25">
      <c r="A2235" s="531"/>
    </row>
    <row r="2236" spans="1:1" x14ac:dyDescent="0.25">
      <c r="A2236" s="531"/>
    </row>
    <row r="2237" spans="1:1" x14ac:dyDescent="0.25">
      <c r="A2237" s="531"/>
    </row>
    <row r="2238" spans="1:1" x14ac:dyDescent="0.25">
      <c r="A2238" s="531"/>
    </row>
    <row r="2239" spans="1:1" x14ac:dyDescent="0.25">
      <c r="A2239" s="531"/>
    </row>
    <row r="2240" spans="1:1" x14ac:dyDescent="0.25">
      <c r="A2240" s="531"/>
    </row>
    <row r="2241" spans="1:1" x14ac:dyDescent="0.25">
      <c r="A2241" s="531"/>
    </row>
    <row r="2242" spans="1:1" x14ac:dyDescent="0.25">
      <c r="A2242" s="531"/>
    </row>
    <row r="2243" spans="1:1" x14ac:dyDescent="0.25">
      <c r="A2243" s="531"/>
    </row>
    <row r="2244" spans="1:1" x14ac:dyDescent="0.25">
      <c r="A2244" s="531"/>
    </row>
    <row r="2245" spans="1:1" x14ac:dyDescent="0.25">
      <c r="A2245" s="531"/>
    </row>
    <row r="2246" spans="1:1" x14ac:dyDescent="0.25">
      <c r="A2246" s="531"/>
    </row>
    <row r="2247" spans="1:1" x14ac:dyDescent="0.25">
      <c r="A2247" s="531"/>
    </row>
    <row r="2248" spans="1:1" x14ac:dyDescent="0.25">
      <c r="A2248" s="531"/>
    </row>
    <row r="2249" spans="1:1" x14ac:dyDescent="0.25">
      <c r="A2249" s="531"/>
    </row>
    <row r="2250" spans="1:1" x14ac:dyDescent="0.25">
      <c r="A2250" s="531"/>
    </row>
    <row r="2251" spans="1:1" x14ac:dyDescent="0.25">
      <c r="A2251" s="531"/>
    </row>
    <row r="2252" spans="1:1" x14ac:dyDescent="0.25">
      <c r="A2252" s="531"/>
    </row>
    <row r="2253" spans="1:1" x14ac:dyDescent="0.25">
      <c r="A2253" s="531"/>
    </row>
    <row r="2254" spans="1:1" x14ac:dyDescent="0.25">
      <c r="A2254" s="531"/>
    </row>
    <row r="2255" spans="1:1" x14ac:dyDescent="0.25">
      <c r="A2255" s="531"/>
    </row>
    <row r="2256" spans="1:1" x14ac:dyDescent="0.25">
      <c r="A2256" s="531"/>
    </row>
    <row r="2257" spans="1:1" x14ac:dyDescent="0.25">
      <c r="A2257" s="531"/>
    </row>
    <row r="2258" spans="1:1" x14ac:dyDescent="0.25">
      <c r="A2258" s="531"/>
    </row>
    <row r="2259" spans="1:1" x14ac:dyDescent="0.25">
      <c r="A2259" s="531"/>
    </row>
    <row r="2260" spans="1:1" x14ac:dyDescent="0.25">
      <c r="A2260" s="531"/>
    </row>
    <row r="2261" spans="1:1" x14ac:dyDescent="0.25">
      <c r="A2261" s="531"/>
    </row>
    <row r="2262" spans="1:1" x14ac:dyDescent="0.25">
      <c r="A2262" s="531"/>
    </row>
    <row r="2263" spans="1:1" x14ac:dyDescent="0.25">
      <c r="A2263" s="531"/>
    </row>
    <row r="2264" spans="1:1" x14ac:dyDescent="0.25">
      <c r="A2264" s="531"/>
    </row>
    <row r="2265" spans="1:1" x14ac:dyDescent="0.25">
      <c r="A2265" s="531"/>
    </row>
    <row r="2266" spans="1:1" x14ac:dyDescent="0.25">
      <c r="A2266" s="531"/>
    </row>
    <row r="2267" spans="1:1" x14ac:dyDescent="0.25">
      <c r="A2267" s="531"/>
    </row>
    <row r="2268" spans="1:1" x14ac:dyDescent="0.25">
      <c r="A2268" s="531"/>
    </row>
    <row r="2269" spans="1:1" x14ac:dyDescent="0.25">
      <c r="A2269" s="531"/>
    </row>
    <row r="2270" spans="1:1" x14ac:dyDescent="0.25">
      <c r="A2270" s="531"/>
    </row>
    <row r="2271" spans="1:1" x14ac:dyDescent="0.25">
      <c r="A2271" s="531"/>
    </row>
    <row r="2272" spans="1:1" x14ac:dyDescent="0.25">
      <c r="A2272" s="531"/>
    </row>
    <row r="2273" spans="1:1" x14ac:dyDescent="0.25">
      <c r="A2273" s="531"/>
    </row>
    <row r="2274" spans="1:1" x14ac:dyDescent="0.25">
      <c r="A2274" s="531"/>
    </row>
    <row r="2275" spans="1:1" x14ac:dyDescent="0.25">
      <c r="A2275" s="531"/>
    </row>
    <row r="2276" spans="1:1" x14ac:dyDescent="0.25">
      <c r="A2276" s="531"/>
    </row>
    <row r="2277" spans="1:1" x14ac:dyDescent="0.25">
      <c r="A2277" s="531"/>
    </row>
    <row r="2278" spans="1:1" x14ac:dyDescent="0.25">
      <c r="A2278" s="531"/>
    </row>
    <row r="2279" spans="1:1" x14ac:dyDescent="0.25">
      <c r="A2279" s="531"/>
    </row>
    <row r="2280" spans="1:1" x14ac:dyDescent="0.25">
      <c r="A2280" s="531"/>
    </row>
    <row r="2281" spans="1:1" x14ac:dyDescent="0.25">
      <c r="A2281" s="531"/>
    </row>
    <row r="2282" spans="1:1" x14ac:dyDescent="0.25">
      <c r="A2282" s="531"/>
    </row>
    <row r="2283" spans="1:1" x14ac:dyDescent="0.25">
      <c r="A2283" s="531"/>
    </row>
    <row r="2284" spans="1:1" x14ac:dyDescent="0.25">
      <c r="A2284" s="531"/>
    </row>
    <row r="2285" spans="1:1" x14ac:dyDescent="0.25">
      <c r="A2285" s="531"/>
    </row>
    <row r="2286" spans="1:1" x14ac:dyDescent="0.25">
      <c r="A2286" s="531"/>
    </row>
    <row r="2287" spans="1:1" x14ac:dyDescent="0.25">
      <c r="A2287" s="531"/>
    </row>
    <row r="2288" spans="1:1" x14ac:dyDescent="0.25">
      <c r="A2288" s="531"/>
    </row>
    <row r="2289" spans="1:1" x14ac:dyDescent="0.25">
      <c r="A2289" s="531"/>
    </row>
    <row r="2290" spans="1:1" x14ac:dyDescent="0.25">
      <c r="A2290" s="531"/>
    </row>
    <row r="2291" spans="1:1" x14ac:dyDescent="0.25">
      <c r="A2291" s="531"/>
    </row>
    <row r="2292" spans="1:1" x14ac:dyDescent="0.25">
      <c r="A2292" s="531"/>
    </row>
    <row r="2293" spans="1:1" x14ac:dyDescent="0.25">
      <c r="A2293" s="531"/>
    </row>
    <row r="2294" spans="1:1" x14ac:dyDescent="0.25">
      <c r="A2294" s="531"/>
    </row>
    <row r="2295" spans="1:1" x14ac:dyDescent="0.25">
      <c r="A2295" s="531"/>
    </row>
    <row r="2296" spans="1:1" x14ac:dyDescent="0.25">
      <c r="A2296" s="531"/>
    </row>
    <row r="2297" spans="1:1" x14ac:dyDescent="0.25">
      <c r="A2297" s="531"/>
    </row>
    <row r="2298" spans="1:1" x14ac:dyDescent="0.25">
      <c r="A2298" s="531"/>
    </row>
    <row r="2299" spans="1:1" x14ac:dyDescent="0.25">
      <c r="A2299" s="531"/>
    </row>
    <row r="2300" spans="1:1" x14ac:dyDescent="0.25">
      <c r="A2300" s="531"/>
    </row>
    <row r="2301" spans="1:1" x14ac:dyDescent="0.25">
      <c r="A2301" s="531"/>
    </row>
    <row r="2302" spans="1:1" x14ac:dyDescent="0.25">
      <c r="A2302" s="531"/>
    </row>
    <row r="2303" spans="1:1" x14ac:dyDescent="0.25">
      <c r="A2303" s="531"/>
    </row>
    <row r="2304" spans="1:1" x14ac:dyDescent="0.25">
      <c r="A2304" s="531"/>
    </row>
    <row r="2305" spans="1:1" x14ac:dyDescent="0.25">
      <c r="A2305" s="531"/>
    </row>
    <row r="2306" spans="1:1" x14ac:dyDescent="0.25">
      <c r="A2306" s="531"/>
    </row>
    <row r="2307" spans="1:1" x14ac:dyDescent="0.25">
      <c r="A2307" s="531"/>
    </row>
    <row r="2308" spans="1:1" x14ac:dyDescent="0.25">
      <c r="A2308" s="531"/>
    </row>
    <row r="2309" spans="1:1" x14ac:dyDescent="0.25">
      <c r="A2309" s="531"/>
    </row>
    <row r="2310" spans="1:1" x14ac:dyDescent="0.25">
      <c r="A2310" s="531"/>
    </row>
    <row r="2311" spans="1:1" x14ac:dyDescent="0.25">
      <c r="A2311" s="531"/>
    </row>
    <row r="2312" spans="1:1" x14ac:dyDescent="0.25">
      <c r="A2312" s="531"/>
    </row>
    <row r="2313" spans="1:1" x14ac:dyDescent="0.25">
      <c r="A2313" s="531"/>
    </row>
    <row r="2314" spans="1:1" x14ac:dyDescent="0.25">
      <c r="A2314" s="531"/>
    </row>
    <row r="2315" spans="1:1" x14ac:dyDescent="0.25">
      <c r="A2315" s="531"/>
    </row>
    <row r="2316" spans="1:1" x14ac:dyDescent="0.25">
      <c r="A2316" s="531"/>
    </row>
    <row r="2317" spans="1:1" x14ac:dyDescent="0.25">
      <c r="A2317" s="531"/>
    </row>
    <row r="2318" spans="1:1" x14ac:dyDescent="0.25">
      <c r="A2318" s="531"/>
    </row>
    <row r="2319" spans="1:1" x14ac:dyDescent="0.25">
      <c r="A2319" s="531"/>
    </row>
    <row r="2320" spans="1:1" x14ac:dyDescent="0.25">
      <c r="A2320" s="531"/>
    </row>
    <row r="2321" spans="1:1" x14ac:dyDescent="0.25">
      <c r="A2321" s="531"/>
    </row>
    <row r="2322" spans="1:1" x14ac:dyDescent="0.25">
      <c r="A2322" s="531"/>
    </row>
    <row r="2323" spans="1:1" x14ac:dyDescent="0.25">
      <c r="A2323" s="531"/>
    </row>
    <row r="2324" spans="1:1" x14ac:dyDescent="0.25">
      <c r="A2324" s="531"/>
    </row>
    <row r="2325" spans="1:1" x14ac:dyDescent="0.25">
      <c r="A2325" s="531"/>
    </row>
    <row r="2326" spans="1:1" x14ac:dyDescent="0.25">
      <c r="A2326" s="531"/>
    </row>
    <row r="2327" spans="1:1" x14ac:dyDescent="0.25">
      <c r="A2327" s="531"/>
    </row>
    <row r="2328" spans="1:1" x14ac:dyDescent="0.25">
      <c r="A2328" s="531"/>
    </row>
    <row r="2329" spans="1:1" x14ac:dyDescent="0.25">
      <c r="A2329" s="531"/>
    </row>
    <row r="2330" spans="1:1" x14ac:dyDescent="0.25">
      <c r="A2330" s="531"/>
    </row>
    <row r="2331" spans="1:1" x14ac:dyDescent="0.25">
      <c r="A2331" s="531"/>
    </row>
    <row r="2332" spans="1:1" x14ac:dyDescent="0.25">
      <c r="A2332" s="531"/>
    </row>
    <row r="2333" spans="1:1" x14ac:dyDescent="0.25">
      <c r="A2333" s="531"/>
    </row>
    <row r="2334" spans="1:1" x14ac:dyDescent="0.25">
      <c r="A2334" s="531"/>
    </row>
    <row r="2335" spans="1:1" x14ac:dyDescent="0.25">
      <c r="A2335" s="531"/>
    </row>
    <row r="2336" spans="1:1" x14ac:dyDescent="0.25">
      <c r="A2336" s="531"/>
    </row>
    <row r="2337" spans="1:1" x14ac:dyDescent="0.25">
      <c r="A2337" s="531"/>
    </row>
    <row r="2338" spans="1:1" x14ac:dyDescent="0.25">
      <c r="A2338" s="531"/>
    </row>
    <row r="2339" spans="1:1" x14ac:dyDescent="0.25">
      <c r="A2339" s="531"/>
    </row>
    <row r="2340" spans="1:1" x14ac:dyDescent="0.25">
      <c r="A2340" s="531"/>
    </row>
    <row r="2341" spans="1:1" x14ac:dyDescent="0.25">
      <c r="A2341" s="531"/>
    </row>
    <row r="2342" spans="1:1" x14ac:dyDescent="0.25">
      <c r="A2342" s="531"/>
    </row>
    <row r="2343" spans="1:1" x14ac:dyDescent="0.25">
      <c r="A2343" s="531"/>
    </row>
    <row r="2344" spans="1:1" x14ac:dyDescent="0.25">
      <c r="A2344" s="531"/>
    </row>
    <row r="2345" spans="1:1" x14ac:dyDescent="0.25">
      <c r="A2345" s="531"/>
    </row>
    <row r="2346" spans="1:1" x14ac:dyDescent="0.25">
      <c r="A2346" s="531"/>
    </row>
    <row r="2347" spans="1:1" x14ac:dyDescent="0.25">
      <c r="A2347" s="531"/>
    </row>
    <row r="2348" spans="1:1" x14ac:dyDescent="0.25">
      <c r="A2348" s="531"/>
    </row>
    <row r="2349" spans="1:1" x14ac:dyDescent="0.25">
      <c r="A2349" s="531"/>
    </row>
    <row r="2350" spans="1:1" x14ac:dyDescent="0.25">
      <c r="A2350" s="531"/>
    </row>
    <row r="2351" spans="1:1" x14ac:dyDescent="0.25">
      <c r="A2351" s="531"/>
    </row>
    <row r="2352" spans="1:1" x14ac:dyDescent="0.25">
      <c r="A2352" s="531"/>
    </row>
    <row r="2353" spans="1:1" x14ac:dyDescent="0.25">
      <c r="A2353" s="531"/>
    </row>
    <row r="2354" spans="1:1" x14ac:dyDescent="0.25">
      <c r="A2354" s="531"/>
    </row>
    <row r="2355" spans="1:1" x14ac:dyDescent="0.25">
      <c r="A2355" s="531"/>
    </row>
    <row r="2356" spans="1:1" x14ac:dyDescent="0.25">
      <c r="A2356" s="531"/>
    </row>
    <row r="2357" spans="1:1" x14ac:dyDescent="0.25">
      <c r="A2357" s="531"/>
    </row>
    <row r="2358" spans="1:1" x14ac:dyDescent="0.25">
      <c r="A2358" s="531"/>
    </row>
    <row r="2359" spans="1:1" x14ac:dyDescent="0.25">
      <c r="A2359" s="531"/>
    </row>
    <row r="2360" spans="1:1" x14ac:dyDescent="0.25">
      <c r="A2360" s="531"/>
    </row>
    <row r="2361" spans="1:1" x14ac:dyDescent="0.25">
      <c r="A2361" s="531"/>
    </row>
    <row r="2362" spans="1:1" x14ac:dyDescent="0.25">
      <c r="A2362" s="531"/>
    </row>
    <row r="2363" spans="1:1" x14ac:dyDescent="0.25">
      <c r="A2363" s="531"/>
    </row>
    <row r="2364" spans="1:1" x14ac:dyDescent="0.25">
      <c r="A2364" s="531"/>
    </row>
    <row r="2365" spans="1:1" x14ac:dyDescent="0.25">
      <c r="A2365" s="531"/>
    </row>
    <row r="2366" spans="1:1" x14ac:dyDescent="0.25">
      <c r="A2366" s="531"/>
    </row>
    <row r="2367" spans="1:1" x14ac:dyDescent="0.25">
      <c r="A2367" s="531"/>
    </row>
    <row r="2368" spans="1:1" x14ac:dyDescent="0.25">
      <c r="A2368" s="531"/>
    </row>
    <row r="2369" spans="1:1" x14ac:dyDescent="0.25">
      <c r="A2369" s="531"/>
    </row>
    <row r="2370" spans="1:1" x14ac:dyDescent="0.25">
      <c r="A2370" s="531"/>
    </row>
    <row r="2371" spans="1:1" x14ac:dyDescent="0.25">
      <c r="A2371" s="531"/>
    </row>
    <row r="2372" spans="1:1" x14ac:dyDescent="0.25">
      <c r="A2372" s="531"/>
    </row>
    <row r="2373" spans="1:1" x14ac:dyDescent="0.25">
      <c r="A2373" s="531"/>
    </row>
    <row r="2374" spans="1:1" x14ac:dyDescent="0.25">
      <c r="A2374" s="531"/>
    </row>
    <row r="2375" spans="1:1" x14ac:dyDescent="0.25">
      <c r="A2375" s="531"/>
    </row>
    <row r="2376" spans="1:1" x14ac:dyDescent="0.25">
      <c r="A2376" s="531"/>
    </row>
    <row r="2377" spans="1:1" x14ac:dyDescent="0.25">
      <c r="A2377" s="531"/>
    </row>
    <row r="2378" spans="1:1" x14ac:dyDescent="0.25">
      <c r="A2378" s="531"/>
    </row>
    <row r="2379" spans="1:1" x14ac:dyDescent="0.25">
      <c r="A2379" s="531"/>
    </row>
    <row r="2380" spans="1:1" x14ac:dyDescent="0.25">
      <c r="A2380" s="531"/>
    </row>
    <row r="2381" spans="1:1" x14ac:dyDescent="0.25">
      <c r="A2381" s="531"/>
    </row>
    <row r="2382" spans="1:1" x14ac:dyDescent="0.25">
      <c r="A2382" s="531"/>
    </row>
    <row r="2383" spans="1:1" x14ac:dyDescent="0.25">
      <c r="A2383" s="531"/>
    </row>
    <row r="2384" spans="1:1" x14ac:dyDescent="0.25">
      <c r="A2384" s="531"/>
    </row>
    <row r="2385" spans="1:1" x14ac:dyDescent="0.25">
      <c r="A2385" s="531"/>
    </row>
    <row r="2386" spans="1:1" x14ac:dyDescent="0.25">
      <c r="A2386" s="531"/>
    </row>
    <row r="2387" spans="1:1" x14ac:dyDescent="0.25">
      <c r="A2387" s="531"/>
    </row>
    <row r="2388" spans="1:1" x14ac:dyDescent="0.25">
      <c r="A2388" s="531"/>
    </row>
    <row r="2389" spans="1:1" x14ac:dyDescent="0.25">
      <c r="A2389" s="531"/>
    </row>
    <row r="2390" spans="1:1" x14ac:dyDescent="0.25">
      <c r="A2390" s="531"/>
    </row>
    <row r="2391" spans="1:1" x14ac:dyDescent="0.25">
      <c r="A2391" s="531"/>
    </row>
    <row r="2392" spans="1:1" x14ac:dyDescent="0.25">
      <c r="A2392" s="531"/>
    </row>
    <row r="2393" spans="1:1" x14ac:dyDescent="0.25">
      <c r="A2393" s="531"/>
    </row>
    <row r="2394" spans="1:1" x14ac:dyDescent="0.25">
      <c r="A2394" s="531"/>
    </row>
    <row r="2395" spans="1:1" x14ac:dyDescent="0.25">
      <c r="A2395" s="531"/>
    </row>
    <row r="2396" spans="1:1" x14ac:dyDescent="0.25">
      <c r="A2396" s="531"/>
    </row>
    <row r="2397" spans="1:1" x14ac:dyDescent="0.25">
      <c r="A2397" s="531"/>
    </row>
    <row r="2398" spans="1:1" x14ac:dyDescent="0.25">
      <c r="A2398" s="531"/>
    </row>
    <row r="2399" spans="1:1" x14ac:dyDescent="0.25">
      <c r="A2399" s="531"/>
    </row>
    <row r="2400" spans="1:1" x14ac:dyDescent="0.25">
      <c r="A2400" s="531"/>
    </row>
    <row r="2401" spans="1:1" x14ac:dyDescent="0.25">
      <c r="A2401" s="531"/>
    </row>
    <row r="2402" spans="1:1" x14ac:dyDescent="0.25">
      <c r="A2402" s="531"/>
    </row>
    <row r="2403" spans="1:1" x14ac:dyDescent="0.25">
      <c r="A2403" s="531"/>
    </row>
    <row r="2404" spans="1:1" x14ac:dyDescent="0.25">
      <c r="A2404" s="531"/>
    </row>
    <row r="2405" spans="1:1" x14ac:dyDescent="0.25">
      <c r="A2405" s="531"/>
    </row>
    <row r="2406" spans="1:1" x14ac:dyDescent="0.25">
      <c r="A2406" s="531"/>
    </row>
    <row r="2407" spans="1:1" x14ac:dyDescent="0.25">
      <c r="A2407" s="531"/>
    </row>
    <row r="2408" spans="1:1" x14ac:dyDescent="0.25">
      <c r="A2408" s="531"/>
    </row>
    <row r="2409" spans="1:1" x14ac:dyDescent="0.25">
      <c r="A2409" s="531"/>
    </row>
    <row r="2410" spans="1:1" x14ac:dyDescent="0.25">
      <c r="A2410" s="531"/>
    </row>
    <row r="2411" spans="1:1" x14ac:dyDescent="0.25">
      <c r="A2411" s="531"/>
    </row>
    <row r="2412" spans="1:1" x14ac:dyDescent="0.25">
      <c r="A2412" s="531"/>
    </row>
    <row r="2413" spans="1:1" x14ac:dyDescent="0.25">
      <c r="A2413" s="531"/>
    </row>
    <row r="2414" spans="1:1" x14ac:dyDescent="0.25">
      <c r="A2414" s="531"/>
    </row>
    <row r="2415" spans="1:1" x14ac:dyDescent="0.25">
      <c r="A2415" s="531"/>
    </row>
    <row r="2416" spans="1:1" x14ac:dyDescent="0.25">
      <c r="A2416" s="531"/>
    </row>
    <row r="2417" spans="1:1" x14ac:dyDescent="0.25">
      <c r="A2417" s="531"/>
    </row>
    <row r="2418" spans="1:1" x14ac:dyDescent="0.25">
      <c r="A2418" s="531"/>
    </row>
    <row r="2419" spans="1:1" x14ac:dyDescent="0.25">
      <c r="A2419" s="531"/>
    </row>
    <row r="2420" spans="1:1" x14ac:dyDescent="0.25">
      <c r="A2420" s="531"/>
    </row>
    <row r="2421" spans="1:1" x14ac:dyDescent="0.25">
      <c r="A2421" s="531"/>
    </row>
    <row r="2422" spans="1:1" x14ac:dyDescent="0.25">
      <c r="A2422" s="531"/>
    </row>
    <row r="2423" spans="1:1" x14ac:dyDescent="0.25">
      <c r="A2423" s="531"/>
    </row>
    <row r="2424" spans="1:1" x14ac:dyDescent="0.25">
      <c r="A2424" s="531"/>
    </row>
    <row r="2425" spans="1:1" x14ac:dyDescent="0.25">
      <c r="A2425" s="531"/>
    </row>
    <row r="2426" spans="1:1" x14ac:dyDescent="0.25">
      <c r="A2426" s="531"/>
    </row>
    <row r="2427" spans="1:1" x14ac:dyDescent="0.25">
      <c r="A2427" s="531"/>
    </row>
    <row r="2428" spans="1:1" x14ac:dyDescent="0.25">
      <c r="A2428" s="531"/>
    </row>
    <row r="2429" spans="1:1" x14ac:dyDescent="0.25">
      <c r="A2429" s="531"/>
    </row>
    <row r="2430" spans="1:1" x14ac:dyDescent="0.25">
      <c r="A2430" s="531"/>
    </row>
    <row r="2431" spans="1:1" x14ac:dyDescent="0.25">
      <c r="A2431" s="531"/>
    </row>
    <row r="2432" spans="1:1" x14ac:dyDescent="0.25">
      <c r="A2432" s="531"/>
    </row>
    <row r="2433" spans="1:1" x14ac:dyDescent="0.25">
      <c r="A2433" s="531"/>
    </row>
    <row r="2434" spans="1:1" x14ac:dyDescent="0.25">
      <c r="A2434" s="531"/>
    </row>
    <row r="2435" spans="1:1" x14ac:dyDescent="0.25">
      <c r="A2435" s="531"/>
    </row>
    <row r="2436" spans="1:1" x14ac:dyDescent="0.25">
      <c r="A2436" s="531"/>
    </row>
    <row r="2437" spans="1:1" x14ac:dyDescent="0.25">
      <c r="A2437" s="531"/>
    </row>
    <row r="2438" spans="1:1" x14ac:dyDescent="0.25">
      <c r="A2438" s="531"/>
    </row>
    <row r="2439" spans="1:1" x14ac:dyDescent="0.25">
      <c r="A2439" s="531"/>
    </row>
    <row r="2440" spans="1:1" x14ac:dyDescent="0.25">
      <c r="A2440" s="531"/>
    </row>
    <row r="2441" spans="1:1" x14ac:dyDescent="0.25">
      <c r="A2441" s="531"/>
    </row>
    <row r="2442" spans="1:1" x14ac:dyDescent="0.25">
      <c r="A2442" s="531"/>
    </row>
    <row r="2443" spans="1:1" x14ac:dyDescent="0.25">
      <c r="A2443" s="531"/>
    </row>
    <row r="2444" spans="1:1" x14ac:dyDescent="0.25">
      <c r="A2444" s="531"/>
    </row>
    <row r="2445" spans="1:1" x14ac:dyDescent="0.25">
      <c r="A2445" s="531"/>
    </row>
    <row r="2446" spans="1:1" x14ac:dyDescent="0.25">
      <c r="A2446" s="531"/>
    </row>
    <row r="2447" spans="1:1" x14ac:dyDescent="0.25">
      <c r="A2447" s="531"/>
    </row>
    <row r="2448" spans="1:1" x14ac:dyDescent="0.25">
      <c r="A2448" s="531"/>
    </row>
    <row r="2449" spans="1:1" x14ac:dyDescent="0.25">
      <c r="A2449" s="531"/>
    </row>
    <row r="2450" spans="1:1" x14ac:dyDescent="0.25">
      <c r="A2450" s="531"/>
    </row>
    <row r="2451" spans="1:1" x14ac:dyDescent="0.25">
      <c r="A2451" s="531"/>
    </row>
    <row r="2452" spans="1:1" x14ac:dyDescent="0.25">
      <c r="A2452" s="531"/>
    </row>
    <row r="2453" spans="1:1" x14ac:dyDescent="0.25">
      <c r="A2453" s="531"/>
    </row>
    <row r="2454" spans="1:1" x14ac:dyDescent="0.25">
      <c r="A2454" s="531"/>
    </row>
    <row r="2455" spans="1:1" x14ac:dyDescent="0.25">
      <c r="A2455" s="531"/>
    </row>
    <row r="2456" spans="1:1" x14ac:dyDescent="0.25">
      <c r="A2456" s="531"/>
    </row>
    <row r="2457" spans="1:1" x14ac:dyDescent="0.25">
      <c r="A2457" s="531"/>
    </row>
    <row r="2458" spans="1:1" x14ac:dyDescent="0.25">
      <c r="A2458" s="531"/>
    </row>
    <row r="2459" spans="1:1" x14ac:dyDescent="0.25">
      <c r="A2459" s="531"/>
    </row>
    <row r="2460" spans="1:1" x14ac:dyDescent="0.25">
      <c r="A2460" s="531"/>
    </row>
    <row r="2461" spans="1:1" x14ac:dyDescent="0.25">
      <c r="A2461" s="531"/>
    </row>
    <row r="2462" spans="1:1" x14ac:dyDescent="0.25">
      <c r="A2462" s="531"/>
    </row>
    <row r="2463" spans="1:1" x14ac:dyDescent="0.25">
      <c r="A2463" s="531"/>
    </row>
    <row r="2464" spans="1:1" x14ac:dyDescent="0.25">
      <c r="A2464" s="531"/>
    </row>
    <row r="2465" spans="1:1" x14ac:dyDescent="0.25">
      <c r="A2465" s="531"/>
    </row>
    <row r="2466" spans="1:1" x14ac:dyDescent="0.25">
      <c r="A2466" s="531"/>
    </row>
    <row r="2467" spans="1:1" x14ac:dyDescent="0.25">
      <c r="A2467" s="531"/>
    </row>
    <row r="2468" spans="1:1" x14ac:dyDescent="0.25">
      <c r="A2468" s="531"/>
    </row>
    <row r="2469" spans="1:1" x14ac:dyDescent="0.25">
      <c r="A2469" s="531"/>
    </row>
    <row r="2470" spans="1:1" x14ac:dyDescent="0.25">
      <c r="A2470" s="531"/>
    </row>
    <row r="2471" spans="1:1" x14ac:dyDescent="0.25">
      <c r="A2471" s="531"/>
    </row>
    <row r="2472" spans="1:1" x14ac:dyDescent="0.25">
      <c r="A2472" s="531"/>
    </row>
    <row r="2473" spans="1:1" x14ac:dyDescent="0.25">
      <c r="A2473" s="531"/>
    </row>
    <row r="2474" spans="1:1" x14ac:dyDescent="0.25">
      <c r="A2474" s="531"/>
    </row>
    <row r="2475" spans="1:1" x14ac:dyDescent="0.25">
      <c r="A2475" s="531"/>
    </row>
    <row r="2476" spans="1:1" x14ac:dyDescent="0.25">
      <c r="A2476" s="531"/>
    </row>
    <row r="2477" spans="1:1" x14ac:dyDescent="0.25">
      <c r="A2477" s="531"/>
    </row>
    <row r="2478" spans="1:1" x14ac:dyDescent="0.25">
      <c r="A2478" s="531"/>
    </row>
    <row r="2479" spans="1:1" x14ac:dyDescent="0.25">
      <c r="A2479" s="531"/>
    </row>
    <row r="2480" spans="1:1" x14ac:dyDescent="0.25">
      <c r="A2480" s="531"/>
    </row>
    <row r="2481" spans="1:1" x14ac:dyDescent="0.25">
      <c r="A2481" s="531"/>
    </row>
    <row r="2482" spans="1:1" x14ac:dyDescent="0.25">
      <c r="A2482" s="531"/>
    </row>
    <row r="2483" spans="1:1" x14ac:dyDescent="0.25">
      <c r="A2483" s="531"/>
    </row>
    <row r="2484" spans="1:1" x14ac:dyDescent="0.25">
      <c r="A2484" s="531"/>
    </row>
    <row r="2485" spans="1:1" x14ac:dyDescent="0.25">
      <c r="A2485" s="531"/>
    </row>
    <row r="2486" spans="1:1" x14ac:dyDescent="0.25">
      <c r="A2486" s="531"/>
    </row>
    <row r="2487" spans="1:1" x14ac:dyDescent="0.25">
      <c r="A2487" s="531"/>
    </row>
    <row r="2488" spans="1:1" x14ac:dyDescent="0.25">
      <c r="A2488" s="531"/>
    </row>
    <row r="2489" spans="1:1" x14ac:dyDescent="0.25">
      <c r="A2489" s="531"/>
    </row>
    <row r="2490" spans="1:1" x14ac:dyDescent="0.25">
      <c r="A2490" s="531"/>
    </row>
    <row r="2491" spans="1:1" x14ac:dyDescent="0.25">
      <c r="A2491" s="531"/>
    </row>
    <row r="2492" spans="1:1" x14ac:dyDescent="0.25">
      <c r="A2492" s="531"/>
    </row>
    <row r="2493" spans="1:1" x14ac:dyDescent="0.25">
      <c r="A2493" s="531"/>
    </row>
    <row r="2494" spans="1:1" x14ac:dyDescent="0.25">
      <c r="A2494" s="531"/>
    </row>
    <row r="2495" spans="1:1" x14ac:dyDescent="0.25">
      <c r="A2495" s="531"/>
    </row>
    <row r="2496" spans="1:1" x14ac:dyDescent="0.25">
      <c r="A2496" s="531"/>
    </row>
    <row r="2497" spans="1:1" x14ac:dyDescent="0.25">
      <c r="A2497" s="531"/>
    </row>
    <row r="2498" spans="1:1" x14ac:dyDescent="0.25">
      <c r="A2498" s="531"/>
    </row>
    <row r="2499" spans="1:1" x14ac:dyDescent="0.25">
      <c r="A2499" s="531"/>
    </row>
    <row r="2500" spans="1:1" x14ac:dyDescent="0.25">
      <c r="A2500" s="531"/>
    </row>
    <row r="2501" spans="1:1" x14ac:dyDescent="0.25">
      <c r="A2501" s="531"/>
    </row>
    <row r="2502" spans="1:1" x14ac:dyDescent="0.25">
      <c r="A2502" s="531"/>
    </row>
    <row r="2503" spans="1:1" x14ac:dyDescent="0.25">
      <c r="A2503" s="531"/>
    </row>
    <row r="2504" spans="1:1" x14ac:dyDescent="0.25">
      <c r="A2504" s="531"/>
    </row>
    <row r="2505" spans="1:1" x14ac:dyDescent="0.25">
      <c r="A2505" s="531"/>
    </row>
    <row r="2506" spans="1:1" x14ac:dyDescent="0.25">
      <c r="A2506" s="531"/>
    </row>
    <row r="2507" spans="1:1" x14ac:dyDescent="0.25">
      <c r="A2507" s="531"/>
    </row>
    <row r="2508" spans="1:1" x14ac:dyDescent="0.25">
      <c r="A2508" s="531"/>
    </row>
    <row r="2509" spans="1:1" x14ac:dyDescent="0.25">
      <c r="A2509" s="531"/>
    </row>
    <row r="2510" spans="1:1" x14ac:dyDescent="0.25">
      <c r="A2510" s="531"/>
    </row>
    <row r="2511" spans="1:1" x14ac:dyDescent="0.25">
      <c r="A2511" s="531"/>
    </row>
    <row r="2512" spans="1:1" x14ac:dyDescent="0.25">
      <c r="A2512" s="531"/>
    </row>
    <row r="2513" spans="1:1" x14ac:dyDescent="0.25">
      <c r="A2513" s="531"/>
    </row>
    <row r="2514" spans="1:1" x14ac:dyDescent="0.25">
      <c r="A2514" s="531"/>
    </row>
    <row r="2515" spans="1:1" x14ac:dyDescent="0.25">
      <c r="A2515" s="531"/>
    </row>
    <row r="2516" spans="1:1" x14ac:dyDescent="0.25">
      <c r="A2516" s="531"/>
    </row>
    <row r="2517" spans="1:1" x14ac:dyDescent="0.25">
      <c r="A2517" s="531"/>
    </row>
    <row r="2518" spans="1:1" x14ac:dyDescent="0.25">
      <c r="A2518" s="531"/>
    </row>
    <row r="2519" spans="1:1" x14ac:dyDescent="0.25">
      <c r="A2519" s="531"/>
    </row>
    <row r="2520" spans="1:1" x14ac:dyDescent="0.25">
      <c r="A2520" s="531"/>
    </row>
    <row r="2521" spans="1:1" x14ac:dyDescent="0.25">
      <c r="A2521" s="531"/>
    </row>
    <row r="2522" spans="1:1" x14ac:dyDescent="0.25">
      <c r="A2522" s="531"/>
    </row>
    <row r="2523" spans="1:1" x14ac:dyDescent="0.25">
      <c r="A2523" s="531"/>
    </row>
    <row r="2524" spans="1:1" x14ac:dyDescent="0.25">
      <c r="A2524" s="531"/>
    </row>
    <row r="2525" spans="1:1" x14ac:dyDescent="0.25">
      <c r="A2525" s="531"/>
    </row>
    <row r="2526" spans="1:1" x14ac:dyDescent="0.25">
      <c r="A2526" s="531"/>
    </row>
    <row r="2527" spans="1:1" x14ac:dyDescent="0.25">
      <c r="A2527" s="531"/>
    </row>
    <row r="2528" spans="1:1" x14ac:dyDescent="0.25">
      <c r="A2528" s="531"/>
    </row>
    <row r="2529" spans="1:1" x14ac:dyDescent="0.25">
      <c r="A2529" s="531"/>
    </row>
    <row r="2530" spans="1:1" x14ac:dyDescent="0.25">
      <c r="A2530" s="531"/>
    </row>
    <row r="2531" spans="1:1" x14ac:dyDescent="0.25">
      <c r="A2531" s="531"/>
    </row>
    <row r="2532" spans="1:1" x14ac:dyDescent="0.25">
      <c r="A2532" s="531"/>
    </row>
    <row r="2533" spans="1:1" x14ac:dyDescent="0.25">
      <c r="A2533" s="531"/>
    </row>
    <row r="2534" spans="1:1" x14ac:dyDescent="0.25">
      <c r="A2534" s="531"/>
    </row>
    <row r="2535" spans="1:1" x14ac:dyDescent="0.25">
      <c r="A2535" s="531"/>
    </row>
    <row r="2536" spans="1:1" x14ac:dyDescent="0.25">
      <c r="A2536" s="531"/>
    </row>
    <row r="2537" spans="1:1" x14ac:dyDescent="0.25">
      <c r="A2537" s="531"/>
    </row>
    <row r="2538" spans="1:1" x14ac:dyDescent="0.25">
      <c r="A2538" s="531"/>
    </row>
    <row r="2539" spans="1:1" x14ac:dyDescent="0.25">
      <c r="A2539" s="531"/>
    </row>
    <row r="2540" spans="1:1" x14ac:dyDescent="0.25">
      <c r="A2540" s="531"/>
    </row>
    <row r="2541" spans="1:1" x14ac:dyDescent="0.25">
      <c r="A2541" s="531"/>
    </row>
    <row r="2542" spans="1:1" x14ac:dyDescent="0.25">
      <c r="A2542" s="531"/>
    </row>
    <row r="2543" spans="1:1" x14ac:dyDescent="0.25">
      <c r="A2543" s="531"/>
    </row>
    <row r="2544" spans="1:1" x14ac:dyDescent="0.25">
      <c r="A2544" s="531"/>
    </row>
    <row r="2545" spans="1:1" x14ac:dyDescent="0.25">
      <c r="A2545" s="531"/>
    </row>
    <row r="2546" spans="1:1" x14ac:dyDescent="0.25">
      <c r="A2546" s="531"/>
    </row>
    <row r="2547" spans="1:1" x14ac:dyDescent="0.25">
      <c r="A2547" s="531"/>
    </row>
    <row r="2548" spans="1:1" x14ac:dyDescent="0.25">
      <c r="A2548" s="531"/>
    </row>
    <row r="2549" spans="1:1" x14ac:dyDescent="0.25">
      <c r="A2549" s="531"/>
    </row>
    <row r="2550" spans="1:1" x14ac:dyDescent="0.25">
      <c r="A2550" s="531"/>
    </row>
    <row r="2551" spans="1:1" x14ac:dyDescent="0.25">
      <c r="A2551" s="531"/>
    </row>
    <row r="2552" spans="1:1" x14ac:dyDescent="0.25">
      <c r="A2552" s="531"/>
    </row>
    <row r="2553" spans="1:1" x14ac:dyDescent="0.25">
      <c r="A2553" s="531"/>
    </row>
    <row r="2554" spans="1:1" x14ac:dyDescent="0.25">
      <c r="A2554" s="531"/>
    </row>
    <row r="2555" spans="1:1" x14ac:dyDescent="0.25">
      <c r="A2555" s="531"/>
    </row>
    <row r="2556" spans="1:1" x14ac:dyDescent="0.25">
      <c r="A2556" s="531"/>
    </row>
    <row r="2557" spans="1:1" x14ac:dyDescent="0.25">
      <c r="A2557" s="531"/>
    </row>
    <row r="2558" spans="1:1" x14ac:dyDescent="0.25">
      <c r="A2558" s="531"/>
    </row>
    <row r="2559" spans="1:1" x14ac:dyDescent="0.25">
      <c r="A2559" s="531"/>
    </row>
    <row r="2560" spans="1:1" x14ac:dyDescent="0.25">
      <c r="A2560" s="531"/>
    </row>
    <row r="2561" spans="1:1" x14ac:dyDescent="0.25">
      <c r="A2561" s="531"/>
    </row>
    <row r="2562" spans="1:1" x14ac:dyDescent="0.25">
      <c r="A2562" s="531"/>
    </row>
    <row r="2563" spans="1:1" x14ac:dyDescent="0.25">
      <c r="A2563" s="531"/>
    </row>
    <row r="2564" spans="1:1" x14ac:dyDescent="0.25">
      <c r="A2564" s="531"/>
    </row>
    <row r="2565" spans="1:1" x14ac:dyDescent="0.25">
      <c r="A2565" s="531"/>
    </row>
    <row r="2566" spans="1:1" x14ac:dyDescent="0.25">
      <c r="A2566" s="531"/>
    </row>
    <row r="2567" spans="1:1" x14ac:dyDescent="0.25">
      <c r="A2567" s="531"/>
    </row>
    <row r="2568" spans="1:1" x14ac:dyDescent="0.25">
      <c r="A2568" s="531"/>
    </row>
    <row r="2569" spans="1:1" x14ac:dyDescent="0.25">
      <c r="A2569" s="531"/>
    </row>
    <row r="2570" spans="1:1" x14ac:dyDescent="0.25">
      <c r="A2570" s="531"/>
    </row>
    <row r="2571" spans="1:1" x14ac:dyDescent="0.25">
      <c r="A2571" s="531"/>
    </row>
    <row r="2572" spans="1:1" x14ac:dyDescent="0.25">
      <c r="A2572" s="531"/>
    </row>
    <row r="2573" spans="1:1" x14ac:dyDescent="0.25">
      <c r="A2573" s="531"/>
    </row>
    <row r="2574" spans="1:1" x14ac:dyDescent="0.25">
      <c r="A2574" s="531"/>
    </row>
    <row r="2575" spans="1:1" x14ac:dyDescent="0.25">
      <c r="A2575" s="531"/>
    </row>
    <row r="2576" spans="1:1" x14ac:dyDescent="0.25">
      <c r="A2576" s="531"/>
    </row>
    <row r="2577" spans="1:1" x14ac:dyDescent="0.25">
      <c r="A2577" s="531"/>
    </row>
    <row r="2578" spans="1:1" x14ac:dyDescent="0.25">
      <c r="A2578" s="531"/>
    </row>
    <row r="2579" spans="1:1" x14ac:dyDescent="0.25">
      <c r="A2579" s="531"/>
    </row>
    <row r="2580" spans="1:1" x14ac:dyDescent="0.25">
      <c r="A2580" s="531"/>
    </row>
    <row r="2581" spans="1:1" x14ac:dyDescent="0.25">
      <c r="A2581" s="531"/>
    </row>
    <row r="2582" spans="1:1" x14ac:dyDescent="0.25">
      <c r="A2582" s="531"/>
    </row>
    <row r="2583" spans="1:1" x14ac:dyDescent="0.25">
      <c r="A2583" s="531"/>
    </row>
    <row r="2584" spans="1:1" x14ac:dyDescent="0.25">
      <c r="A2584" s="531"/>
    </row>
    <row r="2585" spans="1:1" x14ac:dyDescent="0.25">
      <c r="A2585" s="531"/>
    </row>
    <row r="2586" spans="1:1" x14ac:dyDescent="0.25">
      <c r="A2586" s="531"/>
    </row>
    <row r="2587" spans="1:1" x14ac:dyDescent="0.25">
      <c r="A2587" s="531"/>
    </row>
    <row r="2588" spans="1:1" x14ac:dyDescent="0.25">
      <c r="A2588" s="531"/>
    </row>
    <row r="2589" spans="1:1" x14ac:dyDescent="0.25">
      <c r="A2589" s="531"/>
    </row>
    <row r="2590" spans="1:1" x14ac:dyDescent="0.25">
      <c r="A2590" s="531"/>
    </row>
    <row r="2591" spans="1:1" x14ac:dyDescent="0.25">
      <c r="A2591" s="531"/>
    </row>
    <row r="2592" spans="1:1" x14ac:dyDescent="0.25">
      <c r="A2592" s="531"/>
    </row>
    <row r="2593" spans="1:1" x14ac:dyDescent="0.25">
      <c r="A2593" s="531"/>
    </row>
    <row r="2594" spans="1:1" x14ac:dyDescent="0.25">
      <c r="A2594" s="531"/>
    </row>
    <row r="2595" spans="1:1" x14ac:dyDescent="0.25">
      <c r="A2595" s="531"/>
    </row>
    <row r="2596" spans="1:1" x14ac:dyDescent="0.25">
      <c r="A2596" s="531"/>
    </row>
    <row r="2597" spans="1:1" x14ac:dyDescent="0.25">
      <c r="A2597" s="531"/>
    </row>
    <row r="2598" spans="1:1" x14ac:dyDescent="0.25">
      <c r="A2598" s="531"/>
    </row>
    <row r="2599" spans="1:1" x14ac:dyDescent="0.25">
      <c r="A2599" s="531"/>
    </row>
    <row r="2600" spans="1:1" x14ac:dyDescent="0.25">
      <c r="A2600" s="531"/>
    </row>
    <row r="2601" spans="1:1" x14ac:dyDescent="0.25">
      <c r="A2601" s="531"/>
    </row>
    <row r="2602" spans="1:1" x14ac:dyDescent="0.25">
      <c r="A2602" s="531"/>
    </row>
    <row r="2603" spans="1:1" x14ac:dyDescent="0.25">
      <c r="A2603" s="531"/>
    </row>
    <row r="2604" spans="1:1" x14ac:dyDescent="0.25">
      <c r="A2604" s="531"/>
    </row>
    <row r="2605" spans="1:1" x14ac:dyDescent="0.25">
      <c r="A2605" s="531"/>
    </row>
    <row r="2606" spans="1:1" x14ac:dyDescent="0.25">
      <c r="A2606" s="531"/>
    </row>
    <row r="2607" spans="1:1" x14ac:dyDescent="0.25">
      <c r="A2607" s="531"/>
    </row>
    <row r="2608" spans="1:1" x14ac:dyDescent="0.25">
      <c r="A2608" s="531"/>
    </row>
    <row r="2609" spans="1:1" x14ac:dyDescent="0.25">
      <c r="A2609" s="531"/>
    </row>
    <row r="2610" spans="1:1" x14ac:dyDescent="0.25">
      <c r="A2610" s="531"/>
    </row>
    <row r="2611" spans="1:1" x14ac:dyDescent="0.25">
      <c r="A2611" s="531"/>
    </row>
    <row r="2612" spans="1:1" x14ac:dyDescent="0.25">
      <c r="A2612" s="531"/>
    </row>
    <row r="2613" spans="1:1" x14ac:dyDescent="0.25">
      <c r="A2613" s="531"/>
    </row>
    <row r="2614" spans="1:1" x14ac:dyDescent="0.25">
      <c r="A2614" s="531"/>
    </row>
    <row r="2615" spans="1:1" x14ac:dyDescent="0.25">
      <c r="A2615" s="531"/>
    </row>
    <row r="2616" spans="1:1" x14ac:dyDescent="0.25">
      <c r="A2616" s="531"/>
    </row>
    <row r="2617" spans="1:1" x14ac:dyDescent="0.25">
      <c r="A2617" s="531"/>
    </row>
    <row r="2618" spans="1:1" x14ac:dyDescent="0.25">
      <c r="A2618" s="531"/>
    </row>
    <row r="2619" spans="1:1" x14ac:dyDescent="0.25">
      <c r="A2619" s="531"/>
    </row>
    <row r="2620" spans="1:1" x14ac:dyDescent="0.25">
      <c r="A2620" s="531"/>
    </row>
    <row r="2621" spans="1:1" x14ac:dyDescent="0.25">
      <c r="A2621" s="531"/>
    </row>
    <row r="2622" spans="1:1" x14ac:dyDescent="0.25">
      <c r="A2622" s="531"/>
    </row>
    <row r="2623" spans="1:1" x14ac:dyDescent="0.25">
      <c r="A2623" s="531"/>
    </row>
    <row r="2624" spans="1:1" x14ac:dyDescent="0.25">
      <c r="A2624" s="531"/>
    </row>
    <row r="2625" spans="1:1" x14ac:dyDescent="0.25">
      <c r="A2625" s="531"/>
    </row>
    <row r="2626" spans="1:1" x14ac:dyDescent="0.25">
      <c r="A2626" s="531"/>
    </row>
    <row r="2627" spans="1:1" x14ac:dyDescent="0.25">
      <c r="A2627" s="531"/>
    </row>
    <row r="2628" spans="1:1" x14ac:dyDescent="0.25">
      <c r="A2628" s="531"/>
    </row>
    <row r="2629" spans="1:1" x14ac:dyDescent="0.25">
      <c r="A2629" s="531"/>
    </row>
    <row r="2630" spans="1:1" x14ac:dyDescent="0.25">
      <c r="A2630" s="531"/>
    </row>
    <row r="2631" spans="1:1" x14ac:dyDescent="0.25">
      <c r="A2631" s="531"/>
    </row>
    <row r="2632" spans="1:1" x14ac:dyDescent="0.25">
      <c r="A2632" s="531"/>
    </row>
    <row r="2633" spans="1:1" x14ac:dyDescent="0.25">
      <c r="A2633" s="531"/>
    </row>
    <row r="2634" spans="1:1" x14ac:dyDescent="0.25">
      <c r="A2634" s="531"/>
    </row>
    <row r="2635" spans="1:1" x14ac:dyDescent="0.25">
      <c r="A2635" s="531"/>
    </row>
    <row r="2636" spans="1:1" x14ac:dyDescent="0.25">
      <c r="A2636" s="531"/>
    </row>
    <row r="2637" spans="1:1" x14ac:dyDescent="0.25">
      <c r="A2637" s="531"/>
    </row>
    <row r="2638" spans="1:1" x14ac:dyDescent="0.25">
      <c r="A2638" s="531"/>
    </row>
    <row r="2639" spans="1:1" x14ac:dyDescent="0.25">
      <c r="A2639" s="531"/>
    </row>
    <row r="2640" spans="1:1" x14ac:dyDescent="0.25">
      <c r="A2640" s="531"/>
    </row>
    <row r="2641" spans="1:1" x14ac:dyDescent="0.25">
      <c r="A2641" s="531"/>
    </row>
    <row r="2642" spans="1:1" x14ac:dyDescent="0.25">
      <c r="A2642" s="531"/>
    </row>
    <row r="2643" spans="1:1" x14ac:dyDescent="0.25">
      <c r="A2643" s="531"/>
    </row>
    <row r="2644" spans="1:1" x14ac:dyDescent="0.25">
      <c r="A2644" s="531"/>
    </row>
    <row r="2645" spans="1:1" x14ac:dyDescent="0.25">
      <c r="A2645" s="531"/>
    </row>
    <row r="2646" spans="1:1" x14ac:dyDescent="0.25">
      <c r="A2646" s="531"/>
    </row>
    <row r="2647" spans="1:1" x14ac:dyDescent="0.25">
      <c r="A2647" s="531"/>
    </row>
    <row r="2648" spans="1:1" x14ac:dyDescent="0.25">
      <c r="A2648" s="531"/>
    </row>
    <row r="2649" spans="1:1" x14ac:dyDescent="0.25">
      <c r="A2649" s="531"/>
    </row>
    <row r="2650" spans="1:1" x14ac:dyDescent="0.25">
      <c r="A2650" s="531"/>
    </row>
    <row r="2651" spans="1:1" x14ac:dyDescent="0.25">
      <c r="A2651" s="531"/>
    </row>
    <row r="2652" spans="1:1" x14ac:dyDescent="0.25">
      <c r="A2652" s="531"/>
    </row>
    <row r="2653" spans="1:1" x14ac:dyDescent="0.25">
      <c r="A2653" s="531"/>
    </row>
    <row r="2654" spans="1:1" x14ac:dyDescent="0.25">
      <c r="A2654" s="531"/>
    </row>
    <row r="2655" spans="1:1" x14ac:dyDescent="0.25">
      <c r="A2655" s="531"/>
    </row>
    <row r="2656" spans="1:1" x14ac:dyDescent="0.25">
      <c r="A2656" s="531"/>
    </row>
    <row r="2657" spans="1:1" x14ac:dyDescent="0.25">
      <c r="A2657" s="531"/>
    </row>
    <row r="2658" spans="1:1" x14ac:dyDescent="0.25">
      <c r="A2658" s="531"/>
    </row>
    <row r="2659" spans="1:1" x14ac:dyDescent="0.25">
      <c r="A2659" s="531"/>
    </row>
    <row r="2660" spans="1:1" x14ac:dyDescent="0.25">
      <c r="A2660" s="531"/>
    </row>
    <row r="2661" spans="1:1" x14ac:dyDescent="0.25">
      <c r="A2661" s="531"/>
    </row>
    <row r="2662" spans="1:1" x14ac:dyDescent="0.25">
      <c r="A2662" s="531"/>
    </row>
    <row r="2663" spans="1:1" x14ac:dyDescent="0.25">
      <c r="A2663" s="531"/>
    </row>
    <row r="2664" spans="1:1" x14ac:dyDescent="0.25">
      <c r="A2664" s="531"/>
    </row>
    <row r="2665" spans="1:1" x14ac:dyDescent="0.25">
      <c r="A2665" s="531"/>
    </row>
    <row r="2666" spans="1:1" x14ac:dyDescent="0.25">
      <c r="A2666" s="531"/>
    </row>
    <row r="2667" spans="1:1" x14ac:dyDescent="0.25">
      <c r="A2667" s="531"/>
    </row>
    <row r="2668" spans="1:1" x14ac:dyDescent="0.25">
      <c r="A2668" s="531"/>
    </row>
    <row r="2669" spans="1:1" x14ac:dyDescent="0.25">
      <c r="A2669" s="531"/>
    </row>
    <row r="2670" spans="1:1" x14ac:dyDescent="0.25">
      <c r="A2670" s="531"/>
    </row>
    <row r="2671" spans="1:1" x14ac:dyDescent="0.25">
      <c r="A2671" s="531"/>
    </row>
    <row r="2672" spans="1:1" x14ac:dyDescent="0.25">
      <c r="A2672" s="531"/>
    </row>
    <row r="2673" spans="1:1" x14ac:dyDescent="0.25">
      <c r="A2673" s="531"/>
    </row>
    <row r="2674" spans="1:1" x14ac:dyDescent="0.25">
      <c r="A2674" s="531"/>
    </row>
    <row r="2675" spans="1:1" x14ac:dyDescent="0.25">
      <c r="A2675" s="531"/>
    </row>
    <row r="2676" spans="1:1" x14ac:dyDescent="0.25">
      <c r="A2676" s="531"/>
    </row>
    <row r="2677" spans="1:1" x14ac:dyDescent="0.25">
      <c r="A2677" s="531"/>
    </row>
    <row r="2678" spans="1:1" x14ac:dyDescent="0.25">
      <c r="A2678" s="531"/>
    </row>
    <row r="2679" spans="1:1" x14ac:dyDescent="0.25">
      <c r="A2679" s="531"/>
    </row>
    <row r="2680" spans="1:1" x14ac:dyDescent="0.25">
      <c r="A2680" s="531"/>
    </row>
    <row r="2681" spans="1:1" x14ac:dyDescent="0.25">
      <c r="A2681" s="531"/>
    </row>
    <row r="2682" spans="1:1" x14ac:dyDescent="0.25">
      <c r="A2682" s="531"/>
    </row>
    <row r="2683" spans="1:1" x14ac:dyDescent="0.25">
      <c r="A2683" s="531"/>
    </row>
    <row r="2684" spans="1:1" x14ac:dyDescent="0.25">
      <c r="A2684" s="531"/>
    </row>
    <row r="2685" spans="1:1" x14ac:dyDescent="0.25">
      <c r="A2685" s="531"/>
    </row>
    <row r="2686" spans="1:1" x14ac:dyDescent="0.25">
      <c r="A2686" s="531"/>
    </row>
    <row r="2687" spans="1:1" x14ac:dyDescent="0.25">
      <c r="A2687" s="531"/>
    </row>
    <row r="2688" spans="1:1" x14ac:dyDescent="0.25">
      <c r="A2688" s="531"/>
    </row>
    <row r="2689" spans="1:1" x14ac:dyDescent="0.25">
      <c r="A2689" s="531"/>
    </row>
    <row r="2690" spans="1:1" x14ac:dyDescent="0.25">
      <c r="A2690" s="531"/>
    </row>
    <row r="2691" spans="1:1" x14ac:dyDescent="0.25">
      <c r="A2691" s="531"/>
    </row>
    <row r="2692" spans="1:1" x14ac:dyDescent="0.25">
      <c r="A2692" s="531"/>
    </row>
    <row r="2693" spans="1:1" x14ac:dyDescent="0.25">
      <c r="A2693" s="531"/>
    </row>
    <row r="2694" spans="1:1" x14ac:dyDescent="0.25">
      <c r="A2694" s="531"/>
    </row>
    <row r="2695" spans="1:1" x14ac:dyDescent="0.25">
      <c r="A2695" s="531"/>
    </row>
    <row r="2696" spans="1:1" x14ac:dyDescent="0.25">
      <c r="A2696" s="531"/>
    </row>
    <row r="2697" spans="1:1" x14ac:dyDescent="0.25">
      <c r="A2697" s="531"/>
    </row>
    <row r="2698" spans="1:1" x14ac:dyDescent="0.25">
      <c r="A2698" s="531"/>
    </row>
    <row r="2699" spans="1:1" x14ac:dyDescent="0.25">
      <c r="A2699" s="531"/>
    </row>
    <row r="2700" spans="1:1" x14ac:dyDescent="0.25">
      <c r="A2700" s="531"/>
    </row>
    <row r="2701" spans="1:1" x14ac:dyDescent="0.25">
      <c r="A2701" s="531"/>
    </row>
    <row r="2702" spans="1:1" x14ac:dyDescent="0.25">
      <c r="A2702" s="531"/>
    </row>
    <row r="2703" spans="1:1" x14ac:dyDescent="0.25">
      <c r="A2703" s="531"/>
    </row>
    <row r="2704" spans="1:1" x14ac:dyDescent="0.25">
      <c r="A2704" s="531"/>
    </row>
    <row r="2705" spans="1:1" x14ac:dyDescent="0.25">
      <c r="A2705" s="531"/>
    </row>
    <row r="2706" spans="1:1" x14ac:dyDescent="0.25">
      <c r="A2706" s="531"/>
    </row>
    <row r="2707" spans="1:1" x14ac:dyDescent="0.25">
      <c r="A2707" s="531"/>
    </row>
    <row r="2708" spans="1:1" x14ac:dyDescent="0.25">
      <c r="A2708" s="531"/>
    </row>
    <row r="2709" spans="1:1" x14ac:dyDescent="0.25">
      <c r="A2709" s="531"/>
    </row>
    <row r="2710" spans="1:1" x14ac:dyDescent="0.25">
      <c r="A2710" s="531"/>
    </row>
    <row r="2711" spans="1:1" x14ac:dyDescent="0.25">
      <c r="A2711" s="531"/>
    </row>
    <row r="2712" spans="1:1" x14ac:dyDescent="0.25">
      <c r="A2712" s="531"/>
    </row>
    <row r="2713" spans="1:1" x14ac:dyDescent="0.25">
      <c r="A2713" s="531"/>
    </row>
    <row r="2714" spans="1:1" x14ac:dyDescent="0.25">
      <c r="A2714" s="531"/>
    </row>
    <row r="2715" spans="1:1" x14ac:dyDescent="0.25">
      <c r="A2715" s="531"/>
    </row>
    <row r="2716" spans="1:1" x14ac:dyDescent="0.25">
      <c r="A2716" s="531"/>
    </row>
    <row r="2717" spans="1:1" x14ac:dyDescent="0.25">
      <c r="A2717" s="531"/>
    </row>
    <row r="2718" spans="1:1" x14ac:dyDescent="0.25">
      <c r="A2718" s="531"/>
    </row>
    <row r="2719" spans="1:1" x14ac:dyDescent="0.25">
      <c r="A2719" s="531"/>
    </row>
    <row r="2720" spans="1:1" x14ac:dyDescent="0.25">
      <c r="A2720" s="531"/>
    </row>
    <row r="2721" spans="1:1" x14ac:dyDescent="0.25">
      <c r="A2721" s="531"/>
    </row>
    <row r="2722" spans="1:1" x14ac:dyDescent="0.25">
      <c r="A2722" s="531"/>
    </row>
    <row r="2723" spans="1:1" x14ac:dyDescent="0.25">
      <c r="A2723" s="531"/>
    </row>
    <row r="2724" spans="1:1" x14ac:dyDescent="0.25">
      <c r="A2724" s="531"/>
    </row>
    <row r="2725" spans="1:1" x14ac:dyDescent="0.25">
      <c r="A2725" s="531"/>
    </row>
    <row r="2726" spans="1:1" x14ac:dyDescent="0.25">
      <c r="A2726" s="531"/>
    </row>
    <row r="2727" spans="1:1" x14ac:dyDescent="0.25">
      <c r="A2727" s="531"/>
    </row>
    <row r="2728" spans="1:1" x14ac:dyDescent="0.25">
      <c r="A2728" s="531"/>
    </row>
    <row r="2729" spans="1:1" x14ac:dyDescent="0.25">
      <c r="A2729" s="531"/>
    </row>
    <row r="2730" spans="1:1" x14ac:dyDescent="0.25">
      <c r="A2730" s="531"/>
    </row>
    <row r="2731" spans="1:1" x14ac:dyDescent="0.25">
      <c r="A2731" s="531"/>
    </row>
    <row r="2732" spans="1:1" x14ac:dyDescent="0.25">
      <c r="A2732" s="531"/>
    </row>
    <row r="2733" spans="1:1" x14ac:dyDescent="0.25">
      <c r="A2733" s="531"/>
    </row>
    <row r="2734" spans="1:1" x14ac:dyDescent="0.25">
      <c r="A2734" s="531"/>
    </row>
    <row r="2735" spans="1:1" x14ac:dyDescent="0.25">
      <c r="A2735" s="531"/>
    </row>
    <row r="2736" spans="1:1" x14ac:dyDescent="0.25">
      <c r="A2736" s="531"/>
    </row>
    <row r="2737" spans="1:1" x14ac:dyDescent="0.25">
      <c r="A2737" s="531"/>
    </row>
    <row r="2738" spans="1:1" x14ac:dyDescent="0.25">
      <c r="A2738" s="531"/>
    </row>
    <row r="2739" spans="1:1" x14ac:dyDescent="0.25">
      <c r="A2739" s="531"/>
    </row>
    <row r="2740" spans="1:1" x14ac:dyDescent="0.25">
      <c r="A2740" s="531"/>
    </row>
    <row r="2741" spans="1:1" x14ac:dyDescent="0.25">
      <c r="A2741" s="531"/>
    </row>
    <row r="2742" spans="1:1" x14ac:dyDescent="0.25">
      <c r="A2742" s="531"/>
    </row>
    <row r="2743" spans="1:1" x14ac:dyDescent="0.25">
      <c r="A2743" s="531"/>
    </row>
    <row r="2744" spans="1:1" x14ac:dyDescent="0.25">
      <c r="A2744" s="531"/>
    </row>
    <row r="2745" spans="1:1" x14ac:dyDescent="0.25">
      <c r="A2745" s="531"/>
    </row>
    <row r="2746" spans="1:1" x14ac:dyDescent="0.25">
      <c r="A2746" s="531"/>
    </row>
    <row r="2747" spans="1:1" x14ac:dyDescent="0.25">
      <c r="A2747" s="531"/>
    </row>
    <row r="2748" spans="1:1" x14ac:dyDescent="0.25">
      <c r="A2748" s="531"/>
    </row>
    <row r="2749" spans="1:1" x14ac:dyDescent="0.25">
      <c r="A2749" s="531"/>
    </row>
    <row r="2750" spans="1:1" x14ac:dyDescent="0.25">
      <c r="A2750" s="531"/>
    </row>
    <row r="2751" spans="1:1" x14ac:dyDescent="0.25">
      <c r="A2751" s="531"/>
    </row>
    <row r="2752" spans="1:1" x14ac:dyDescent="0.25">
      <c r="A2752" s="531"/>
    </row>
    <row r="2753" spans="1:1" x14ac:dyDescent="0.25">
      <c r="A2753" s="531"/>
    </row>
    <row r="2754" spans="1:1" x14ac:dyDescent="0.25">
      <c r="A2754" s="531"/>
    </row>
    <row r="2755" spans="1:1" x14ac:dyDescent="0.25">
      <c r="A2755" s="531"/>
    </row>
    <row r="2756" spans="1:1" x14ac:dyDescent="0.25">
      <c r="A2756" s="531"/>
    </row>
    <row r="2757" spans="1:1" x14ac:dyDescent="0.25">
      <c r="A2757" s="531"/>
    </row>
    <row r="2758" spans="1:1" x14ac:dyDescent="0.25">
      <c r="A2758" s="531"/>
    </row>
    <row r="2759" spans="1:1" x14ac:dyDescent="0.25">
      <c r="A2759" s="531"/>
    </row>
    <row r="2760" spans="1:1" x14ac:dyDescent="0.25">
      <c r="A2760" s="531"/>
    </row>
    <row r="2761" spans="1:1" x14ac:dyDescent="0.25">
      <c r="A2761" s="531"/>
    </row>
    <row r="2762" spans="1:1" x14ac:dyDescent="0.25">
      <c r="A2762" s="531"/>
    </row>
    <row r="2763" spans="1:1" x14ac:dyDescent="0.25">
      <c r="A2763" s="531"/>
    </row>
    <row r="2764" spans="1:1" x14ac:dyDescent="0.25">
      <c r="A2764" s="531"/>
    </row>
    <row r="2765" spans="1:1" x14ac:dyDescent="0.25">
      <c r="A2765" s="531"/>
    </row>
    <row r="2766" spans="1:1" x14ac:dyDescent="0.25">
      <c r="A2766" s="531"/>
    </row>
    <row r="2767" spans="1:1" x14ac:dyDescent="0.25">
      <c r="A2767" s="531"/>
    </row>
    <row r="2768" spans="1:1" x14ac:dyDescent="0.25">
      <c r="A2768" s="531"/>
    </row>
    <row r="2769" spans="1:1" x14ac:dyDescent="0.25">
      <c r="A2769" s="531"/>
    </row>
    <row r="2770" spans="1:1" x14ac:dyDescent="0.25">
      <c r="A2770" s="531"/>
    </row>
    <row r="2771" spans="1:1" x14ac:dyDescent="0.25">
      <c r="A2771" s="531"/>
    </row>
    <row r="2772" spans="1:1" x14ac:dyDescent="0.25">
      <c r="A2772" s="531"/>
    </row>
    <row r="2773" spans="1:1" x14ac:dyDescent="0.25">
      <c r="A2773" s="531"/>
    </row>
    <row r="2774" spans="1:1" x14ac:dyDescent="0.25">
      <c r="A2774" s="531"/>
    </row>
    <row r="2775" spans="1:1" x14ac:dyDescent="0.25">
      <c r="A2775" s="531"/>
    </row>
    <row r="2776" spans="1:1" x14ac:dyDescent="0.25">
      <c r="A2776" s="531"/>
    </row>
    <row r="2777" spans="1:1" x14ac:dyDescent="0.25">
      <c r="A2777" s="531"/>
    </row>
    <row r="2778" spans="1:1" x14ac:dyDescent="0.25">
      <c r="A2778" s="531"/>
    </row>
    <row r="2779" spans="1:1" x14ac:dyDescent="0.25">
      <c r="A2779" s="531"/>
    </row>
    <row r="2780" spans="1:1" x14ac:dyDescent="0.25">
      <c r="A2780" s="531"/>
    </row>
    <row r="2781" spans="1:1" x14ac:dyDescent="0.25">
      <c r="A2781" s="531"/>
    </row>
    <row r="2782" spans="1:1" x14ac:dyDescent="0.25">
      <c r="A2782" s="531"/>
    </row>
    <row r="2783" spans="1:1" x14ac:dyDescent="0.25">
      <c r="A2783" s="531"/>
    </row>
    <row r="2784" spans="1:1" x14ac:dyDescent="0.25">
      <c r="A2784" s="531"/>
    </row>
    <row r="2785" spans="1:1" x14ac:dyDescent="0.25">
      <c r="A2785" s="531"/>
    </row>
    <row r="2786" spans="1:1" x14ac:dyDescent="0.25">
      <c r="A2786" s="531"/>
    </row>
    <row r="2787" spans="1:1" x14ac:dyDescent="0.25">
      <c r="A2787" s="531"/>
    </row>
    <row r="2788" spans="1:1" x14ac:dyDescent="0.25">
      <c r="A2788" s="531"/>
    </row>
    <row r="2789" spans="1:1" x14ac:dyDescent="0.25">
      <c r="A2789" s="531"/>
    </row>
    <row r="2790" spans="1:1" x14ac:dyDescent="0.25">
      <c r="A2790" s="531"/>
    </row>
    <row r="2791" spans="1:1" x14ac:dyDescent="0.25">
      <c r="A2791" s="531"/>
    </row>
    <row r="2792" spans="1:1" x14ac:dyDescent="0.25">
      <c r="A2792" s="531"/>
    </row>
    <row r="2793" spans="1:1" x14ac:dyDescent="0.25">
      <c r="A2793" s="531"/>
    </row>
    <row r="2794" spans="1:1" x14ac:dyDescent="0.25">
      <c r="A2794" s="531"/>
    </row>
    <row r="2795" spans="1:1" x14ac:dyDescent="0.25">
      <c r="A2795" s="531"/>
    </row>
    <row r="2796" spans="1:1" x14ac:dyDescent="0.25">
      <c r="A2796" s="531"/>
    </row>
    <row r="2797" spans="1:1" x14ac:dyDescent="0.25">
      <c r="A2797" s="531"/>
    </row>
    <row r="2798" spans="1:1" x14ac:dyDescent="0.25">
      <c r="A2798" s="531"/>
    </row>
    <row r="2799" spans="1:1" x14ac:dyDescent="0.25">
      <c r="A2799" s="531"/>
    </row>
    <row r="2800" spans="1:1" x14ac:dyDescent="0.25">
      <c r="A2800" s="531"/>
    </row>
    <row r="2801" spans="1:1" x14ac:dyDescent="0.25">
      <c r="A2801" s="531"/>
    </row>
    <row r="2802" spans="1:1" x14ac:dyDescent="0.25">
      <c r="A2802" s="531"/>
    </row>
    <row r="2803" spans="1:1" x14ac:dyDescent="0.25">
      <c r="A2803" s="531"/>
    </row>
    <row r="2804" spans="1:1" x14ac:dyDescent="0.25">
      <c r="A2804" s="531"/>
    </row>
    <row r="2805" spans="1:1" x14ac:dyDescent="0.25">
      <c r="A2805" s="531"/>
    </row>
    <row r="2806" spans="1:1" x14ac:dyDescent="0.25">
      <c r="A2806" s="531"/>
    </row>
    <row r="2807" spans="1:1" x14ac:dyDescent="0.25">
      <c r="A2807" s="531"/>
    </row>
    <row r="2808" spans="1:1" x14ac:dyDescent="0.25">
      <c r="A2808" s="531"/>
    </row>
    <row r="2809" spans="1:1" x14ac:dyDescent="0.25">
      <c r="A2809" s="531"/>
    </row>
    <row r="2810" spans="1:1" x14ac:dyDescent="0.25">
      <c r="A2810" s="531"/>
    </row>
    <row r="2811" spans="1:1" x14ac:dyDescent="0.25">
      <c r="A2811" s="531"/>
    </row>
    <row r="2812" spans="1:1" x14ac:dyDescent="0.25">
      <c r="A2812" s="531"/>
    </row>
    <row r="2813" spans="1:1" x14ac:dyDescent="0.25">
      <c r="A2813" s="531"/>
    </row>
    <row r="2814" spans="1:1" x14ac:dyDescent="0.25">
      <c r="A2814" s="531"/>
    </row>
    <row r="2815" spans="1:1" x14ac:dyDescent="0.25">
      <c r="A2815" s="531"/>
    </row>
    <row r="2816" spans="1:1" x14ac:dyDescent="0.25">
      <c r="A2816" s="531"/>
    </row>
    <row r="2817" spans="1:1" x14ac:dyDescent="0.25">
      <c r="A2817" s="531"/>
    </row>
    <row r="2818" spans="1:1" x14ac:dyDescent="0.25">
      <c r="A2818" s="531"/>
    </row>
    <row r="2819" spans="1:1" x14ac:dyDescent="0.25">
      <c r="A2819" s="531"/>
    </row>
    <row r="2820" spans="1:1" x14ac:dyDescent="0.25">
      <c r="A2820" s="531"/>
    </row>
    <row r="2821" spans="1:1" x14ac:dyDescent="0.25">
      <c r="A2821" s="531"/>
    </row>
    <row r="2822" spans="1:1" x14ac:dyDescent="0.25">
      <c r="A2822" s="531"/>
    </row>
    <row r="2823" spans="1:1" x14ac:dyDescent="0.25">
      <c r="A2823" s="531"/>
    </row>
    <row r="2824" spans="1:1" x14ac:dyDescent="0.25">
      <c r="A2824" s="531"/>
    </row>
    <row r="2825" spans="1:1" x14ac:dyDescent="0.25">
      <c r="A2825" s="531"/>
    </row>
    <row r="2826" spans="1:1" x14ac:dyDescent="0.25">
      <c r="A2826" s="531"/>
    </row>
    <row r="2827" spans="1:1" x14ac:dyDescent="0.25">
      <c r="A2827" s="531"/>
    </row>
    <row r="2828" spans="1:1" x14ac:dyDescent="0.25">
      <c r="A2828" s="531"/>
    </row>
    <row r="2829" spans="1:1" x14ac:dyDescent="0.25">
      <c r="A2829" s="531"/>
    </row>
    <row r="2830" spans="1:1" x14ac:dyDescent="0.25">
      <c r="A2830" s="531"/>
    </row>
    <row r="2831" spans="1:1" x14ac:dyDescent="0.25">
      <c r="A2831" s="531"/>
    </row>
    <row r="2832" spans="1:1" x14ac:dyDescent="0.25">
      <c r="A2832" s="531"/>
    </row>
    <row r="2833" spans="1:1" x14ac:dyDescent="0.25">
      <c r="A2833" s="531"/>
    </row>
    <row r="2834" spans="1:1" x14ac:dyDescent="0.25">
      <c r="A2834" s="531"/>
    </row>
    <row r="2835" spans="1:1" x14ac:dyDescent="0.25">
      <c r="A2835" s="531"/>
    </row>
    <row r="2836" spans="1:1" x14ac:dyDescent="0.25">
      <c r="A2836" s="531"/>
    </row>
    <row r="2837" spans="1:1" x14ac:dyDescent="0.25">
      <c r="A2837" s="531"/>
    </row>
    <row r="2838" spans="1:1" x14ac:dyDescent="0.25">
      <c r="A2838" s="531"/>
    </row>
    <row r="2839" spans="1:1" x14ac:dyDescent="0.25">
      <c r="A2839" s="531"/>
    </row>
    <row r="2840" spans="1:1" x14ac:dyDescent="0.25">
      <c r="A2840" s="531"/>
    </row>
    <row r="2841" spans="1:1" x14ac:dyDescent="0.25">
      <c r="A2841" s="531"/>
    </row>
    <row r="2842" spans="1:1" x14ac:dyDescent="0.25">
      <c r="A2842" s="531"/>
    </row>
    <row r="2843" spans="1:1" x14ac:dyDescent="0.25">
      <c r="A2843" s="531"/>
    </row>
    <row r="2844" spans="1:1" x14ac:dyDescent="0.25">
      <c r="A2844" s="531"/>
    </row>
    <row r="2845" spans="1:1" x14ac:dyDescent="0.25">
      <c r="A2845" s="531"/>
    </row>
    <row r="2846" spans="1:1" x14ac:dyDescent="0.25">
      <c r="A2846" s="531"/>
    </row>
    <row r="2847" spans="1:1" x14ac:dyDescent="0.25">
      <c r="A2847" s="531"/>
    </row>
    <row r="2848" spans="1:1" x14ac:dyDescent="0.25">
      <c r="A2848" s="531"/>
    </row>
    <row r="2849" spans="1:1" x14ac:dyDescent="0.25">
      <c r="A2849" s="531"/>
    </row>
    <row r="2850" spans="1:1" x14ac:dyDescent="0.25">
      <c r="A2850" s="531"/>
    </row>
    <row r="2851" spans="1:1" x14ac:dyDescent="0.25">
      <c r="A2851" s="531"/>
    </row>
    <row r="2852" spans="1:1" x14ac:dyDescent="0.25">
      <c r="A2852" s="531"/>
    </row>
    <row r="2853" spans="1:1" x14ac:dyDescent="0.25">
      <c r="A2853" s="531"/>
    </row>
    <row r="2854" spans="1:1" x14ac:dyDescent="0.25">
      <c r="A2854" s="531"/>
    </row>
    <row r="2855" spans="1:1" x14ac:dyDescent="0.25">
      <c r="A2855" s="531"/>
    </row>
    <row r="2856" spans="1:1" x14ac:dyDescent="0.25">
      <c r="A2856" s="531"/>
    </row>
    <row r="2857" spans="1:1" x14ac:dyDescent="0.25">
      <c r="A2857" s="531"/>
    </row>
    <row r="2858" spans="1:1" x14ac:dyDescent="0.25">
      <c r="A2858" s="531"/>
    </row>
    <row r="2859" spans="1:1" x14ac:dyDescent="0.25">
      <c r="A2859" s="531"/>
    </row>
    <row r="2860" spans="1:1" x14ac:dyDescent="0.25">
      <c r="A2860" s="531"/>
    </row>
    <row r="2861" spans="1:1" x14ac:dyDescent="0.25">
      <c r="A2861" s="531"/>
    </row>
    <row r="2862" spans="1:1" x14ac:dyDescent="0.25">
      <c r="A2862" s="531"/>
    </row>
    <row r="2863" spans="1:1" x14ac:dyDescent="0.25">
      <c r="A2863" s="531"/>
    </row>
    <row r="2864" spans="1:1" x14ac:dyDescent="0.25">
      <c r="A2864" s="531"/>
    </row>
    <row r="2865" spans="1:1" x14ac:dyDescent="0.25">
      <c r="A2865" s="531"/>
    </row>
    <row r="2866" spans="1:1" x14ac:dyDescent="0.25">
      <c r="A2866" s="531"/>
    </row>
    <row r="2867" spans="1:1" x14ac:dyDescent="0.25">
      <c r="A2867" s="531"/>
    </row>
    <row r="2868" spans="1:1" x14ac:dyDescent="0.25">
      <c r="A2868" s="531"/>
    </row>
    <row r="2869" spans="1:1" x14ac:dyDescent="0.25">
      <c r="A2869" s="531"/>
    </row>
    <row r="2870" spans="1:1" x14ac:dyDescent="0.25">
      <c r="A2870" s="531"/>
    </row>
    <row r="2871" spans="1:1" x14ac:dyDescent="0.25">
      <c r="A2871" s="531"/>
    </row>
    <row r="2872" spans="1:1" x14ac:dyDescent="0.25">
      <c r="A2872" s="531"/>
    </row>
    <row r="2873" spans="1:1" x14ac:dyDescent="0.25">
      <c r="A2873" s="531"/>
    </row>
    <row r="2874" spans="1:1" x14ac:dyDescent="0.25">
      <c r="A2874" s="531"/>
    </row>
    <row r="2875" spans="1:1" x14ac:dyDescent="0.25">
      <c r="A2875" s="531"/>
    </row>
    <row r="2876" spans="1:1" x14ac:dyDescent="0.25">
      <c r="A2876" s="531"/>
    </row>
    <row r="2877" spans="1:1" x14ac:dyDescent="0.25">
      <c r="A2877" s="531"/>
    </row>
    <row r="2878" spans="1:1" x14ac:dyDescent="0.25">
      <c r="A2878" s="531"/>
    </row>
    <row r="2879" spans="1:1" x14ac:dyDescent="0.25">
      <c r="A2879" s="531"/>
    </row>
    <row r="2880" spans="1:1" x14ac:dyDescent="0.25">
      <c r="A2880" s="531"/>
    </row>
    <row r="2881" spans="1:1" x14ac:dyDescent="0.25">
      <c r="A2881" s="531"/>
    </row>
    <row r="2882" spans="1:1" x14ac:dyDescent="0.25">
      <c r="A2882" s="531"/>
    </row>
    <row r="2883" spans="1:1" x14ac:dyDescent="0.25">
      <c r="A2883" s="531"/>
    </row>
    <row r="2884" spans="1:1" x14ac:dyDescent="0.25">
      <c r="A2884" s="531"/>
    </row>
    <row r="2885" spans="1:1" x14ac:dyDescent="0.25">
      <c r="A2885" s="531"/>
    </row>
    <row r="2886" spans="1:1" x14ac:dyDescent="0.25">
      <c r="A2886" s="531"/>
    </row>
    <row r="2887" spans="1:1" x14ac:dyDescent="0.25">
      <c r="A2887" s="531"/>
    </row>
    <row r="2888" spans="1:1" x14ac:dyDescent="0.25">
      <c r="A2888" s="531"/>
    </row>
    <row r="2889" spans="1:1" x14ac:dyDescent="0.25">
      <c r="A2889" s="531"/>
    </row>
    <row r="2890" spans="1:1" x14ac:dyDescent="0.25">
      <c r="A2890" s="531"/>
    </row>
    <row r="2891" spans="1:1" x14ac:dyDescent="0.25">
      <c r="A2891" s="531"/>
    </row>
    <row r="2892" spans="1:1" x14ac:dyDescent="0.25">
      <c r="A2892" s="531"/>
    </row>
    <row r="2893" spans="1:1" x14ac:dyDescent="0.25">
      <c r="A2893" s="531"/>
    </row>
    <row r="2894" spans="1:1" x14ac:dyDescent="0.25">
      <c r="A2894" s="531"/>
    </row>
    <row r="2895" spans="1:1" x14ac:dyDescent="0.25">
      <c r="A2895" s="531"/>
    </row>
    <row r="2896" spans="1:1" x14ac:dyDescent="0.25">
      <c r="A2896" s="531"/>
    </row>
    <row r="2897" spans="1:1" x14ac:dyDescent="0.25">
      <c r="A2897" s="531"/>
    </row>
    <row r="2898" spans="1:1" x14ac:dyDescent="0.25">
      <c r="A2898" s="531"/>
    </row>
    <row r="2899" spans="1:1" x14ac:dyDescent="0.25">
      <c r="A2899" s="531"/>
    </row>
    <row r="2900" spans="1:1" x14ac:dyDescent="0.25">
      <c r="A2900" s="531"/>
    </row>
    <row r="2901" spans="1:1" x14ac:dyDescent="0.25">
      <c r="A2901" s="531"/>
    </row>
    <row r="2902" spans="1:1" x14ac:dyDescent="0.25">
      <c r="A2902" s="531"/>
    </row>
    <row r="2903" spans="1:1" x14ac:dyDescent="0.25">
      <c r="A2903" s="531"/>
    </row>
    <row r="2904" spans="1:1" x14ac:dyDescent="0.25">
      <c r="A2904" s="531"/>
    </row>
    <row r="2905" spans="1:1" x14ac:dyDescent="0.25">
      <c r="A2905" s="531"/>
    </row>
    <row r="2906" spans="1:1" x14ac:dyDescent="0.25">
      <c r="A2906" s="531"/>
    </row>
    <row r="2907" spans="1:1" x14ac:dyDescent="0.25">
      <c r="A2907" s="531"/>
    </row>
    <row r="2908" spans="1:1" x14ac:dyDescent="0.25">
      <c r="A2908" s="531"/>
    </row>
    <row r="2909" spans="1:1" x14ac:dyDescent="0.25">
      <c r="A2909" s="531"/>
    </row>
    <row r="2910" spans="1:1" x14ac:dyDescent="0.25">
      <c r="A2910" s="531"/>
    </row>
    <row r="2911" spans="1:1" x14ac:dyDescent="0.25">
      <c r="A2911" s="531"/>
    </row>
    <row r="2912" spans="1:1" x14ac:dyDescent="0.25">
      <c r="A2912" s="531"/>
    </row>
    <row r="2913" spans="1:1" x14ac:dyDescent="0.25">
      <c r="A2913" s="531"/>
    </row>
    <row r="2914" spans="1:1" x14ac:dyDescent="0.25">
      <c r="A2914" s="531"/>
    </row>
    <row r="2915" spans="1:1" x14ac:dyDescent="0.25">
      <c r="A2915" s="531"/>
    </row>
    <row r="2916" spans="1:1" x14ac:dyDescent="0.25">
      <c r="A2916" s="531"/>
    </row>
    <row r="2917" spans="1:1" x14ac:dyDescent="0.25">
      <c r="A2917" s="531"/>
    </row>
    <row r="2918" spans="1:1" x14ac:dyDescent="0.25">
      <c r="A2918" s="531"/>
    </row>
    <row r="2919" spans="1:1" x14ac:dyDescent="0.25">
      <c r="A2919" s="531"/>
    </row>
    <row r="2920" spans="1:1" x14ac:dyDescent="0.25">
      <c r="A2920" s="531"/>
    </row>
    <row r="2921" spans="1:1" x14ac:dyDescent="0.25">
      <c r="A2921" s="531"/>
    </row>
    <row r="2922" spans="1:1" x14ac:dyDescent="0.25">
      <c r="A2922" s="531"/>
    </row>
    <row r="2923" spans="1:1" x14ac:dyDescent="0.25">
      <c r="A2923" s="531"/>
    </row>
    <row r="2924" spans="1:1" x14ac:dyDescent="0.25">
      <c r="A2924" s="531"/>
    </row>
    <row r="2925" spans="1:1" x14ac:dyDescent="0.25">
      <c r="A2925" s="531"/>
    </row>
    <row r="2926" spans="1:1" x14ac:dyDescent="0.25">
      <c r="A2926" s="531"/>
    </row>
    <row r="2927" spans="1:1" x14ac:dyDescent="0.25">
      <c r="A2927" s="531"/>
    </row>
    <row r="2928" spans="1:1" x14ac:dyDescent="0.25">
      <c r="A2928" s="531"/>
    </row>
    <row r="2929" spans="1:1" x14ac:dyDescent="0.25">
      <c r="A2929" s="531"/>
    </row>
    <row r="2930" spans="1:1" x14ac:dyDescent="0.25">
      <c r="A2930" s="531"/>
    </row>
    <row r="2931" spans="1:1" x14ac:dyDescent="0.25">
      <c r="A2931" s="531"/>
    </row>
    <row r="2932" spans="1:1" x14ac:dyDescent="0.25">
      <c r="A2932" s="531"/>
    </row>
    <row r="2933" spans="1:1" x14ac:dyDescent="0.25">
      <c r="A2933" s="531"/>
    </row>
    <row r="2934" spans="1:1" x14ac:dyDescent="0.25">
      <c r="A2934" s="531"/>
    </row>
    <row r="2935" spans="1:1" x14ac:dyDescent="0.25">
      <c r="A2935" s="531"/>
    </row>
    <row r="2936" spans="1:1" x14ac:dyDescent="0.25">
      <c r="A2936" s="531"/>
    </row>
    <row r="2937" spans="1:1" x14ac:dyDescent="0.25">
      <c r="A2937" s="531"/>
    </row>
    <row r="2938" spans="1:1" x14ac:dyDescent="0.25">
      <c r="A2938" s="531"/>
    </row>
    <row r="2939" spans="1:1" x14ac:dyDescent="0.25">
      <c r="A2939" s="531"/>
    </row>
    <row r="2940" spans="1:1" x14ac:dyDescent="0.25">
      <c r="A2940" s="531"/>
    </row>
    <row r="2941" spans="1:1" x14ac:dyDescent="0.25">
      <c r="A2941" s="531"/>
    </row>
    <row r="2942" spans="1:1" x14ac:dyDescent="0.25">
      <c r="A2942" s="531"/>
    </row>
    <row r="2943" spans="1:1" x14ac:dyDescent="0.25">
      <c r="A2943" s="531"/>
    </row>
    <row r="2944" spans="1:1" x14ac:dyDescent="0.25">
      <c r="A2944" s="531"/>
    </row>
    <row r="2945" spans="1:1" x14ac:dyDescent="0.25">
      <c r="A2945" s="531"/>
    </row>
    <row r="2946" spans="1:1" x14ac:dyDescent="0.25">
      <c r="A2946" s="531"/>
    </row>
    <row r="2947" spans="1:1" x14ac:dyDescent="0.25">
      <c r="A2947" s="531"/>
    </row>
    <row r="2948" spans="1:1" x14ac:dyDescent="0.25">
      <c r="A2948" s="531"/>
    </row>
    <row r="2949" spans="1:1" x14ac:dyDescent="0.25">
      <c r="A2949" s="531"/>
    </row>
    <row r="2950" spans="1:1" x14ac:dyDescent="0.25">
      <c r="A2950" s="531"/>
    </row>
    <row r="2951" spans="1:1" x14ac:dyDescent="0.25">
      <c r="A2951" s="531"/>
    </row>
    <row r="2952" spans="1:1" x14ac:dyDescent="0.25">
      <c r="A2952" s="531"/>
    </row>
    <row r="2953" spans="1:1" x14ac:dyDescent="0.25">
      <c r="A2953" s="531"/>
    </row>
    <row r="2954" spans="1:1" x14ac:dyDescent="0.25">
      <c r="A2954" s="531"/>
    </row>
    <row r="2955" spans="1:1" x14ac:dyDescent="0.25">
      <c r="A2955" s="531"/>
    </row>
    <row r="2956" spans="1:1" x14ac:dyDescent="0.25">
      <c r="A2956" s="531"/>
    </row>
    <row r="2957" spans="1:1" x14ac:dyDescent="0.25">
      <c r="A2957" s="531"/>
    </row>
    <row r="2958" spans="1:1" x14ac:dyDescent="0.25">
      <c r="A2958" s="531"/>
    </row>
    <row r="2959" spans="1:1" x14ac:dyDescent="0.25">
      <c r="A2959" s="531"/>
    </row>
    <row r="2960" spans="1:1" x14ac:dyDescent="0.25">
      <c r="A2960" s="531"/>
    </row>
    <row r="2961" spans="1:1" x14ac:dyDescent="0.25">
      <c r="A2961" s="531"/>
    </row>
    <row r="2962" spans="1:1" x14ac:dyDescent="0.25">
      <c r="A2962" s="531"/>
    </row>
    <row r="2963" spans="1:1" x14ac:dyDescent="0.25">
      <c r="A2963" s="531"/>
    </row>
    <row r="2964" spans="1:1" x14ac:dyDescent="0.25">
      <c r="A2964" s="531"/>
    </row>
    <row r="2965" spans="1:1" x14ac:dyDescent="0.25">
      <c r="A2965" s="531"/>
    </row>
    <row r="2966" spans="1:1" x14ac:dyDescent="0.25">
      <c r="A2966" s="531"/>
    </row>
    <row r="2967" spans="1:1" x14ac:dyDescent="0.25">
      <c r="A2967" s="531"/>
    </row>
    <row r="2968" spans="1:1" x14ac:dyDescent="0.25">
      <c r="A2968" s="531"/>
    </row>
    <row r="2969" spans="1:1" x14ac:dyDescent="0.25">
      <c r="A2969" s="531"/>
    </row>
    <row r="2970" spans="1:1" x14ac:dyDescent="0.25">
      <c r="A2970" s="531"/>
    </row>
    <row r="2971" spans="1:1" x14ac:dyDescent="0.25">
      <c r="A2971" s="531"/>
    </row>
    <row r="2972" spans="1:1" x14ac:dyDescent="0.25">
      <c r="A2972" s="531"/>
    </row>
    <row r="2973" spans="1:1" x14ac:dyDescent="0.25">
      <c r="A2973" s="531"/>
    </row>
    <row r="2974" spans="1:1" x14ac:dyDescent="0.25">
      <c r="A2974" s="531"/>
    </row>
    <row r="2975" spans="1:1" x14ac:dyDescent="0.25">
      <c r="A2975" s="531"/>
    </row>
    <row r="2976" spans="1:1" x14ac:dyDescent="0.25">
      <c r="A2976" s="531"/>
    </row>
    <row r="2977" spans="1:1" x14ac:dyDescent="0.25">
      <c r="A2977" s="531"/>
    </row>
    <row r="2978" spans="1:1" x14ac:dyDescent="0.25">
      <c r="A2978" s="531"/>
    </row>
    <row r="2979" spans="1:1" x14ac:dyDescent="0.25">
      <c r="A2979" s="531"/>
    </row>
    <row r="2980" spans="1:1" x14ac:dyDescent="0.25">
      <c r="A2980" s="531"/>
    </row>
    <row r="2981" spans="1:1" x14ac:dyDescent="0.25">
      <c r="A2981" s="531"/>
    </row>
    <row r="2982" spans="1:1" x14ac:dyDescent="0.25">
      <c r="A2982" s="531"/>
    </row>
    <row r="2983" spans="1:1" x14ac:dyDescent="0.25">
      <c r="A2983" s="531"/>
    </row>
    <row r="2984" spans="1:1" x14ac:dyDescent="0.25">
      <c r="A2984" s="531"/>
    </row>
    <row r="2985" spans="1:1" x14ac:dyDescent="0.25">
      <c r="A2985" s="531"/>
    </row>
    <row r="2986" spans="1:1" x14ac:dyDescent="0.25">
      <c r="A2986" s="531"/>
    </row>
    <row r="2987" spans="1:1" x14ac:dyDescent="0.25">
      <c r="A2987" s="531"/>
    </row>
    <row r="2988" spans="1:1" x14ac:dyDescent="0.25">
      <c r="A2988" s="531"/>
    </row>
    <row r="2989" spans="1:1" x14ac:dyDescent="0.25">
      <c r="A2989" s="531"/>
    </row>
    <row r="2990" spans="1:1" x14ac:dyDescent="0.25">
      <c r="A2990" s="531"/>
    </row>
    <row r="2991" spans="1:1" x14ac:dyDescent="0.25">
      <c r="A2991" s="531"/>
    </row>
    <row r="2992" spans="1:1" x14ac:dyDescent="0.25">
      <c r="A2992" s="531"/>
    </row>
    <row r="2993" spans="1:1" x14ac:dyDescent="0.25">
      <c r="A2993" s="531"/>
    </row>
    <row r="2994" spans="1:1" x14ac:dyDescent="0.25">
      <c r="A2994" s="531"/>
    </row>
    <row r="2995" spans="1:1" x14ac:dyDescent="0.25">
      <c r="A2995" s="531"/>
    </row>
    <row r="2996" spans="1:1" x14ac:dyDescent="0.25">
      <c r="A2996" s="531"/>
    </row>
    <row r="2997" spans="1:1" x14ac:dyDescent="0.25">
      <c r="A2997" s="531"/>
    </row>
    <row r="2998" spans="1:1" x14ac:dyDescent="0.25">
      <c r="A2998" s="531"/>
    </row>
    <row r="2999" spans="1:1" x14ac:dyDescent="0.25">
      <c r="A2999" s="531"/>
    </row>
    <row r="3000" spans="1:1" x14ac:dyDescent="0.25">
      <c r="A3000" s="531"/>
    </row>
    <row r="3001" spans="1:1" x14ac:dyDescent="0.25">
      <c r="A3001" s="531"/>
    </row>
    <row r="3002" spans="1:1" x14ac:dyDescent="0.25">
      <c r="A3002" s="531"/>
    </row>
    <row r="3003" spans="1:1" x14ac:dyDescent="0.25">
      <c r="A3003" s="531"/>
    </row>
    <row r="3004" spans="1:1" x14ac:dyDescent="0.25">
      <c r="A3004" s="531"/>
    </row>
    <row r="3005" spans="1:1" x14ac:dyDescent="0.25">
      <c r="A3005" s="531"/>
    </row>
    <row r="3006" spans="1:1" x14ac:dyDescent="0.25">
      <c r="A3006" s="531"/>
    </row>
    <row r="3007" spans="1:1" x14ac:dyDescent="0.25">
      <c r="A3007" s="531"/>
    </row>
    <row r="3008" spans="1:1" x14ac:dyDescent="0.25">
      <c r="A3008" s="531"/>
    </row>
    <row r="3009" spans="1:1" x14ac:dyDescent="0.25">
      <c r="A3009" s="531"/>
    </row>
    <row r="3010" spans="1:1" x14ac:dyDescent="0.25">
      <c r="A3010" s="531"/>
    </row>
    <row r="3011" spans="1:1" x14ac:dyDescent="0.25">
      <c r="A3011" s="531"/>
    </row>
    <row r="3012" spans="1:1" x14ac:dyDescent="0.25">
      <c r="A3012" s="531"/>
    </row>
    <row r="3013" spans="1:1" x14ac:dyDescent="0.25">
      <c r="A3013" s="531"/>
    </row>
    <row r="3014" spans="1:1" x14ac:dyDescent="0.25">
      <c r="A3014" s="531"/>
    </row>
    <row r="3015" spans="1:1" x14ac:dyDescent="0.25">
      <c r="A3015" s="531"/>
    </row>
    <row r="3016" spans="1:1" x14ac:dyDescent="0.25">
      <c r="A3016" s="531"/>
    </row>
    <row r="3017" spans="1:1" x14ac:dyDescent="0.25">
      <c r="A3017" s="531"/>
    </row>
    <row r="3018" spans="1:1" x14ac:dyDescent="0.25">
      <c r="A3018" s="531"/>
    </row>
    <row r="3019" spans="1:1" x14ac:dyDescent="0.25">
      <c r="A3019" s="531"/>
    </row>
    <row r="3020" spans="1:1" x14ac:dyDescent="0.25">
      <c r="A3020" s="531"/>
    </row>
    <row r="3021" spans="1:1" x14ac:dyDescent="0.25">
      <c r="A3021" s="531"/>
    </row>
    <row r="3022" spans="1:1" x14ac:dyDescent="0.25">
      <c r="A3022" s="531"/>
    </row>
    <row r="3023" spans="1:1" x14ac:dyDescent="0.25">
      <c r="A3023" s="531"/>
    </row>
    <row r="3024" spans="1:1" x14ac:dyDescent="0.25">
      <c r="A3024" s="531"/>
    </row>
    <row r="3025" spans="1:1" x14ac:dyDescent="0.25">
      <c r="A3025" s="531"/>
    </row>
    <row r="3026" spans="1:1" x14ac:dyDescent="0.25">
      <c r="A3026" s="531"/>
    </row>
    <row r="3027" spans="1:1" x14ac:dyDescent="0.25">
      <c r="A3027" s="531"/>
    </row>
    <row r="3028" spans="1:1" x14ac:dyDescent="0.25">
      <c r="A3028" s="531"/>
    </row>
    <row r="3029" spans="1:1" x14ac:dyDescent="0.25">
      <c r="A3029" s="531"/>
    </row>
    <row r="3030" spans="1:1" x14ac:dyDescent="0.25">
      <c r="A3030" s="531"/>
    </row>
    <row r="3031" spans="1:1" x14ac:dyDescent="0.25">
      <c r="A3031" s="531"/>
    </row>
    <row r="3032" spans="1:1" x14ac:dyDescent="0.25">
      <c r="A3032" s="531"/>
    </row>
    <row r="3033" spans="1:1" x14ac:dyDescent="0.25">
      <c r="A3033" s="531"/>
    </row>
    <row r="3034" spans="1:1" x14ac:dyDescent="0.25">
      <c r="A3034" s="531"/>
    </row>
    <row r="3035" spans="1:1" x14ac:dyDescent="0.25">
      <c r="A3035" s="531"/>
    </row>
    <row r="3036" spans="1:1" x14ac:dyDescent="0.25">
      <c r="A3036" s="531"/>
    </row>
    <row r="3037" spans="1:1" x14ac:dyDescent="0.25">
      <c r="A3037" s="531"/>
    </row>
    <row r="3038" spans="1:1" x14ac:dyDescent="0.25">
      <c r="A3038" s="531"/>
    </row>
    <row r="3039" spans="1:1" x14ac:dyDescent="0.25">
      <c r="A3039" s="531"/>
    </row>
    <row r="3040" spans="1:1" x14ac:dyDescent="0.25">
      <c r="A3040" s="531"/>
    </row>
    <row r="3041" spans="1:1" x14ac:dyDescent="0.25">
      <c r="A3041" s="531"/>
    </row>
    <row r="3042" spans="1:1" x14ac:dyDescent="0.25">
      <c r="A3042" s="531"/>
    </row>
    <row r="3043" spans="1:1" x14ac:dyDescent="0.25">
      <c r="A3043" s="531"/>
    </row>
    <row r="3044" spans="1:1" x14ac:dyDescent="0.25">
      <c r="A3044" s="531"/>
    </row>
    <row r="3045" spans="1:1" x14ac:dyDescent="0.25">
      <c r="A3045" s="531"/>
    </row>
    <row r="3046" spans="1:1" x14ac:dyDescent="0.25">
      <c r="A3046" s="531"/>
    </row>
    <row r="3047" spans="1:1" x14ac:dyDescent="0.25">
      <c r="A3047" s="531"/>
    </row>
    <row r="3048" spans="1:1" x14ac:dyDescent="0.25">
      <c r="A3048" s="531"/>
    </row>
    <row r="3049" spans="1:1" x14ac:dyDescent="0.25">
      <c r="A3049" s="531"/>
    </row>
    <row r="3050" spans="1:1" x14ac:dyDescent="0.25">
      <c r="A3050" s="531"/>
    </row>
    <row r="3051" spans="1:1" x14ac:dyDescent="0.25">
      <c r="A3051" s="531"/>
    </row>
    <row r="3052" spans="1:1" x14ac:dyDescent="0.25">
      <c r="A3052" s="531"/>
    </row>
    <row r="3053" spans="1:1" x14ac:dyDescent="0.25">
      <c r="A3053" s="531"/>
    </row>
    <row r="3054" spans="1:1" x14ac:dyDescent="0.25">
      <c r="A3054" s="531"/>
    </row>
    <row r="3055" spans="1:1" x14ac:dyDescent="0.25">
      <c r="A3055" s="531"/>
    </row>
    <row r="3056" spans="1:1" x14ac:dyDescent="0.25">
      <c r="A3056" s="531"/>
    </row>
    <row r="3057" spans="1:1" x14ac:dyDescent="0.25">
      <c r="A3057" s="531"/>
    </row>
    <row r="3058" spans="1:1" x14ac:dyDescent="0.25">
      <c r="A3058" s="531"/>
    </row>
    <row r="3059" spans="1:1" x14ac:dyDescent="0.25">
      <c r="A3059" s="531"/>
    </row>
    <row r="3060" spans="1:1" x14ac:dyDescent="0.25">
      <c r="A3060" s="531"/>
    </row>
    <row r="3061" spans="1:1" x14ac:dyDescent="0.25">
      <c r="A3061" s="531"/>
    </row>
    <row r="3062" spans="1:1" x14ac:dyDescent="0.25">
      <c r="A3062" s="531"/>
    </row>
    <row r="3063" spans="1:1" x14ac:dyDescent="0.25">
      <c r="A3063" s="531"/>
    </row>
    <row r="3064" spans="1:1" x14ac:dyDescent="0.25">
      <c r="A3064" s="531"/>
    </row>
    <row r="3065" spans="1:1" x14ac:dyDescent="0.25">
      <c r="A3065" s="531"/>
    </row>
    <row r="3066" spans="1:1" x14ac:dyDescent="0.25">
      <c r="A3066" s="531"/>
    </row>
    <row r="3067" spans="1:1" x14ac:dyDescent="0.25">
      <c r="A3067" s="531"/>
    </row>
    <row r="3068" spans="1:1" x14ac:dyDescent="0.25">
      <c r="A3068" s="531"/>
    </row>
    <row r="3069" spans="1:1" x14ac:dyDescent="0.25">
      <c r="A3069" s="531"/>
    </row>
    <row r="3070" spans="1:1" x14ac:dyDescent="0.25">
      <c r="A3070" s="531"/>
    </row>
    <row r="3071" spans="1:1" x14ac:dyDescent="0.25">
      <c r="A3071" s="531"/>
    </row>
    <row r="3072" spans="1:1" x14ac:dyDescent="0.25">
      <c r="A3072" s="531"/>
    </row>
    <row r="3073" spans="1:1" x14ac:dyDescent="0.25">
      <c r="A3073" s="531"/>
    </row>
    <row r="3074" spans="1:1" x14ac:dyDescent="0.25">
      <c r="A3074" s="531"/>
    </row>
    <row r="3075" spans="1:1" x14ac:dyDescent="0.25">
      <c r="A3075" s="531"/>
    </row>
    <row r="3076" spans="1:1" x14ac:dyDescent="0.25">
      <c r="A3076" s="531"/>
    </row>
    <row r="3077" spans="1:1" x14ac:dyDescent="0.25">
      <c r="A3077" s="531"/>
    </row>
    <row r="3078" spans="1:1" x14ac:dyDescent="0.25">
      <c r="A3078" s="531"/>
    </row>
    <row r="3079" spans="1:1" x14ac:dyDescent="0.25">
      <c r="A3079" s="531"/>
    </row>
    <row r="3080" spans="1:1" x14ac:dyDescent="0.25">
      <c r="A3080" s="531"/>
    </row>
    <row r="3081" spans="1:1" x14ac:dyDescent="0.25">
      <c r="A3081" s="531"/>
    </row>
    <row r="3082" spans="1:1" x14ac:dyDescent="0.25">
      <c r="A3082" s="531"/>
    </row>
    <row r="3083" spans="1:1" x14ac:dyDescent="0.25">
      <c r="A3083" s="531"/>
    </row>
    <row r="3084" spans="1:1" x14ac:dyDescent="0.25">
      <c r="A3084" s="531"/>
    </row>
    <row r="3085" spans="1:1" x14ac:dyDescent="0.25">
      <c r="A3085" s="531"/>
    </row>
    <row r="3086" spans="1:1" x14ac:dyDescent="0.25">
      <c r="A3086" s="531"/>
    </row>
    <row r="3087" spans="1:1" x14ac:dyDescent="0.25">
      <c r="A3087" s="531"/>
    </row>
    <row r="3088" spans="1:1" x14ac:dyDescent="0.25">
      <c r="A3088" s="531"/>
    </row>
    <row r="3089" spans="1:1" x14ac:dyDescent="0.25">
      <c r="A3089" s="531"/>
    </row>
    <row r="3090" spans="1:1" x14ac:dyDescent="0.25">
      <c r="A3090" s="531"/>
    </row>
    <row r="3091" spans="1:1" x14ac:dyDescent="0.25">
      <c r="A3091" s="531"/>
    </row>
    <row r="3092" spans="1:1" x14ac:dyDescent="0.25">
      <c r="A3092" s="531"/>
    </row>
    <row r="3093" spans="1:1" x14ac:dyDescent="0.25">
      <c r="A3093" s="531"/>
    </row>
    <row r="3094" spans="1:1" x14ac:dyDescent="0.25">
      <c r="A3094" s="531"/>
    </row>
    <row r="3095" spans="1:1" x14ac:dyDescent="0.25">
      <c r="A3095" s="531"/>
    </row>
    <row r="3096" spans="1:1" x14ac:dyDescent="0.25">
      <c r="A3096" s="531"/>
    </row>
    <row r="3097" spans="1:1" x14ac:dyDescent="0.25">
      <c r="A3097" s="531"/>
    </row>
    <row r="3098" spans="1:1" x14ac:dyDescent="0.25">
      <c r="A3098" s="531"/>
    </row>
    <row r="3099" spans="1:1" x14ac:dyDescent="0.25">
      <c r="A3099" s="531"/>
    </row>
    <row r="3100" spans="1:1" x14ac:dyDescent="0.25">
      <c r="A3100" s="531"/>
    </row>
    <row r="3101" spans="1:1" x14ac:dyDescent="0.25">
      <c r="A3101" s="531"/>
    </row>
    <row r="3102" spans="1:1" x14ac:dyDescent="0.25">
      <c r="A3102" s="531"/>
    </row>
    <row r="3103" spans="1:1" x14ac:dyDescent="0.25">
      <c r="A3103" s="531"/>
    </row>
    <row r="3104" spans="1:1" x14ac:dyDescent="0.25">
      <c r="A3104" s="531"/>
    </row>
    <row r="3105" spans="1:1" x14ac:dyDescent="0.25">
      <c r="A3105" s="531"/>
    </row>
    <row r="3106" spans="1:1" x14ac:dyDescent="0.25">
      <c r="A3106" s="531"/>
    </row>
    <row r="3107" spans="1:1" x14ac:dyDescent="0.25">
      <c r="A3107" s="531"/>
    </row>
    <row r="3108" spans="1:1" x14ac:dyDescent="0.25">
      <c r="A3108" s="531"/>
    </row>
    <row r="3109" spans="1:1" x14ac:dyDescent="0.25">
      <c r="A3109" s="531"/>
    </row>
    <row r="3110" spans="1:1" x14ac:dyDescent="0.25">
      <c r="A3110" s="531"/>
    </row>
    <row r="3111" spans="1:1" x14ac:dyDescent="0.25">
      <c r="A3111" s="531"/>
    </row>
    <row r="3112" spans="1:1" x14ac:dyDescent="0.25">
      <c r="A3112" s="531"/>
    </row>
    <row r="3113" spans="1:1" x14ac:dyDescent="0.25">
      <c r="A3113" s="531"/>
    </row>
    <row r="3114" spans="1:1" x14ac:dyDescent="0.25">
      <c r="A3114" s="531"/>
    </row>
    <row r="3115" spans="1:1" x14ac:dyDescent="0.25">
      <c r="A3115" s="531"/>
    </row>
    <row r="3116" spans="1:1" x14ac:dyDescent="0.25">
      <c r="A3116" s="531"/>
    </row>
    <row r="3117" spans="1:1" x14ac:dyDescent="0.25">
      <c r="A3117" s="531"/>
    </row>
    <row r="3118" spans="1:1" x14ac:dyDescent="0.25">
      <c r="A3118" s="531"/>
    </row>
    <row r="3119" spans="1:1" x14ac:dyDescent="0.25">
      <c r="A3119" s="531"/>
    </row>
    <row r="3120" spans="1:1" x14ac:dyDescent="0.25">
      <c r="A3120" s="531"/>
    </row>
    <row r="3121" spans="1:1" x14ac:dyDescent="0.25">
      <c r="A3121" s="531"/>
    </row>
    <row r="3122" spans="1:1" x14ac:dyDescent="0.25">
      <c r="A3122" s="531"/>
    </row>
    <row r="3123" spans="1:1" x14ac:dyDescent="0.25">
      <c r="A3123" s="531"/>
    </row>
    <row r="3124" spans="1:1" x14ac:dyDescent="0.25">
      <c r="A3124" s="531"/>
    </row>
    <row r="3125" spans="1:1" x14ac:dyDescent="0.25">
      <c r="A3125" s="531"/>
    </row>
    <row r="3126" spans="1:1" x14ac:dyDescent="0.25">
      <c r="A3126" s="531"/>
    </row>
    <row r="3127" spans="1:1" x14ac:dyDescent="0.25">
      <c r="A3127" s="531"/>
    </row>
    <row r="3128" spans="1:1" x14ac:dyDescent="0.25">
      <c r="A3128" s="531"/>
    </row>
    <row r="3129" spans="1:1" x14ac:dyDescent="0.25">
      <c r="A3129" s="531"/>
    </row>
    <row r="3130" spans="1:1" x14ac:dyDescent="0.25">
      <c r="A3130" s="531"/>
    </row>
    <row r="3131" spans="1:1" x14ac:dyDescent="0.25">
      <c r="A3131" s="531"/>
    </row>
    <row r="3132" spans="1:1" x14ac:dyDescent="0.25">
      <c r="A3132" s="531"/>
    </row>
    <row r="3133" spans="1:1" x14ac:dyDescent="0.25">
      <c r="A3133" s="531"/>
    </row>
    <row r="3134" spans="1:1" x14ac:dyDescent="0.25">
      <c r="A3134" s="531"/>
    </row>
    <row r="3135" spans="1:1" x14ac:dyDescent="0.25">
      <c r="A3135" s="531"/>
    </row>
    <row r="3136" spans="1:1" x14ac:dyDescent="0.25">
      <c r="A3136" s="531"/>
    </row>
    <row r="3137" spans="1:1" x14ac:dyDescent="0.25">
      <c r="A3137" s="531"/>
    </row>
    <row r="3138" spans="1:1" x14ac:dyDescent="0.25">
      <c r="A3138" s="531"/>
    </row>
    <row r="3139" spans="1:1" x14ac:dyDescent="0.25">
      <c r="A3139" s="531"/>
    </row>
    <row r="3140" spans="1:1" x14ac:dyDescent="0.25">
      <c r="A3140" s="531"/>
    </row>
    <row r="3141" spans="1:1" x14ac:dyDescent="0.25">
      <c r="A3141" s="531"/>
    </row>
    <row r="3142" spans="1:1" x14ac:dyDescent="0.25">
      <c r="A3142" s="531"/>
    </row>
    <row r="3143" spans="1:1" x14ac:dyDescent="0.25">
      <c r="A3143" s="531"/>
    </row>
    <row r="3144" spans="1:1" x14ac:dyDescent="0.25">
      <c r="A3144" s="531"/>
    </row>
    <row r="3145" spans="1:1" x14ac:dyDescent="0.25">
      <c r="A3145" s="531"/>
    </row>
    <row r="3146" spans="1:1" x14ac:dyDescent="0.25">
      <c r="A3146" s="531"/>
    </row>
    <row r="3147" spans="1:1" x14ac:dyDescent="0.25">
      <c r="A3147" s="531"/>
    </row>
    <row r="3148" spans="1:1" x14ac:dyDescent="0.25">
      <c r="A3148" s="531"/>
    </row>
    <row r="3149" spans="1:1" x14ac:dyDescent="0.25">
      <c r="A3149" s="531"/>
    </row>
    <row r="3150" spans="1:1" x14ac:dyDescent="0.25">
      <c r="A3150" s="531"/>
    </row>
    <row r="3151" spans="1:1" x14ac:dyDescent="0.25">
      <c r="A3151" s="531"/>
    </row>
    <row r="3152" spans="1:1" x14ac:dyDescent="0.25">
      <c r="A3152" s="531"/>
    </row>
    <row r="3153" spans="1:1" x14ac:dyDescent="0.25">
      <c r="A3153" s="531"/>
    </row>
    <row r="3154" spans="1:1" x14ac:dyDescent="0.25">
      <c r="A3154" s="531"/>
    </row>
    <row r="3155" spans="1:1" x14ac:dyDescent="0.25">
      <c r="A3155" s="531"/>
    </row>
    <row r="3156" spans="1:1" x14ac:dyDescent="0.25">
      <c r="A3156" s="531"/>
    </row>
    <row r="3157" spans="1:1" x14ac:dyDescent="0.25">
      <c r="A3157" s="531"/>
    </row>
    <row r="3158" spans="1:1" x14ac:dyDescent="0.25">
      <c r="A3158" s="531"/>
    </row>
    <row r="3159" spans="1:1" x14ac:dyDescent="0.25">
      <c r="A3159" s="531"/>
    </row>
    <row r="3160" spans="1:1" x14ac:dyDescent="0.25">
      <c r="A3160" s="531"/>
    </row>
    <row r="3161" spans="1:1" x14ac:dyDescent="0.25">
      <c r="A3161" s="531"/>
    </row>
    <row r="3162" spans="1:1" x14ac:dyDescent="0.25">
      <c r="A3162" s="531"/>
    </row>
    <row r="3163" spans="1:1" x14ac:dyDescent="0.25">
      <c r="A3163" s="531"/>
    </row>
    <row r="3164" spans="1:1" x14ac:dyDescent="0.25">
      <c r="A3164" s="531"/>
    </row>
    <row r="3165" spans="1:1" x14ac:dyDescent="0.25">
      <c r="A3165" s="531"/>
    </row>
    <row r="3166" spans="1:1" x14ac:dyDescent="0.25">
      <c r="A3166" s="531"/>
    </row>
    <row r="3167" spans="1:1" x14ac:dyDescent="0.25">
      <c r="A3167" s="531"/>
    </row>
    <row r="3168" spans="1:1" x14ac:dyDescent="0.25">
      <c r="A3168" s="531"/>
    </row>
    <row r="3169" spans="1:1" x14ac:dyDescent="0.25">
      <c r="A3169" s="531"/>
    </row>
    <row r="3170" spans="1:1" x14ac:dyDescent="0.25">
      <c r="A3170" s="531"/>
    </row>
    <row r="3171" spans="1:1" x14ac:dyDescent="0.25">
      <c r="A3171" s="531"/>
    </row>
    <row r="3172" spans="1:1" x14ac:dyDescent="0.25">
      <c r="A3172" s="531"/>
    </row>
    <row r="3173" spans="1:1" x14ac:dyDescent="0.25">
      <c r="A3173" s="531"/>
    </row>
    <row r="3174" spans="1:1" x14ac:dyDescent="0.25">
      <c r="A3174" s="531"/>
    </row>
    <row r="3175" spans="1:1" x14ac:dyDescent="0.25">
      <c r="A3175" s="531"/>
    </row>
    <row r="3176" spans="1:1" x14ac:dyDescent="0.25">
      <c r="A3176" s="531"/>
    </row>
    <row r="3177" spans="1:1" x14ac:dyDescent="0.25">
      <c r="A3177" s="531"/>
    </row>
    <row r="3178" spans="1:1" x14ac:dyDescent="0.25">
      <c r="A3178" s="531"/>
    </row>
    <row r="3179" spans="1:1" x14ac:dyDescent="0.25">
      <c r="A3179" s="531"/>
    </row>
    <row r="3180" spans="1:1" x14ac:dyDescent="0.25">
      <c r="A3180" s="531"/>
    </row>
    <row r="3181" spans="1:1" x14ac:dyDescent="0.25">
      <c r="A3181" s="531"/>
    </row>
    <row r="3182" spans="1:1" x14ac:dyDescent="0.25">
      <c r="A3182" s="531"/>
    </row>
    <row r="3183" spans="1:1" x14ac:dyDescent="0.25">
      <c r="A3183" s="531"/>
    </row>
    <row r="3184" spans="1:1" x14ac:dyDescent="0.25">
      <c r="A3184" s="531"/>
    </row>
    <row r="3185" spans="1:1" x14ac:dyDescent="0.25">
      <c r="A3185" s="531"/>
    </row>
    <row r="3186" spans="1:1" x14ac:dyDescent="0.25">
      <c r="A3186" s="531"/>
    </row>
    <row r="3187" spans="1:1" x14ac:dyDescent="0.25">
      <c r="A3187" s="531"/>
    </row>
    <row r="3188" spans="1:1" x14ac:dyDescent="0.25">
      <c r="A3188" s="531"/>
    </row>
    <row r="3189" spans="1:1" x14ac:dyDescent="0.25">
      <c r="A3189" s="531"/>
    </row>
    <row r="3190" spans="1:1" x14ac:dyDescent="0.25">
      <c r="A3190" s="531"/>
    </row>
    <row r="3191" spans="1:1" x14ac:dyDescent="0.25">
      <c r="A3191" s="531"/>
    </row>
    <row r="3192" spans="1:1" x14ac:dyDescent="0.25">
      <c r="A3192" s="531"/>
    </row>
    <row r="3193" spans="1:1" x14ac:dyDescent="0.25">
      <c r="A3193" s="531"/>
    </row>
    <row r="3194" spans="1:1" x14ac:dyDescent="0.25">
      <c r="A3194" s="531"/>
    </row>
    <row r="3195" spans="1:1" x14ac:dyDescent="0.25">
      <c r="A3195" s="531"/>
    </row>
    <row r="3196" spans="1:1" x14ac:dyDescent="0.25">
      <c r="A3196" s="531"/>
    </row>
    <row r="3197" spans="1:1" x14ac:dyDescent="0.25">
      <c r="A3197" s="531"/>
    </row>
    <row r="3198" spans="1:1" x14ac:dyDescent="0.25">
      <c r="A3198" s="531"/>
    </row>
    <row r="3199" spans="1:1" x14ac:dyDescent="0.25">
      <c r="A3199" s="531"/>
    </row>
    <row r="3200" spans="1:1" x14ac:dyDescent="0.25">
      <c r="A3200" s="531"/>
    </row>
    <row r="3201" spans="1:1" x14ac:dyDescent="0.25">
      <c r="A3201" s="531"/>
    </row>
    <row r="3202" spans="1:1" x14ac:dyDescent="0.25">
      <c r="A3202" s="531"/>
    </row>
    <row r="3203" spans="1:1" x14ac:dyDescent="0.25">
      <c r="A3203" s="531"/>
    </row>
    <row r="3204" spans="1:1" x14ac:dyDescent="0.25">
      <c r="A3204" s="531"/>
    </row>
    <row r="3205" spans="1:1" x14ac:dyDescent="0.25">
      <c r="A3205" s="531"/>
    </row>
    <row r="3206" spans="1:1" x14ac:dyDescent="0.25">
      <c r="A3206" s="531"/>
    </row>
    <row r="3207" spans="1:1" x14ac:dyDescent="0.25">
      <c r="A3207" s="531"/>
    </row>
    <row r="3208" spans="1:1" x14ac:dyDescent="0.25">
      <c r="A3208" s="531"/>
    </row>
    <row r="3209" spans="1:1" x14ac:dyDescent="0.25">
      <c r="A3209" s="531"/>
    </row>
    <row r="3210" spans="1:1" x14ac:dyDescent="0.25">
      <c r="A3210" s="531"/>
    </row>
    <row r="3211" spans="1:1" x14ac:dyDescent="0.25">
      <c r="A3211" s="531"/>
    </row>
    <row r="3212" spans="1:1" x14ac:dyDescent="0.25">
      <c r="A3212" s="531"/>
    </row>
    <row r="3213" spans="1:1" x14ac:dyDescent="0.25">
      <c r="A3213" s="531"/>
    </row>
    <row r="3214" spans="1:1" x14ac:dyDescent="0.25">
      <c r="A3214" s="531"/>
    </row>
    <row r="3215" spans="1:1" x14ac:dyDescent="0.25">
      <c r="A3215" s="531"/>
    </row>
    <row r="3216" spans="1:1" x14ac:dyDescent="0.25">
      <c r="A3216" s="531"/>
    </row>
    <row r="3217" spans="1:1" x14ac:dyDescent="0.25">
      <c r="A3217" s="531"/>
    </row>
    <row r="3218" spans="1:1" x14ac:dyDescent="0.25">
      <c r="A3218" s="531"/>
    </row>
    <row r="3219" spans="1:1" x14ac:dyDescent="0.25">
      <c r="A3219" s="531"/>
    </row>
    <row r="3220" spans="1:1" x14ac:dyDescent="0.25">
      <c r="A3220" s="531"/>
    </row>
    <row r="3221" spans="1:1" x14ac:dyDescent="0.25">
      <c r="A3221" s="531"/>
    </row>
    <row r="3222" spans="1:1" x14ac:dyDescent="0.25">
      <c r="A3222" s="531"/>
    </row>
    <row r="3223" spans="1:1" x14ac:dyDescent="0.25">
      <c r="A3223" s="531"/>
    </row>
    <row r="3224" spans="1:1" x14ac:dyDescent="0.25">
      <c r="A3224" s="531"/>
    </row>
    <row r="3225" spans="1:1" x14ac:dyDescent="0.25">
      <c r="A3225" s="531"/>
    </row>
    <row r="3226" spans="1:1" x14ac:dyDescent="0.25">
      <c r="A3226" s="531"/>
    </row>
    <row r="3227" spans="1:1" x14ac:dyDescent="0.25">
      <c r="A3227" s="531"/>
    </row>
    <row r="3228" spans="1:1" x14ac:dyDescent="0.25">
      <c r="A3228" s="531"/>
    </row>
    <row r="3229" spans="1:1" x14ac:dyDescent="0.25">
      <c r="A3229" s="531"/>
    </row>
    <row r="3230" spans="1:1" x14ac:dyDescent="0.25">
      <c r="A3230" s="531"/>
    </row>
    <row r="3231" spans="1:1" x14ac:dyDescent="0.25">
      <c r="A3231" s="531"/>
    </row>
    <row r="3232" spans="1:1" x14ac:dyDescent="0.25">
      <c r="A3232" s="531"/>
    </row>
    <row r="3233" spans="1:1" x14ac:dyDescent="0.25">
      <c r="A3233" s="531"/>
    </row>
    <row r="3234" spans="1:1" x14ac:dyDescent="0.25">
      <c r="A3234" s="531"/>
    </row>
    <row r="3235" spans="1:1" x14ac:dyDescent="0.25">
      <c r="A3235" s="531"/>
    </row>
    <row r="3236" spans="1:1" x14ac:dyDescent="0.25">
      <c r="A3236" s="531"/>
    </row>
    <row r="3237" spans="1:1" x14ac:dyDescent="0.25">
      <c r="A3237" s="531"/>
    </row>
    <row r="3238" spans="1:1" x14ac:dyDescent="0.25">
      <c r="A3238" s="531"/>
    </row>
    <row r="3239" spans="1:1" x14ac:dyDescent="0.25">
      <c r="A3239" s="531"/>
    </row>
    <row r="3240" spans="1:1" x14ac:dyDescent="0.25">
      <c r="A3240" s="531"/>
    </row>
    <row r="3241" spans="1:1" x14ac:dyDescent="0.25">
      <c r="A3241" s="531"/>
    </row>
    <row r="3242" spans="1:1" x14ac:dyDescent="0.25">
      <c r="A3242" s="531"/>
    </row>
    <row r="3243" spans="1:1" x14ac:dyDescent="0.25">
      <c r="A3243" s="531"/>
    </row>
    <row r="3244" spans="1:1" x14ac:dyDescent="0.25">
      <c r="A3244" s="531"/>
    </row>
    <row r="3245" spans="1:1" x14ac:dyDescent="0.25">
      <c r="A3245" s="531"/>
    </row>
    <row r="3246" spans="1:1" x14ac:dyDescent="0.25">
      <c r="A3246" s="531"/>
    </row>
    <row r="3247" spans="1:1" x14ac:dyDescent="0.25">
      <c r="A3247" s="531"/>
    </row>
    <row r="3248" spans="1:1" x14ac:dyDescent="0.25">
      <c r="A3248" s="531"/>
    </row>
    <row r="3249" spans="1:1" x14ac:dyDescent="0.25">
      <c r="A3249" s="531"/>
    </row>
    <row r="3250" spans="1:1" x14ac:dyDescent="0.25">
      <c r="A3250" s="531"/>
    </row>
    <row r="3251" spans="1:1" x14ac:dyDescent="0.25">
      <c r="A3251" s="531"/>
    </row>
    <row r="3252" spans="1:1" x14ac:dyDescent="0.25">
      <c r="A3252" s="531"/>
    </row>
    <row r="3253" spans="1:1" x14ac:dyDescent="0.25">
      <c r="A3253" s="531"/>
    </row>
    <row r="3254" spans="1:1" x14ac:dyDescent="0.25">
      <c r="A3254" s="531"/>
    </row>
    <row r="3255" spans="1:1" x14ac:dyDescent="0.25">
      <c r="A3255" s="531"/>
    </row>
    <row r="3256" spans="1:1" x14ac:dyDescent="0.25">
      <c r="A3256" s="531"/>
    </row>
    <row r="3257" spans="1:1" x14ac:dyDescent="0.25">
      <c r="A3257" s="531"/>
    </row>
    <row r="3258" spans="1:1" x14ac:dyDescent="0.25">
      <c r="A3258" s="531"/>
    </row>
    <row r="3259" spans="1:1" x14ac:dyDescent="0.25">
      <c r="A3259" s="531"/>
    </row>
    <row r="3260" spans="1:1" x14ac:dyDescent="0.25">
      <c r="A3260" s="531"/>
    </row>
    <row r="3261" spans="1:1" x14ac:dyDescent="0.25">
      <c r="A3261" s="531"/>
    </row>
    <row r="3262" spans="1:1" x14ac:dyDescent="0.25">
      <c r="A3262" s="531"/>
    </row>
    <row r="3263" spans="1:1" x14ac:dyDescent="0.25">
      <c r="A3263" s="531"/>
    </row>
    <row r="3264" spans="1:1" x14ac:dyDescent="0.25">
      <c r="A3264" s="531"/>
    </row>
    <row r="3265" spans="1:1" x14ac:dyDescent="0.25">
      <c r="A3265" s="531"/>
    </row>
    <row r="3266" spans="1:1" x14ac:dyDescent="0.25">
      <c r="A3266" s="531"/>
    </row>
    <row r="3267" spans="1:1" x14ac:dyDescent="0.25">
      <c r="A3267" s="531"/>
    </row>
    <row r="3268" spans="1:1" x14ac:dyDescent="0.25">
      <c r="A3268" s="531"/>
    </row>
    <row r="3269" spans="1:1" x14ac:dyDescent="0.25">
      <c r="A3269" s="531"/>
    </row>
    <row r="3270" spans="1:1" x14ac:dyDescent="0.25">
      <c r="A3270" s="531"/>
    </row>
    <row r="3271" spans="1:1" x14ac:dyDescent="0.25">
      <c r="A3271" s="531"/>
    </row>
    <row r="3272" spans="1:1" x14ac:dyDescent="0.25">
      <c r="A3272" s="531"/>
    </row>
    <row r="3273" spans="1:1" x14ac:dyDescent="0.25">
      <c r="A3273" s="531"/>
    </row>
    <row r="3274" spans="1:1" x14ac:dyDescent="0.25">
      <c r="A3274" s="531"/>
    </row>
    <row r="3275" spans="1:1" x14ac:dyDescent="0.25">
      <c r="A3275" s="531"/>
    </row>
    <row r="3276" spans="1:1" x14ac:dyDescent="0.25">
      <c r="A3276" s="531"/>
    </row>
    <row r="3277" spans="1:1" x14ac:dyDescent="0.25">
      <c r="A3277" s="531"/>
    </row>
    <row r="3278" spans="1:1" x14ac:dyDescent="0.25">
      <c r="A3278" s="531"/>
    </row>
    <row r="3279" spans="1:1" x14ac:dyDescent="0.25">
      <c r="A3279" s="531"/>
    </row>
    <row r="3280" spans="1:1" x14ac:dyDescent="0.25">
      <c r="A3280" s="531"/>
    </row>
    <row r="3281" spans="1:1" x14ac:dyDescent="0.25">
      <c r="A3281" s="531"/>
    </row>
    <row r="3282" spans="1:1" x14ac:dyDescent="0.25">
      <c r="A3282" s="531"/>
    </row>
    <row r="3283" spans="1:1" x14ac:dyDescent="0.25">
      <c r="A3283" s="531"/>
    </row>
    <row r="3284" spans="1:1" x14ac:dyDescent="0.25">
      <c r="A3284" s="531"/>
    </row>
    <row r="3285" spans="1:1" x14ac:dyDescent="0.25">
      <c r="A3285" s="531"/>
    </row>
    <row r="3286" spans="1:1" x14ac:dyDescent="0.25">
      <c r="A3286" s="531"/>
    </row>
    <row r="3287" spans="1:1" x14ac:dyDescent="0.25">
      <c r="A3287" s="531"/>
    </row>
    <row r="3288" spans="1:1" x14ac:dyDescent="0.25">
      <c r="A3288" s="531"/>
    </row>
    <row r="3289" spans="1:1" x14ac:dyDescent="0.25">
      <c r="A3289" s="531"/>
    </row>
    <row r="3290" spans="1:1" x14ac:dyDescent="0.25">
      <c r="A3290" s="531"/>
    </row>
    <row r="3291" spans="1:1" x14ac:dyDescent="0.25">
      <c r="A3291" s="531"/>
    </row>
    <row r="3292" spans="1:1" x14ac:dyDescent="0.25">
      <c r="A3292" s="531"/>
    </row>
    <row r="3293" spans="1:1" x14ac:dyDescent="0.25">
      <c r="A3293" s="531"/>
    </row>
    <row r="3294" spans="1:1" x14ac:dyDescent="0.25">
      <c r="A3294" s="531"/>
    </row>
    <row r="3295" spans="1:1" x14ac:dyDescent="0.25">
      <c r="A3295" s="531"/>
    </row>
    <row r="3296" spans="1:1" x14ac:dyDescent="0.25">
      <c r="A3296" s="531"/>
    </row>
    <row r="3297" spans="1:1" x14ac:dyDescent="0.25">
      <c r="A3297" s="531"/>
    </row>
    <row r="3298" spans="1:1" x14ac:dyDescent="0.25">
      <c r="A3298" s="531"/>
    </row>
    <row r="3299" spans="1:1" x14ac:dyDescent="0.25">
      <c r="A3299" s="531"/>
    </row>
    <row r="3300" spans="1:1" x14ac:dyDescent="0.25">
      <c r="A3300" s="531"/>
    </row>
    <row r="3301" spans="1:1" x14ac:dyDescent="0.25">
      <c r="A3301" s="531"/>
    </row>
    <row r="3302" spans="1:1" x14ac:dyDescent="0.25">
      <c r="A3302" s="531"/>
    </row>
    <row r="3303" spans="1:1" x14ac:dyDescent="0.25">
      <c r="A3303" s="531"/>
    </row>
    <row r="3304" spans="1:1" x14ac:dyDescent="0.25">
      <c r="A3304" s="531"/>
    </row>
    <row r="3305" spans="1:1" x14ac:dyDescent="0.25">
      <c r="A3305" s="531"/>
    </row>
    <row r="3306" spans="1:1" x14ac:dyDescent="0.25">
      <c r="A3306" s="531"/>
    </row>
    <row r="3307" spans="1:1" x14ac:dyDescent="0.25">
      <c r="A3307" s="531"/>
    </row>
    <row r="3308" spans="1:1" x14ac:dyDescent="0.25">
      <c r="A3308" s="531"/>
    </row>
    <row r="3309" spans="1:1" x14ac:dyDescent="0.25">
      <c r="A3309" s="531"/>
    </row>
    <row r="3310" spans="1:1" x14ac:dyDescent="0.25">
      <c r="A3310" s="531"/>
    </row>
    <row r="3311" spans="1:1" x14ac:dyDescent="0.25">
      <c r="A3311" s="531"/>
    </row>
    <row r="3312" spans="1:1" x14ac:dyDescent="0.25">
      <c r="A3312" s="531"/>
    </row>
    <row r="3313" spans="1:1" x14ac:dyDescent="0.25">
      <c r="A3313" s="531"/>
    </row>
    <row r="3314" spans="1:1" x14ac:dyDescent="0.25">
      <c r="A3314" s="531"/>
    </row>
    <row r="3315" spans="1:1" x14ac:dyDescent="0.25">
      <c r="A3315" s="531"/>
    </row>
    <row r="3316" spans="1:1" x14ac:dyDescent="0.25">
      <c r="A3316" s="531"/>
    </row>
    <row r="3317" spans="1:1" x14ac:dyDescent="0.25">
      <c r="A3317" s="531"/>
    </row>
    <row r="3318" spans="1:1" x14ac:dyDescent="0.25">
      <c r="A3318" s="531"/>
    </row>
    <row r="3319" spans="1:1" x14ac:dyDescent="0.25">
      <c r="A3319" s="531"/>
    </row>
    <row r="3320" spans="1:1" x14ac:dyDescent="0.25">
      <c r="A3320" s="531"/>
    </row>
    <row r="3321" spans="1:1" x14ac:dyDescent="0.25">
      <c r="A3321" s="531"/>
    </row>
    <row r="3322" spans="1:1" x14ac:dyDescent="0.25">
      <c r="A3322" s="531"/>
    </row>
    <row r="3323" spans="1:1" x14ac:dyDescent="0.25">
      <c r="A3323" s="531"/>
    </row>
    <row r="3324" spans="1:1" x14ac:dyDescent="0.25">
      <c r="A3324" s="531"/>
    </row>
    <row r="3325" spans="1:1" x14ac:dyDescent="0.25">
      <c r="A3325" s="531"/>
    </row>
    <row r="3326" spans="1:1" x14ac:dyDescent="0.25">
      <c r="A3326" s="531"/>
    </row>
    <row r="3327" spans="1:1" x14ac:dyDescent="0.25">
      <c r="A3327" s="531"/>
    </row>
    <row r="3328" spans="1:1" x14ac:dyDescent="0.25">
      <c r="A3328" s="531"/>
    </row>
    <row r="3329" spans="1:1" x14ac:dyDescent="0.25">
      <c r="A3329" s="531"/>
    </row>
    <row r="3330" spans="1:1" x14ac:dyDescent="0.25">
      <c r="A3330" s="531"/>
    </row>
    <row r="3331" spans="1:1" x14ac:dyDescent="0.25">
      <c r="A3331" s="531"/>
    </row>
    <row r="3332" spans="1:1" x14ac:dyDescent="0.25">
      <c r="A3332" s="531"/>
    </row>
    <row r="3333" spans="1:1" x14ac:dyDescent="0.25">
      <c r="A3333" s="531"/>
    </row>
    <row r="3334" spans="1:1" x14ac:dyDescent="0.25">
      <c r="A3334" s="531"/>
    </row>
    <row r="3335" spans="1:1" x14ac:dyDescent="0.25">
      <c r="A3335" s="531"/>
    </row>
    <row r="3336" spans="1:1" x14ac:dyDescent="0.25">
      <c r="A3336" s="531"/>
    </row>
    <row r="3337" spans="1:1" x14ac:dyDescent="0.25">
      <c r="A3337" s="531"/>
    </row>
    <row r="3338" spans="1:1" x14ac:dyDescent="0.25">
      <c r="A3338" s="531"/>
    </row>
    <row r="3339" spans="1:1" x14ac:dyDescent="0.25">
      <c r="A3339" s="531"/>
    </row>
    <row r="3340" spans="1:1" x14ac:dyDescent="0.25">
      <c r="A3340" s="531"/>
    </row>
    <row r="3341" spans="1:1" x14ac:dyDescent="0.25">
      <c r="A3341" s="531"/>
    </row>
    <row r="3342" spans="1:1" x14ac:dyDescent="0.25">
      <c r="A3342" s="531"/>
    </row>
    <row r="3343" spans="1:1" x14ac:dyDescent="0.25">
      <c r="A3343" s="531"/>
    </row>
    <row r="3344" spans="1:1" x14ac:dyDescent="0.25">
      <c r="A3344" s="531"/>
    </row>
    <row r="3345" spans="1:1" x14ac:dyDescent="0.25">
      <c r="A3345" s="531"/>
    </row>
    <row r="3346" spans="1:1" x14ac:dyDescent="0.25">
      <c r="A3346" s="531"/>
    </row>
    <row r="3347" spans="1:1" x14ac:dyDescent="0.25">
      <c r="A3347" s="531"/>
    </row>
    <row r="3348" spans="1:1" x14ac:dyDescent="0.25">
      <c r="A3348" s="531"/>
    </row>
    <row r="3349" spans="1:1" x14ac:dyDescent="0.25">
      <c r="A3349" s="531"/>
    </row>
    <row r="3350" spans="1:1" x14ac:dyDescent="0.25">
      <c r="A3350" s="531"/>
    </row>
    <row r="3351" spans="1:1" x14ac:dyDescent="0.25">
      <c r="A3351" s="531"/>
    </row>
    <row r="3352" spans="1:1" x14ac:dyDescent="0.25">
      <c r="A3352" s="531"/>
    </row>
    <row r="3353" spans="1:1" x14ac:dyDescent="0.25">
      <c r="A3353" s="531"/>
    </row>
    <row r="3354" spans="1:1" x14ac:dyDescent="0.25">
      <c r="A3354" s="531"/>
    </row>
    <row r="3355" spans="1:1" x14ac:dyDescent="0.25">
      <c r="A3355" s="531"/>
    </row>
    <row r="3356" spans="1:1" x14ac:dyDescent="0.25">
      <c r="A3356" s="531"/>
    </row>
    <row r="3357" spans="1:1" x14ac:dyDescent="0.25">
      <c r="A3357" s="531"/>
    </row>
    <row r="3358" spans="1:1" x14ac:dyDescent="0.25">
      <c r="A3358" s="531"/>
    </row>
    <row r="3359" spans="1:1" x14ac:dyDescent="0.25">
      <c r="A3359" s="531"/>
    </row>
    <row r="3360" spans="1:1" x14ac:dyDescent="0.25">
      <c r="A3360" s="531"/>
    </row>
    <row r="3361" spans="1:1" x14ac:dyDescent="0.25">
      <c r="A3361" s="531"/>
    </row>
    <row r="3362" spans="1:1" x14ac:dyDescent="0.25">
      <c r="A3362" s="531"/>
    </row>
    <row r="3363" spans="1:1" x14ac:dyDescent="0.25">
      <c r="A3363" s="531"/>
    </row>
    <row r="3364" spans="1:1" x14ac:dyDescent="0.25">
      <c r="A3364" s="531"/>
    </row>
    <row r="3365" spans="1:1" x14ac:dyDescent="0.25">
      <c r="A3365" s="531"/>
    </row>
    <row r="3366" spans="1:1" x14ac:dyDescent="0.25">
      <c r="A3366" s="531"/>
    </row>
    <row r="3367" spans="1:1" x14ac:dyDescent="0.25">
      <c r="A3367" s="531"/>
    </row>
    <row r="3368" spans="1:1" x14ac:dyDescent="0.25">
      <c r="A3368" s="531"/>
    </row>
    <row r="3369" spans="1:1" x14ac:dyDescent="0.25">
      <c r="A3369" s="531"/>
    </row>
    <row r="3370" spans="1:1" x14ac:dyDescent="0.25">
      <c r="A3370" s="531"/>
    </row>
    <row r="3371" spans="1:1" x14ac:dyDescent="0.25">
      <c r="A3371" s="531"/>
    </row>
    <row r="3372" spans="1:1" x14ac:dyDescent="0.25">
      <c r="A3372" s="531"/>
    </row>
    <row r="3373" spans="1:1" x14ac:dyDescent="0.25">
      <c r="A3373" s="531"/>
    </row>
    <row r="3374" spans="1:1" x14ac:dyDescent="0.25">
      <c r="A3374" s="531"/>
    </row>
    <row r="3375" spans="1:1" x14ac:dyDescent="0.25">
      <c r="A3375" s="531"/>
    </row>
    <row r="3376" spans="1:1" x14ac:dyDescent="0.25">
      <c r="A3376" s="531"/>
    </row>
    <row r="3377" spans="1:1" x14ac:dyDescent="0.25">
      <c r="A3377" s="531"/>
    </row>
    <row r="3378" spans="1:1" x14ac:dyDescent="0.25">
      <c r="A3378" s="531"/>
    </row>
    <row r="3379" spans="1:1" x14ac:dyDescent="0.25">
      <c r="A3379" s="531"/>
    </row>
    <row r="3380" spans="1:1" x14ac:dyDescent="0.25">
      <c r="A3380" s="531"/>
    </row>
    <row r="3381" spans="1:1" x14ac:dyDescent="0.25">
      <c r="A3381" s="531"/>
    </row>
    <row r="3382" spans="1:1" x14ac:dyDescent="0.25">
      <c r="A3382" s="531"/>
    </row>
    <row r="3383" spans="1:1" x14ac:dyDescent="0.25">
      <c r="A3383" s="531"/>
    </row>
    <row r="3384" spans="1:1" x14ac:dyDescent="0.25">
      <c r="A3384" s="531"/>
    </row>
    <row r="3385" spans="1:1" x14ac:dyDescent="0.25">
      <c r="A3385" s="531"/>
    </row>
    <row r="3386" spans="1:1" x14ac:dyDescent="0.25">
      <c r="A3386" s="531"/>
    </row>
    <row r="3387" spans="1:1" x14ac:dyDescent="0.25">
      <c r="A3387" s="531"/>
    </row>
    <row r="3388" spans="1:1" x14ac:dyDescent="0.25">
      <c r="A3388" s="531"/>
    </row>
    <row r="3389" spans="1:1" x14ac:dyDescent="0.25">
      <c r="A3389" s="531"/>
    </row>
    <row r="3390" spans="1:1" x14ac:dyDescent="0.25">
      <c r="A3390" s="531"/>
    </row>
    <row r="3391" spans="1:1" x14ac:dyDescent="0.25">
      <c r="A3391" s="531"/>
    </row>
    <row r="3392" spans="1:1" x14ac:dyDescent="0.25">
      <c r="A3392" s="531"/>
    </row>
    <row r="3393" spans="1:1" x14ac:dyDescent="0.25">
      <c r="A3393" s="531"/>
    </row>
    <row r="3394" spans="1:1" x14ac:dyDescent="0.25">
      <c r="A3394" s="531"/>
    </row>
    <row r="3395" spans="1:1" x14ac:dyDescent="0.25">
      <c r="A3395" s="531"/>
    </row>
    <row r="3396" spans="1:1" x14ac:dyDescent="0.25">
      <c r="A3396" s="531"/>
    </row>
    <row r="3397" spans="1:1" x14ac:dyDescent="0.25">
      <c r="A3397" s="531"/>
    </row>
    <row r="3398" spans="1:1" x14ac:dyDescent="0.25">
      <c r="A3398" s="531"/>
    </row>
    <row r="3399" spans="1:1" x14ac:dyDescent="0.25">
      <c r="A3399" s="531"/>
    </row>
    <row r="3400" spans="1:1" x14ac:dyDescent="0.25">
      <c r="A3400" s="531"/>
    </row>
    <row r="3401" spans="1:1" x14ac:dyDescent="0.25">
      <c r="A3401" s="531"/>
    </row>
    <row r="3402" spans="1:1" x14ac:dyDescent="0.25">
      <c r="A3402" s="531"/>
    </row>
    <row r="3403" spans="1:1" x14ac:dyDescent="0.25">
      <c r="A3403" s="531"/>
    </row>
    <row r="3404" spans="1:1" x14ac:dyDescent="0.25">
      <c r="A3404" s="531"/>
    </row>
    <row r="3405" spans="1:1" x14ac:dyDescent="0.25">
      <c r="A3405" s="531"/>
    </row>
    <row r="3406" spans="1:1" x14ac:dyDescent="0.25">
      <c r="A3406" s="531"/>
    </row>
    <row r="3407" spans="1:1" x14ac:dyDescent="0.25">
      <c r="A3407" s="531"/>
    </row>
    <row r="3408" spans="1:1" x14ac:dyDescent="0.25">
      <c r="A3408" s="531"/>
    </row>
    <row r="3409" spans="1:1" x14ac:dyDescent="0.25">
      <c r="A3409" s="531"/>
    </row>
    <row r="3410" spans="1:1" x14ac:dyDescent="0.25">
      <c r="A3410" s="531"/>
    </row>
    <row r="3411" spans="1:1" x14ac:dyDescent="0.25">
      <c r="A3411" s="531"/>
    </row>
    <row r="3412" spans="1:1" x14ac:dyDescent="0.25">
      <c r="A3412" s="531"/>
    </row>
    <row r="3413" spans="1:1" x14ac:dyDescent="0.25">
      <c r="A3413" s="531"/>
    </row>
    <row r="3414" spans="1:1" x14ac:dyDescent="0.25">
      <c r="A3414" s="531"/>
    </row>
    <row r="3415" spans="1:1" x14ac:dyDescent="0.25">
      <c r="A3415" s="531"/>
    </row>
    <row r="3416" spans="1:1" x14ac:dyDescent="0.25">
      <c r="A3416" s="531"/>
    </row>
    <row r="3417" spans="1:1" x14ac:dyDescent="0.25">
      <c r="A3417" s="531"/>
    </row>
    <row r="3418" spans="1:1" x14ac:dyDescent="0.25">
      <c r="A3418" s="531"/>
    </row>
    <row r="3419" spans="1:1" x14ac:dyDescent="0.25">
      <c r="A3419" s="531"/>
    </row>
    <row r="3420" spans="1:1" x14ac:dyDescent="0.25">
      <c r="A3420" s="531"/>
    </row>
    <row r="3421" spans="1:1" x14ac:dyDescent="0.25">
      <c r="A3421" s="531"/>
    </row>
    <row r="3422" spans="1:1" x14ac:dyDescent="0.25">
      <c r="A3422" s="531"/>
    </row>
    <row r="3423" spans="1:1" x14ac:dyDescent="0.25">
      <c r="A3423" s="531"/>
    </row>
    <row r="3424" spans="1:1" x14ac:dyDescent="0.25">
      <c r="A3424" s="531"/>
    </row>
    <row r="3425" spans="1:1" x14ac:dyDescent="0.25">
      <c r="A3425" s="531"/>
    </row>
    <row r="3426" spans="1:1" x14ac:dyDescent="0.25">
      <c r="A3426" s="531"/>
    </row>
    <row r="3427" spans="1:1" x14ac:dyDescent="0.25">
      <c r="A3427" s="531"/>
    </row>
    <row r="3428" spans="1:1" x14ac:dyDescent="0.25">
      <c r="A3428" s="531"/>
    </row>
    <row r="3429" spans="1:1" x14ac:dyDescent="0.25">
      <c r="A3429" s="531"/>
    </row>
    <row r="3430" spans="1:1" x14ac:dyDescent="0.25">
      <c r="A3430" s="531"/>
    </row>
    <row r="3431" spans="1:1" x14ac:dyDescent="0.25">
      <c r="A3431" s="531"/>
    </row>
    <row r="3432" spans="1:1" x14ac:dyDescent="0.25">
      <c r="A3432" s="531"/>
    </row>
    <row r="3433" spans="1:1" x14ac:dyDescent="0.25">
      <c r="A3433" s="531"/>
    </row>
    <row r="3434" spans="1:1" x14ac:dyDescent="0.25">
      <c r="A3434" s="531"/>
    </row>
    <row r="3435" spans="1:1" x14ac:dyDescent="0.25">
      <c r="A3435" s="531"/>
    </row>
    <row r="3436" spans="1:1" x14ac:dyDescent="0.25">
      <c r="A3436" s="531"/>
    </row>
    <row r="3437" spans="1:1" x14ac:dyDescent="0.25">
      <c r="A3437" s="531"/>
    </row>
    <row r="3438" spans="1:1" x14ac:dyDescent="0.25">
      <c r="A3438" s="531"/>
    </row>
    <row r="3439" spans="1:1" x14ac:dyDescent="0.25">
      <c r="A3439" s="531"/>
    </row>
    <row r="3440" spans="1:1" x14ac:dyDescent="0.25">
      <c r="A3440" s="531"/>
    </row>
    <row r="3441" spans="1:1" x14ac:dyDescent="0.25">
      <c r="A3441" s="531"/>
    </row>
    <row r="3442" spans="1:1" x14ac:dyDescent="0.25">
      <c r="A3442" s="531"/>
    </row>
    <row r="3443" spans="1:1" x14ac:dyDescent="0.25">
      <c r="A3443" s="531"/>
    </row>
    <row r="3444" spans="1:1" x14ac:dyDescent="0.25">
      <c r="A3444" s="531"/>
    </row>
    <row r="3445" spans="1:1" x14ac:dyDescent="0.25">
      <c r="A3445" s="531"/>
    </row>
    <row r="3446" spans="1:1" x14ac:dyDescent="0.25">
      <c r="A3446" s="531"/>
    </row>
    <row r="3447" spans="1:1" x14ac:dyDescent="0.25">
      <c r="A3447" s="531"/>
    </row>
    <row r="3448" spans="1:1" x14ac:dyDescent="0.25">
      <c r="A3448" s="531"/>
    </row>
    <row r="3449" spans="1:1" x14ac:dyDescent="0.25">
      <c r="A3449" s="531"/>
    </row>
    <row r="3450" spans="1:1" x14ac:dyDescent="0.25">
      <c r="A3450" s="531"/>
    </row>
    <row r="3451" spans="1:1" x14ac:dyDescent="0.25">
      <c r="A3451" s="531"/>
    </row>
    <row r="3452" spans="1:1" x14ac:dyDescent="0.25">
      <c r="A3452" s="531"/>
    </row>
    <row r="3453" spans="1:1" x14ac:dyDescent="0.25">
      <c r="A3453" s="531"/>
    </row>
    <row r="3454" spans="1:1" x14ac:dyDescent="0.25">
      <c r="A3454" s="531"/>
    </row>
    <row r="3455" spans="1:1" x14ac:dyDescent="0.25">
      <c r="A3455" s="531"/>
    </row>
    <row r="3456" spans="1:1" x14ac:dyDescent="0.25">
      <c r="A3456" s="531"/>
    </row>
    <row r="3457" spans="1:1" x14ac:dyDescent="0.25">
      <c r="A3457" s="531"/>
    </row>
    <row r="3458" spans="1:1" x14ac:dyDescent="0.25">
      <c r="A3458" s="531"/>
    </row>
    <row r="3459" spans="1:1" x14ac:dyDescent="0.25">
      <c r="A3459" s="531"/>
    </row>
    <row r="3460" spans="1:1" x14ac:dyDescent="0.25">
      <c r="A3460" s="531"/>
    </row>
    <row r="3461" spans="1:1" x14ac:dyDescent="0.25">
      <c r="A3461" s="531"/>
    </row>
    <row r="3462" spans="1:1" x14ac:dyDescent="0.25">
      <c r="A3462" s="531"/>
    </row>
    <row r="3463" spans="1:1" x14ac:dyDescent="0.25">
      <c r="A3463" s="531"/>
    </row>
    <row r="3464" spans="1:1" x14ac:dyDescent="0.25">
      <c r="A3464" s="531"/>
    </row>
    <row r="3465" spans="1:1" x14ac:dyDescent="0.25">
      <c r="A3465" s="531"/>
    </row>
    <row r="3466" spans="1:1" x14ac:dyDescent="0.25">
      <c r="A3466" s="531"/>
    </row>
    <row r="3467" spans="1:1" x14ac:dyDescent="0.25">
      <c r="A3467" s="531"/>
    </row>
    <row r="3468" spans="1:1" x14ac:dyDescent="0.25">
      <c r="A3468" s="531"/>
    </row>
    <row r="3469" spans="1:1" x14ac:dyDescent="0.25">
      <c r="A3469" s="531"/>
    </row>
    <row r="3470" spans="1:1" x14ac:dyDescent="0.25">
      <c r="A3470" s="531"/>
    </row>
    <row r="3471" spans="1:1" x14ac:dyDescent="0.25">
      <c r="A3471" s="531"/>
    </row>
    <row r="3472" spans="1:1" x14ac:dyDescent="0.25">
      <c r="A3472" s="531"/>
    </row>
    <row r="3473" spans="1:1" x14ac:dyDescent="0.25">
      <c r="A3473" s="531"/>
    </row>
    <row r="3474" spans="1:1" x14ac:dyDescent="0.25">
      <c r="A3474" s="531"/>
    </row>
    <row r="3475" spans="1:1" x14ac:dyDescent="0.25">
      <c r="A3475" s="531"/>
    </row>
    <row r="3476" spans="1:1" x14ac:dyDescent="0.25">
      <c r="A3476" s="531"/>
    </row>
    <row r="3477" spans="1:1" x14ac:dyDescent="0.25">
      <c r="A3477" s="531"/>
    </row>
    <row r="3478" spans="1:1" x14ac:dyDescent="0.25">
      <c r="A3478" s="531"/>
    </row>
    <row r="3479" spans="1:1" x14ac:dyDescent="0.25">
      <c r="A3479" s="531"/>
    </row>
    <row r="3480" spans="1:1" x14ac:dyDescent="0.25">
      <c r="A3480" s="531"/>
    </row>
    <row r="3481" spans="1:1" x14ac:dyDescent="0.25">
      <c r="A3481" s="531"/>
    </row>
    <row r="3482" spans="1:1" x14ac:dyDescent="0.25">
      <c r="A3482" s="531"/>
    </row>
    <row r="3483" spans="1:1" x14ac:dyDescent="0.25">
      <c r="A3483" s="531"/>
    </row>
    <row r="3484" spans="1:1" x14ac:dyDescent="0.25">
      <c r="A3484" s="531"/>
    </row>
    <row r="3485" spans="1:1" x14ac:dyDescent="0.25">
      <c r="A3485" s="531"/>
    </row>
    <row r="3486" spans="1:1" x14ac:dyDescent="0.25">
      <c r="A3486" s="531"/>
    </row>
    <row r="3487" spans="1:1" x14ac:dyDescent="0.25">
      <c r="A3487" s="531"/>
    </row>
    <row r="3488" spans="1:1" x14ac:dyDescent="0.25">
      <c r="A3488" s="531"/>
    </row>
    <row r="3489" spans="1:1" x14ac:dyDescent="0.25">
      <c r="A3489" s="531"/>
    </row>
    <row r="3490" spans="1:1" x14ac:dyDescent="0.25">
      <c r="A3490" s="531"/>
    </row>
    <row r="3491" spans="1:1" x14ac:dyDescent="0.25">
      <c r="A3491" s="531"/>
    </row>
    <row r="3492" spans="1:1" x14ac:dyDescent="0.25">
      <c r="A3492" s="531"/>
    </row>
    <row r="3493" spans="1:1" x14ac:dyDescent="0.25">
      <c r="A3493" s="531"/>
    </row>
    <row r="3494" spans="1:1" x14ac:dyDescent="0.25">
      <c r="A3494" s="531"/>
    </row>
    <row r="3495" spans="1:1" x14ac:dyDescent="0.25">
      <c r="A3495" s="531"/>
    </row>
    <row r="3496" spans="1:1" x14ac:dyDescent="0.25">
      <c r="A3496" s="531"/>
    </row>
    <row r="3497" spans="1:1" x14ac:dyDescent="0.25">
      <c r="A3497" s="531"/>
    </row>
    <row r="3498" spans="1:1" x14ac:dyDescent="0.25">
      <c r="A3498" s="531"/>
    </row>
    <row r="3499" spans="1:1" x14ac:dyDescent="0.25">
      <c r="A3499" s="531"/>
    </row>
    <row r="3500" spans="1:1" x14ac:dyDescent="0.25">
      <c r="A3500" s="531"/>
    </row>
    <row r="3501" spans="1:1" x14ac:dyDescent="0.25">
      <c r="A3501" s="531"/>
    </row>
    <row r="3502" spans="1:1" x14ac:dyDescent="0.25">
      <c r="A3502" s="531"/>
    </row>
    <row r="3503" spans="1:1" x14ac:dyDescent="0.25">
      <c r="A3503" s="531"/>
    </row>
    <row r="3504" spans="1:1" x14ac:dyDescent="0.25">
      <c r="A3504" s="531"/>
    </row>
    <row r="3505" spans="1:1" x14ac:dyDescent="0.25">
      <c r="A3505" s="531"/>
    </row>
    <row r="3506" spans="1:1" x14ac:dyDescent="0.25">
      <c r="A3506" s="531"/>
    </row>
    <row r="3507" spans="1:1" x14ac:dyDescent="0.25">
      <c r="A3507" s="531"/>
    </row>
    <row r="3508" spans="1:1" x14ac:dyDescent="0.25">
      <c r="A3508" s="531"/>
    </row>
    <row r="3509" spans="1:1" x14ac:dyDescent="0.25">
      <c r="A3509" s="531"/>
    </row>
    <row r="3510" spans="1:1" x14ac:dyDescent="0.25">
      <c r="A3510" s="531"/>
    </row>
    <row r="3511" spans="1:1" x14ac:dyDescent="0.25">
      <c r="A3511" s="531"/>
    </row>
    <row r="3512" spans="1:1" x14ac:dyDescent="0.25">
      <c r="A3512" s="531"/>
    </row>
    <row r="3513" spans="1:1" x14ac:dyDescent="0.25">
      <c r="A3513" s="531"/>
    </row>
    <row r="3514" spans="1:1" x14ac:dyDescent="0.25">
      <c r="A3514" s="531"/>
    </row>
    <row r="3515" spans="1:1" x14ac:dyDescent="0.25">
      <c r="A3515" s="531"/>
    </row>
    <row r="3516" spans="1:1" x14ac:dyDescent="0.25">
      <c r="A3516" s="531"/>
    </row>
    <row r="3517" spans="1:1" x14ac:dyDescent="0.25">
      <c r="A3517" s="531"/>
    </row>
    <row r="3518" spans="1:1" x14ac:dyDescent="0.25">
      <c r="A3518" s="531"/>
    </row>
    <row r="3519" spans="1:1" x14ac:dyDescent="0.25">
      <c r="A3519" s="531"/>
    </row>
    <row r="3520" spans="1:1" x14ac:dyDescent="0.25">
      <c r="A3520" s="531"/>
    </row>
    <row r="3521" spans="1:1" x14ac:dyDescent="0.25">
      <c r="A3521" s="531"/>
    </row>
    <row r="3522" spans="1:1" x14ac:dyDescent="0.25">
      <c r="A3522" s="531"/>
    </row>
    <row r="3523" spans="1:1" x14ac:dyDescent="0.25">
      <c r="A3523" s="531"/>
    </row>
    <row r="3524" spans="1:1" x14ac:dyDescent="0.25">
      <c r="A3524" s="531"/>
    </row>
    <row r="3525" spans="1:1" x14ac:dyDescent="0.25">
      <c r="A3525" s="531"/>
    </row>
    <row r="3526" spans="1:1" x14ac:dyDescent="0.25">
      <c r="A3526" s="531"/>
    </row>
    <row r="3527" spans="1:1" x14ac:dyDescent="0.25">
      <c r="A3527" s="531"/>
    </row>
    <row r="3528" spans="1:1" x14ac:dyDescent="0.25">
      <c r="A3528" s="531"/>
    </row>
    <row r="3529" spans="1:1" x14ac:dyDescent="0.25">
      <c r="A3529" s="531"/>
    </row>
    <row r="3530" spans="1:1" x14ac:dyDescent="0.25">
      <c r="A3530" s="531"/>
    </row>
    <row r="3531" spans="1:1" x14ac:dyDescent="0.25">
      <c r="A3531" s="531"/>
    </row>
    <row r="3532" spans="1:1" x14ac:dyDescent="0.25">
      <c r="A3532" s="531"/>
    </row>
    <row r="3533" spans="1:1" x14ac:dyDescent="0.25">
      <c r="A3533" s="531"/>
    </row>
    <row r="3534" spans="1:1" x14ac:dyDescent="0.25">
      <c r="A3534" s="531"/>
    </row>
    <row r="3535" spans="1:1" x14ac:dyDescent="0.25">
      <c r="A3535" s="531"/>
    </row>
    <row r="3536" spans="1:1" x14ac:dyDescent="0.25">
      <c r="A3536" s="531"/>
    </row>
    <row r="3537" spans="1:1" x14ac:dyDescent="0.25">
      <c r="A3537" s="531"/>
    </row>
    <row r="3538" spans="1:1" x14ac:dyDescent="0.25">
      <c r="A3538" s="531"/>
    </row>
    <row r="3539" spans="1:1" x14ac:dyDescent="0.25">
      <c r="A3539" s="531"/>
    </row>
    <row r="3540" spans="1:1" x14ac:dyDescent="0.25">
      <c r="A3540" s="531"/>
    </row>
    <row r="3541" spans="1:1" x14ac:dyDescent="0.25">
      <c r="A3541" s="531"/>
    </row>
    <row r="3542" spans="1:1" x14ac:dyDescent="0.25">
      <c r="A3542" s="531"/>
    </row>
    <row r="3543" spans="1:1" x14ac:dyDescent="0.25">
      <c r="A3543" s="531"/>
    </row>
    <row r="3544" spans="1:1" x14ac:dyDescent="0.25">
      <c r="A3544" s="531"/>
    </row>
    <row r="3545" spans="1:1" x14ac:dyDescent="0.25">
      <c r="A3545" s="531"/>
    </row>
    <row r="3546" spans="1:1" x14ac:dyDescent="0.25">
      <c r="A3546" s="531"/>
    </row>
    <row r="3547" spans="1:1" x14ac:dyDescent="0.25">
      <c r="A3547" s="531"/>
    </row>
    <row r="3548" spans="1:1" x14ac:dyDescent="0.25">
      <c r="A3548" s="531"/>
    </row>
    <row r="3549" spans="1:1" x14ac:dyDescent="0.25">
      <c r="A3549" s="531"/>
    </row>
    <row r="3550" spans="1:1" x14ac:dyDescent="0.25">
      <c r="A3550" s="531"/>
    </row>
    <row r="3551" spans="1:1" x14ac:dyDescent="0.25">
      <c r="A3551" s="531"/>
    </row>
    <row r="3552" spans="1:1" x14ac:dyDescent="0.25">
      <c r="A3552" s="531"/>
    </row>
    <row r="3553" spans="1:1" x14ac:dyDescent="0.25">
      <c r="A3553" s="531"/>
    </row>
    <row r="3554" spans="1:1" x14ac:dyDescent="0.25">
      <c r="A3554" s="531"/>
    </row>
    <row r="3555" spans="1:1" x14ac:dyDescent="0.25">
      <c r="A3555" s="531"/>
    </row>
    <row r="3556" spans="1:1" x14ac:dyDescent="0.25">
      <c r="A3556" s="531"/>
    </row>
    <row r="3557" spans="1:1" x14ac:dyDescent="0.25">
      <c r="A3557" s="531"/>
    </row>
    <row r="3558" spans="1:1" x14ac:dyDescent="0.25">
      <c r="A3558" s="531"/>
    </row>
    <row r="3559" spans="1:1" x14ac:dyDescent="0.25">
      <c r="A3559" s="531"/>
    </row>
    <row r="3560" spans="1:1" x14ac:dyDescent="0.25">
      <c r="A3560" s="531"/>
    </row>
    <row r="3561" spans="1:1" x14ac:dyDescent="0.25">
      <c r="A3561" s="531"/>
    </row>
    <row r="3562" spans="1:1" x14ac:dyDescent="0.25">
      <c r="A3562" s="531"/>
    </row>
    <row r="3563" spans="1:1" x14ac:dyDescent="0.25">
      <c r="A3563" s="531"/>
    </row>
    <row r="3564" spans="1:1" x14ac:dyDescent="0.25">
      <c r="A3564" s="531"/>
    </row>
    <row r="3565" spans="1:1" x14ac:dyDescent="0.25">
      <c r="A3565" s="531"/>
    </row>
    <row r="3566" spans="1:1" x14ac:dyDescent="0.25">
      <c r="A3566" s="531"/>
    </row>
    <row r="3567" spans="1:1" x14ac:dyDescent="0.25">
      <c r="A3567" s="531"/>
    </row>
    <row r="3568" spans="1:1" x14ac:dyDescent="0.25">
      <c r="A3568" s="531"/>
    </row>
    <row r="3569" spans="1:1" x14ac:dyDescent="0.25">
      <c r="A3569" s="531"/>
    </row>
    <row r="3570" spans="1:1" x14ac:dyDescent="0.25">
      <c r="A3570" s="531"/>
    </row>
    <row r="3571" spans="1:1" x14ac:dyDescent="0.25">
      <c r="A3571" s="531"/>
    </row>
    <row r="3572" spans="1:1" x14ac:dyDescent="0.25">
      <c r="A3572" s="531"/>
    </row>
    <row r="3573" spans="1:1" x14ac:dyDescent="0.25">
      <c r="A3573" s="531"/>
    </row>
    <row r="3574" spans="1:1" x14ac:dyDescent="0.25">
      <c r="A3574" s="531"/>
    </row>
    <row r="3575" spans="1:1" x14ac:dyDescent="0.25">
      <c r="A3575" s="531"/>
    </row>
    <row r="3576" spans="1:1" x14ac:dyDescent="0.25">
      <c r="A3576" s="531"/>
    </row>
    <row r="3577" spans="1:1" x14ac:dyDescent="0.25">
      <c r="A3577" s="531"/>
    </row>
    <row r="3578" spans="1:1" x14ac:dyDescent="0.25">
      <c r="A3578" s="531"/>
    </row>
    <row r="3579" spans="1:1" x14ac:dyDescent="0.25">
      <c r="A3579" s="531"/>
    </row>
    <row r="3580" spans="1:1" x14ac:dyDescent="0.25">
      <c r="A3580" s="531"/>
    </row>
    <row r="3581" spans="1:1" x14ac:dyDescent="0.25">
      <c r="A3581" s="531"/>
    </row>
    <row r="3582" spans="1:1" x14ac:dyDescent="0.25">
      <c r="A3582" s="531"/>
    </row>
    <row r="3583" spans="1:1" x14ac:dyDescent="0.25">
      <c r="A3583" s="531"/>
    </row>
    <row r="3584" spans="1:1" x14ac:dyDescent="0.25">
      <c r="A3584" s="531"/>
    </row>
    <row r="3585" spans="1:1" x14ac:dyDescent="0.25">
      <c r="A3585" s="531"/>
    </row>
    <row r="3586" spans="1:1" x14ac:dyDescent="0.25">
      <c r="A3586" s="531"/>
    </row>
    <row r="3587" spans="1:1" x14ac:dyDescent="0.25">
      <c r="A3587" s="531"/>
    </row>
    <row r="3588" spans="1:1" x14ac:dyDescent="0.25">
      <c r="A3588" s="531"/>
    </row>
    <row r="3589" spans="1:1" x14ac:dyDescent="0.25">
      <c r="A3589" s="531"/>
    </row>
    <row r="3590" spans="1:1" x14ac:dyDescent="0.25">
      <c r="A3590" s="531"/>
    </row>
    <row r="3591" spans="1:1" x14ac:dyDescent="0.25">
      <c r="A3591" s="531"/>
    </row>
    <row r="3592" spans="1:1" x14ac:dyDescent="0.25">
      <c r="A3592" s="531"/>
    </row>
    <row r="3593" spans="1:1" x14ac:dyDescent="0.25">
      <c r="A3593" s="531"/>
    </row>
    <row r="3594" spans="1:1" x14ac:dyDescent="0.25">
      <c r="A3594" s="531"/>
    </row>
    <row r="3595" spans="1:1" x14ac:dyDescent="0.25">
      <c r="A3595" s="531"/>
    </row>
    <row r="3596" spans="1:1" x14ac:dyDescent="0.25">
      <c r="A3596" s="531"/>
    </row>
    <row r="3597" spans="1:1" x14ac:dyDescent="0.25">
      <c r="A3597" s="531"/>
    </row>
    <row r="3598" spans="1:1" x14ac:dyDescent="0.25">
      <c r="A3598" s="531"/>
    </row>
    <row r="3599" spans="1:1" x14ac:dyDescent="0.25">
      <c r="A3599" s="531"/>
    </row>
    <row r="3600" spans="1:1" x14ac:dyDescent="0.25">
      <c r="A3600" s="531"/>
    </row>
    <row r="3601" spans="1:1" x14ac:dyDescent="0.25">
      <c r="A3601" s="531"/>
    </row>
    <row r="3602" spans="1:1" x14ac:dyDescent="0.25">
      <c r="A3602" s="531"/>
    </row>
    <row r="3603" spans="1:1" x14ac:dyDescent="0.25">
      <c r="A3603" s="531"/>
    </row>
    <row r="3604" spans="1:1" x14ac:dyDescent="0.25">
      <c r="A3604" s="531"/>
    </row>
    <row r="3605" spans="1:1" x14ac:dyDescent="0.25">
      <c r="A3605" s="531"/>
    </row>
    <row r="3606" spans="1:1" x14ac:dyDescent="0.25">
      <c r="A3606" s="531"/>
    </row>
    <row r="3607" spans="1:1" x14ac:dyDescent="0.25">
      <c r="A3607" s="531"/>
    </row>
    <row r="3608" spans="1:1" x14ac:dyDescent="0.25">
      <c r="A3608" s="531"/>
    </row>
    <row r="3609" spans="1:1" x14ac:dyDescent="0.25">
      <c r="A3609" s="531"/>
    </row>
    <row r="3610" spans="1:1" x14ac:dyDescent="0.25">
      <c r="A3610" s="531"/>
    </row>
    <row r="3611" spans="1:1" x14ac:dyDescent="0.25">
      <c r="A3611" s="531"/>
    </row>
    <row r="3612" spans="1:1" x14ac:dyDescent="0.25">
      <c r="A3612" s="531"/>
    </row>
    <row r="3613" spans="1:1" x14ac:dyDescent="0.25">
      <c r="A3613" s="531"/>
    </row>
    <row r="3614" spans="1:1" x14ac:dyDescent="0.25">
      <c r="A3614" s="531"/>
    </row>
    <row r="3615" spans="1:1" x14ac:dyDescent="0.25">
      <c r="A3615" s="531"/>
    </row>
    <row r="3616" spans="1:1" x14ac:dyDescent="0.25">
      <c r="A3616" s="531"/>
    </row>
    <row r="3617" spans="1:1" x14ac:dyDescent="0.25">
      <c r="A3617" s="531"/>
    </row>
    <row r="3618" spans="1:1" x14ac:dyDescent="0.25">
      <c r="A3618" s="531"/>
    </row>
    <row r="3619" spans="1:1" x14ac:dyDescent="0.25">
      <c r="A3619" s="531"/>
    </row>
    <row r="3620" spans="1:1" x14ac:dyDescent="0.25">
      <c r="A3620" s="531"/>
    </row>
    <row r="3621" spans="1:1" x14ac:dyDescent="0.25">
      <c r="A3621" s="531"/>
    </row>
    <row r="3622" spans="1:1" x14ac:dyDescent="0.25">
      <c r="A3622" s="531"/>
    </row>
    <row r="3623" spans="1:1" x14ac:dyDescent="0.25">
      <c r="A3623" s="531"/>
    </row>
    <row r="3624" spans="1:1" x14ac:dyDescent="0.25">
      <c r="A3624" s="531"/>
    </row>
    <row r="3625" spans="1:1" x14ac:dyDescent="0.25">
      <c r="A3625" s="531"/>
    </row>
    <row r="3626" spans="1:1" x14ac:dyDescent="0.25">
      <c r="A3626" s="531"/>
    </row>
    <row r="3627" spans="1:1" x14ac:dyDescent="0.25">
      <c r="A3627" s="531"/>
    </row>
    <row r="3628" spans="1:1" x14ac:dyDescent="0.25">
      <c r="A3628" s="531"/>
    </row>
    <row r="3629" spans="1:1" x14ac:dyDescent="0.25">
      <c r="A3629" s="531"/>
    </row>
    <row r="3630" spans="1:1" x14ac:dyDescent="0.25">
      <c r="A3630" s="531"/>
    </row>
    <row r="3631" spans="1:1" x14ac:dyDescent="0.25">
      <c r="A3631" s="531"/>
    </row>
    <row r="3632" spans="1:1" x14ac:dyDescent="0.25">
      <c r="A3632" s="531"/>
    </row>
    <row r="3633" spans="1:1" x14ac:dyDescent="0.25">
      <c r="A3633" s="531"/>
    </row>
    <row r="3634" spans="1:1" x14ac:dyDescent="0.25">
      <c r="A3634" s="531"/>
    </row>
    <row r="3635" spans="1:1" x14ac:dyDescent="0.25">
      <c r="A3635" s="531"/>
    </row>
    <row r="3636" spans="1:1" x14ac:dyDescent="0.25">
      <c r="A3636" s="531"/>
    </row>
    <row r="3637" spans="1:1" x14ac:dyDescent="0.25">
      <c r="A3637" s="531"/>
    </row>
    <row r="3638" spans="1:1" x14ac:dyDescent="0.25">
      <c r="A3638" s="531"/>
    </row>
    <row r="3639" spans="1:1" x14ac:dyDescent="0.25">
      <c r="A3639" s="531"/>
    </row>
    <row r="3640" spans="1:1" x14ac:dyDescent="0.25">
      <c r="A3640" s="531"/>
    </row>
    <row r="3641" spans="1:1" x14ac:dyDescent="0.25">
      <c r="A3641" s="531"/>
    </row>
    <row r="3642" spans="1:1" x14ac:dyDescent="0.25">
      <c r="A3642" s="531"/>
    </row>
    <row r="3643" spans="1:1" x14ac:dyDescent="0.25">
      <c r="A3643" s="531"/>
    </row>
    <row r="3644" spans="1:1" x14ac:dyDescent="0.25">
      <c r="A3644" s="531"/>
    </row>
    <row r="3645" spans="1:1" x14ac:dyDescent="0.25">
      <c r="A3645" s="531"/>
    </row>
    <row r="3646" spans="1:1" x14ac:dyDescent="0.25">
      <c r="A3646" s="531"/>
    </row>
    <row r="3647" spans="1:1" x14ac:dyDescent="0.25">
      <c r="A3647" s="531"/>
    </row>
    <row r="3648" spans="1:1" x14ac:dyDescent="0.25">
      <c r="A3648" s="531"/>
    </row>
    <row r="3649" spans="1:1" x14ac:dyDescent="0.25">
      <c r="A3649" s="531"/>
    </row>
    <row r="3650" spans="1:1" x14ac:dyDescent="0.25">
      <c r="A3650" s="531"/>
    </row>
    <row r="3651" spans="1:1" x14ac:dyDescent="0.25">
      <c r="A3651" s="531"/>
    </row>
    <row r="3652" spans="1:1" x14ac:dyDescent="0.25">
      <c r="A3652" s="531"/>
    </row>
    <row r="3653" spans="1:1" x14ac:dyDescent="0.25">
      <c r="A3653" s="531"/>
    </row>
    <row r="3654" spans="1:1" x14ac:dyDescent="0.25">
      <c r="A3654" s="531"/>
    </row>
    <row r="3655" spans="1:1" x14ac:dyDescent="0.25">
      <c r="A3655" s="531"/>
    </row>
    <row r="3656" spans="1:1" x14ac:dyDescent="0.25">
      <c r="A3656" s="531"/>
    </row>
    <row r="3657" spans="1:1" x14ac:dyDescent="0.25">
      <c r="A3657" s="531"/>
    </row>
    <row r="3658" spans="1:1" x14ac:dyDescent="0.25">
      <c r="A3658" s="531"/>
    </row>
    <row r="3659" spans="1:1" x14ac:dyDescent="0.25">
      <c r="A3659" s="531"/>
    </row>
    <row r="3660" spans="1:1" x14ac:dyDescent="0.25">
      <c r="A3660" s="531"/>
    </row>
    <row r="3661" spans="1:1" x14ac:dyDescent="0.25">
      <c r="A3661" s="531"/>
    </row>
    <row r="3662" spans="1:1" x14ac:dyDescent="0.25">
      <c r="A3662" s="531"/>
    </row>
    <row r="3663" spans="1:1" x14ac:dyDescent="0.25">
      <c r="A3663" s="531"/>
    </row>
    <row r="3664" spans="1:1" x14ac:dyDescent="0.25">
      <c r="A3664" s="531"/>
    </row>
    <row r="3665" spans="1:1" x14ac:dyDescent="0.25">
      <c r="A3665" s="531"/>
    </row>
    <row r="3666" spans="1:1" x14ac:dyDescent="0.25">
      <c r="A3666" s="531"/>
    </row>
    <row r="3667" spans="1:1" x14ac:dyDescent="0.25">
      <c r="A3667" s="531"/>
    </row>
    <row r="3668" spans="1:1" x14ac:dyDescent="0.25">
      <c r="A3668" s="531"/>
    </row>
    <row r="3669" spans="1:1" x14ac:dyDescent="0.25">
      <c r="A3669" s="531"/>
    </row>
    <row r="3670" spans="1:1" x14ac:dyDescent="0.25">
      <c r="A3670" s="531"/>
    </row>
    <row r="3671" spans="1:1" x14ac:dyDescent="0.25">
      <c r="A3671" s="531"/>
    </row>
    <row r="3672" spans="1:1" x14ac:dyDescent="0.25">
      <c r="A3672" s="531"/>
    </row>
    <row r="3673" spans="1:1" x14ac:dyDescent="0.25">
      <c r="A3673" s="531"/>
    </row>
    <row r="3674" spans="1:1" x14ac:dyDescent="0.25">
      <c r="A3674" s="531"/>
    </row>
    <row r="3675" spans="1:1" x14ac:dyDescent="0.25">
      <c r="A3675" s="531"/>
    </row>
    <row r="3676" spans="1:1" x14ac:dyDescent="0.25">
      <c r="A3676" s="531"/>
    </row>
    <row r="3677" spans="1:1" x14ac:dyDescent="0.25">
      <c r="A3677" s="531"/>
    </row>
    <row r="3678" spans="1:1" x14ac:dyDescent="0.25">
      <c r="A3678" s="531"/>
    </row>
    <row r="3679" spans="1:1" x14ac:dyDescent="0.25">
      <c r="A3679" s="531"/>
    </row>
    <row r="3680" spans="1:1" x14ac:dyDescent="0.25">
      <c r="A3680" s="531"/>
    </row>
    <row r="3681" spans="1:1" x14ac:dyDescent="0.25">
      <c r="A3681" s="531"/>
    </row>
    <row r="3682" spans="1:1" x14ac:dyDescent="0.25">
      <c r="A3682" s="531"/>
    </row>
    <row r="3683" spans="1:1" x14ac:dyDescent="0.25">
      <c r="A3683" s="531"/>
    </row>
    <row r="3684" spans="1:1" x14ac:dyDescent="0.25">
      <c r="A3684" s="531"/>
    </row>
    <row r="3685" spans="1:1" x14ac:dyDescent="0.25">
      <c r="A3685" s="531"/>
    </row>
    <row r="3686" spans="1:1" x14ac:dyDescent="0.25">
      <c r="A3686" s="531"/>
    </row>
    <row r="3687" spans="1:1" x14ac:dyDescent="0.25">
      <c r="A3687" s="531"/>
    </row>
    <row r="3688" spans="1:1" x14ac:dyDescent="0.25">
      <c r="A3688" s="531"/>
    </row>
    <row r="3689" spans="1:1" x14ac:dyDescent="0.25">
      <c r="A3689" s="531"/>
    </row>
    <row r="3690" spans="1:1" x14ac:dyDescent="0.25">
      <c r="A3690" s="531"/>
    </row>
    <row r="3691" spans="1:1" x14ac:dyDescent="0.25">
      <c r="A3691" s="531"/>
    </row>
    <row r="3692" spans="1:1" x14ac:dyDescent="0.25">
      <c r="A3692" s="531"/>
    </row>
    <row r="3693" spans="1:1" x14ac:dyDescent="0.25">
      <c r="A3693" s="531"/>
    </row>
    <row r="3694" spans="1:1" x14ac:dyDescent="0.25">
      <c r="A3694" s="531"/>
    </row>
    <row r="3695" spans="1:1" x14ac:dyDescent="0.25">
      <c r="A3695" s="531"/>
    </row>
    <row r="3696" spans="1:1" x14ac:dyDescent="0.25">
      <c r="A3696" s="531"/>
    </row>
    <row r="3697" spans="1:1" x14ac:dyDescent="0.25">
      <c r="A3697" s="531"/>
    </row>
    <row r="3698" spans="1:1" x14ac:dyDescent="0.25">
      <c r="A3698" s="531"/>
    </row>
    <row r="3699" spans="1:1" x14ac:dyDescent="0.25">
      <c r="A3699" s="531"/>
    </row>
    <row r="3700" spans="1:1" x14ac:dyDescent="0.25">
      <c r="A3700" s="531"/>
    </row>
    <row r="3701" spans="1:1" x14ac:dyDescent="0.25">
      <c r="A3701" s="531"/>
    </row>
    <row r="3702" spans="1:1" x14ac:dyDescent="0.25">
      <c r="A3702" s="531"/>
    </row>
    <row r="3703" spans="1:1" x14ac:dyDescent="0.25">
      <c r="A3703" s="531"/>
    </row>
    <row r="3704" spans="1:1" x14ac:dyDescent="0.25">
      <c r="A3704" s="531"/>
    </row>
    <row r="3705" spans="1:1" x14ac:dyDescent="0.25">
      <c r="A3705" s="531"/>
    </row>
    <row r="3706" spans="1:1" x14ac:dyDescent="0.25">
      <c r="A3706" s="531"/>
    </row>
    <row r="3707" spans="1:1" x14ac:dyDescent="0.25">
      <c r="A3707" s="531"/>
    </row>
    <row r="3708" spans="1:1" x14ac:dyDescent="0.25">
      <c r="A3708" s="531"/>
    </row>
    <row r="3709" spans="1:1" x14ac:dyDescent="0.25">
      <c r="A3709" s="531"/>
    </row>
    <row r="3710" spans="1:1" x14ac:dyDescent="0.25">
      <c r="A3710" s="531"/>
    </row>
    <row r="3711" spans="1:1" x14ac:dyDescent="0.25">
      <c r="A3711" s="531"/>
    </row>
    <row r="3712" spans="1:1" x14ac:dyDescent="0.25">
      <c r="A3712" s="531"/>
    </row>
    <row r="3713" spans="1:1" x14ac:dyDescent="0.25">
      <c r="A3713" s="531"/>
    </row>
    <row r="3714" spans="1:1" x14ac:dyDescent="0.25">
      <c r="A3714" s="531"/>
    </row>
    <row r="3715" spans="1:1" x14ac:dyDescent="0.25">
      <c r="A3715" s="531"/>
    </row>
    <row r="3716" spans="1:1" x14ac:dyDescent="0.25">
      <c r="A3716" s="531"/>
    </row>
    <row r="3717" spans="1:1" x14ac:dyDescent="0.25">
      <c r="A3717" s="531"/>
    </row>
    <row r="3718" spans="1:1" x14ac:dyDescent="0.25">
      <c r="A3718" s="531"/>
    </row>
    <row r="3719" spans="1:1" x14ac:dyDescent="0.25">
      <c r="A3719" s="531"/>
    </row>
    <row r="3720" spans="1:1" x14ac:dyDescent="0.25">
      <c r="A3720" s="531"/>
    </row>
    <row r="3721" spans="1:1" x14ac:dyDescent="0.25">
      <c r="A3721" s="531"/>
    </row>
    <row r="3722" spans="1:1" x14ac:dyDescent="0.25">
      <c r="A3722" s="531"/>
    </row>
    <row r="3723" spans="1:1" x14ac:dyDescent="0.25">
      <c r="A3723" s="531"/>
    </row>
    <row r="3724" spans="1:1" x14ac:dyDescent="0.25">
      <c r="A3724" s="531"/>
    </row>
    <row r="3725" spans="1:1" x14ac:dyDescent="0.25">
      <c r="A3725" s="531"/>
    </row>
    <row r="3726" spans="1:1" x14ac:dyDescent="0.25">
      <c r="A3726" s="531"/>
    </row>
    <row r="3727" spans="1:1" x14ac:dyDescent="0.25">
      <c r="A3727" s="531"/>
    </row>
    <row r="3728" spans="1:1" x14ac:dyDescent="0.25">
      <c r="A3728" s="531"/>
    </row>
    <row r="3729" spans="1:1" x14ac:dyDescent="0.25">
      <c r="A3729" s="531"/>
    </row>
    <row r="3730" spans="1:1" x14ac:dyDescent="0.25">
      <c r="A3730" s="531"/>
    </row>
    <row r="3731" spans="1:1" x14ac:dyDescent="0.25">
      <c r="A3731" s="531"/>
    </row>
    <row r="3732" spans="1:1" x14ac:dyDescent="0.25">
      <c r="A3732" s="531"/>
    </row>
    <row r="3733" spans="1:1" x14ac:dyDescent="0.25">
      <c r="A3733" s="531"/>
    </row>
    <row r="3734" spans="1:1" x14ac:dyDescent="0.25">
      <c r="A3734" s="531"/>
    </row>
    <row r="3735" spans="1:1" x14ac:dyDescent="0.25">
      <c r="A3735" s="531"/>
    </row>
    <row r="3736" spans="1:1" x14ac:dyDescent="0.25">
      <c r="A3736" s="531"/>
    </row>
    <row r="3737" spans="1:1" x14ac:dyDescent="0.25">
      <c r="A3737" s="531"/>
    </row>
    <row r="3738" spans="1:1" x14ac:dyDescent="0.25">
      <c r="A3738" s="531"/>
    </row>
    <row r="3739" spans="1:1" x14ac:dyDescent="0.25">
      <c r="A3739" s="531"/>
    </row>
    <row r="3740" spans="1:1" x14ac:dyDescent="0.25">
      <c r="A3740" s="531"/>
    </row>
    <row r="3741" spans="1:1" x14ac:dyDescent="0.25">
      <c r="A3741" s="531"/>
    </row>
    <row r="3742" spans="1:1" x14ac:dyDescent="0.25">
      <c r="A3742" s="531"/>
    </row>
    <row r="3743" spans="1:1" x14ac:dyDescent="0.25">
      <c r="A3743" s="531"/>
    </row>
    <row r="3744" spans="1:1" x14ac:dyDescent="0.25">
      <c r="A3744" s="531"/>
    </row>
    <row r="3745" spans="1:1" x14ac:dyDescent="0.25">
      <c r="A3745" s="531"/>
    </row>
    <row r="3746" spans="1:1" x14ac:dyDescent="0.25">
      <c r="A3746" s="531"/>
    </row>
    <row r="3747" spans="1:1" x14ac:dyDescent="0.25">
      <c r="A3747" s="531"/>
    </row>
    <row r="3748" spans="1:1" x14ac:dyDescent="0.25">
      <c r="A3748" s="531"/>
    </row>
    <row r="3749" spans="1:1" x14ac:dyDescent="0.25">
      <c r="A3749" s="531"/>
    </row>
    <row r="3750" spans="1:1" x14ac:dyDescent="0.25">
      <c r="A3750" s="531"/>
    </row>
    <row r="3751" spans="1:1" x14ac:dyDescent="0.25">
      <c r="A3751" s="531"/>
    </row>
    <row r="3752" spans="1:1" x14ac:dyDescent="0.25">
      <c r="A3752" s="531"/>
    </row>
    <row r="3753" spans="1:1" x14ac:dyDescent="0.25">
      <c r="A3753" s="531"/>
    </row>
    <row r="3754" spans="1:1" x14ac:dyDescent="0.25">
      <c r="A3754" s="531"/>
    </row>
    <row r="3755" spans="1:1" x14ac:dyDescent="0.25">
      <c r="A3755" s="531"/>
    </row>
    <row r="3756" spans="1:1" x14ac:dyDescent="0.25">
      <c r="A3756" s="531"/>
    </row>
    <row r="3757" spans="1:1" x14ac:dyDescent="0.25">
      <c r="A3757" s="531"/>
    </row>
    <row r="3758" spans="1:1" x14ac:dyDescent="0.25">
      <c r="A3758" s="531"/>
    </row>
    <row r="3759" spans="1:1" x14ac:dyDescent="0.25">
      <c r="A3759" s="531"/>
    </row>
    <row r="3760" spans="1:1" x14ac:dyDescent="0.25">
      <c r="A3760" s="531"/>
    </row>
    <row r="3761" spans="1:1" x14ac:dyDescent="0.25">
      <c r="A3761" s="531"/>
    </row>
    <row r="3762" spans="1:1" x14ac:dyDescent="0.25">
      <c r="A3762" s="531"/>
    </row>
    <row r="3763" spans="1:1" x14ac:dyDescent="0.25">
      <c r="A3763" s="531"/>
    </row>
    <row r="3764" spans="1:1" x14ac:dyDescent="0.25">
      <c r="A3764" s="531"/>
    </row>
    <row r="3765" spans="1:1" x14ac:dyDescent="0.25">
      <c r="A3765" s="531"/>
    </row>
    <row r="3766" spans="1:1" x14ac:dyDescent="0.25">
      <c r="A3766" s="531"/>
    </row>
    <row r="3767" spans="1:1" x14ac:dyDescent="0.25">
      <c r="A3767" s="531"/>
    </row>
    <row r="3768" spans="1:1" x14ac:dyDescent="0.25">
      <c r="A3768" s="531"/>
    </row>
    <row r="3769" spans="1:1" x14ac:dyDescent="0.25">
      <c r="A3769" s="531"/>
    </row>
    <row r="3770" spans="1:1" x14ac:dyDescent="0.25">
      <c r="A3770" s="531"/>
    </row>
    <row r="3771" spans="1:1" x14ac:dyDescent="0.25">
      <c r="A3771" s="531"/>
    </row>
    <row r="3772" spans="1:1" x14ac:dyDescent="0.25">
      <c r="A3772" s="531"/>
    </row>
    <row r="3773" spans="1:1" x14ac:dyDescent="0.25">
      <c r="A3773" s="531"/>
    </row>
    <row r="3774" spans="1:1" x14ac:dyDescent="0.25">
      <c r="A3774" s="531"/>
    </row>
    <row r="3775" spans="1:1" x14ac:dyDescent="0.25">
      <c r="A3775" s="531"/>
    </row>
    <row r="3776" spans="1:1" x14ac:dyDescent="0.25">
      <c r="A3776" s="531"/>
    </row>
    <row r="3777" spans="1:1" x14ac:dyDescent="0.25">
      <c r="A3777" s="531"/>
    </row>
    <row r="3778" spans="1:1" x14ac:dyDescent="0.25">
      <c r="A3778" s="531"/>
    </row>
    <row r="3779" spans="1:1" x14ac:dyDescent="0.25">
      <c r="A3779" s="531"/>
    </row>
    <row r="3780" spans="1:1" x14ac:dyDescent="0.25">
      <c r="A3780" s="531"/>
    </row>
    <row r="3781" spans="1:1" x14ac:dyDescent="0.25">
      <c r="A3781" s="531"/>
    </row>
    <row r="3782" spans="1:1" x14ac:dyDescent="0.25">
      <c r="A3782" s="531"/>
    </row>
    <row r="3783" spans="1:1" x14ac:dyDescent="0.25">
      <c r="A3783" s="531"/>
    </row>
    <row r="3784" spans="1:1" x14ac:dyDescent="0.25">
      <c r="A3784" s="531"/>
    </row>
    <row r="3785" spans="1:1" x14ac:dyDescent="0.25">
      <c r="A3785" s="531"/>
    </row>
    <row r="3786" spans="1:1" x14ac:dyDescent="0.25">
      <c r="A3786" s="531"/>
    </row>
    <row r="3787" spans="1:1" x14ac:dyDescent="0.25">
      <c r="A3787" s="531"/>
    </row>
    <row r="3788" spans="1:1" x14ac:dyDescent="0.25">
      <c r="A3788" s="531"/>
    </row>
    <row r="3789" spans="1:1" x14ac:dyDescent="0.25">
      <c r="A3789" s="531"/>
    </row>
    <row r="3790" spans="1:1" x14ac:dyDescent="0.25">
      <c r="A3790" s="531"/>
    </row>
    <row r="3791" spans="1:1" x14ac:dyDescent="0.25">
      <c r="A3791" s="531"/>
    </row>
    <row r="3792" spans="1:1" x14ac:dyDescent="0.25">
      <c r="A3792" s="531"/>
    </row>
    <row r="3793" spans="1:1" x14ac:dyDescent="0.25">
      <c r="A3793" s="531"/>
    </row>
    <row r="3794" spans="1:1" x14ac:dyDescent="0.25">
      <c r="A3794" s="531"/>
    </row>
    <row r="3795" spans="1:1" x14ac:dyDescent="0.25">
      <c r="A3795" s="531"/>
    </row>
    <row r="3796" spans="1:1" x14ac:dyDescent="0.25">
      <c r="A3796" s="531"/>
    </row>
    <row r="3797" spans="1:1" x14ac:dyDescent="0.25">
      <c r="A3797" s="531"/>
    </row>
    <row r="3798" spans="1:1" x14ac:dyDescent="0.25">
      <c r="A3798" s="531"/>
    </row>
    <row r="3799" spans="1:1" x14ac:dyDescent="0.25">
      <c r="A3799" s="531"/>
    </row>
    <row r="3800" spans="1:1" x14ac:dyDescent="0.25">
      <c r="A3800" s="531"/>
    </row>
    <row r="3801" spans="1:1" x14ac:dyDescent="0.25">
      <c r="A3801" s="531"/>
    </row>
    <row r="3802" spans="1:1" x14ac:dyDescent="0.25">
      <c r="A3802" s="531"/>
    </row>
    <row r="3803" spans="1:1" x14ac:dyDescent="0.25">
      <c r="A3803" s="531"/>
    </row>
    <row r="3804" spans="1:1" x14ac:dyDescent="0.25">
      <c r="A3804" s="531"/>
    </row>
    <row r="3805" spans="1:1" x14ac:dyDescent="0.25">
      <c r="A3805" s="531"/>
    </row>
    <row r="3806" spans="1:1" x14ac:dyDescent="0.25">
      <c r="A3806" s="531"/>
    </row>
    <row r="3807" spans="1:1" x14ac:dyDescent="0.25">
      <c r="A3807" s="531"/>
    </row>
    <row r="3808" spans="1:1" x14ac:dyDescent="0.25">
      <c r="A3808" s="531"/>
    </row>
    <row r="3809" spans="1:1" x14ac:dyDescent="0.25">
      <c r="A3809" s="531"/>
    </row>
    <row r="3810" spans="1:1" x14ac:dyDescent="0.25">
      <c r="A3810" s="531"/>
    </row>
    <row r="3811" spans="1:1" x14ac:dyDescent="0.25">
      <c r="A3811" s="531"/>
    </row>
    <row r="3812" spans="1:1" x14ac:dyDescent="0.25">
      <c r="A3812" s="531"/>
    </row>
    <row r="3813" spans="1:1" x14ac:dyDescent="0.25">
      <c r="A3813" s="531"/>
    </row>
    <row r="3814" spans="1:1" x14ac:dyDescent="0.25">
      <c r="A3814" s="531"/>
    </row>
    <row r="3815" spans="1:1" x14ac:dyDescent="0.25">
      <c r="A3815" s="531"/>
    </row>
    <row r="3816" spans="1:1" x14ac:dyDescent="0.25">
      <c r="A3816" s="531"/>
    </row>
    <row r="3817" spans="1:1" x14ac:dyDescent="0.25">
      <c r="A3817" s="531"/>
    </row>
    <row r="3818" spans="1:1" x14ac:dyDescent="0.25">
      <c r="A3818" s="531"/>
    </row>
    <row r="3819" spans="1:1" x14ac:dyDescent="0.25">
      <c r="A3819" s="531"/>
    </row>
    <row r="3820" spans="1:1" x14ac:dyDescent="0.25">
      <c r="A3820" s="531"/>
    </row>
    <row r="3821" spans="1:1" x14ac:dyDescent="0.25">
      <c r="A3821" s="531"/>
    </row>
    <row r="3822" spans="1:1" x14ac:dyDescent="0.25">
      <c r="A3822" s="531"/>
    </row>
    <row r="3823" spans="1:1" x14ac:dyDescent="0.25">
      <c r="A3823" s="531"/>
    </row>
    <row r="3824" spans="1:1" x14ac:dyDescent="0.25">
      <c r="A3824" s="531"/>
    </row>
    <row r="3825" spans="1:1" x14ac:dyDescent="0.25">
      <c r="A3825" s="531"/>
    </row>
    <row r="3826" spans="1:1" x14ac:dyDescent="0.25">
      <c r="A3826" s="531"/>
    </row>
    <row r="3827" spans="1:1" x14ac:dyDescent="0.25">
      <c r="A3827" s="531"/>
    </row>
    <row r="3828" spans="1:1" x14ac:dyDescent="0.25">
      <c r="A3828" s="531"/>
    </row>
    <row r="3829" spans="1:1" x14ac:dyDescent="0.25">
      <c r="A3829" s="531"/>
    </row>
    <row r="3830" spans="1:1" x14ac:dyDescent="0.25">
      <c r="A3830" s="531"/>
    </row>
    <row r="3831" spans="1:1" x14ac:dyDescent="0.25">
      <c r="A3831" s="531"/>
    </row>
    <row r="3832" spans="1:1" x14ac:dyDescent="0.25">
      <c r="A3832" s="531"/>
    </row>
    <row r="3833" spans="1:1" x14ac:dyDescent="0.25">
      <c r="A3833" s="531"/>
    </row>
    <row r="3834" spans="1:1" x14ac:dyDescent="0.25">
      <c r="A3834" s="531"/>
    </row>
    <row r="3835" spans="1:1" x14ac:dyDescent="0.25">
      <c r="A3835" s="531"/>
    </row>
    <row r="3836" spans="1:1" x14ac:dyDescent="0.25">
      <c r="A3836" s="531"/>
    </row>
    <row r="3837" spans="1:1" x14ac:dyDescent="0.25">
      <c r="A3837" s="531"/>
    </row>
    <row r="3838" spans="1:1" x14ac:dyDescent="0.25">
      <c r="A3838" s="531"/>
    </row>
    <row r="3839" spans="1:1" x14ac:dyDescent="0.25">
      <c r="A3839" s="531"/>
    </row>
    <row r="3840" spans="1:1" x14ac:dyDescent="0.25">
      <c r="A3840" s="531"/>
    </row>
    <row r="3841" spans="1:1" x14ac:dyDescent="0.25">
      <c r="A3841" s="531"/>
    </row>
    <row r="3842" spans="1:1" x14ac:dyDescent="0.25">
      <c r="A3842" s="531"/>
    </row>
    <row r="3843" spans="1:1" x14ac:dyDescent="0.25">
      <c r="A3843" s="531"/>
    </row>
    <row r="3844" spans="1:1" x14ac:dyDescent="0.25">
      <c r="A3844" s="531"/>
    </row>
    <row r="3845" spans="1:1" x14ac:dyDescent="0.25">
      <c r="A3845" s="531"/>
    </row>
    <row r="3846" spans="1:1" x14ac:dyDescent="0.25">
      <c r="A3846" s="531"/>
    </row>
    <row r="3847" spans="1:1" x14ac:dyDescent="0.25">
      <c r="A3847" s="531"/>
    </row>
    <row r="3848" spans="1:1" x14ac:dyDescent="0.25">
      <c r="A3848" s="531"/>
    </row>
    <row r="3849" spans="1:1" x14ac:dyDescent="0.25">
      <c r="A3849" s="531"/>
    </row>
    <row r="3850" spans="1:1" x14ac:dyDescent="0.25">
      <c r="A3850" s="531"/>
    </row>
    <row r="3851" spans="1:1" x14ac:dyDescent="0.25">
      <c r="A3851" s="531"/>
    </row>
    <row r="3852" spans="1:1" x14ac:dyDescent="0.25">
      <c r="A3852" s="531"/>
    </row>
    <row r="3853" spans="1:1" x14ac:dyDescent="0.25">
      <c r="A3853" s="531"/>
    </row>
    <row r="3854" spans="1:1" x14ac:dyDescent="0.25">
      <c r="A3854" s="531"/>
    </row>
    <row r="3855" spans="1:1" x14ac:dyDescent="0.25">
      <c r="A3855" s="531"/>
    </row>
    <row r="3856" spans="1:1" x14ac:dyDescent="0.25">
      <c r="A3856" s="531"/>
    </row>
    <row r="3857" spans="1:1" x14ac:dyDescent="0.25">
      <c r="A3857" s="531"/>
    </row>
    <row r="3858" spans="1:1" x14ac:dyDescent="0.25">
      <c r="A3858" s="531"/>
    </row>
    <row r="3859" spans="1:1" x14ac:dyDescent="0.25">
      <c r="A3859" s="531"/>
    </row>
    <row r="3860" spans="1:1" x14ac:dyDescent="0.25">
      <c r="A3860" s="531"/>
    </row>
    <row r="3861" spans="1:1" x14ac:dyDescent="0.25">
      <c r="A3861" s="531"/>
    </row>
    <row r="3862" spans="1:1" x14ac:dyDescent="0.25">
      <c r="A3862" s="531"/>
    </row>
    <row r="3863" spans="1:1" x14ac:dyDescent="0.25">
      <c r="A3863" s="531"/>
    </row>
    <row r="3864" spans="1:1" x14ac:dyDescent="0.25">
      <c r="A3864" s="531"/>
    </row>
    <row r="3865" spans="1:1" x14ac:dyDescent="0.25">
      <c r="A3865" s="531"/>
    </row>
    <row r="3866" spans="1:1" x14ac:dyDescent="0.25">
      <c r="A3866" s="531"/>
    </row>
    <row r="3867" spans="1:1" x14ac:dyDescent="0.25">
      <c r="A3867" s="531"/>
    </row>
    <row r="3868" spans="1:1" x14ac:dyDescent="0.25">
      <c r="A3868" s="531"/>
    </row>
    <row r="3869" spans="1:1" x14ac:dyDescent="0.25">
      <c r="A3869" s="531"/>
    </row>
    <row r="3870" spans="1:1" x14ac:dyDescent="0.25">
      <c r="A3870" s="531"/>
    </row>
    <row r="3871" spans="1:1" x14ac:dyDescent="0.25">
      <c r="A3871" s="531"/>
    </row>
    <row r="3872" spans="1:1" x14ac:dyDescent="0.25">
      <c r="A3872" s="531"/>
    </row>
    <row r="3873" spans="1:1" x14ac:dyDescent="0.25">
      <c r="A3873" s="531"/>
    </row>
    <row r="3874" spans="1:1" x14ac:dyDescent="0.25">
      <c r="A3874" s="531"/>
    </row>
    <row r="3875" spans="1:1" x14ac:dyDescent="0.25">
      <c r="A3875" s="531"/>
    </row>
    <row r="3876" spans="1:1" x14ac:dyDescent="0.25">
      <c r="A3876" s="531"/>
    </row>
    <row r="3877" spans="1:1" x14ac:dyDescent="0.25">
      <c r="A3877" s="531"/>
    </row>
    <row r="3878" spans="1:1" x14ac:dyDescent="0.25">
      <c r="A3878" s="531"/>
    </row>
    <row r="3879" spans="1:1" x14ac:dyDescent="0.25">
      <c r="A3879" s="531"/>
    </row>
    <row r="3880" spans="1:1" x14ac:dyDescent="0.25">
      <c r="A3880" s="531"/>
    </row>
    <row r="3881" spans="1:1" x14ac:dyDescent="0.25">
      <c r="A3881" s="531"/>
    </row>
    <row r="3882" spans="1:1" x14ac:dyDescent="0.25">
      <c r="A3882" s="531"/>
    </row>
    <row r="3883" spans="1:1" x14ac:dyDescent="0.25">
      <c r="A3883" s="531"/>
    </row>
    <row r="3884" spans="1:1" x14ac:dyDescent="0.25">
      <c r="A3884" s="531"/>
    </row>
    <row r="3885" spans="1:1" x14ac:dyDescent="0.25">
      <c r="A3885" s="531"/>
    </row>
    <row r="3886" spans="1:1" x14ac:dyDescent="0.25">
      <c r="A3886" s="531"/>
    </row>
    <row r="3887" spans="1:1" x14ac:dyDescent="0.25">
      <c r="A3887" s="531"/>
    </row>
    <row r="3888" spans="1:1" x14ac:dyDescent="0.25">
      <c r="A3888" s="531"/>
    </row>
    <row r="3889" spans="1:1" x14ac:dyDescent="0.25">
      <c r="A3889" s="531"/>
    </row>
    <row r="3890" spans="1:1" x14ac:dyDescent="0.25">
      <c r="A3890" s="531"/>
    </row>
    <row r="3891" spans="1:1" x14ac:dyDescent="0.25">
      <c r="A3891" s="531"/>
    </row>
    <row r="3892" spans="1:1" x14ac:dyDescent="0.25">
      <c r="A3892" s="531"/>
    </row>
    <row r="3893" spans="1:1" x14ac:dyDescent="0.25">
      <c r="A3893" s="531"/>
    </row>
    <row r="3894" spans="1:1" x14ac:dyDescent="0.25">
      <c r="A3894" s="531"/>
    </row>
    <row r="3895" spans="1:1" x14ac:dyDescent="0.25">
      <c r="A3895" s="531"/>
    </row>
    <row r="3896" spans="1:1" x14ac:dyDescent="0.25">
      <c r="A3896" s="531"/>
    </row>
    <row r="3897" spans="1:1" x14ac:dyDescent="0.25">
      <c r="A3897" s="531"/>
    </row>
    <row r="3898" spans="1:1" x14ac:dyDescent="0.25">
      <c r="A3898" s="531"/>
    </row>
    <row r="3899" spans="1:1" x14ac:dyDescent="0.25">
      <c r="A3899" s="531"/>
    </row>
    <row r="3900" spans="1:1" x14ac:dyDescent="0.25">
      <c r="A3900" s="531"/>
    </row>
    <row r="3901" spans="1:1" x14ac:dyDescent="0.25">
      <c r="A3901" s="531"/>
    </row>
    <row r="3902" spans="1:1" x14ac:dyDescent="0.25">
      <c r="A3902" s="531"/>
    </row>
    <row r="3903" spans="1:1" x14ac:dyDescent="0.25">
      <c r="A3903" s="531"/>
    </row>
    <row r="3904" spans="1:1" x14ac:dyDescent="0.25">
      <c r="A3904" s="531"/>
    </row>
    <row r="3905" spans="1:1" x14ac:dyDescent="0.25">
      <c r="A3905" s="531"/>
    </row>
    <row r="3906" spans="1:1" x14ac:dyDescent="0.25">
      <c r="A3906" s="531"/>
    </row>
    <row r="3907" spans="1:1" x14ac:dyDescent="0.25">
      <c r="A3907" s="531"/>
    </row>
    <row r="3908" spans="1:1" x14ac:dyDescent="0.25">
      <c r="A3908" s="531"/>
    </row>
    <row r="3909" spans="1:1" x14ac:dyDescent="0.25">
      <c r="A3909" s="531"/>
    </row>
    <row r="3910" spans="1:1" x14ac:dyDescent="0.25">
      <c r="A3910" s="531"/>
    </row>
    <row r="3911" spans="1:1" x14ac:dyDescent="0.25">
      <c r="A3911" s="531"/>
    </row>
    <row r="3912" spans="1:1" x14ac:dyDescent="0.25">
      <c r="A3912" s="531"/>
    </row>
    <row r="3913" spans="1:1" x14ac:dyDescent="0.25">
      <c r="A3913" s="531"/>
    </row>
    <row r="3914" spans="1:1" x14ac:dyDescent="0.25">
      <c r="A3914" s="531"/>
    </row>
    <row r="3915" spans="1:1" x14ac:dyDescent="0.25">
      <c r="A3915" s="531"/>
    </row>
    <row r="3916" spans="1:1" x14ac:dyDescent="0.25">
      <c r="A3916" s="531"/>
    </row>
    <row r="3917" spans="1:1" x14ac:dyDescent="0.25">
      <c r="A3917" s="531"/>
    </row>
    <row r="3918" spans="1:1" x14ac:dyDescent="0.25">
      <c r="A3918" s="531"/>
    </row>
    <row r="3919" spans="1:1" x14ac:dyDescent="0.25">
      <c r="A3919" s="531"/>
    </row>
    <row r="3920" spans="1:1" x14ac:dyDescent="0.25">
      <c r="A3920" s="531"/>
    </row>
    <row r="3921" spans="1:1" x14ac:dyDescent="0.25">
      <c r="A3921" s="531"/>
    </row>
    <row r="3922" spans="1:1" x14ac:dyDescent="0.25">
      <c r="A3922" s="531"/>
    </row>
    <row r="3923" spans="1:1" x14ac:dyDescent="0.25">
      <c r="A3923" s="531"/>
    </row>
    <row r="3924" spans="1:1" x14ac:dyDescent="0.25">
      <c r="A3924" s="531"/>
    </row>
    <row r="3925" spans="1:1" x14ac:dyDescent="0.25">
      <c r="A3925" s="531"/>
    </row>
    <row r="3926" spans="1:1" x14ac:dyDescent="0.25">
      <c r="A3926" s="531"/>
    </row>
    <row r="3927" spans="1:1" x14ac:dyDescent="0.25">
      <c r="A3927" s="531"/>
    </row>
    <row r="3928" spans="1:1" x14ac:dyDescent="0.25">
      <c r="A3928" s="531"/>
    </row>
    <row r="3929" spans="1:1" x14ac:dyDescent="0.25">
      <c r="A3929" s="531"/>
    </row>
    <row r="3930" spans="1:1" x14ac:dyDescent="0.25">
      <c r="A3930" s="531"/>
    </row>
    <row r="3931" spans="1:1" x14ac:dyDescent="0.25">
      <c r="A3931" s="531"/>
    </row>
    <row r="3932" spans="1:1" x14ac:dyDescent="0.25">
      <c r="A3932" s="531"/>
    </row>
    <row r="3933" spans="1:1" x14ac:dyDescent="0.25">
      <c r="A3933" s="531"/>
    </row>
    <row r="3934" spans="1:1" x14ac:dyDescent="0.25">
      <c r="A3934" s="531"/>
    </row>
    <row r="3935" spans="1:1" x14ac:dyDescent="0.25">
      <c r="A3935" s="531"/>
    </row>
    <row r="3936" spans="1:1" x14ac:dyDescent="0.25">
      <c r="A3936" s="531"/>
    </row>
    <row r="3937" spans="1:1" x14ac:dyDescent="0.25">
      <c r="A3937" s="531"/>
    </row>
    <row r="3938" spans="1:1" x14ac:dyDescent="0.25">
      <c r="A3938" s="531"/>
    </row>
    <row r="3939" spans="1:1" x14ac:dyDescent="0.25">
      <c r="A3939" s="531"/>
    </row>
    <row r="3940" spans="1:1" x14ac:dyDescent="0.25">
      <c r="A3940" s="531"/>
    </row>
    <row r="3941" spans="1:1" x14ac:dyDescent="0.25">
      <c r="A3941" s="531"/>
    </row>
    <row r="3942" spans="1:1" x14ac:dyDescent="0.25">
      <c r="A3942" s="531"/>
    </row>
    <row r="3943" spans="1:1" x14ac:dyDescent="0.25">
      <c r="A3943" s="531"/>
    </row>
    <row r="3944" spans="1:1" x14ac:dyDescent="0.25">
      <c r="A3944" s="531"/>
    </row>
    <row r="3945" spans="1:1" x14ac:dyDescent="0.25">
      <c r="A3945" s="531"/>
    </row>
    <row r="3946" spans="1:1" x14ac:dyDescent="0.25">
      <c r="A3946" s="531"/>
    </row>
    <row r="3947" spans="1:1" x14ac:dyDescent="0.25">
      <c r="A3947" s="531"/>
    </row>
    <row r="3948" spans="1:1" x14ac:dyDescent="0.25">
      <c r="A3948" s="531"/>
    </row>
    <row r="3949" spans="1:1" x14ac:dyDescent="0.25">
      <c r="A3949" s="531"/>
    </row>
    <row r="3950" spans="1:1" x14ac:dyDescent="0.25">
      <c r="A3950" s="531"/>
    </row>
    <row r="3951" spans="1:1" x14ac:dyDescent="0.25">
      <c r="A3951" s="531"/>
    </row>
    <row r="3952" spans="1:1" x14ac:dyDescent="0.25">
      <c r="A3952" s="531"/>
    </row>
    <row r="3953" spans="1:1" x14ac:dyDescent="0.25">
      <c r="A3953" s="531"/>
    </row>
    <row r="3954" spans="1:1" x14ac:dyDescent="0.25">
      <c r="A3954" s="531"/>
    </row>
    <row r="3955" spans="1:1" x14ac:dyDescent="0.25">
      <c r="A3955" s="531"/>
    </row>
    <row r="3956" spans="1:1" x14ac:dyDescent="0.25">
      <c r="A3956" s="531"/>
    </row>
    <row r="3957" spans="1:1" x14ac:dyDescent="0.25">
      <c r="A3957" s="531"/>
    </row>
    <row r="3958" spans="1:1" x14ac:dyDescent="0.25">
      <c r="A3958" s="531"/>
    </row>
    <row r="3959" spans="1:1" x14ac:dyDescent="0.25">
      <c r="A3959" s="531"/>
    </row>
    <row r="3960" spans="1:1" x14ac:dyDescent="0.25">
      <c r="A3960" s="531"/>
    </row>
    <row r="3961" spans="1:1" x14ac:dyDescent="0.25">
      <c r="A3961" s="531"/>
    </row>
    <row r="3962" spans="1:1" x14ac:dyDescent="0.25">
      <c r="A3962" s="531"/>
    </row>
    <row r="3963" spans="1:1" x14ac:dyDescent="0.25">
      <c r="A3963" s="531"/>
    </row>
    <row r="3964" spans="1:1" x14ac:dyDescent="0.25">
      <c r="A3964" s="531"/>
    </row>
    <row r="3965" spans="1:1" x14ac:dyDescent="0.25">
      <c r="A3965" s="531"/>
    </row>
    <row r="3966" spans="1:1" x14ac:dyDescent="0.25">
      <c r="A3966" s="531"/>
    </row>
    <row r="3967" spans="1:1" x14ac:dyDescent="0.25">
      <c r="A3967" s="531"/>
    </row>
    <row r="3968" spans="1:1" x14ac:dyDescent="0.25">
      <c r="A3968" s="531"/>
    </row>
    <row r="3969" spans="1:1" x14ac:dyDescent="0.25">
      <c r="A3969" s="531"/>
    </row>
    <row r="3970" spans="1:1" x14ac:dyDescent="0.25">
      <c r="A3970" s="531"/>
    </row>
    <row r="3971" spans="1:1" x14ac:dyDescent="0.25">
      <c r="A3971" s="531"/>
    </row>
    <row r="3972" spans="1:1" x14ac:dyDescent="0.25">
      <c r="A3972" s="531"/>
    </row>
    <row r="3973" spans="1:1" x14ac:dyDescent="0.25">
      <c r="A3973" s="531"/>
    </row>
    <row r="3974" spans="1:1" x14ac:dyDescent="0.25">
      <c r="A3974" s="531"/>
    </row>
    <row r="3975" spans="1:1" x14ac:dyDescent="0.25">
      <c r="A3975" s="531"/>
    </row>
    <row r="3976" spans="1:1" x14ac:dyDescent="0.25">
      <c r="A3976" s="531"/>
    </row>
    <row r="3977" spans="1:1" x14ac:dyDescent="0.25">
      <c r="A3977" s="531"/>
    </row>
    <row r="3978" spans="1:1" x14ac:dyDescent="0.25">
      <c r="A3978" s="531"/>
    </row>
    <row r="3979" spans="1:1" x14ac:dyDescent="0.25">
      <c r="A3979" s="531"/>
    </row>
    <row r="3980" spans="1:1" x14ac:dyDescent="0.25">
      <c r="A3980" s="531"/>
    </row>
    <row r="3981" spans="1:1" x14ac:dyDescent="0.25">
      <c r="A3981" s="531"/>
    </row>
    <row r="3982" spans="1:1" x14ac:dyDescent="0.25">
      <c r="A3982" s="531"/>
    </row>
    <row r="3983" spans="1:1" x14ac:dyDescent="0.25">
      <c r="A3983" s="531"/>
    </row>
    <row r="3984" spans="1:1" x14ac:dyDescent="0.25">
      <c r="A3984" s="531"/>
    </row>
    <row r="3985" spans="1:1" x14ac:dyDescent="0.25">
      <c r="A3985" s="531"/>
    </row>
    <row r="3986" spans="1:1" x14ac:dyDescent="0.25">
      <c r="A3986" s="531"/>
    </row>
    <row r="3987" spans="1:1" x14ac:dyDescent="0.25">
      <c r="A3987" s="531"/>
    </row>
    <row r="3988" spans="1:1" x14ac:dyDescent="0.25">
      <c r="A3988" s="531"/>
    </row>
    <row r="3989" spans="1:1" x14ac:dyDescent="0.25">
      <c r="A3989" s="531"/>
    </row>
    <row r="3990" spans="1:1" x14ac:dyDescent="0.25">
      <c r="A3990" s="531"/>
    </row>
    <row r="3991" spans="1:1" x14ac:dyDescent="0.25">
      <c r="A3991" s="531"/>
    </row>
    <row r="3992" spans="1:1" x14ac:dyDescent="0.25">
      <c r="A3992" s="531"/>
    </row>
    <row r="3993" spans="1:1" x14ac:dyDescent="0.25">
      <c r="A3993" s="531"/>
    </row>
    <row r="3994" spans="1:1" x14ac:dyDescent="0.25">
      <c r="A3994" s="531"/>
    </row>
    <row r="3995" spans="1:1" x14ac:dyDescent="0.25">
      <c r="A3995" s="531"/>
    </row>
    <row r="3996" spans="1:1" x14ac:dyDescent="0.25">
      <c r="A3996" s="531"/>
    </row>
    <row r="3997" spans="1:1" x14ac:dyDescent="0.25">
      <c r="A3997" s="531"/>
    </row>
    <row r="3998" spans="1:1" x14ac:dyDescent="0.25">
      <c r="A3998" s="531"/>
    </row>
    <row r="3999" spans="1:1" x14ac:dyDescent="0.25">
      <c r="A3999" s="531"/>
    </row>
    <row r="4000" spans="1:1" x14ac:dyDescent="0.25">
      <c r="A4000" s="531"/>
    </row>
    <row r="4001" spans="1:1" x14ac:dyDescent="0.25">
      <c r="A4001" s="531"/>
    </row>
    <row r="4002" spans="1:1" x14ac:dyDescent="0.25">
      <c r="A4002" s="531"/>
    </row>
    <row r="4003" spans="1:1" x14ac:dyDescent="0.25">
      <c r="A4003" s="531"/>
    </row>
    <row r="4004" spans="1:1" x14ac:dyDescent="0.25">
      <c r="A4004" s="531"/>
    </row>
    <row r="4005" spans="1:1" x14ac:dyDescent="0.25">
      <c r="A4005" s="531"/>
    </row>
    <row r="4006" spans="1:1" x14ac:dyDescent="0.25">
      <c r="A4006" s="531"/>
    </row>
    <row r="4007" spans="1:1" x14ac:dyDescent="0.25">
      <c r="A4007" s="531"/>
    </row>
    <row r="4008" spans="1:1" x14ac:dyDescent="0.25">
      <c r="A4008" s="531"/>
    </row>
    <row r="4009" spans="1:1" x14ac:dyDescent="0.25">
      <c r="A4009" s="531"/>
    </row>
    <row r="4010" spans="1:1" x14ac:dyDescent="0.25">
      <c r="A4010" s="531"/>
    </row>
    <row r="4011" spans="1:1" x14ac:dyDescent="0.25">
      <c r="A4011" s="531"/>
    </row>
    <row r="4012" spans="1:1" x14ac:dyDescent="0.25">
      <c r="A4012" s="531"/>
    </row>
    <row r="4013" spans="1:1" x14ac:dyDescent="0.25">
      <c r="A4013" s="531"/>
    </row>
    <row r="4014" spans="1:1" x14ac:dyDescent="0.25">
      <c r="A4014" s="531"/>
    </row>
    <row r="4015" spans="1:1" x14ac:dyDescent="0.25">
      <c r="A4015" s="531"/>
    </row>
    <row r="4016" spans="1:1" x14ac:dyDescent="0.25">
      <c r="A4016" s="531"/>
    </row>
    <row r="4017" spans="1:1" x14ac:dyDescent="0.25">
      <c r="A4017" s="531"/>
    </row>
    <row r="4018" spans="1:1" x14ac:dyDescent="0.25">
      <c r="A4018" s="531"/>
    </row>
    <row r="4019" spans="1:1" x14ac:dyDescent="0.25">
      <c r="A4019" s="531"/>
    </row>
    <row r="4020" spans="1:1" x14ac:dyDescent="0.25">
      <c r="A4020" s="531"/>
    </row>
    <row r="4021" spans="1:1" x14ac:dyDescent="0.25">
      <c r="A4021" s="531"/>
    </row>
    <row r="4022" spans="1:1" x14ac:dyDescent="0.25">
      <c r="A4022" s="531"/>
    </row>
    <row r="4023" spans="1:1" x14ac:dyDescent="0.25">
      <c r="A4023" s="531"/>
    </row>
    <row r="4024" spans="1:1" x14ac:dyDescent="0.25">
      <c r="A4024" s="531"/>
    </row>
    <row r="4025" spans="1:1" x14ac:dyDescent="0.25">
      <c r="A4025" s="531"/>
    </row>
    <row r="4026" spans="1:1" x14ac:dyDescent="0.25">
      <c r="A4026" s="531"/>
    </row>
    <row r="4027" spans="1:1" x14ac:dyDescent="0.25">
      <c r="A4027" s="531"/>
    </row>
    <row r="4028" spans="1:1" x14ac:dyDescent="0.25">
      <c r="A4028" s="531"/>
    </row>
    <row r="4029" spans="1:1" x14ac:dyDescent="0.25">
      <c r="A4029" s="531"/>
    </row>
    <row r="4030" spans="1:1" x14ac:dyDescent="0.25">
      <c r="A4030" s="531"/>
    </row>
    <row r="4031" spans="1:1" x14ac:dyDescent="0.25">
      <c r="A4031" s="531"/>
    </row>
    <row r="4032" spans="1:1" x14ac:dyDescent="0.25">
      <c r="A4032" s="531"/>
    </row>
    <row r="4033" spans="1:1" x14ac:dyDescent="0.25">
      <c r="A4033" s="531"/>
    </row>
    <row r="4034" spans="1:1" x14ac:dyDescent="0.25">
      <c r="A4034" s="531"/>
    </row>
    <row r="4035" spans="1:1" x14ac:dyDescent="0.25">
      <c r="A4035" s="531"/>
    </row>
    <row r="4036" spans="1:1" x14ac:dyDescent="0.25">
      <c r="A4036" s="531"/>
    </row>
    <row r="4037" spans="1:1" x14ac:dyDescent="0.25">
      <c r="A4037" s="531"/>
    </row>
    <row r="4038" spans="1:1" x14ac:dyDescent="0.25">
      <c r="A4038" s="531"/>
    </row>
    <row r="4039" spans="1:1" x14ac:dyDescent="0.25">
      <c r="A4039" s="531"/>
    </row>
    <row r="4040" spans="1:1" x14ac:dyDescent="0.25">
      <c r="A4040" s="531"/>
    </row>
    <row r="4041" spans="1:1" x14ac:dyDescent="0.25">
      <c r="A4041" s="531"/>
    </row>
    <row r="4042" spans="1:1" x14ac:dyDescent="0.25">
      <c r="A4042" s="531"/>
    </row>
    <row r="4043" spans="1:1" x14ac:dyDescent="0.25">
      <c r="A4043" s="531"/>
    </row>
    <row r="4044" spans="1:1" x14ac:dyDescent="0.25">
      <c r="A4044" s="531"/>
    </row>
    <row r="4045" spans="1:1" x14ac:dyDescent="0.25">
      <c r="A4045" s="531"/>
    </row>
    <row r="4046" spans="1:1" x14ac:dyDescent="0.25">
      <c r="A4046" s="531"/>
    </row>
    <row r="4047" spans="1:1" x14ac:dyDescent="0.25">
      <c r="A4047" s="531"/>
    </row>
    <row r="4048" spans="1:1" x14ac:dyDescent="0.25">
      <c r="A4048" s="531"/>
    </row>
    <row r="4049" spans="1:1" x14ac:dyDescent="0.25">
      <c r="A4049" s="531"/>
    </row>
    <row r="4050" spans="1:1" x14ac:dyDescent="0.25">
      <c r="A4050" s="531"/>
    </row>
    <row r="4051" spans="1:1" x14ac:dyDescent="0.25">
      <c r="A4051" s="531"/>
    </row>
    <row r="4052" spans="1:1" x14ac:dyDescent="0.25">
      <c r="A4052" s="531"/>
    </row>
    <row r="4053" spans="1:1" x14ac:dyDescent="0.25">
      <c r="A4053" s="531"/>
    </row>
    <row r="4054" spans="1:1" x14ac:dyDescent="0.25">
      <c r="A4054" s="531"/>
    </row>
    <row r="4055" spans="1:1" x14ac:dyDescent="0.25">
      <c r="A4055" s="531"/>
    </row>
    <row r="4056" spans="1:1" x14ac:dyDescent="0.25">
      <c r="A4056" s="531"/>
    </row>
    <row r="4057" spans="1:1" x14ac:dyDescent="0.25">
      <c r="A4057" s="531"/>
    </row>
    <row r="4058" spans="1:1" x14ac:dyDescent="0.25">
      <c r="A4058" s="531"/>
    </row>
    <row r="4059" spans="1:1" x14ac:dyDescent="0.25">
      <c r="A4059" s="531"/>
    </row>
    <row r="4060" spans="1:1" x14ac:dyDescent="0.25">
      <c r="A4060" s="531"/>
    </row>
    <row r="4061" spans="1:1" x14ac:dyDescent="0.25">
      <c r="A4061" s="531"/>
    </row>
    <row r="4062" spans="1:1" x14ac:dyDescent="0.25">
      <c r="A4062" s="531"/>
    </row>
    <row r="4063" spans="1:1" x14ac:dyDescent="0.25">
      <c r="A4063" s="531"/>
    </row>
    <row r="4064" spans="1:1" x14ac:dyDescent="0.25">
      <c r="A4064" s="531"/>
    </row>
    <row r="4065" spans="1:1" x14ac:dyDescent="0.25">
      <c r="A4065" s="531"/>
    </row>
    <row r="4066" spans="1:1" x14ac:dyDescent="0.25">
      <c r="A4066" s="531"/>
    </row>
    <row r="4067" spans="1:1" x14ac:dyDescent="0.25">
      <c r="A4067" s="531"/>
    </row>
    <row r="4068" spans="1:1" x14ac:dyDescent="0.25">
      <c r="A4068" s="531"/>
    </row>
    <row r="4069" spans="1:1" x14ac:dyDescent="0.25">
      <c r="A4069" s="531"/>
    </row>
    <row r="4070" spans="1:1" x14ac:dyDescent="0.25">
      <c r="A4070" s="531"/>
    </row>
    <row r="4071" spans="1:1" x14ac:dyDescent="0.25">
      <c r="A4071" s="531"/>
    </row>
    <row r="4072" spans="1:1" x14ac:dyDescent="0.25">
      <c r="A4072" s="531"/>
    </row>
    <row r="4073" spans="1:1" x14ac:dyDescent="0.25">
      <c r="A4073" s="531"/>
    </row>
    <row r="4074" spans="1:1" x14ac:dyDescent="0.25">
      <c r="A4074" s="531"/>
    </row>
    <row r="4075" spans="1:1" x14ac:dyDescent="0.25">
      <c r="A4075" s="531"/>
    </row>
    <row r="4076" spans="1:1" x14ac:dyDescent="0.25">
      <c r="A4076" s="531"/>
    </row>
    <row r="4077" spans="1:1" x14ac:dyDescent="0.25">
      <c r="A4077" s="531"/>
    </row>
    <row r="4078" spans="1:1" x14ac:dyDescent="0.25">
      <c r="A4078" s="531"/>
    </row>
    <row r="4079" spans="1:1" x14ac:dyDescent="0.25">
      <c r="A4079" s="531"/>
    </row>
    <row r="4080" spans="1:1" x14ac:dyDescent="0.25">
      <c r="A4080" s="531"/>
    </row>
    <row r="4081" spans="1:1" x14ac:dyDescent="0.25">
      <c r="A4081" s="531"/>
    </row>
    <row r="4082" spans="1:1" x14ac:dyDescent="0.25">
      <c r="A4082" s="531"/>
    </row>
    <row r="4083" spans="1:1" x14ac:dyDescent="0.25">
      <c r="A4083" s="531"/>
    </row>
    <row r="4084" spans="1:1" x14ac:dyDescent="0.25">
      <c r="A4084" s="531"/>
    </row>
    <row r="4085" spans="1:1" x14ac:dyDescent="0.25">
      <c r="A4085" s="531"/>
    </row>
    <row r="4086" spans="1:1" x14ac:dyDescent="0.25">
      <c r="A4086" s="531"/>
    </row>
    <row r="4087" spans="1:1" x14ac:dyDescent="0.25">
      <c r="A4087" s="531"/>
    </row>
    <row r="4088" spans="1:1" x14ac:dyDescent="0.25">
      <c r="A4088" s="531"/>
    </row>
    <row r="4089" spans="1:1" x14ac:dyDescent="0.25">
      <c r="A4089" s="531"/>
    </row>
    <row r="4090" spans="1:1" x14ac:dyDescent="0.25">
      <c r="A4090" s="531"/>
    </row>
    <row r="4091" spans="1:1" x14ac:dyDescent="0.25">
      <c r="A4091" s="531"/>
    </row>
    <row r="4092" spans="1:1" x14ac:dyDescent="0.25">
      <c r="A4092" s="531"/>
    </row>
    <row r="4093" spans="1:1" x14ac:dyDescent="0.25">
      <c r="A4093" s="531"/>
    </row>
    <row r="4094" spans="1:1" x14ac:dyDescent="0.25">
      <c r="A4094" s="531"/>
    </row>
    <row r="4095" spans="1:1" x14ac:dyDescent="0.25">
      <c r="A4095" s="531"/>
    </row>
    <row r="4096" spans="1:1" x14ac:dyDescent="0.25">
      <c r="A4096" s="531"/>
    </row>
    <row r="4097" spans="1:1" x14ac:dyDescent="0.25">
      <c r="A4097" s="531"/>
    </row>
    <row r="4098" spans="1:1" x14ac:dyDescent="0.25">
      <c r="A4098" s="531"/>
    </row>
    <row r="4099" spans="1:1" x14ac:dyDescent="0.25">
      <c r="A4099" s="531"/>
    </row>
    <row r="4100" spans="1:1" x14ac:dyDescent="0.25">
      <c r="A4100" s="531"/>
    </row>
    <row r="4101" spans="1:1" x14ac:dyDescent="0.25">
      <c r="A4101" s="531"/>
    </row>
    <row r="4102" spans="1:1" x14ac:dyDescent="0.25">
      <c r="A4102" s="531"/>
    </row>
    <row r="4103" spans="1:1" x14ac:dyDescent="0.25">
      <c r="A4103" s="531"/>
    </row>
    <row r="4104" spans="1:1" x14ac:dyDescent="0.25">
      <c r="A4104" s="531"/>
    </row>
    <row r="4105" spans="1:1" x14ac:dyDescent="0.25">
      <c r="A4105" s="531"/>
    </row>
    <row r="4106" spans="1:1" x14ac:dyDescent="0.25">
      <c r="A4106" s="531"/>
    </row>
    <row r="4107" spans="1:1" x14ac:dyDescent="0.25">
      <c r="A4107" s="531"/>
    </row>
    <row r="4108" spans="1:1" x14ac:dyDescent="0.25">
      <c r="A4108" s="531"/>
    </row>
    <row r="4109" spans="1:1" x14ac:dyDescent="0.25">
      <c r="A4109" s="531"/>
    </row>
    <row r="4110" spans="1:1" x14ac:dyDescent="0.25">
      <c r="A4110" s="531"/>
    </row>
    <row r="4111" spans="1:1" x14ac:dyDescent="0.25">
      <c r="A4111" s="531"/>
    </row>
    <row r="4112" spans="1:1" x14ac:dyDescent="0.25">
      <c r="A4112" s="531"/>
    </row>
    <row r="4113" spans="1:1" x14ac:dyDescent="0.25">
      <c r="A4113" s="531"/>
    </row>
    <row r="4114" spans="1:1" x14ac:dyDescent="0.25">
      <c r="A4114" s="531"/>
    </row>
    <row r="4115" spans="1:1" x14ac:dyDescent="0.25">
      <c r="A4115" s="531"/>
    </row>
    <row r="4116" spans="1:1" x14ac:dyDescent="0.25">
      <c r="A4116" s="531"/>
    </row>
    <row r="4117" spans="1:1" x14ac:dyDescent="0.25">
      <c r="A4117" s="531"/>
    </row>
    <row r="4118" spans="1:1" x14ac:dyDescent="0.25">
      <c r="A4118" s="531"/>
    </row>
    <row r="4119" spans="1:1" x14ac:dyDescent="0.25">
      <c r="A4119" s="531"/>
    </row>
    <row r="4120" spans="1:1" x14ac:dyDescent="0.25">
      <c r="A4120" s="531"/>
    </row>
    <row r="4121" spans="1:1" x14ac:dyDescent="0.25">
      <c r="A4121" s="531"/>
    </row>
    <row r="4122" spans="1:1" x14ac:dyDescent="0.25">
      <c r="A4122" s="531"/>
    </row>
    <row r="4123" spans="1:1" x14ac:dyDescent="0.25">
      <c r="A4123" s="531"/>
    </row>
    <row r="4124" spans="1:1" x14ac:dyDescent="0.25">
      <c r="A4124" s="531"/>
    </row>
    <row r="4125" spans="1:1" x14ac:dyDescent="0.25">
      <c r="A4125" s="531"/>
    </row>
    <row r="4126" spans="1:1" x14ac:dyDescent="0.25">
      <c r="A4126" s="531"/>
    </row>
    <row r="4127" spans="1:1" x14ac:dyDescent="0.25">
      <c r="A4127" s="531"/>
    </row>
    <row r="4128" spans="1:1" x14ac:dyDescent="0.25">
      <c r="A4128" s="531"/>
    </row>
    <row r="4129" spans="1:1" x14ac:dyDescent="0.25">
      <c r="A4129" s="531"/>
    </row>
    <row r="4130" spans="1:1" x14ac:dyDescent="0.25">
      <c r="A4130" s="531"/>
    </row>
    <row r="4131" spans="1:1" x14ac:dyDescent="0.25">
      <c r="A4131" s="531"/>
    </row>
    <row r="4132" spans="1:1" x14ac:dyDescent="0.25">
      <c r="A4132" s="531"/>
    </row>
    <row r="4133" spans="1:1" x14ac:dyDescent="0.25">
      <c r="A4133" s="531"/>
    </row>
    <row r="4134" spans="1:1" x14ac:dyDescent="0.25">
      <c r="A4134" s="531"/>
    </row>
    <row r="4135" spans="1:1" x14ac:dyDescent="0.25">
      <c r="A4135" s="531"/>
    </row>
    <row r="4136" spans="1:1" x14ac:dyDescent="0.25">
      <c r="A4136" s="531"/>
    </row>
    <row r="4137" spans="1:1" x14ac:dyDescent="0.25">
      <c r="A4137" s="531"/>
    </row>
    <row r="4138" spans="1:1" x14ac:dyDescent="0.25">
      <c r="A4138" s="531"/>
    </row>
    <row r="4139" spans="1:1" x14ac:dyDescent="0.25">
      <c r="A4139" s="531"/>
    </row>
    <row r="4140" spans="1:1" x14ac:dyDescent="0.25">
      <c r="A4140" s="531"/>
    </row>
    <row r="4141" spans="1:1" x14ac:dyDescent="0.25">
      <c r="A4141" s="531"/>
    </row>
    <row r="4142" spans="1:1" x14ac:dyDescent="0.25">
      <c r="A4142" s="531"/>
    </row>
    <row r="4143" spans="1:1" x14ac:dyDescent="0.25">
      <c r="A4143" s="531"/>
    </row>
    <row r="4144" spans="1:1" x14ac:dyDescent="0.25">
      <c r="A4144" s="531"/>
    </row>
    <row r="4145" spans="1:1" x14ac:dyDescent="0.25">
      <c r="A4145" s="531"/>
    </row>
    <row r="4146" spans="1:1" x14ac:dyDescent="0.25">
      <c r="A4146" s="531"/>
    </row>
    <row r="4147" spans="1:1" x14ac:dyDescent="0.25">
      <c r="A4147" s="531"/>
    </row>
    <row r="4148" spans="1:1" x14ac:dyDescent="0.25">
      <c r="A4148" s="531"/>
    </row>
    <row r="4149" spans="1:1" x14ac:dyDescent="0.25">
      <c r="A4149" s="531"/>
    </row>
    <row r="4150" spans="1:1" x14ac:dyDescent="0.25">
      <c r="A4150" s="531"/>
    </row>
    <row r="4151" spans="1:1" x14ac:dyDescent="0.25">
      <c r="A4151" s="531"/>
    </row>
    <row r="4152" spans="1:1" x14ac:dyDescent="0.25">
      <c r="A4152" s="531"/>
    </row>
    <row r="4153" spans="1:1" x14ac:dyDescent="0.25">
      <c r="A4153" s="531"/>
    </row>
    <row r="4154" spans="1:1" x14ac:dyDescent="0.25">
      <c r="A4154" s="531"/>
    </row>
    <row r="4155" spans="1:1" x14ac:dyDescent="0.25">
      <c r="A4155" s="531"/>
    </row>
    <row r="4156" spans="1:1" x14ac:dyDescent="0.25">
      <c r="A4156" s="531"/>
    </row>
    <row r="4157" spans="1:1" x14ac:dyDescent="0.25">
      <c r="A4157" s="531"/>
    </row>
    <row r="4158" spans="1:1" x14ac:dyDescent="0.25">
      <c r="A4158" s="531"/>
    </row>
    <row r="4159" spans="1:1" x14ac:dyDescent="0.25">
      <c r="A4159" s="531"/>
    </row>
    <row r="4160" spans="1:1" x14ac:dyDescent="0.25">
      <c r="A4160" s="531"/>
    </row>
    <row r="4161" spans="1:1" x14ac:dyDescent="0.25">
      <c r="A4161" s="531"/>
    </row>
    <row r="4162" spans="1:1" x14ac:dyDescent="0.25">
      <c r="A4162" s="531"/>
    </row>
    <row r="4163" spans="1:1" x14ac:dyDescent="0.25">
      <c r="A4163" s="531"/>
    </row>
    <row r="4164" spans="1:1" x14ac:dyDescent="0.25">
      <c r="A4164" s="531"/>
    </row>
    <row r="4165" spans="1:1" x14ac:dyDescent="0.25">
      <c r="A4165" s="531"/>
    </row>
    <row r="4166" spans="1:1" x14ac:dyDescent="0.25">
      <c r="A4166" s="531"/>
    </row>
    <row r="4167" spans="1:1" x14ac:dyDescent="0.25">
      <c r="A4167" s="531"/>
    </row>
    <row r="4168" spans="1:1" x14ac:dyDescent="0.25">
      <c r="A4168" s="531"/>
    </row>
    <row r="4169" spans="1:1" x14ac:dyDescent="0.25">
      <c r="A4169" s="531"/>
    </row>
    <row r="4170" spans="1:1" x14ac:dyDescent="0.25">
      <c r="A4170" s="531"/>
    </row>
    <row r="4171" spans="1:1" x14ac:dyDescent="0.25">
      <c r="A4171" s="531"/>
    </row>
    <row r="4172" spans="1:1" x14ac:dyDescent="0.25">
      <c r="A4172" s="531"/>
    </row>
    <row r="4173" spans="1:1" x14ac:dyDescent="0.25">
      <c r="A4173" s="531"/>
    </row>
    <row r="4174" spans="1:1" x14ac:dyDescent="0.25">
      <c r="A4174" s="531"/>
    </row>
    <row r="4175" spans="1:1" x14ac:dyDescent="0.25">
      <c r="A4175" s="531"/>
    </row>
    <row r="4176" spans="1:1" x14ac:dyDescent="0.25">
      <c r="A4176" s="531"/>
    </row>
    <row r="4177" spans="1:1" x14ac:dyDescent="0.25">
      <c r="A4177" s="531"/>
    </row>
    <row r="4178" spans="1:1" x14ac:dyDescent="0.25">
      <c r="A4178" s="531"/>
    </row>
    <row r="4179" spans="1:1" x14ac:dyDescent="0.25">
      <c r="A4179" s="531"/>
    </row>
    <row r="4180" spans="1:1" x14ac:dyDescent="0.25">
      <c r="A4180" s="531"/>
    </row>
    <row r="4181" spans="1:1" x14ac:dyDescent="0.25">
      <c r="A4181" s="531"/>
    </row>
    <row r="4182" spans="1:1" x14ac:dyDescent="0.25">
      <c r="A4182" s="531"/>
    </row>
    <row r="4183" spans="1:1" x14ac:dyDescent="0.25">
      <c r="A4183" s="531"/>
    </row>
    <row r="4184" spans="1:1" x14ac:dyDescent="0.25">
      <c r="A4184" s="531"/>
    </row>
    <row r="4185" spans="1:1" x14ac:dyDescent="0.25">
      <c r="A4185" s="531"/>
    </row>
    <row r="4186" spans="1:1" x14ac:dyDescent="0.25">
      <c r="A4186" s="531"/>
    </row>
    <row r="4187" spans="1:1" x14ac:dyDescent="0.25">
      <c r="A4187" s="531"/>
    </row>
    <row r="4188" spans="1:1" x14ac:dyDescent="0.25">
      <c r="A4188" s="531"/>
    </row>
    <row r="4189" spans="1:1" x14ac:dyDescent="0.25">
      <c r="A4189" s="531"/>
    </row>
    <row r="4190" spans="1:1" x14ac:dyDescent="0.25">
      <c r="A4190" s="531"/>
    </row>
    <row r="4191" spans="1:1" x14ac:dyDescent="0.25">
      <c r="A4191" s="531"/>
    </row>
    <row r="4192" spans="1:1" x14ac:dyDescent="0.25">
      <c r="A4192" s="531"/>
    </row>
    <row r="4193" spans="1:1" x14ac:dyDescent="0.25">
      <c r="A4193" s="531"/>
    </row>
    <row r="4194" spans="1:1" x14ac:dyDescent="0.25">
      <c r="A4194" s="531"/>
    </row>
    <row r="4195" spans="1:1" x14ac:dyDescent="0.25">
      <c r="A4195" s="531"/>
    </row>
    <row r="4196" spans="1:1" x14ac:dyDescent="0.25">
      <c r="A4196" s="531"/>
    </row>
    <row r="4197" spans="1:1" x14ac:dyDescent="0.25">
      <c r="A4197" s="531"/>
    </row>
    <row r="4198" spans="1:1" x14ac:dyDescent="0.25">
      <c r="A4198" s="531"/>
    </row>
    <row r="4199" spans="1:1" x14ac:dyDescent="0.25">
      <c r="A4199" s="531"/>
    </row>
    <row r="4200" spans="1:1" x14ac:dyDescent="0.25">
      <c r="A4200" s="531"/>
    </row>
    <row r="4201" spans="1:1" x14ac:dyDescent="0.25">
      <c r="A4201" s="531"/>
    </row>
    <row r="4202" spans="1:1" x14ac:dyDescent="0.25">
      <c r="A4202" s="531"/>
    </row>
    <row r="4203" spans="1:1" x14ac:dyDescent="0.25">
      <c r="A4203" s="531"/>
    </row>
    <row r="4204" spans="1:1" x14ac:dyDescent="0.25">
      <c r="A4204" s="531"/>
    </row>
    <row r="4205" spans="1:1" x14ac:dyDescent="0.25">
      <c r="A4205" s="531"/>
    </row>
    <row r="4206" spans="1:1" x14ac:dyDescent="0.25">
      <c r="A4206" s="531"/>
    </row>
    <row r="4207" spans="1:1" x14ac:dyDescent="0.25">
      <c r="A4207" s="531"/>
    </row>
    <row r="4208" spans="1:1" x14ac:dyDescent="0.25">
      <c r="A4208" s="531"/>
    </row>
    <row r="4209" spans="1:1" x14ac:dyDescent="0.25">
      <c r="A4209" s="531"/>
    </row>
    <row r="4210" spans="1:1" x14ac:dyDescent="0.25">
      <c r="A4210" s="531"/>
    </row>
    <row r="4211" spans="1:1" x14ac:dyDescent="0.25">
      <c r="A4211" s="531"/>
    </row>
    <row r="4212" spans="1:1" x14ac:dyDescent="0.25">
      <c r="A4212" s="531"/>
    </row>
    <row r="4213" spans="1:1" x14ac:dyDescent="0.25">
      <c r="A4213" s="531"/>
    </row>
    <row r="4214" spans="1:1" x14ac:dyDescent="0.25">
      <c r="A4214" s="531"/>
    </row>
    <row r="4215" spans="1:1" x14ac:dyDescent="0.25">
      <c r="A4215" s="531"/>
    </row>
    <row r="4216" spans="1:1" x14ac:dyDescent="0.25">
      <c r="A4216" s="531"/>
    </row>
    <row r="4217" spans="1:1" x14ac:dyDescent="0.25">
      <c r="A4217" s="531"/>
    </row>
    <row r="4218" spans="1:1" x14ac:dyDescent="0.25">
      <c r="A4218" s="531"/>
    </row>
    <row r="4219" spans="1:1" x14ac:dyDescent="0.25">
      <c r="A4219" s="531"/>
    </row>
    <row r="4220" spans="1:1" x14ac:dyDescent="0.25">
      <c r="A4220" s="531"/>
    </row>
    <row r="4221" spans="1:1" x14ac:dyDescent="0.25">
      <c r="A4221" s="531"/>
    </row>
    <row r="4222" spans="1:1" x14ac:dyDescent="0.25">
      <c r="A4222" s="531"/>
    </row>
    <row r="4223" spans="1:1" x14ac:dyDescent="0.25">
      <c r="A4223" s="531"/>
    </row>
    <row r="4224" spans="1:1" x14ac:dyDescent="0.25">
      <c r="A4224" s="531"/>
    </row>
    <row r="4225" spans="1:1" x14ac:dyDescent="0.25">
      <c r="A4225" s="531"/>
    </row>
    <row r="4226" spans="1:1" x14ac:dyDescent="0.25">
      <c r="A4226" s="531"/>
    </row>
    <row r="4227" spans="1:1" x14ac:dyDescent="0.25">
      <c r="A4227" s="531"/>
    </row>
    <row r="4228" spans="1:1" x14ac:dyDescent="0.25">
      <c r="A4228" s="531"/>
    </row>
    <row r="4229" spans="1:1" x14ac:dyDescent="0.25">
      <c r="A4229" s="531"/>
    </row>
    <row r="4230" spans="1:1" x14ac:dyDescent="0.25">
      <c r="A4230" s="531"/>
    </row>
    <row r="4231" spans="1:1" x14ac:dyDescent="0.25">
      <c r="A4231" s="531"/>
    </row>
    <row r="4232" spans="1:1" x14ac:dyDescent="0.25">
      <c r="A4232" s="531"/>
    </row>
    <row r="4233" spans="1:1" x14ac:dyDescent="0.25">
      <c r="A4233" s="531"/>
    </row>
    <row r="4234" spans="1:1" x14ac:dyDescent="0.25">
      <c r="A4234" s="531"/>
    </row>
    <row r="4235" spans="1:1" x14ac:dyDescent="0.25">
      <c r="A4235" s="531"/>
    </row>
    <row r="4236" spans="1:1" x14ac:dyDescent="0.25">
      <c r="A4236" s="531"/>
    </row>
    <row r="4237" spans="1:1" x14ac:dyDescent="0.25">
      <c r="A4237" s="531"/>
    </row>
    <row r="4238" spans="1:1" x14ac:dyDescent="0.25">
      <c r="A4238" s="531"/>
    </row>
    <row r="4239" spans="1:1" x14ac:dyDescent="0.25">
      <c r="A4239" s="531"/>
    </row>
    <row r="4240" spans="1:1" x14ac:dyDescent="0.25">
      <c r="A4240" s="531"/>
    </row>
    <row r="4241" spans="1:1" x14ac:dyDescent="0.25">
      <c r="A4241" s="531"/>
    </row>
    <row r="4242" spans="1:1" x14ac:dyDescent="0.25">
      <c r="A4242" s="531"/>
    </row>
    <row r="4243" spans="1:1" x14ac:dyDescent="0.25">
      <c r="A4243" s="531"/>
    </row>
    <row r="4244" spans="1:1" x14ac:dyDescent="0.25">
      <c r="A4244" s="531"/>
    </row>
    <row r="4245" spans="1:1" x14ac:dyDescent="0.25">
      <c r="A4245" s="531"/>
    </row>
    <row r="4246" spans="1:1" x14ac:dyDescent="0.25">
      <c r="A4246" s="531"/>
    </row>
    <row r="4247" spans="1:1" x14ac:dyDescent="0.25">
      <c r="A4247" s="531"/>
    </row>
    <row r="4248" spans="1:1" x14ac:dyDescent="0.25">
      <c r="A4248" s="531"/>
    </row>
    <row r="4249" spans="1:1" x14ac:dyDescent="0.25">
      <c r="A4249" s="531"/>
    </row>
    <row r="4250" spans="1:1" x14ac:dyDescent="0.25">
      <c r="A4250" s="531"/>
    </row>
    <row r="4251" spans="1:1" x14ac:dyDescent="0.25">
      <c r="A4251" s="531"/>
    </row>
    <row r="4252" spans="1:1" x14ac:dyDescent="0.25">
      <c r="A4252" s="531"/>
    </row>
    <row r="4253" spans="1:1" x14ac:dyDescent="0.25">
      <c r="A4253" s="531"/>
    </row>
    <row r="4254" spans="1:1" x14ac:dyDescent="0.25">
      <c r="A4254" s="531"/>
    </row>
    <row r="4255" spans="1:1" x14ac:dyDescent="0.25">
      <c r="A4255" s="531"/>
    </row>
    <row r="4256" spans="1:1" x14ac:dyDescent="0.25">
      <c r="A4256" s="531"/>
    </row>
    <row r="4257" spans="1:1" x14ac:dyDescent="0.25">
      <c r="A4257" s="531"/>
    </row>
    <row r="4258" spans="1:1" x14ac:dyDescent="0.25">
      <c r="A4258" s="531"/>
    </row>
    <row r="4259" spans="1:1" x14ac:dyDescent="0.25">
      <c r="A4259" s="531"/>
    </row>
    <row r="4260" spans="1:1" x14ac:dyDescent="0.25">
      <c r="A4260" s="531"/>
    </row>
    <row r="4261" spans="1:1" x14ac:dyDescent="0.25">
      <c r="A4261" s="531"/>
    </row>
    <row r="4262" spans="1:1" x14ac:dyDescent="0.25">
      <c r="A4262" s="531"/>
    </row>
    <row r="4263" spans="1:1" x14ac:dyDescent="0.25">
      <c r="A4263" s="531"/>
    </row>
    <row r="4264" spans="1:1" x14ac:dyDescent="0.25">
      <c r="A4264" s="531"/>
    </row>
    <row r="4265" spans="1:1" x14ac:dyDescent="0.25">
      <c r="A4265" s="531"/>
    </row>
    <row r="4266" spans="1:1" x14ac:dyDescent="0.25">
      <c r="A4266" s="531"/>
    </row>
    <row r="4267" spans="1:1" x14ac:dyDescent="0.25">
      <c r="A4267" s="531"/>
    </row>
    <row r="4268" spans="1:1" x14ac:dyDescent="0.25">
      <c r="A4268" s="531"/>
    </row>
    <row r="4269" spans="1:1" x14ac:dyDescent="0.25">
      <c r="A4269" s="531"/>
    </row>
    <row r="4270" spans="1:1" x14ac:dyDescent="0.25">
      <c r="A4270" s="531"/>
    </row>
    <row r="4271" spans="1:1" x14ac:dyDescent="0.25">
      <c r="A4271" s="531"/>
    </row>
    <row r="4272" spans="1:1" x14ac:dyDescent="0.25">
      <c r="A4272" s="531"/>
    </row>
    <row r="4273" spans="1:1" x14ac:dyDescent="0.25">
      <c r="A4273" s="531"/>
    </row>
    <row r="4274" spans="1:1" x14ac:dyDescent="0.25">
      <c r="A4274" s="531"/>
    </row>
    <row r="4275" spans="1:1" x14ac:dyDescent="0.25">
      <c r="A4275" s="531"/>
    </row>
    <row r="4276" spans="1:1" x14ac:dyDescent="0.25">
      <c r="A4276" s="531"/>
    </row>
    <row r="4277" spans="1:1" x14ac:dyDescent="0.25">
      <c r="A4277" s="531"/>
    </row>
    <row r="4278" spans="1:1" x14ac:dyDescent="0.25">
      <c r="A4278" s="531"/>
    </row>
    <row r="4279" spans="1:1" x14ac:dyDescent="0.25">
      <c r="A4279" s="531"/>
    </row>
    <row r="4280" spans="1:1" x14ac:dyDescent="0.25">
      <c r="A4280" s="531"/>
    </row>
    <row r="4281" spans="1:1" x14ac:dyDescent="0.25">
      <c r="A4281" s="531"/>
    </row>
    <row r="4282" spans="1:1" x14ac:dyDescent="0.25">
      <c r="A4282" s="531"/>
    </row>
    <row r="4283" spans="1:1" x14ac:dyDescent="0.25">
      <c r="A4283" s="531"/>
    </row>
    <row r="4284" spans="1:1" x14ac:dyDescent="0.25">
      <c r="A4284" s="531"/>
    </row>
    <row r="4285" spans="1:1" x14ac:dyDescent="0.25">
      <c r="A4285" s="531"/>
    </row>
    <row r="4286" spans="1:1" x14ac:dyDescent="0.25">
      <c r="A4286" s="531"/>
    </row>
    <row r="4287" spans="1:1" x14ac:dyDescent="0.25">
      <c r="A4287" s="531"/>
    </row>
    <row r="4288" spans="1:1" x14ac:dyDescent="0.25">
      <c r="A4288" s="531"/>
    </row>
    <row r="4289" spans="1:1" x14ac:dyDescent="0.25">
      <c r="A4289" s="531"/>
    </row>
    <row r="4290" spans="1:1" x14ac:dyDescent="0.25">
      <c r="A4290" s="531"/>
    </row>
    <row r="4291" spans="1:1" x14ac:dyDescent="0.25">
      <c r="A4291" s="531"/>
    </row>
    <row r="4292" spans="1:1" x14ac:dyDescent="0.25">
      <c r="A4292" s="531"/>
    </row>
    <row r="4293" spans="1:1" x14ac:dyDescent="0.25">
      <c r="A4293" s="531"/>
    </row>
    <row r="4294" spans="1:1" x14ac:dyDescent="0.25">
      <c r="A4294" s="531"/>
    </row>
    <row r="4295" spans="1:1" x14ac:dyDescent="0.25">
      <c r="A4295" s="531"/>
    </row>
    <row r="4296" spans="1:1" x14ac:dyDescent="0.25">
      <c r="A4296" s="531"/>
    </row>
    <row r="4297" spans="1:1" x14ac:dyDescent="0.25">
      <c r="A4297" s="531"/>
    </row>
    <row r="4298" spans="1:1" x14ac:dyDescent="0.25">
      <c r="A4298" s="531"/>
    </row>
    <row r="4299" spans="1:1" x14ac:dyDescent="0.25">
      <c r="A4299" s="531"/>
    </row>
    <row r="4300" spans="1:1" x14ac:dyDescent="0.25">
      <c r="A4300" s="531"/>
    </row>
    <row r="4301" spans="1:1" x14ac:dyDescent="0.25">
      <c r="A4301" s="531"/>
    </row>
    <row r="4302" spans="1:1" x14ac:dyDescent="0.25">
      <c r="A4302" s="531"/>
    </row>
    <row r="4303" spans="1:1" x14ac:dyDescent="0.25">
      <c r="A4303" s="531"/>
    </row>
    <row r="4304" spans="1:1" x14ac:dyDescent="0.25">
      <c r="A4304" s="531"/>
    </row>
    <row r="4305" spans="1:1" x14ac:dyDescent="0.25">
      <c r="A4305" s="531"/>
    </row>
    <row r="4306" spans="1:1" x14ac:dyDescent="0.25">
      <c r="A4306" s="531"/>
    </row>
    <row r="4307" spans="1:1" x14ac:dyDescent="0.25">
      <c r="A4307" s="531"/>
    </row>
    <row r="4308" spans="1:1" x14ac:dyDescent="0.25">
      <c r="A4308" s="531"/>
    </row>
    <row r="4309" spans="1:1" x14ac:dyDescent="0.25">
      <c r="A4309" s="531"/>
    </row>
    <row r="4310" spans="1:1" x14ac:dyDescent="0.25">
      <c r="A4310" s="531"/>
    </row>
    <row r="4311" spans="1:1" x14ac:dyDescent="0.25">
      <c r="A4311" s="531"/>
    </row>
    <row r="4312" spans="1:1" x14ac:dyDescent="0.25">
      <c r="A4312" s="531"/>
    </row>
    <row r="4313" spans="1:1" x14ac:dyDescent="0.25">
      <c r="A4313" s="531"/>
    </row>
    <row r="4314" spans="1:1" x14ac:dyDescent="0.25">
      <c r="A4314" s="531"/>
    </row>
    <row r="4315" spans="1:1" x14ac:dyDescent="0.25">
      <c r="A4315" s="531"/>
    </row>
    <row r="4316" spans="1:1" x14ac:dyDescent="0.25">
      <c r="A4316" s="531"/>
    </row>
    <row r="4317" spans="1:1" x14ac:dyDescent="0.25">
      <c r="A4317" s="531"/>
    </row>
    <row r="4318" spans="1:1" x14ac:dyDescent="0.25">
      <c r="A4318" s="531"/>
    </row>
    <row r="4319" spans="1:1" x14ac:dyDescent="0.25">
      <c r="A4319" s="531"/>
    </row>
    <row r="4320" spans="1:1" x14ac:dyDescent="0.25">
      <c r="A4320" s="531"/>
    </row>
    <row r="4321" spans="1:1" x14ac:dyDescent="0.25">
      <c r="A4321" s="531"/>
    </row>
    <row r="4322" spans="1:1" x14ac:dyDescent="0.25">
      <c r="A4322" s="531"/>
    </row>
    <row r="4323" spans="1:1" x14ac:dyDescent="0.25">
      <c r="A4323" s="531"/>
    </row>
    <row r="4324" spans="1:1" x14ac:dyDescent="0.25">
      <c r="A4324" s="531"/>
    </row>
    <row r="4325" spans="1:1" x14ac:dyDescent="0.25">
      <c r="A4325" s="531"/>
    </row>
    <row r="4326" spans="1:1" x14ac:dyDescent="0.25">
      <c r="A4326" s="531"/>
    </row>
    <row r="4327" spans="1:1" x14ac:dyDescent="0.25">
      <c r="A4327" s="531"/>
    </row>
    <row r="4328" spans="1:1" x14ac:dyDescent="0.25">
      <c r="A4328" s="531"/>
    </row>
    <row r="4329" spans="1:1" x14ac:dyDescent="0.25">
      <c r="A4329" s="531"/>
    </row>
    <row r="4330" spans="1:1" x14ac:dyDescent="0.25">
      <c r="A4330" s="531"/>
    </row>
    <row r="4331" spans="1:1" x14ac:dyDescent="0.25">
      <c r="A4331" s="531"/>
    </row>
    <row r="4332" spans="1:1" x14ac:dyDescent="0.25">
      <c r="A4332" s="531"/>
    </row>
    <row r="4333" spans="1:1" x14ac:dyDescent="0.25">
      <c r="A4333" s="531"/>
    </row>
    <row r="4334" spans="1:1" x14ac:dyDescent="0.25">
      <c r="A4334" s="531"/>
    </row>
    <row r="4335" spans="1:1" x14ac:dyDescent="0.25">
      <c r="A4335" s="531"/>
    </row>
    <row r="4336" spans="1:1" x14ac:dyDescent="0.25">
      <c r="A4336" s="531"/>
    </row>
    <row r="4337" spans="1:1" x14ac:dyDescent="0.25">
      <c r="A4337" s="531"/>
    </row>
    <row r="4338" spans="1:1" x14ac:dyDescent="0.25">
      <c r="A4338" s="531"/>
    </row>
    <row r="4339" spans="1:1" x14ac:dyDescent="0.25">
      <c r="A4339" s="531"/>
    </row>
    <row r="4340" spans="1:1" x14ac:dyDescent="0.25">
      <c r="A4340" s="531"/>
    </row>
    <row r="4341" spans="1:1" x14ac:dyDescent="0.25">
      <c r="A4341" s="531"/>
    </row>
    <row r="4342" spans="1:1" x14ac:dyDescent="0.25">
      <c r="A4342" s="531"/>
    </row>
    <row r="4343" spans="1:1" x14ac:dyDescent="0.25">
      <c r="A4343" s="531"/>
    </row>
    <row r="4344" spans="1:1" x14ac:dyDescent="0.25">
      <c r="A4344" s="531"/>
    </row>
    <row r="4345" spans="1:1" x14ac:dyDescent="0.25">
      <c r="A4345" s="531"/>
    </row>
    <row r="4346" spans="1:1" x14ac:dyDescent="0.25">
      <c r="A4346" s="531"/>
    </row>
    <row r="4347" spans="1:1" x14ac:dyDescent="0.25">
      <c r="A4347" s="531"/>
    </row>
    <row r="4348" spans="1:1" x14ac:dyDescent="0.25">
      <c r="A4348" s="531"/>
    </row>
    <row r="4349" spans="1:1" x14ac:dyDescent="0.25">
      <c r="A4349" s="531"/>
    </row>
    <row r="4350" spans="1:1" x14ac:dyDescent="0.25">
      <c r="A4350" s="531"/>
    </row>
    <row r="4351" spans="1:1" x14ac:dyDescent="0.25">
      <c r="A4351" s="531"/>
    </row>
    <row r="4352" spans="1:1" x14ac:dyDescent="0.25">
      <c r="A4352" s="531"/>
    </row>
    <row r="4353" spans="1:1" x14ac:dyDescent="0.25">
      <c r="A4353" s="531"/>
    </row>
    <row r="4354" spans="1:1" x14ac:dyDescent="0.25">
      <c r="A4354" s="531"/>
    </row>
    <row r="4355" spans="1:1" x14ac:dyDescent="0.25">
      <c r="A4355" s="531"/>
    </row>
    <row r="4356" spans="1:1" x14ac:dyDescent="0.25">
      <c r="A4356" s="531"/>
    </row>
    <row r="4357" spans="1:1" x14ac:dyDescent="0.25">
      <c r="A4357" s="531"/>
    </row>
    <row r="4358" spans="1:1" x14ac:dyDescent="0.25">
      <c r="A4358" s="531"/>
    </row>
    <row r="4359" spans="1:1" x14ac:dyDescent="0.25">
      <c r="A4359" s="531"/>
    </row>
    <row r="4360" spans="1:1" x14ac:dyDescent="0.25">
      <c r="A4360" s="531"/>
    </row>
    <row r="4361" spans="1:1" x14ac:dyDescent="0.25">
      <c r="A4361" s="531"/>
    </row>
    <row r="4362" spans="1:1" x14ac:dyDescent="0.25">
      <c r="A4362" s="531"/>
    </row>
    <row r="4363" spans="1:1" x14ac:dyDescent="0.25">
      <c r="A4363" s="531"/>
    </row>
    <row r="4364" spans="1:1" x14ac:dyDescent="0.25">
      <c r="A4364" s="531"/>
    </row>
    <row r="4365" spans="1:1" x14ac:dyDescent="0.25">
      <c r="A4365" s="531"/>
    </row>
    <row r="4366" spans="1:1" x14ac:dyDescent="0.25">
      <c r="A4366" s="531"/>
    </row>
    <row r="4367" spans="1:1" x14ac:dyDescent="0.25">
      <c r="A4367" s="531"/>
    </row>
    <row r="4368" spans="1:1" x14ac:dyDescent="0.25">
      <c r="A4368" s="531"/>
    </row>
    <row r="4369" spans="1:1" x14ac:dyDescent="0.25">
      <c r="A4369" s="531"/>
    </row>
    <row r="4370" spans="1:1" x14ac:dyDescent="0.25">
      <c r="A4370" s="531"/>
    </row>
    <row r="4371" spans="1:1" x14ac:dyDescent="0.25">
      <c r="A4371" s="531"/>
    </row>
    <row r="4372" spans="1:1" x14ac:dyDescent="0.25">
      <c r="A4372" s="531"/>
    </row>
    <row r="4373" spans="1:1" x14ac:dyDescent="0.25">
      <c r="A4373" s="531"/>
    </row>
    <row r="4374" spans="1:1" x14ac:dyDescent="0.25">
      <c r="A4374" s="531"/>
    </row>
    <row r="4375" spans="1:1" x14ac:dyDescent="0.25">
      <c r="A4375" s="531"/>
    </row>
    <row r="4376" spans="1:1" x14ac:dyDescent="0.25">
      <c r="A4376" s="531"/>
    </row>
    <row r="4377" spans="1:1" x14ac:dyDescent="0.25">
      <c r="A4377" s="531"/>
    </row>
    <row r="4378" spans="1:1" x14ac:dyDescent="0.25">
      <c r="A4378" s="531"/>
    </row>
    <row r="4379" spans="1:1" x14ac:dyDescent="0.25">
      <c r="A4379" s="531"/>
    </row>
    <row r="4380" spans="1:1" x14ac:dyDescent="0.25">
      <c r="A4380" s="531"/>
    </row>
    <row r="4381" spans="1:1" x14ac:dyDescent="0.25">
      <c r="A4381" s="531"/>
    </row>
    <row r="4382" spans="1:1" x14ac:dyDescent="0.25">
      <c r="A4382" s="531"/>
    </row>
    <row r="4383" spans="1:1" x14ac:dyDescent="0.25">
      <c r="A4383" s="531"/>
    </row>
    <row r="4384" spans="1:1" x14ac:dyDescent="0.25">
      <c r="A4384" s="531"/>
    </row>
    <row r="4385" spans="1:1" x14ac:dyDescent="0.25">
      <c r="A4385" s="531"/>
    </row>
    <row r="4386" spans="1:1" x14ac:dyDescent="0.25">
      <c r="A4386" s="531"/>
    </row>
    <row r="4387" spans="1:1" x14ac:dyDescent="0.25">
      <c r="A4387" s="531"/>
    </row>
    <row r="4388" spans="1:1" x14ac:dyDescent="0.25">
      <c r="A4388" s="531"/>
    </row>
    <row r="4389" spans="1:1" x14ac:dyDescent="0.25">
      <c r="A4389" s="531"/>
    </row>
    <row r="4390" spans="1:1" x14ac:dyDescent="0.25">
      <c r="A4390" s="531"/>
    </row>
    <row r="4391" spans="1:1" x14ac:dyDescent="0.25">
      <c r="A4391" s="531"/>
    </row>
    <row r="4392" spans="1:1" x14ac:dyDescent="0.25">
      <c r="A4392" s="531"/>
    </row>
    <row r="4393" spans="1:1" x14ac:dyDescent="0.25">
      <c r="A4393" s="531"/>
    </row>
    <row r="4394" spans="1:1" x14ac:dyDescent="0.25">
      <c r="A4394" s="531"/>
    </row>
    <row r="4395" spans="1:1" x14ac:dyDescent="0.25">
      <c r="A4395" s="531"/>
    </row>
    <row r="4396" spans="1:1" x14ac:dyDescent="0.25">
      <c r="A4396" s="531"/>
    </row>
    <row r="4397" spans="1:1" x14ac:dyDescent="0.25">
      <c r="A4397" s="531"/>
    </row>
    <row r="4398" spans="1:1" x14ac:dyDescent="0.25">
      <c r="A4398" s="531"/>
    </row>
    <row r="4399" spans="1:1" x14ac:dyDescent="0.25">
      <c r="A4399" s="531"/>
    </row>
    <row r="4400" spans="1:1" x14ac:dyDescent="0.25">
      <c r="A4400" s="531"/>
    </row>
    <row r="4401" spans="1:1" x14ac:dyDescent="0.25">
      <c r="A4401" s="531"/>
    </row>
    <row r="4402" spans="1:1" x14ac:dyDescent="0.25">
      <c r="A4402" s="531"/>
    </row>
    <row r="4403" spans="1:1" x14ac:dyDescent="0.25">
      <c r="A4403" s="531"/>
    </row>
    <row r="4404" spans="1:1" x14ac:dyDescent="0.25">
      <c r="A4404" s="531"/>
    </row>
    <row r="4405" spans="1:1" x14ac:dyDescent="0.25">
      <c r="A4405" s="531"/>
    </row>
    <row r="4406" spans="1:1" x14ac:dyDescent="0.25">
      <c r="A4406" s="531"/>
    </row>
    <row r="4407" spans="1:1" x14ac:dyDescent="0.25">
      <c r="A4407" s="531"/>
    </row>
    <row r="4408" spans="1:1" x14ac:dyDescent="0.25">
      <c r="A4408" s="531"/>
    </row>
    <row r="4409" spans="1:1" x14ac:dyDescent="0.25">
      <c r="A4409" s="531"/>
    </row>
    <row r="4410" spans="1:1" x14ac:dyDescent="0.25">
      <c r="A4410" s="531"/>
    </row>
    <row r="4411" spans="1:1" x14ac:dyDescent="0.25">
      <c r="A4411" s="531"/>
    </row>
    <row r="4412" spans="1:1" x14ac:dyDescent="0.25">
      <c r="A4412" s="531"/>
    </row>
    <row r="4413" spans="1:1" x14ac:dyDescent="0.25">
      <c r="A4413" s="531"/>
    </row>
    <row r="4414" spans="1:1" x14ac:dyDescent="0.25">
      <c r="A4414" s="531"/>
    </row>
    <row r="4415" spans="1:1" x14ac:dyDescent="0.25">
      <c r="A4415" s="531"/>
    </row>
    <row r="4416" spans="1:1" x14ac:dyDescent="0.25">
      <c r="A4416" s="531"/>
    </row>
    <row r="4417" spans="1:1" x14ac:dyDescent="0.25">
      <c r="A4417" s="531"/>
    </row>
    <row r="4418" spans="1:1" x14ac:dyDescent="0.25">
      <c r="A4418" s="531"/>
    </row>
    <row r="4419" spans="1:1" x14ac:dyDescent="0.25">
      <c r="A4419" s="531"/>
    </row>
    <row r="4420" spans="1:1" x14ac:dyDescent="0.25">
      <c r="A4420" s="531"/>
    </row>
    <row r="4421" spans="1:1" x14ac:dyDescent="0.25">
      <c r="A4421" s="531"/>
    </row>
    <row r="4422" spans="1:1" x14ac:dyDescent="0.25">
      <c r="A4422" s="531"/>
    </row>
    <row r="4423" spans="1:1" x14ac:dyDescent="0.25">
      <c r="A4423" s="531"/>
    </row>
    <row r="4424" spans="1:1" x14ac:dyDescent="0.25">
      <c r="A4424" s="531"/>
    </row>
    <row r="4425" spans="1:1" x14ac:dyDescent="0.25">
      <c r="A4425" s="531"/>
    </row>
    <row r="4426" spans="1:1" x14ac:dyDescent="0.25">
      <c r="A4426" s="531"/>
    </row>
    <row r="4427" spans="1:1" x14ac:dyDescent="0.25">
      <c r="A4427" s="531"/>
    </row>
    <row r="4428" spans="1:1" x14ac:dyDescent="0.25">
      <c r="A4428" s="531"/>
    </row>
    <row r="4429" spans="1:1" x14ac:dyDescent="0.25">
      <c r="A4429" s="531"/>
    </row>
    <row r="4430" spans="1:1" x14ac:dyDescent="0.25">
      <c r="A4430" s="531"/>
    </row>
    <row r="4431" spans="1:1" x14ac:dyDescent="0.25">
      <c r="A4431" s="531"/>
    </row>
    <row r="4432" spans="1:1" x14ac:dyDescent="0.25">
      <c r="A4432" s="531"/>
    </row>
    <row r="4433" spans="1:1" x14ac:dyDescent="0.25">
      <c r="A4433" s="531"/>
    </row>
    <row r="4434" spans="1:1" x14ac:dyDescent="0.25">
      <c r="A4434" s="531"/>
    </row>
    <row r="4435" spans="1:1" x14ac:dyDescent="0.25">
      <c r="A4435" s="531"/>
    </row>
    <row r="4436" spans="1:1" x14ac:dyDescent="0.25">
      <c r="A4436" s="531"/>
    </row>
    <row r="4437" spans="1:1" x14ac:dyDescent="0.25">
      <c r="A4437" s="531"/>
    </row>
    <row r="4438" spans="1:1" x14ac:dyDescent="0.25">
      <c r="A4438" s="531"/>
    </row>
    <row r="4439" spans="1:1" x14ac:dyDescent="0.25">
      <c r="A4439" s="531"/>
    </row>
    <row r="4440" spans="1:1" x14ac:dyDescent="0.25">
      <c r="A4440" s="531"/>
    </row>
    <row r="4441" spans="1:1" x14ac:dyDescent="0.25">
      <c r="A4441" s="531"/>
    </row>
    <row r="4442" spans="1:1" x14ac:dyDescent="0.25">
      <c r="A4442" s="531"/>
    </row>
    <row r="4443" spans="1:1" x14ac:dyDescent="0.25">
      <c r="A4443" s="531"/>
    </row>
    <row r="4444" spans="1:1" x14ac:dyDescent="0.25">
      <c r="A4444" s="531"/>
    </row>
    <row r="4445" spans="1:1" x14ac:dyDescent="0.25">
      <c r="A4445" s="531"/>
    </row>
    <row r="4446" spans="1:1" x14ac:dyDescent="0.25">
      <c r="A4446" s="531"/>
    </row>
    <row r="4447" spans="1:1" x14ac:dyDescent="0.25">
      <c r="A4447" s="531"/>
    </row>
    <row r="4448" spans="1:1" x14ac:dyDescent="0.25">
      <c r="A4448" s="531"/>
    </row>
    <row r="4449" spans="1:1" x14ac:dyDescent="0.25">
      <c r="A4449" s="531"/>
    </row>
    <row r="4450" spans="1:1" x14ac:dyDescent="0.25">
      <c r="A4450" s="531"/>
    </row>
    <row r="4451" spans="1:1" x14ac:dyDescent="0.25">
      <c r="A4451" s="531"/>
    </row>
    <row r="4452" spans="1:1" x14ac:dyDescent="0.25">
      <c r="A4452" s="531"/>
    </row>
    <row r="4453" spans="1:1" x14ac:dyDescent="0.25">
      <c r="A4453" s="531"/>
    </row>
    <row r="4454" spans="1:1" x14ac:dyDescent="0.25">
      <c r="A4454" s="531"/>
    </row>
    <row r="4455" spans="1:1" x14ac:dyDescent="0.25">
      <c r="A4455" s="531"/>
    </row>
    <row r="4456" spans="1:1" x14ac:dyDescent="0.25">
      <c r="A4456" s="531"/>
    </row>
    <row r="4457" spans="1:1" x14ac:dyDescent="0.25">
      <c r="A4457" s="531"/>
    </row>
    <row r="4458" spans="1:1" x14ac:dyDescent="0.25">
      <c r="A4458" s="531"/>
    </row>
    <row r="4459" spans="1:1" x14ac:dyDescent="0.25">
      <c r="A4459" s="531"/>
    </row>
    <row r="4460" spans="1:1" x14ac:dyDescent="0.25">
      <c r="A4460" s="531"/>
    </row>
    <row r="4461" spans="1:1" x14ac:dyDescent="0.25">
      <c r="A4461" s="531"/>
    </row>
    <row r="4462" spans="1:1" x14ac:dyDescent="0.25">
      <c r="A4462" s="531"/>
    </row>
    <row r="4463" spans="1:1" x14ac:dyDescent="0.25">
      <c r="A4463" s="531"/>
    </row>
    <row r="4464" spans="1:1" x14ac:dyDescent="0.25">
      <c r="A4464" s="531"/>
    </row>
    <row r="4465" spans="1:1" x14ac:dyDescent="0.25">
      <c r="A4465" s="531"/>
    </row>
    <row r="4466" spans="1:1" x14ac:dyDescent="0.25">
      <c r="A4466" s="531"/>
    </row>
    <row r="4467" spans="1:1" x14ac:dyDescent="0.25">
      <c r="A4467" s="531"/>
    </row>
    <row r="4468" spans="1:1" x14ac:dyDescent="0.25">
      <c r="A4468" s="531"/>
    </row>
    <row r="4469" spans="1:1" x14ac:dyDescent="0.25">
      <c r="A4469" s="531"/>
    </row>
    <row r="4470" spans="1:1" x14ac:dyDescent="0.25">
      <c r="A4470" s="531"/>
    </row>
    <row r="4471" spans="1:1" x14ac:dyDescent="0.25">
      <c r="A4471" s="531"/>
    </row>
    <row r="4472" spans="1:1" x14ac:dyDescent="0.25">
      <c r="A4472" s="531"/>
    </row>
    <row r="4473" spans="1:1" x14ac:dyDescent="0.25">
      <c r="A4473" s="531"/>
    </row>
    <row r="4474" spans="1:1" x14ac:dyDescent="0.25">
      <c r="A4474" s="531"/>
    </row>
    <row r="4475" spans="1:1" x14ac:dyDescent="0.25">
      <c r="A4475" s="531"/>
    </row>
    <row r="4476" spans="1:1" x14ac:dyDescent="0.25">
      <c r="A4476" s="531"/>
    </row>
    <row r="4477" spans="1:1" x14ac:dyDescent="0.25">
      <c r="A4477" s="531"/>
    </row>
    <row r="4478" spans="1:1" x14ac:dyDescent="0.25">
      <c r="A4478" s="531"/>
    </row>
    <row r="4479" spans="1:1" x14ac:dyDescent="0.25">
      <c r="A4479" s="531"/>
    </row>
    <row r="4480" spans="1:1" x14ac:dyDescent="0.25">
      <c r="A4480" s="531"/>
    </row>
    <row r="4481" spans="1:1" x14ac:dyDescent="0.25">
      <c r="A4481" s="531"/>
    </row>
    <row r="4482" spans="1:1" x14ac:dyDescent="0.25">
      <c r="A4482" s="531"/>
    </row>
    <row r="4483" spans="1:1" x14ac:dyDescent="0.25">
      <c r="A4483" s="531"/>
    </row>
    <row r="4484" spans="1:1" x14ac:dyDescent="0.25">
      <c r="A4484" s="531"/>
    </row>
    <row r="4485" spans="1:1" x14ac:dyDescent="0.25">
      <c r="A4485" s="531"/>
    </row>
    <row r="4486" spans="1:1" x14ac:dyDescent="0.25">
      <c r="A4486" s="531"/>
    </row>
    <row r="4487" spans="1:1" x14ac:dyDescent="0.25">
      <c r="A4487" s="531"/>
    </row>
    <row r="4488" spans="1:1" x14ac:dyDescent="0.25">
      <c r="A4488" s="531"/>
    </row>
    <row r="4489" spans="1:1" x14ac:dyDescent="0.25">
      <c r="A4489" s="531"/>
    </row>
    <row r="4490" spans="1:1" x14ac:dyDescent="0.25">
      <c r="A4490" s="531"/>
    </row>
    <row r="4491" spans="1:1" x14ac:dyDescent="0.25">
      <c r="A4491" s="531"/>
    </row>
    <row r="4492" spans="1:1" x14ac:dyDescent="0.25">
      <c r="A4492" s="531"/>
    </row>
    <row r="4493" spans="1:1" x14ac:dyDescent="0.25">
      <c r="A4493" s="531"/>
    </row>
    <row r="4494" spans="1:1" x14ac:dyDescent="0.25">
      <c r="A4494" s="531"/>
    </row>
    <row r="4495" spans="1:1" x14ac:dyDescent="0.25">
      <c r="A4495" s="531"/>
    </row>
    <row r="4496" spans="1:1" x14ac:dyDescent="0.25">
      <c r="A4496" s="531"/>
    </row>
    <row r="4497" spans="1:1" x14ac:dyDescent="0.25">
      <c r="A4497" s="531"/>
    </row>
    <row r="4498" spans="1:1" x14ac:dyDescent="0.25">
      <c r="A4498" s="531"/>
    </row>
    <row r="4499" spans="1:1" x14ac:dyDescent="0.25">
      <c r="A4499" s="531"/>
    </row>
    <row r="4500" spans="1:1" x14ac:dyDescent="0.25">
      <c r="A4500" s="531"/>
    </row>
    <row r="4501" spans="1:1" x14ac:dyDescent="0.25">
      <c r="A4501" s="531"/>
    </row>
    <row r="4502" spans="1:1" x14ac:dyDescent="0.25">
      <c r="A4502" s="531"/>
    </row>
    <row r="4503" spans="1:1" x14ac:dyDescent="0.25">
      <c r="A4503" s="531"/>
    </row>
    <row r="4504" spans="1:1" x14ac:dyDescent="0.25">
      <c r="A4504" s="531"/>
    </row>
    <row r="4505" spans="1:1" x14ac:dyDescent="0.25">
      <c r="A4505" s="531"/>
    </row>
    <row r="4506" spans="1:1" x14ac:dyDescent="0.25">
      <c r="A4506" s="531"/>
    </row>
    <row r="4507" spans="1:1" x14ac:dyDescent="0.25">
      <c r="A4507" s="531"/>
    </row>
    <row r="4508" spans="1:1" x14ac:dyDescent="0.25">
      <c r="A4508" s="531"/>
    </row>
    <row r="4509" spans="1:1" x14ac:dyDescent="0.25">
      <c r="A4509" s="531"/>
    </row>
    <row r="4510" spans="1:1" x14ac:dyDescent="0.25">
      <c r="A4510" s="531"/>
    </row>
    <row r="4511" spans="1:1" x14ac:dyDescent="0.25">
      <c r="A4511" s="531"/>
    </row>
    <row r="4512" spans="1:1" x14ac:dyDescent="0.25">
      <c r="A4512" s="531"/>
    </row>
    <row r="4513" spans="1:1" x14ac:dyDescent="0.25">
      <c r="A4513" s="531"/>
    </row>
    <row r="4514" spans="1:1" x14ac:dyDescent="0.25">
      <c r="A4514" s="531"/>
    </row>
    <row r="4515" spans="1:1" x14ac:dyDescent="0.25">
      <c r="A4515" s="531"/>
    </row>
    <row r="4516" spans="1:1" x14ac:dyDescent="0.25">
      <c r="A4516" s="531"/>
    </row>
    <row r="4517" spans="1:1" x14ac:dyDescent="0.25">
      <c r="A4517" s="531"/>
    </row>
    <row r="4518" spans="1:1" x14ac:dyDescent="0.25">
      <c r="A4518" s="531"/>
    </row>
    <row r="4519" spans="1:1" x14ac:dyDescent="0.25">
      <c r="A4519" s="531"/>
    </row>
    <row r="4520" spans="1:1" x14ac:dyDescent="0.25">
      <c r="A4520" s="531"/>
    </row>
    <row r="4521" spans="1:1" x14ac:dyDescent="0.25">
      <c r="A4521" s="531"/>
    </row>
    <row r="4522" spans="1:1" x14ac:dyDescent="0.25">
      <c r="A4522" s="531"/>
    </row>
    <row r="4523" spans="1:1" x14ac:dyDescent="0.25">
      <c r="A4523" s="531"/>
    </row>
    <row r="4524" spans="1:1" x14ac:dyDescent="0.25">
      <c r="A4524" s="531"/>
    </row>
    <row r="4525" spans="1:1" x14ac:dyDescent="0.25">
      <c r="A4525" s="531"/>
    </row>
    <row r="4526" spans="1:1" x14ac:dyDescent="0.25">
      <c r="A4526" s="531"/>
    </row>
    <row r="4527" spans="1:1" x14ac:dyDescent="0.25">
      <c r="A4527" s="531"/>
    </row>
    <row r="4528" spans="1:1" x14ac:dyDescent="0.25">
      <c r="A4528" s="531"/>
    </row>
    <row r="4529" spans="1:1" x14ac:dyDescent="0.25">
      <c r="A4529" s="531"/>
    </row>
    <row r="4530" spans="1:1" x14ac:dyDescent="0.25">
      <c r="A4530" s="531"/>
    </row>
    <row r="4531" spans="1:1" x14ac:dyDescent="0.25">
      <c r="A4531" s="531"/>
    </row>
    <row r="4532" spans="1:1" x14ac:dyDescent="0.25">
      <c r="A4532" s="531"/>
    </row>
    <row r="4533" spans="1:1" x14ac:dyDescent="0.25">
      <c r="A4533" s="531"/>
    </row>
    <row r="4534" spans="1:1" x14ac:dyDescent="0.25">
      <c r="A4534" s="531"/>
    </row>
    <row r="4535" spans="1:1" x14ac:dyDescent="0.25">
      <c r="A4535" s="531"/>
    </row>
    <row r="4536" spans="1:1" x14ac:dyDescent="0.25">
      <c r="A4536" s="531"/>
    </row>
    <row r="4537" spans="1:1" x14ac:dyDescent="0.25">
      <c r="A4537" s="531"/>
    </row>
    <row r="4538" spans="1:1" x14ac:dyDescent="0.25">
      <c r="A4538" s="531"/>
    </row>
    <row r="4539" spans="1:1" x14ac:dyDescent="0.25">
      <c r="A4539" s="531"/>
    </row>
    <row r="4540" spans="1:1" x14ac:dyDescent="0.25">
      <c r="A4540" s="531"/>
    </row>
    <row r="4541" spans="1:1" x14ac:dyDescent="0.25">
      <c r="A4541" s="531"/>
    </row>
    <row r="4542" spans="1:1" x14ac:dyDescent="0.25">
      <c r="A4542" s="531"/>
    </row>
    <row r="4543" spans="1:1" x14ac:dyDescent="0.25">
      <c r="A4543" s="531"/>
    </row>
    <row r="4544" spans="1:1" x14ac:dyDescent="0.25">
      <c r="A4544" s="531"/>
    </row>
    <row r="4545" spans="1:1" x14ac:dyDescent="0.25">
      <c r="A4545" s="531"/>
    </row>
    <row r="4546" spans="1:1" x14ac:dyDescent="0.25">
      <c r="A4546" s="531"/>
    </row>
    <row r="4547" spans="1:1" x14ac:dyDescent="0.25">
      <c r="A4547" s="531"/>
    </row>
    <row r="4548" spans="1:1" x14ac:dyDescent="0.25">
      <c r="A4548" s="531"/>
    </row>
    <row r="4549" spans="1:1" x14ac:dyDescent="0.25">
      <c r="A4549" s="531"/>
    </row>
    <row r="4550" spans="1:1" x14ac:dyDescent="0.25">
      <c r="A4550" s="531"/>
    </row>
    <row r="4551" spans="1:1" x14ac:dyDescent="0.25">
      <c r="A4551" s="531"/>
    </row>
    <row r="4552" spans="1:1" x14ac:dyDescent="0.25">
      <c r="A4552" s="531"/>
    </row>
    <row r="4553" spans="1:1" x14ac:dyDescent="0.25">
      <c r="A4553" s="531"/>
    </row>
    <row r="4554" spans="1:1" x14ac:dyDescent="0.25">
      <c r="A4554" s="531"/>
    </row>
    <row r="4555" spans="1:1" x14ac:dyDescent="0.25">
      <c r="A4555" s="531"/>
    </row>
    <row r="4556" spans="1:1" x14ac:dyDescent="0.25">
      <c r="A4556" s="531"/>
    </row>
    <row r="4557" spans="1:1" x14ac:dyDescent="0.25">
      <c r="A4557" s="531"/>
    </row>
    <row r="4558" spans="1:1" x14ac:dyDescent="0.25">
      <c r="A4558" s="531"/>
    </row>
    <row r="4559" spans="1:1" x14ac:dyDescent="0.25">
      <c r="A4559" s="531"/>
    </row>
    <row r="4560" spans="1:1" x14ac:dyDescent="0.25">
      <c r="A4560" s="531"/>
    </row>
    <row r="4561" spans="1:1" x14ac:dyDescent="0.25">
      <c r="A4561" s="531"/>
    </row>
    <row r="4562" spans="1:1" x14ac:dyDescent="0.25">
      <c r="A4562" s="531"/>
    </row>
    <row r="4563" spans="1:1" x14ac:dyDescent="0.25">
      <c r="A4563" s="531"/>
    </row>
    <row r="4564" spans="1:1" x14ac:dyDescent="0.25">
      <c r="A4564" s="531"/>
    </row>
    <row r="4565" spans="1:1" x14ac:dyDescent="0.25">
      <c r="A4565" s="531"/>
    </row>
    <row r="4566" spans="1:1" x14ac:dyDescent="0.25">
      <c r="A4566" s="531"/>
    </row>
    <row r="4567" spans="1:1" x14ac:dyDescent="0.25">
      <c r="A4567" s="531"/>
    </row>
    <row r="4568" spans="1:1" x14ac:dyDescent="0.25">
      <c r="A4568" s="531"/>
    </row>
    <row r="4569" spans="1:1" x14ac:dyDescent="0.25">
      <c r="A4569" s="531"/>
    </row>
    <row r="4570" spans="1:1" x14ac:dyDescent="0.25">
      <c r="A4570" s="531"/>
    </row>
    <row r="4571" spans="1:1" x14ac:dyDescent="0.25">
      <c r="A4571" s="531"/>
    </row>
    <row r="4572" spans="1:1" x14ac:dyDescent="0.25">
      <c r="A4572" s="531"/>
    </row>
    <row r="4573" spans="1:1" x14ac:dyDescent="0.25">
      <c r="A4573" s="531"/>
    </row>
    <row r="4574" spans="1:1" x14ac:dyDescent="0.25">
      <c r="A4574" s="531"/>
    </row>
    <row r="4575" spans="1:1" x14ac:dyDescent="0.25">
      <c r="A4575" s="531"/>
    </row>
    <row r="4576" spans="1:1" x14ac:dyDescent="0.25">
      <c r="A4576" s="531"/>
    </row>
    <row r="4577" spans="1:1" x14ac:dyDescent="0.25">
      <c r="A4577" s="531"/>
    </row>
    <row r="4578" spans="1:1" x14ac:dyDescent="0.25">
      <c r="A4578" s="531"/>
    </row>
    <row r="4579" spans="1:1" x14ac:dyDescent="0.25">
      <c r="A4579" s="531"/>
    </row>
    <row r="4580" spans="1:1" x14ac:dyDescent="0.25">
      <c r="A4580" s="531"/>
    </row>
    <row r="4581" spans="1:1" x14ac:dyDescent="0.25">
      <c r="A4581" s="531"/>
    </row>
    <row r="4582" spans="1:1" x14ac:dyDescent="0.25">
      <c r="A4582" s="531"/>
    </row>
    <row r="4583" spans="1:1" x14ac:dyDescent="0.25">
      <c r="A4583" s="531"/>
    </row>
    <row r="4584" spans="1:1" x14ac:dyDescent="0.25">
      <c r="A4584" s="531"/>
    </row>
    <row r="4585" spans="1:1" x14ac:dyDescent="0.25">
      <c r="A4585" s="531"/>
    </row>
    <row r="4586" spans="1:1" x14ac:dyDescent="0.25">
      <c r="A4586" s="531"/>
    </row>
    <row r="4587" spans="1:1" x14ac:dyDescent="0.25">
      <c r="A4587" s="531"/>
    </row>
    <row r="4588" spans="1:1" x14ac:dyDescent="0.25">
      <c r="A4588" s="531"/>
    </row>
    <row r="4589" spans="1:1" x14ac:dyDescent="0.25">
      <c r="A4589" s="531"/>
    </row>
    <row r="4590" spans="1:1" x14ac:dyDescent="0.25">
      <c r="A4590" s="531"/>
    </row>
    <row r="4591" spans="1:1" x14ac:dyDescent="0.25">
      <c r="A4591" s="531"/>
    </row>
    <row r="4592" spans="1:1" x14ac:dyDescent="0.25">
      <c r="A4592" s="531"/>
    </row>
    <row r="4593" spans="1:1" x14ac:dyDescent="0.25">
      <c r="A4593" s="531"/>
    </row>
    <row r="4594" spans="1:1" x14ac:dyDescent="0.25">
      <c r="A4594" s="531"/>
    </row>
    <row r="4595" spans="1:1" x14ac:dyDescent="0.25">
      <c r="A4595" s="531"/>
    </row>
    <row r="4596" spans="1:1" x14ac:dyDescent="0.25">
      <c r="A4596" s="531"/>
    </row>
    <row r="4597" spans="1:1" x14ac:dyDescent="0.25">
      <c r="A4597" s="531"/>
    </row>
    <row r="4598" spans="1:1" x14ac:dyDescent="0.25">
      <c r="A4598" s="531"/>
    </row>
    <row r="4599" spans="1:1" x14ac:dyDescent="0.25">
      <c r="A4599" s="531"/>
    </row>
    <row r="4600" spans="1:1" x14ac:dyDescent="0.25">
      <c r="A4600" s="531"/>
    </row>
    <row r="4601" spans="1:1" x14ac:dyDescent="0.25">
      <c r="A4601" s="531"/>
    </row>
    <row r="4602" spans="1:1" x14ac:dyDescent="0.25">
      <c r="A4602" s="531"/>
    </row>
    <row r="4603" spans="1:1" x14ac:dyDescent="0.25">
      <c r="A4603" s="531"/>
    </row>
    <row r="4604" spans="1:1" x14ac:dyDescent="0.25">
      <c r="A4604" s="531"/>
    </row>
    <row r="4605" spans="1:1" x14ac:dyDescent="0.25">
      <c r="A4605" s="531"/>
    </row>
    <row r="4606" spans="1:1" x14ac:dyDescent="0.25">
      <c r="A4606" s="531"/>
    </row>
    <row r="4607" spans="1:1" x14ac:dyDescent="0.25">
      <c r="A4607" s="531"/>
    </row>
    <row r="4608" spans="1:1" x14ac:dyDescent="0.25">
      <c r="A4608" s="531"/>
    </row>
    <row r="4609" spans="1:1" x14ac:dyDescent="0.25">
      <c r="A4609" s="531"/>
    </row>
    <row r="4610" spans="1:1" x14ac:dyDescent="0.25">
      <c r="A4610" s="531"/>
    </row>
    <row r="4611" spans="1:1" x14ac:dyDescent="0.25">
      <c r="A4611" s="531"/>
    </row>
    <row r="4612" spans="1:1" x14ac:dyDescent="0.25">
      <c r="A4612" s="531"/>
    </row>
    <row r="4613" spans="1:1" x14ac:dyDescent="0.25">
      <c r="A4613" s="531"/>
    </row>
    <row r="4614" spans="1:1" x14ac:dyDescent="0.25">
      <c r="A4614" s="531"/>
    </row>
    <row r="4615" spans="1:1" x14ac:dyDescent="0.25">
      <c r="A4615" s="531"/>
    </row>
    <row r="4616" spans="1:1" x14ac:dyDescent="0.25">
      <c r="A4616" s="531"/>
    </row>
    <row r="4617" spans="1:1" x14ac:dyDescent="0.25">
      <c r="A4617" s="531"/>
    </row>
    <row r="4618" spans="1:1" x14ac:dyDescent="0.25">
      <c r="A4618" s="531"/>
    </row>
    <row r="4619" spans="1:1" x14ac:dyDescent="0.25">
      <c r="A4619" s="531"/>
    </row>
    <row r="4620" spans="1:1" x14ac:dyDescent="0.25">
      <c r="A4620" s="531"/>
    </row>
    <row r="4621" spans="1:1" x14ac:dyDescent="0.25">
      <c r="A4621" s="531"/>
    </row>
    <row r="4622" spans="1:1" x14ac:dyDescent="0.25">
      <c r="A4622" s="531"/>
    </row>
    <row r="4623" spans="1:1" x14ac:dyDescent="0.25">
      <c r="A4623" s="531"/>
    </row>
    <row r="4624" spans="1:1" x14ac:dyDescent="0.25">
      <c r="A4624" s="531"/>
    </row>
    <row r="4625" spans="1:1" x14ac:dyDescent="0.25">
      <c r="A4625" s="531"/>
    </row>
    <row r="4626" spans="1:1" x14ac:dyDescent="0.25">
      <c r="A4626" s="531"/>
    </row>
    <row r="4627" spans="1:1" x14ac:dyDescent="0.25">
      <c r="A4627" s="531"/>
    </row>
    <row r="4628" spans="1:1" x14ac:dyDescent="0.25">
      <c r="A4628" s="531"/>
    </row>
    <row r="4629" spans="1:1" x14ac:dyDescent="0.25">
      <c r="A4629" s="531"/>
    </row>
    <row r="4630" spans="1:1" x14ac:dyDescent="0.25">
      <c r="A4630" s="531"/>
    </row>
    <row r="4631" spans="1:1" x14ac:dyDescent="0.25">
      <c r="A4631" s="531"/>
    </row>
    <row r="4632" spans="1:1" x14ac:dyDescent="0.25">
      <c r="A4632" s="531"/>
    </row>
    <row r="4633" spans="1:1" x14ac:dyDescent="0.25">
      <c r="A4633" s="531"/>
    </row>
    <row r="4634" spans="1:1" x14ac:dyDescent="0.25">
      <c r="A4634" s="531"/>
    </row>
    <row r="4635" spans="1:1" x14ac:dyDescent="0.25">
      <c r="A4635" s="531"/>
    </row>
    <row r="4636" spans="1:1" x14ac:dyDescent="0.25">
      <c r="A4636" s="531"/>
    </row>
    <row r="4637" spans="1:1" x14ac:dyDescent="0.25">
      <c r="A4637" s="531"/>
    </row>
    <row r="4638" spans="1:1" x14ac:dyDescent="0.25">
      <c r="A4638" s="531"/>
    </row>
    <row r="4639" spans="1:1" x14ac:dyDescent="0.25">
      <c r="A4639" s="531"/>
    </row>
    <row r="4640" spans="1:1" x14ac:dyDescent="0.25">
      <c r="A4640" s="531"/>
    </row>
    <row r="4641" spans="1:1" x14ac:dyDescent="0.25">
      <c r="A4641" s="531"/>
    </row>
    <row r="4642" spans="1:1" x14ac:dyDescent="0.25">
      <c r="A4642" s="531"/>
    </row>
    <row r="4643" spans="1:1" x14ac:dyDescent="0.25">
      <c r="A4643" s="531"/>
    </row>
    <row r="4644" spans="1:1" x14ac:dyDescent="0.25">
      <c r="A4644" s="531"/>
    </row>
    <row r="4645" spans="1:1" x14ac:dyDescent="0.25">
      <c r="A4645" s="531"/>
    </row>
    <row r="4646" spans="1:1" x14ac:dyDescent="0.25">
      <c r="A4646" s="531"/>
    </row>
    <row r="4647" spans="1:1" x14ac:dyDescent="0.25">
      <c r="A4647" s="531"/>
    </row>
    <row r="4648" spans="1:1" x14ac:dyDescent="0.25">
      <c r="A4648" s="531"/>
    </row>
    <row r="4649" spans="1:1" x14ac:dyDescent="0.25">
      <c r="A4649" s="531"/>
    </row>
    <row r="4650" spans="1:1" x14ac:dyDescent="0.25">
      <c r="A4650" s="531"/>
    </row>
    <row r="4651" spans="1:1" x14ac:dyDescent="0.25">
      <c r="A4651" s="531"/>
    </row>
    <row r="4652" spans="1:1" x14ac:dyDescent="0.25">
      <c r="A4652" s="531"/>
    </row>
    <row r="4653" spans="1:1" x14ac:dyDescent="0.25">
      <c r="A4653" s="531"/>
    </row>
    <row r="4654" spans="1:1" x14ac:dyDescent="0.25">
      <c r="A4654" s="531"/>
    </row>
    <row r="4655" spans="1:1" x14ac:dyDescent="0.25">
      <c r="A4655" s="531"/>
    </row>
    <row r="4656" spans="1:1" x14ac:dyDescent="0.25">
      <c r="A4656" s="531"/>
    </row>
    <row r="4657" spans="1:1" x14ac:dyDescent="0.25">
      <c r="A4657" s="531"/>
    </row>
    <row r="4658" spans="1:1" x14ac:dyDescent="0.25">
      <c r="A4658" s="531"/>
    </row>
    <row r="4659" spans="1:1" x14ac:dyDescent="0.25">
      <c r="A4659" s="531"/>
    </row>
    <row r="4660" spans="1:1" x14ac:dyDescent="0.25">
      <c r="A4660" s="531"/>
    </row>
    <row r="4661" spans="1:1" x14ac:dyDescent="0.25">
      <c r="A4661" s="531"/>
    </row>
    <row r="4662" spans="1:1" x14ac:dyDescent="0.25">
      <c r="A4662" s="531"/>
    </row>
    <row r="4663" spans="1:1" x14ac:dyDescent="0.25">
      <c r="A4663" s="531"/>
    </row>
    <row r="4664" spans="1:1" x14ac:dyDescent="0.25">
      <c r="A4664" s="531"/>
    </row>
    <row r="4665" spans="1:1" x14ac:dyDescent="0.25">
      <c r="A4665" s="531"/>
    </row>
    <row r="4666" spans="1:1" x14ac:dyDescent="0.25">
      <c r="A4666" s="531"/>
    </row>
    <row r="4667" spans="1:1" x14ac:dyDescent="0.25">
      <c r="A4667" s="531"/>
    </row>
    <row r="4668" spans="1:1" x14ac:dyDescent="0.25">
      <c r="A4668" s="531"/>
    </row>
    <row r="4669" spans="1:1" x14ac:dyDescent="0.25">
      <c r="A4669" s="531"/>
    </row>
    <row r="4670" spans="1:1" x14ac:dyDescent="0.25">
      <c r="A4670" s="531"/>
    </row>
    <row r="4671" spans="1:1" x14ac:dyDescent="0.25">
      <c r="A4671" s="531"/>
    </row>
    <row r="4672" spans="1:1" x14ac:dyDescent="0.25">
      <c r="A4672" s="531"/>
    </row>
    <row r="4673" spans="1:1" x14ac:dyDescent="0.25">
      <c r="A4673" s="531"/>
    </row>
    <row r="4674" spans="1:1" x14ac:dyDescent="0.25">
      <c r="A4674" s="531"/>
    </row>
    <row r="4675" spans="1:1" x14ac:dyDescent="0.25">
      <c r="A4675" s="531"/>
    </row>
    <row r="4676" spans="1:1" x14ac:dyDescent="0.25">
      <c r="A4676" s="531"/>
    </row>
    <row r="4677" spans="1:1" x14ac:dyDescent="0.25">
      <c r="A4677" s="531"/>
    </row>
    <row r="4678" spans="1:1" x14ac:dyDescent="0.25">
      <c r="A4678" s="531"/>
    </row>
    <row r="4679" spans="1:1" x14ac:dyDescent="0.25">
      <c r="A4679" s="531"/>
    </row>
    <row r="4680" spans="1:1" x14ac:dyDescent="0.25">
      <c r="A4680" s="531"/>
    </row>
    <row r="4681" spans="1:1" x14ac:dyDescent="0.25">
      <c r="A4681" s="531"/>
    </row>
    <row r="4682" spans="1:1" x14ac:dyDescent="0.25">
      <c r="A4682" s="531"/>
    </row>
    <row r="4683" spans="1:1" x14ac:dyDescent="0.25">
      <c r="A4683" s="531"/>
    </row>
    <row r="4684" spans="1:1" x14ac:dyDescent="0.25">
      <c r="A4684" s="531"/>
    </row>
    <row r="4685" spans="1:1" x14ac:dyDescent="0.25">
      <c r="A4685" s="531"/>
    </row>
    <row r="4686" spans="1:1" x14ac:dyDescent="0.25">
      <c r="A4686" s="531"/>
    </row>
    <row r="4687" spans="1:1" x14ac:dyDescent="0.25">
      <c r="A4687" s="531"/>
    </row>
    <row r="4688" spans="1:1" x14ac:dyDescent="0.25">
      <c r="A4688" s="531"/>
    </row>
    <row r="4689" spans="1:1" x14ac:dyDescent="0.25">
      <c r="A4689" s="531"/>
    </row>
    <row r="4690" spans="1:1" x14ac:dyDescent="0.25">
      <c r="A4690" s="531"/>
    </row>
    <row r="4691" spans="1:1" x14ac:dyDescent="0.25">
      <c r="A4691" s="531"/>
    </row>
    <row r="4692" spans="1:1" x14ac:dyDescent="0.25">
      <c r="A4692" s="531"/>
    </row>
    <row r="4693" spans="1:1" x14ac:dyDescent="0.25">
      <c r="A4693" s="531"/>
    </row>
    <row r="4694" spans="1:1" x14ac:dyDescent="0.25">
      <c r="A4694" s="531"/>
    </row>
    <row r="4695" spans="1:1" x14ac:dyDescent="0.25">
      <c r="A4695" s="531"/>
    </row>
    <row r="4696" spans="1:1" x14ac:dyDescent="0.25">
      <c r="A4696" s="531"/>
    </row>
    <row r="4697" spans="1:1" x14ac:dyDescent="0.25">
      <c r="A4697" s="531"/>
    </row>
    <row r="4698" spans="1:1" x14ac:dyDescent="0.25">
      <c r="A4698" s="531"/>
    </row>
    <row r="4699" spans="1:1" x14ac:dyDescent="0.25">
      <c r="A4699" s="531"/>
    </row>
    <row r="4700" spans="1:1" x14ac:dyDescent="0.25">
      <c r="A4700" s="531"/>
    </row>
    <row r="4701" spans="1:1" x14ac:dyDescent="0.25">
      <c r="A4701" s="531"/>
    </row>
    <row r="4702" spans="1:1" x14ac:dyDescent="0.25">
      <c r="A4702" s="531"/>
    </row>
    <row r="4703" spans="1:1" x14ac:dyDescent="0.25">
      <c r="A4703" s="531"/>
    </row>
    <row r="4704" spans="1:1" x14ac:dyDescent="0.25">
      <c r="A4704" s="531"/>
    </row>
    <row r="4705" spans="1:1" x14ac:dyDescent="0.25">
      <c r="A4705" s="531"/>
    </row>
    <row r="4706" spans="1:1" x14ac:dyDescent="0.25">
      <c r="A4706" s="531"/>
    </row>
    <row r="4707" spans="1:1" x14ac:dyDescent="0.25">
      <c r="A4707" s="531"/>
    </row>
    <row r="4708" spans="1:1" x14ac:dyDescent="0.25">
      <c r="A4708" s="531"/>
    </row>
    <row r="4709" spans="1:1" x14ac:dyDescent="0.25">
      <c r="A4709" s="531"/>
    </row>
    <row r="4710" spans="1:1" x14ac:dyDescent="0.25">
      <c r="A4710" s="531"/>
    </row>
    <row r="4711" spans="1:1" x14ac:dyDescent="0.25">
      <c r="A4711" s="531"/>
    </row>
    <row r="4712" spans="1:1" x14ac:dyDescent="0.25">
      <c r="A4712" s="531"/>
    </row>
    <row r="4713" spans="1:1" x14ac:dyDescent="0.25">
      <c r="A4713" s="531"/>
    </row>
    <row r="4714" spans="1:1" x14ac:dyDescent="0.25">
      <c r="A4714" s="531"/>
    </row>
    <row r="4715" spans="1:1" x14ac:dyDescent="0.25">
      <c r="A4715" s="531"/>
    </row>
    <row r="4716" spans="1:1" x14ac:dyDescent="0.25">
      <c r="A4716" s="531"/>
    </row>
    <row r="4717" spans="1:1" x14ac:dyDescent="0.25">
      <c r="A4717" s="531"/>
    </row>
    <row r="4718" spans="1:1" x14ac:dyDescent="0.25">
      <c r="A4718" s="531"/>
    </row>
    <row r="4719" spans="1:1" x14ac:dyDescent="0.25">
      <c r="A4719" s="531"/>
    </row>
    <row r="4720" spans="1:1" x14ac:dyDescent="0.25">
      <c r="A4720" s="531"/>
    </row>
    <row r="4721" spans="1:1" x14ac:dyDescent="0.25">
      <c r="A4721" s="531"/>
    </row>
    <row r="4722" spans="1:1" x14ac:dyDescent="0.25">
      <c r="A4722" s="531"/>
    </row>
    <row r="4723" spans="1:1" x14ac:dyDescent="0.25">
      <c r="A4723" s="531"/>
    </row>
    <row r="4724" spans="1:1" x14ac:dyDescent="0.25">
      <c r="A4724" s="531"/>
    </row>
    <row r="4725" spans="1:1" x14ac:dyDescent="0.25">
      <c r="A4725" s="531"/>
    </row>
    <row r="4726" spans="1:1" x14ac:dyDescent="0.25">
      <c r="A4726" s="531"/>
    </row>
    <row r="4727" spans="1:1" x14ac:dyDescent="0.25">
      <c r="A4727" s="531"/>
    </row>
    <row r="4728" spans="1:1" x14ac:dyDescent="0.25">
      <c r="A4728" s="531"/>
    </row>
    <row r="4729" spans="1:1" x14ac:dyDescent="0.25">
      <c r="A4729" s="531"/>
    </row>
    <row r="4730" spans="1:1" x14ac:dyDescent="0.25">
      <c r="A4730" s="531"/>
    </row>
    <row r="4731" spans="1:1" x14ac:dyDescent="0.25">
      <c r="A4731" s="531"/>
    </row>
    <row r="4732" spans="1:1" x14ac:dyDescent="0.25">
      <c r="A4732" s="531"/>
    </row>
    <row r="4733" spans="1:1" x14ac:dyDescent="0.25">
      <c r="A4733" s="531"/>
    </row>
    <row r="4734" spans="1:1" x14ac:dyDescent="0.25">
      <c r="A4734" s="531"/>
    </row>
    <row r="4735" spans="1:1" x14ac:dyDescent="0.25">
      <c r="A4735" s="531"/>
    </row>
    <row r="4736" spans="1:1" x14ac:dyDescent="0.25">
      <c r="A4736" s="531"/>
    </row>
    <row r="4737" spans="1:1" x14ac:dyDescent="0.25">
      <c r="A4737" s="531"/>
    </row>
    <row r="4738" spans="1:1" x14ac:dyDescent="0.25">
      <c r="A4738" s="531"/>
    </row>
    <row r="4739" spans="1:1" x14ac:dyDescent="0.25">
      <c r="A4739" s="531"/>
    </row>
    <row r="4740" spans="1:1" x14ac:dyDescent="0.25">
      <c r="A4740" s="531"/>
    </row>
    <row r="4741" spans="1:1" x14ac:dyDescent="0.25">
      <c r="A4741" s="531"/>
    </row>
    <row r="4742" spans="1:1" x14ac:dyDescent="0.25">
      <c r="A4742" s="531"/>
    </row>
    <row r="4743" spans="1:1" x14ac:dyDescent="0.25">
      <c r="A4743" s="531"/>
    </row>
    <row r="4744" spans="1:1" x14ac:dyDescent="0.25">
      <c r="A4744" s="531"/>
    </row>
    <row r="4745" spans="1:1" x14ac:dyDescent="0.25">
      <c r="A4745" s="531"/>
    </row>
    <row r="4746" spans="1:1" x14ac:dyDescent="0.25">
      <c r="A4746" s="531"/>
    </row>
    <row r="4747" spans="1:1" x14ac:dyDescent="0.25">
      <c r="A4747" s="531"/>
    </row>
    <row r="4748" spans="1:1" x14ac:dyDescent="0.25">
      <c r="A4748" s="531"/>
    </row>
    <row r="4749" spans="1:1" x14ac:dyDescent="0.25">
      <c r="A4749" s="531"/>
    </row>
    <row r="4750" spans="1:1" x14ac:dyDescent="0.25">
      <c r="A4750" s="531"/>
    </row>
    <row r="4751" spans="1:1" x14ac:dyDescent="0.25">
      <c r="A4751" s="531"/>
    </row>
    <row r="4752" spans="1:1" x14ac:dyDescent="0.25">
      <c r="A4752" s="531"/>
    </row>
    <row r="4753" spans="1:1" x14ac:dyDescent="0.25">
      <c r="A4753" s="531"/>
    </row>
    <row r="4754" spans="1:1" x14ac:dyDescent="0.25">
      <c r="A4754" s="531"/>
    </row>
    <row r="4755" spans="1:1" x14ac:dyDescent="0.25">
      <c r="A4755" s="531"/>
    </row>
    <row r="4756" spans="1:1" x14ac:dyDescent="0.25">
      <c r="A4756" s="531"/>
    </row>
    <row r="4757" spans="1:1" x14ac:dyDescent="0.25">
      <c r="A4757" s="531"/>
    </row>
    <row r="4758" spans="1:1" x14ac:dyDescent="0.25">
      <c r="A4758" s="531"/>
    </row>
    <row r="4759" spans="1:1" x14ac:dyDescent="0.25">
      <c r="A4759" s="531"/>
    </row>
    <row r="4760" spans="1:1" x14ac:dyDescent="0.25">
      <c r="A4760" s="531"/>
    </row>
    <row r="4761" spans="1:1" x14ac:dyDescent="0.25">
      <c r="A4761" s="531"/>
    </row>
    <row r="4762" spans="1:1" x14ac:dyDescent="0.25">
      <c r="A4762" s="531"/>
    </row>
    <row r="4763" spans="1:1" x14ac:dyDescent="0.25">
      <c r="A4763" s="531"/>
    </row>
    <row r="4764" spans="1:1" x14ac:dyDescent="0.25">
      <c r="A4764" s="531"/>
    </row>
    <row r="4765" spans="1:1" x14ac:dyDescent="0.25">
      <c r="A4765" s="531"/>
    </row>
    <row r="4766" spans="1:1" x14ac:dyDescent="0.25">
      <c r="A4766" s="531"/>
    </row>
    <row r="4767" spans="1:1" x14ac:dyDescent="0.25">
      <c r="A4767" s="531"/>
    </row>
    <row r="4768" spans="1:1" x14ac:dyDescent="0.25">
      <c r="A4768" s="531"/>
    </row>
    <row r="4769" spans="1:1" x14ac:dyDescent="0.25">
      <c r="A4769" s="531"/>
    </row>
    <row r="4770" spans="1:1" x14ac:dyDescent="0.25">
      <c r="A4770" s="531"/>
    </row>
    <row r="4771" spans="1:1" x14ac:dyDescent="0.25">
      <c r="A4771" s="531"/>
    </row>
    <row r="4772" spans="1:1" x14ac:dyDescent="0.25">
      <c r="A4772" s="531"/>
    </row>
    <row r="4773" spans="1:1" x14ac:dyDescent="0.25">
      <c r="A4773" s="531"/>
    </row>
    <row r="4774" spans="1:1" x14ac:dyDescent="0.25">
      <c r="A4774" s="531"/>
    </row>
    <row r="4775" spans="1:1" x14ac:dyDescent="0.25">
      <c r="A4775" s="531"/>
    </row>
    <row r="4776" spans="1:1" x14ac:dyDescent="0.25">
      <c r="A4776" s="531"/>
    </row>
    <row r="4777" spans="1:1" x14ac:dyDescent="0.25">
      <c r="A4777" s="531"/>
    </row>
    <row r="4778" spans="1:1" x14ac:dyDescent="0.25">
      <c r="A4778" s="531"/>
    </row>
    <row r="4779" spans="1:1" x14ac:dyDescent="0.25">
      <c r="A4779" s="531"/>
    </row>
    <row r="4780" spans="1:1" x14ac:dyDescent="0.25">
      <c r="A4780" s="531"/>
    </row>
    <row r="4781" spans="1:1" x14ac:dyDescent="0.25">
      <c r="A4781" s="531"/>
    </row>
    <row r="4782" spans="1:1" x14ac:dyDescent="0.25">
      <c r="A4782" s="531"/>
    </row>
    <row r="4783" spans="1:1" x14ac:dyDescent="0.25">
      <c r="A4783" s="531"/>
    </row>
    <row r="4784" spans="1:1" x14ac:dyDescent="0.25">
      <c r="A4784" s="531"/>
    </row>
    <row r="4785" spans="1:1" x14ac:dyDescent="0.25">
      <c r="A4785" s="531"/>
    </row>
    <row r="4786" spans="1:1" x14ac:dyDescent="0.25">
      <c r="A4786" s="531"/>
    </row>
    <row r="4787" spans="1:1" x14ac:dyDescent="0.25">
      <c r="A4787" s="531"/>
    </row>
    <row r="4788" spans="1:1" x14ac:dyDescent="0.25">
      <c r="A4788" s="531"/>
    </row>
    <row r="4789" spans="1:1" x14ac:dyDescent="0.25">
      <c r="A4789" s="531"/>
    </row>
    <row r="4790" spans="1:1" x14ac:dyDescent="0.25">
      <c r="A4790" s="531"/>
    </row>
    <row r="4791" spans="1:1" x14ac:dyDescent="0.25">
      <c r="A4791" s="531"/>
    </row>
    <row r="4792" spans="1:1" x14ac:dyDescent="0.25">
      <c r="A4792" s="531"/>
    </row>
    <row r="4793" spans="1:1" x14ac:dyDescent="0.25">
      <c r="A4793" s="531"/>
    </row>
    <row r="4794" spans="1:1" x14ac:dyDescent="0.25">
      <c r="A4794" s="531"/>
    </row>
    <row r="4795" spans="1:1" x14ac:dyDescent="0.25">
      <c r="A4795" s="531"/>
    </row>
    <row r="4796" spans="1:1" x14ac:dyDescent="0.25">
      <c r="A4796" s="531"/>
    </row>
    <row r="4797" spans="1:1" x14ac:dyDescent="0.25">
      <c r="A4797" s="531"/>
    </row>
    <row r="4798" spans="1:1" x14ac:dyDescent="0.25">
      <c r="A4798" s="531"/>
    </row>
    <row r="4799" spans="1:1" x14ac:dyDescent="0.25">
      <c r="A4799" s="531"/>
    </row>
    <row r="4800" spans="1:1" x14ac:dyDescent="0.25">
      <c r="A4800" s="531"/>
    </row>
    <row r="4801" spans="1:1" x14ac:dyDescent="0.25">
      <c r="A4801" s="531"/>
    </row>
    <row r="4802" spans="1:1" x14ac:dyDescent="0.25">
      <c r="A4802" s="531"/>
    </row>
    <row r="4803" spans="1:1" x14ac:dyDescent="0.25">
      <c r="A4803" s="531"/>
    </row>
    <row r="4804" spans="1:1" x14ac:dyDescent="0.25">
      <c r="A4804" s="531"/>
    </row>
    <row r="4805" spans="1:1" x14ac:dyDescent="0.25">
      <c r="A4805" s="531"/>
    </row>
    <row r="4806" spans="1:1" x14ac:dyDescent="0.25">
      <c r="A4806" s="531"/>
    </row>
    <row r="4807" spans="1:1" x14ac:dyDescent="0.25">
      <c r="A4807" s="531"/>
    </row>
    <row r="4808" spans="1:1" x14ac:dyDescent="0.25">
      <c r="A4808" s="531"/>
    </row>
    <row r="4809" spans="1:1" x14ac:dyDescent="0.25">
      <c r="A4809" s="531"/>
    </row>
    <row r="4810" spans="1:1" x14ac:dyDescent="0.25">
      <c r="A4810" s="531"/>
    </row>
    <row r="4811" spans="1:1" x14ac:dyDescent="0.25">
      <c r="A4811" s="531"/>
    </row>
    <row r="4812" spans="1:1" x14ac:dyDescent="0.25">
      <c r="A4812" s="531"/>
    </row>
    <row r="4813" spans="1:1" x14ac:dyDescent="0.25">
      <c r="A4813" s="531"/>
    </row>
    <row r="4814" spans="1:1" x14ac:dyDescent="0.25">
      <c r="A4814" s="531"/>
    </row>
    <row r="4815" spans="1:1" x14ac:dyDescent="0.25">
      <c r="A4815" s="531"/>
    </row>
    <row r="4816" spans="1:1" x14ac:dyDescent="0.25">
      <c r="A4816" s="531"/>
    </row>
    <row r="4817" spans="1:1" x14ac:dyDescent="0.25">
      <c r="A4817" s="531"/>
    </row>
    <row r="4818" spans="1:1" x14ac:dyDescent="0.25">
      <c r="A4818" s="531"/>
    </row>
    <row r="4819" spans="1:1" x14ac:dyDescent="0.25">
      <c r="A4819" s="531"/>
    </row>
    <row r="4820" spans="1:1" x14ac:dyDescent="0.25">
      <c r="A4820" s="531"/>
    </row>
    <row r="4821" spans="1:1" x14ac:dyDescent="0.25">
      <c r="A4821" s="531"/>
    </row>
    <row r="4822" spans="1:1" x14ac:dyDescent="0.25">
      <c r="A4822" s="531"/>
    </row>
    <row r="4823" spans="1:1" x14ac:dyDescent="0.25">
      <c r="A4823" s="531"/>
    </row>
    <row r="4824" spans="1:1" x14ac:dyDescent="0.25">
      <c r="A4824" s="531"/>
    </row>
    <row r="4825" spans="1:1" x14ac:dyDescent="0.25">
      <c r="A4825" s="531"/>
    </row>
    <row r="4826" spans="1:1" x14ac:dyDescent="0.25">
      <c r="A4826" s="531"/>
    </row>
    <row r="4827" spans="1:1" x14ac:dyDescent="0.25">
      <c r="A4827" s="531"/>
    </row>
    <row r="4828" spans="1:1" x14ac:dyDescent="0.25">
      <c r="A4828" s="531"/>
    </row>
    <row r="4829" spans="1:1" x14ac:dyDescent="0.25">
      <c r="A4829" s="531"/>
    </row>
    <row r="4830" spans="1:1" x14ac:dyDescent="0.25">
      <c r="A4830" s="531"/>
    </row>
    <row r="4831" spans="1:1" x14ac:dyDescent="0.25">
      <c r="A4831" s="531"/>
    </row>
    <row r="4832" spans="1:1" x14ac:dyDescent="0.25">
      <c r="A4832" s="531"/>
    </row>
    <row r="4833" spans="1:1" x14ac:dyDescent="0.25">
      <c r="A4833" s="531"/>
    </row>
    <row r="4834" spans="1:1" x14ac:dyDescent="0.25">
      <c r="A4834" s="531"/>
    </row>
    <row r="4835" spans="1:1" x14ac:dyDescent="0.25">
      <c r="A4835" s="531"/>
    </row>
    <row r="4836" spans="1:1" x14ac:dyDescent="0.25">
      <c r="A4836" s="531"/>
    </row>
    <row r="4837" spans="1:1" x14ac:dyDescent="0.25">
      <c r="A4837" s="531"/>
    </row>
    <row r="4838" spans="1:1" x14ac:dyDescent="0.25">
      <c r="A4838" s="531"/>
    </row>
    <row r="4839" spans="1:1" x14ac:dyDescent="0.25">
      <c r="A4839" s="531"/>
    </row>
    <row r="4840" spans="1:1" x14ac:dyDescent="0.25">
      <c r="A4840" s="531"/>
    </row>
    <row r="4841" spans="1:1" x14ac:dyDescent="0.25">
      <c r="A4841" s="531"/>
    </row>
    <row r="4842" spans="1:1" x14ac:dyDescent="0.25">
      <c r="A4842" s="531"/>
    </row>
    <row r="4843" spans="1:1" x14ac:dyDescent="0.25">
      <c r="A4843" s="531"/>
    </row>
    <row r="4844" spans="1:1" x14ac:dyDescent="0.25">
      <c r="A4844" s="531"/>
    </row>
    <row r="4845" spans="1:1" x14ac:dyDescent="0.25">
      <c r="A4845" s="531"/>
    </row>
    <row r="4846" spans="1:1" x14ac:dyDescent="0.25">
      <c r="A4846" s="531"/>
    </row>
    <row r="4847" spans="1:1" x14ac:dyDescent="0.25">
      <c r="A4847" s="531"/>
    </row>
    <row r="4848" spans="1:1" x14ac:dyDescent="0.25">
      <c r="A4848" s="531"/>
    </row>
    <row r="4849" spans="1:1" x14ac:dyDescent="0.25">
      <c r="A4849" s="531"/>
    </row>
    <row r="4850" spans="1:1" x14ac:dyDescent="0.25">
      <c r="A4850" s="531"/>
    </row>
    <row r="4851" spans="1:1" x14ac:dyDescent="0.25">
      <c r="A4851" s="531"/>
    </row>
    <row r="4852" spans="1:1" x14ac:dyDescent="0.25">
      <c r="A4852" s="531"/>
    </row>
    <row r="4853" spans="1:1" x14ac:dyDescent="0.25">
      <c r="A4853" s="531"/>
    </row>
    <row r="4854" spans="1:1" x14ac:dyDescent="0.25">
      <c r="A4854" s="531"/>
    </row>
    <row r="4855" spans="1:1" x14ac:dyDescent="0.25">
      <c r="A4855" s="531"/>
    </row>
    <row r="4856" spans="1:1" x14ac:dyDescent="0.25">
      <c r="A4856" s="531"/>
    </row>
    <row r="4857" spans="1:1" x14ac:dyDescent="0.25">
      <c r="A4857" s="531"/>
    </row>
    <row r="4858" spans="1:1" x14ac:dyDescent="0.25">
      <c r="A4858" s="531"/>
    </row>
    <row r="4859" spans="1:1" x14ac:dyDescent="0.25">
      <c r="A4859" s="531"/>
    </row>
    <row r="4860" spans="1:1" x14ac:dyDescent="0.25">
      <c r="A4860" s="531"/>
    </row>
    <row r="4861" spans="1:1" x14ac:dyDescent="0.25">
      <c r="A4861" s="531"/>
    </row>
    <row r="4862" spans="1:1" x14ac:dyDescent="0.25">
      <c r="A4862" s="531"/>
    </row>
    <row r="4863" spans="1:1" x14ac:dyDescent="0.25">
      <c r="A4863" s="531"/>
    </row>
    <row r="4864" spans="1:1" x14ac:dyDescent="0.25">
      <c r="A4864" s="531"/>
    </row>
    <row r="4865" spans="1:1" x14ac:dyDescent="0.25">
      <c r="A4865" s="531"/>
    </row>
    <row r="4866" spans="1:1" x14ac:dyDescent="0.25">
      <c r="A4866" s="531"/>
    </row>
    <row r="4867" spans="1:1" x14ac:dyDescent="0.25">
      <c r="A4867" s="531"/>
    </row>
    <row r="4868" spans="1:1" x14ac:dyDescent="0.25">
      <c r="A4868" s="531"/>
    </row>
    <row r="4869" spans="1:1" x14ac:dyDescent="0.25">
      <c r="A4869" s="531"/>
    </row>
    <row r="4870" spans="1:1" x14ac:dyDescent="0.25">
      <c r="A4870" s="531"/>
    </row>
    <row r="4871" spans="1:1" x14ac:dyDescent="0.25">
      <c r="A4871" s="531"/>
    </row>
    <row r="4872" spans="1:1" x14ac:dyDescent="0.25">
      <c r="A4872" s="531"/>
    </row>
    <row r="4873" spans="1:1" x14ac:dyDescent="0.25">
      <c r="A4873" s="531"/>
    </row>
    <row r="4874" spans="1:1" x14ac:dyDescent="0.25">
      <c r="A4874" s="531"/>
    </row>
    <row r="4875" spans="1:1" x14ac:dyDescent="0.25">
      <c r="A4875" s="531"/>
    </row>
    <row r="4876" spans="1:1" x14ac:dyDescent="0.25">
      <c r="A4876" s="531"/>
    </row>
    <row r="4877" spans="1:1" x14ac:dyDescent="0.25">
      <c r="A4877" s="531"/>
    </row>
    <row r="4878" spans="1:1" x14ac:dyDescent="0.25">
      <c r="A4878" s="531"/>
    </row>
    <row r="4879" spans="1:1" x14ac:dyDescent="0.25">
      <c r="A4879" s="531"/>
    </row>
    <row r="4880" spans="1:1" x14ac:dyDescent="0.25">
      <c r="A4880" s="531"/>
    </row>
    <row r="4881" spans="1:1" x14ac:dyDescent="0.25">
      <c r="A4881" s="531"/>
    </row>
    <row r="4882" spans="1:1" x14ac:dyDescent="0.25">
      <c r="A4882" s="531"/>
    </row>
    <row r="4883" spans="1:1" x14ac:dyDescent="0.25">
      <c r="A4883" s="531"/>
    </row>
    <row r="4884" spans="1:1" x14ac:dyDescent="0.25">
      <c r="A4884" s="531"/>
    </row>
    <row r="4885" spans="1:1" x14ac:dyDescent="0.25">
      <c r="A4885" s="531"/>
    </row>
    <row r="4886" spans="1:1" x14ac:dyDescent="0.25">
      <c r="A4886" s="531"/>
    </row>
    <row r="4887" spans="1:1" x14ac:dyDescent="0.25">
      <c r="A4887" s="531"/>
    </row>
    <row r="4888" spans="1:1" x14ac:dyDescent="0.25">
      <c r="A4888" s="531"/>
    </row>
    <row r="4889" spans="1:1" x14ac:dyDescent="0.25">
      <c r="A4889" s="531"/>
    </row>
    <row r="4890" spans="1:1" x14ac:dyDescent="0.25">
      <c r="A4890" s="531"/>
    </row>
    <row r="4891" spans="1:1" x14ac:dyDescent="0.25">
      <c r="A4891" s="531"/>
    </row>
    <row r="4892" spans="1:1" x14ac:dyDescent="0.25">
      <c r="A4892" s="531"/>
    </row>
    <row r="4893" spans="1:1" x14ac:dyDescent="0.25">
      <c r="A4893" s="531"/>
    </row>
    <row r="4894" spans="1:1" x14ac:dyDescent="0.25">
      <c r="A4894" s="531"/>
    </row>
    <row r="4895" spans="1:1" x14ac:dyDescent="0.25">
      <c r="A4895" s="531"/>
    </row>
    <row r="4896" spans="1:1" x14ac:dyDescent="0.25">
      <c r="A4896" s="531"/>
    </row>
    <row r="4897" spans="1:1" x14ac:dyDescent="0.25">
      <c r="A4897" s="531"/>
    </row>
    <row r="4898" spans="1:1" x14ac:dyDescent="0.25">
      <c r="A4898" s="531"/>
    </row>
    <row r="4899" spans="1:1" x14ac:dyDescent="0.25">
      <c r="A4899" s="531"/>
    </row>
    <row r="4900" spans="1:1" x14ac:dyDescent="0.25">
      <c r="A4900" s="531"/>
    </row>
    <row r="4901" spans="1:1" x14ac:dyDescent="0.25">
      <c r="A4901" s="531"/>
    </row>
    <row r="4902" spans="1:1" x14ac:dyDescent="0.25">
      <c r="A4902" s="531"/>
    </row>
    <row r="4903" spans="1:1" x14ac:dyDescent="0.25">
      <c r="A4903" s="531"/>
    </row>
    <row r="4904" spans="1:1" x14ac:dyDescent="0.25">
      <c r="A4904" s="531"/>
    </row>
    <row r="4905" spans="1:1" x14ac:dyDescent="0.25">
      <c r="A4905" s="531"/>
    </row>
    <row r="4906" spans="1:1" x14ac:dyDescent="0.25">
      <c r="A4906" s="531"/>
    </row>
    <row r="4907" spans="1:1" x14ac:dyDescent="0.25">
      <c r="A4907" s="531"/>
    </row>
    <row r="4908" spans="1:1" x14ac:dyDescent="0.25">
      <c r="A4908" s="531"/>
    </row>
    <row r="4909" spans="1:1" x14ac:dyDescent="0.25">
      <c r="A4909" s="531"/>
    </row>
    <row r="4910" spans="1:1" x14ac:dyDescent="0.25">
      <c r="A4910" s="531"/>
    </row>
    <row r="4911" spans="1:1" x14ac:dyDescent="0.25">
      <c r="A4911" s="531"/>
    </row>
    <row r="4912" spans="1:1" x14ac:dyDescent="0.25">
      <c r="A4912" s="531"/>
    </row>
    <row r="4913" spans="1:1" x14ac:dyDescent="0.25">
      <c r="A4913" s="531"/>
    </row>
    <row r="4914" spans="1:1" x14ac:dyDescent="0.25">
      <c r="A4914" s="531"/>
    </row>
    <row r="4915" spans="1:1" x14ac:dyDescent="0.25">
      <c r="A4915" s="531"/>
    </row>
    <row r="4916" spans="1:1" x14ac:dyDescent="0.25">
      <c r="A4916" s="531"/>
    </row>
    <row r="4917" spans="1:1" x14ac:dyDescent="0.25">
      <c r="A4917" s="531"/>
    </row>
    <row r="4918" spans="1:1" x14ac:dyDescent="0.25">
      <c r="A4918" s="531"/>
    </row>
    <row r="4919" spans="1:1" x14ac:dyDescent="0.25">
      <c r="A4919" s="531"/>
    </row>
    <row r="4920" spans="1:1" x14ac:dyDescent="0.25">
      <c r="A4920" s="531"/>
    </row>
    <row r="4921" spans="1:1" x14ac:dyDescent="0.25">
      <c r="A4921" s="531"/>
    </row>
    <row r="4922" spans="1:1" x14ac:dyDescent="0.25">
      <c r="A4922" s="531"/>
    </row>
    <row r="4923" spans="1:1" x14ac:dyDescent="0.25">
      <c r="A4923" s="531"/>
    </row>
    <row r="4924" spans="1:1" x14ac:dyDescent="0.25">
      <c r="A4924" s="531"/>
    </row>
    <row r="4925" spans="1:1" x14ac:dyDescent="0.25">
      <c r="A4925" s="531"/>
    </row>
    <row r="4926" spans="1:1" x14ac:dyDescent="0.25">
      <c r="A4926" s="531"/>
    </row>
    <row r="4927" spans="1:1" x14ac:dyDescent="0.25">
      <c r="A4927" s="531"/>
    </row>
    <row r="4928" spans="1:1" x14ac:dyDescent="0.25">
      <c r="A4928" s="531"/>
    </row>
    <row r="4929" spans="1:1" x14ac:dyDescent="0.25">
      <c r="A4929" s="531"/>
    </row>
    <row r="4930" spans="1:1" x14ac:dyDescent="0.25">
      <c r="A4930" s="531"/>
    </row>
    <row r="4931" spans="1:1" x14ac:dyDescent="0.25">
      <c r="A4931" s="531"/>
    </row>
    <row r="4932" spans="1:1" x14ac:dyDescent="0.25">
      <c r="A4932" s="531"/>
    </row>
    <row r="4933" spans="1:1" x14ac:dyDescent="0.25">
      <c r="A4933" s="531"/>
    </row>
    <row r="4934" spans="1:1" x14ac:dyDescent="0.25">
      <c r="A4934" s="531"/>
    </row>
    <row r="4935" spans="1:1" x14ac:dyDescent="0.25">
      <c r="A4935" s="531"/>
    </row>
    <row r="4936" spans="1:1" x14ac:dyDescent="0.25">
      <c r="A4936" s="531"/>
    </row>
    <row r="4937" spans="1:1" x14ac:dyDescent="0.25">
      <c r="A4937" s="531"/>
    </row>
    <row r="4938" spans="1:1" x14ac:dyDescent="0.25">
      <c r="A4938" s="531"/>
    </row>
    <row r="4939" spans="1:1" x14ac:dyDescent="0.25">
      <c r="A4939" s="531"/>
    </row>
    <row r="4940" spans="1:1" x14ac:dyDescent="0.25">
      <c r="A4940" s="531"/>
    </row>
    <row r="4941" spans="1:1" x14ac:dyDescent="0.25">
      <c r="A4941" s="531"/>
    </row>
    <row r="4942" spans="1:1" x14ac:dyDescent="0.25">
      <c r="A4942" s="531"/>
    </row>
    <row r="4943" spans="1:1" x14ac:dyDescent="0.25">
      <c r="A4943" s="531"/>
    </row>
    <row r="4944" spans="1:1" x14ac:dyDescent="0.25">
      <c r="A4944" s="531"/>
    </row>
    <row r="4945" spans="1:1" x14ac:dyDescent="0.25">
      <c r="A4945" s="531"/>
    </row>
    <row r="4946" spans="1:1" x14ac:dyDescent="0.25">
      <c r="A4946" s="531"/>
    </row>
    <row r="4947" spans="1:1" x14ac:dyDescent="0.25">
      <c r="A4947" s="531"/>
    </row>
    <row r="4948" spans="1:1" x14ac:dyDescent="0.25">
      <c r="A4948" s="531"/>
    </row>
    <row r="4949" spans="1:1" x14ac:dyDescent="0.25">
      <c r="A4949" s="531"/>
    </row>
    <row r="4950" spans="1:1" x14ac:dyDescent="0.25">
      <c r="A4950" s="531"/>
    </row>
    <row r="4951" spans="1:1" x14ac:dyDescent="0.25">
      <c r="A4951" s="531"/>
    </row>
    <row r="4952" spans="1:1" x14ac:dyDescent="0.25">
      <c r="A4952" s="531"/>
    </row>
    <row r="4953" spans="1:1" x14ac:dyDescent="0.25">
      <c r="A4953" s="531"/>
    </row>
    <row r="4954" spans="1:1" x14ac:dyDescent="0.25">
      <c r="A4954" s="531"/>
    </row>
    <row r="4955" spans="1:1" x14ac:dyDescent="0.25">
      <c r="A4955" s="531"/>
    </row>
    <row r="4956" spans="1:1" x14ac:dyDescent="0.25">
      <c r="A4956" s="531"/>
    </row>
    <row r="4957" spans="1:1" x14ac:dyDescent="0.25">
      <c r="A4957" s="531"/>
    </row>
    <row r="4958" spans="1:1" x14ac:dyDescent="0.25">
      <c r="A4958" s="531"/>
    </row>
    <row r="4959" spans="1:1" x14ac:dyDescent="0.25">
      <c r="A4959" s="531"/>
    </row>
    <row r="4960" spans="1:1" x14ac:dyDescent="0.25">
      <c r="A4960" s="531"/>
    </row>
    <row r="4961" spans="1:1" x14ac:dyDescent="0.25">
      <c r="A4961" s="531"/>
    </row>
    <row r="4962" spans="1:1" x14ac:dyDescent="0.25">
      <c r="A4962" s="531"/>
    </row>
    <row r="4963" spans="1:1" x14ac:dyDescent="0.25">
      <c r="A4963" s="531"/>
    </row>
    <row r="4964" spans="1:1" x14ac:dyDescent="0.25">
      <c r="A4964" s="531"/>
    </row>
    <row r="4965" spans="1:1" x14ac:dyDescent="0.25">
      <c r="A4965" s="531"/>
    </row>
    <row r="4966" spans="1:1" x14ac:dyDescent="0.25">
      <c r="A4966" s="531"/>
    </row>
    <row r="4967" spans="1:1" x14ac:dyDescent="0.25">
      <c r="A4967" s="531"/>
    </row>
    <row r="4968" spans="1:1" x14ac:dyDescent="0.25">
      <c r="A4968" s="531"/>
    </row>
    <row r="4969" spans="1:1" x14ac:dyDescent="0.25">
      <c r="A4969" s="531"/>
    </row>
    <row r="4970" spans="1:1" x14ac:dyDescent="0.25">
      <c r="A4970" s="531"/>
    </row>
    <row r="4971" spans="1:1" x14ac:dyDescent="0.25">
      <c r="A4971" s="531"/>
    </row>
    <row r="4972" spans="1:1" x14ac:dyDescent="0.25">
      <c r="A4972" s="531"/>
    </row>
    <row r="4973" spans="1:1" x14ac:dyDescent="0.25">
      <c r="A4973" s="531"/>
    </row>
    <row r="4974" spans="1:1" x14ac:dyDescent="0.25">
      <c r="A4974" s="531"/>
    </row>
    <row r="4975" spans="1:1" x14ac:dyDescent="0.25">
      <c r="A4975" s="531"/>
    </row>
    <row r="4976" spans="1:1" x14ac:dyDescent="0.25">
      <c r="A4976" s="531"/>
    </row>
    <row r="4977" spans="1:1" x14ac:dyDescent="0.25">
      <c r="A4977" s="531"/>
    </row>
    <row r="4978" spans="1:1" x14ac:dyDescent="0.25">
      <c r="A4978" s="531"/>
    </row>
    <row r="4979" spans="1:1" x14ac:dyDescent="0.25">
      <c r="A4979" s="531"/>
    </row>
    <row r="4980" spans="1:1" x14ac:dyDescent="0.25">
      <c r="A4980" s="531"/>
    </row>
    <row r="4981" spans="1:1" x14ac:dyDescent="0.25">
      <c r="A4981" s="531"/>
    </row>
    <row r="4982" spans="1:1" x14ac:dyDescent="0.25">
      <c r="A4982" s="531"/>
    </row>
    <row r="4983" spans="1:1" x14ac:dyDescent="0.25">
      <c r="A4983" s="531"/>
    </row>
    <row r="4984" spans="1:1" x14ac:dyDescent="0.25">
      <c r="A4984" s="531"/>
    </row>
    <row r="4985" spans="1:1" x14ac:dyDescent="0.25">
      <c r="A4985" s="531"/>
    </row>
    <row r="4986" spans="1:1" x14ac:dyDescent="0.25">
      <c r="A4986" s="531"/>
    </row>
    <row r="4987" spans="1:1" x14ac:dyDescent="0.25">
      <c r="A4987" s="531"/>
    </row>
    <row r="4988" spans="1:1" x14ac:dyDescent="0.25">
      <c r="A4988" s="531"/>
    </row>
    <row r="4989" spans="1:1" x14ac:dyDescent="0.25">
      <c r="A4989" s="531"/>
    </row>
    <row r="4990" spans="1:1" x14ac:dyDescent="0.25">
      <c r="A4990" s="531"/>
    </row>
    <row r="4991" spans="1:1" x14ac:dyDescent="0.25">
      <c r="A4991" s="531"/>
    </row>
    <row r="4992" spans="1:1" x14ac:dyDescent="0.25">
      <c r="A4992" s="531"/>
    </row>
    <row r="4993" spans="1:1" x14ac:dyDescent="0.25">
      <c r="A4993" s="531"/>
    </row>
    <row r="4994" spans="1:1" x14ac:dyDescent="0.25">
      <c r="A4994" s="531"/>
    </row>
    <row r="4995" spans="1:1" x14ac:dyDescent="0.25">
      <c r="A4995" s="531"/>
    </row>
    <row r="4996" spans="1:1" x14ac:dyDescent="0.25">
      <c r="A4996" s="531"/>
    </row>
    <row r="4997" spans="1:1" x14ac:dyDescent="0.25">
      <c r="A4997" s="531"/>
    </row>
    <row r="4998" spans="1:1" x14ac:dyDescent="0.25">
      <c r="A4998" s="531"/>
    </row>
    <row r="4999" spans="1:1" x14ac:dyDescent="0.25">
      <c r="A4999" s="531"/>
    </row>
    <row r="5000" spans="1:1" x14ac:dyDescent="0.25">
      <c r="A5000" s="531"/>
    </row>
    <row r="5001" spans="1:1" x14ac:dyDescent="0.25">
      <c r="A5001" s="531"/>
    </row>
    <row r="5002" spans="1:1" x14ac:dyDescent="0.25">
      <c r="A5002" s="531"/>
    </row>
    <row r="5003" spans="1:1" x14ac:dyDescent="0.25">
      <c r="A5003" s="531"/>
    </row>
    <row r="5004" spans="1:1" x14ac:dyDescent="0.25">
      <c r="A5004" s="531"/>
    </row>
    <row r="5005" spans="1:1" x14ac:dyDescent="0.25">
      <c r="A5005" s="531"/>
    </row>
    <row r="5006" spans="1:1" x14ac:dyDescent="0.25">
      <c r="A5006" s="531"/>
    </row>
    <row r="5007" spans="1:1" x14ac:dyDescent="0.25">
      <c r="A5007" s="531"/>
    </row>
    <row r="5008" spans="1:1" x14ac:dyDescent="0.25">
      <c r="A5008" s="531"/>
    </row>
    <row r="5009" spans="1:1" x14ac:dyDescent="0.25">
      <c r="A5009" s="531"/>
    </row>
    <row r="5010" spans="1:1" x14ac:dyDescent="0.25">
      <c r="A5010" s="531"/>
    </row>
    <row r="5011" spans="1:1" x14ac:dyDescent="0.25">
      <c r="A5011" s="531"/>
    </row>
    <row r="5012" spans="1:1" x14ac:dyDescent="0.25">
      <c r="A5012" s="531"/>
    </row>
    <row r="5013" spans="1:1" x14ac:dyDescent="0.25">
      <c r="A5013" s="531"/>
    </row>
    <row r="5014" spans="1:1" x14ac:dyDescent="0.25">
      <c r="A5014" s="531"/>
    </row>
    <row r="5015" spans="1:1" x14ac:dyDescent="0.25">
      <c r="A5015" s="531"/>
    </row>
    <row r="5016" spans="1:1" x14ac:dyDescent="0.25">
      <c r="A5016" s="531"/>
    </row>
    <row r="5017" spans="1:1" x14ac:dyDescent="0.25">
      <c r="A5017" s="531"/>
    </row>
    <row r="5018" spans="1:1" x14ac:dyDescent="0.25">
      <c r="A5018" s="531"/>
    </row>
    <row r="5019" spans="1:1" x14ac:dyDescent="0.25">
      <c r="A5019" s="531"/>
    </row>
    <row r="5020" spans="1:1" x14ac:dyDescent="0.25">
      <c r="A5020" s="531"/>
    </row>
    <row r="5021" spans="1:1" x14ac:dyDescent="0.25">
      <c r="A5021" s="531"/>
    </row>
    <row r="5022" spans="1:1" x14ac:dyDescent="0.25">
      <c r="A5022" s="531"/>
    </row>
    <row r="5023" spans="1:1" x14ac:dyDescent="0.25">
      <c r="A5023" s="531"/>
    </row>
    <row r="5024" spans="1:1" x14ac:dyDescent="0.25">
      <c r="A5024" s="531"/>
    </row>
    <row r="5025" spans="1:1" x14ac:dyDescent="0.25">
      <c r="A5025" s="531"/>
    </row>
    <row r="5026" spans="1:1" x14ac:dyDescent="0.25">
      <c r="A5026" s="531"/>
    </row>
    <row r="5027" spans="1:1" x14ac:dyDescent="0.25">
      <c r="A5027" s="531"/>
    </row>
    <row r="5028" spans="1:1" x14ac:dyDescent="0.25">
      <c r="A5028" s="531"/>
    </row>
    <row r="5029" spans="1:1" x14ac:dyDescent="0.25">
      <c r="A5029" s="531"/>
    </row>
    <row r="5030" spans="1:1" x14ac:dyDescent="0.25">
      <c r="A5030" s="531"/>
    </row>
    <row r="5031" spans="1:1" x14ac:dyDescent="0.25">
      <c r="A5031" s="531"/>
    </row>
    <row r="5032" spans="1:1" x14ac:dyDescent="0.25">
      <c r="A5032" s="531"/>
    </row>
    <row r="5033" spans="1:1" x14ac:dyDescent="0.25">
      <c r="A5033" s="531"/>
    </row>
    <row r="5034" spans="1:1" x14ac:dyDescent="0.25">
      <c r="A5034" s="531"/>
    </row>
    <row r="5035" spans="1:1" x14ac:dyDescent="0.25">
      <c r="A5035" s="531"/>
    </row>
    <row r="5036" spans="1:1" x14ac:dyDescent="0.25">
      <c r="A5036" s="531"/>
    </row>
    <row r="5037" spans="1:1" x14ac:dyDescent="0.25">
      <c r="A5037" s="531"/>
    </row>
    <row r="5038" spans="1:1" x14ac:dyDescent="0.25">
      <c r="A5038" s="531"/>
    </row>
    <row r="5039" spans="1:1" x14ac:dyDescent="0.25">
      <c r="A5039" s="531"/>
    </row>
    <row r="5040" spans="1:1" x14ac:dyDescent="0.25">
      <c r="A5040" s="531"/>
    </row>
    <row r="5041" spans="1:1" x14ac:dyDescent="0.25">
      <c r="A5041" s="531"/>
    </row>
    <row r="5042" spans="1:1" x14ac:dyDescent="0.25">
      <c r="A5042" s="531"/>
    </row>
    <row r="5043" spans="1:1" x14ac:dyDescent="0.25">
      <c r="A5043" s="531"/>
    </row>
    <row r="5044" spans="1:1" x14ac:dyDescent="0.25">
      <c r="A5044" s="531"/>
    </row>
    <row r="5045" spans="1:1" x14ac:dyDescent="0.25">
      <c r="A5045" s="531"/>
    </row>
    <row r="5046" spans="1:1" x14ac:dyDescent="0.25">
      <c r="A5046" s="531"/>
    </row>
    <row r="5047" spans="1:1" x14ac:dyDescent="0.25">
      <c r="A5047" s="531"/>
    </row>
    <row r="5048" spans="1:1" x14ac:dyDescent="0.25">
      <c r="A5048" s="531"/>
    </row>
    <row r="5049" spans="1:1" x14ac:dyDescent="0.25">
      <c r="A5049" s="531"/>
    </row>
    <row r="5050" spans="1:1" x14ac:dyDescent="0.25">
      <c r="A5050" s="531"/>
    </row>
    <row r="5051" spans="1:1" x14ac:dyDescent="0.25">
      <c r="A5051" s="531"/>
    </row>
    <row r="5052" spans="1:1" x14ac:dyDescent="0.25">
      <c r="A5052" s="531"/>
    </row>
    <row r="5053" spans="1:1" x14ac:dyDescent="0.25">
      <c r="A5053" s="531"/>
    </row>
    <row r="5054" spans="1:1" x14ac:dyDescent="0.25">
      <c r="A5054" s="531"/>
    </row>
    <row r="5055" spans="1:1" x14ac:dyDescent="0.25">
      <c r="A5055" s="531"/>
    </row>
    <row r="5056" spans="1:1" x14ac:dyDescent="0.25">
      <c r="A5056" s="531"/>
    </row>
    <row r="5057" spans="1:1" x14ac:dyDescent="0.25">
      <c r="A5057" s="531"/>
    </row>
    <row r="5058" spans="1:1" x14ac:dyDescent="0.25">
      <c r="A5058" s="531"/>
    </row>
    <row r="5059" spans="1:1" x14ac:dyDescent="0.25">
      <c r="A5059" s="531"/>
    </row>
    <row r="5060" spans="1:1" x14ac:dyDescent="0.25">
      <c r="A5060" s="531"/>
    </row>
    <row r="5061" spans="1:1" x14ac:dyDescent="0.25">
      <c r="A5061" s="531"/>
    </row>
    <row r="5062" spans="1:1" x14ac:dyDescent="0.25">
      <c r="A5062" s="531"/>
    </row>
    <row r="5063" spans="1:1" x14ac:dyDescent="0.25">
      <c r="A5063" s="531"/>
    </row>
    <row r="5064" spans="1:1" x14ac:dyDescent="0.25">
      <c r="A5064" s="531"/>
    </row>
    <row r="5065" spans="1:1" x14ac:dyDescent="0.25">
      <c r="A5065" s="531"/>
    </row>
    <row r="5066" spans="1:1" x14ac:dyDescent="0.25">
      <c r="A5066" s="531"/>
    </row>
    <row r="5067" spans="1:1" x14ac:dyDescent="0.25">
      <c r="A5067" s="531"/>
    </row>
    <row r="5068" spans="1:1" x14ac:dyDescent="0.25">
      <c r="A5068" s="531"/>
    </row>
    <row r="5069" spans="1:1" x14ac:dyDescent="0.25">
      <c r="A5069" s="531"/>
    </row>
    <row r="5070" spans="1:1" x14ac:dyDescent="0.25">
      <c r="A5070" s="531"/>
    </row>
    <row r="5071" spans="1:1" x14ac:dyDescent="0.25">
      <c r="A5071" s="531"/>
    </row>
    <row r="5072" spans="1:1" x14ac:dyDescent="0.25">
      <c r="A5072" s="531"/>
    </row>
    <row r="5073" spans="1:1" x14ac:dyDescent="0.25">
      <c r="A5073" s="531"/>
    </row>
    <row r="5074" spans="1:1" x14ac:dyDescent="0.25">
      <c r="A5074" s="531"/>
    </row>
    <row r="5075" spans="1:1" x14ac:dyDescent="0.25">
      <c r="A5075" s="531"/>
    </row>
    <row r="5076" spans="1:1" x14ac:dyDescent="0.25">
      <c r="A5076" s="531"/>
    </row>
    <row r="5077" spans="1:1" x14ac:dyDescent="0.25">
      <c r="A5077" s="531"/>
    </row>
    <row r="5078" spans="1:1" x14ac:dyDescent="0.25">
      <c r="A5078" s="531"/>
    </row>
    <row r="5079" spans="1:1" x14ac:dyDescent="0.25">
      <c r="A5079" s="531"/>
    </row>
    <row r="5080" spans="1:1" x14ac:dyDescent="0.25">
      <c r="A5080" s="531"/>
    </row>
    <row r="5081" spans="1:1" x14ac:dyDescent="0.25">
      <c r="A5081" s="531"/>
    </row>
    <row r="5082" spans="1:1" x14ac:dyDescent="0.25">
      <c r="A5082" s="531"/>
    </row>
    <row r="5083" spans="1:1" x14ac:dyDescent="0.25">
      <c r="A5083" s="531"/>
    </row>
    <row r="5084" spans="1:1" x14ac:dyDescent="0.25">
      <c r="A5084" s="531"/>
    </row>
    <row r="5085" spans="1:1" x14ac:dyDescent="0.25">
      <c r="A5085" s="531"/>
    </row>
    <row r="5086" spans="1:1" x14ac:dyDescent="0.25">
      <c r="A5086" s="531"/>
    </row>
    <row r="5087" spans="1:1" x14ac:dyDescent="0.25">
      <c r="A5087" s="531"/>
    </row>
    <row r="5088" spans="1:1" x14ac:dyDescent="0.25">
      <c r="A5088" s="531"/>
    </row>
    <row r="5089" spans="1:1" x14ac:dyDescent="0.25">
      <c r="A5089" s="531"/>
    </row>
    <row r="5090" spans="1:1" x14ac:dyDescent="0.25">
      <c r="A5090" s="531"/>
    </row>
    <row r="5091" spans="1:1" x14ac:dyDescent="0.25">
      <c r="A5091" s="531"/>
    </row>
    <row r="5092" spans="1:1" x14ac:dyDescent="0.25">
      <c r="A5092" s="531"/>
    </row>
    <row r="5093" spans="1:1" x14ac:dyDescent="0.25">
      <c r="A5093" s="531"/>
    </row>
    <row r="5094" spans="1:1" x14ac:dyDescent="0.25">
      <c r="A5094" s="531"/>
    </row>
    <row r="5095" spans="1:1" x14ac:dyDescent="0.25">
      <c r="A5095" s="531"/>
    </row>
    <row r="5096" spans="1:1" x14ac:dyDescent="0.25">
      <c r="A5096" s="531"/>
    </row>
    <row r="5097" spans="1:1" x14ac:dyDescent="0.25">
      <c r="A5097" s="531"/>
    </row>
    <row r="5098" spans="1:1" x14ac:dyDescent="0.25">
      <c r="A5098" s="531"/>
    </row>
    <row r="5099" spans="1:1" x14ac:dyDescent="0.25">
      <c r="A5099" s="531"/>
    </row>
    <row r="5100" spans="1:1" x14ac:dyDescent="0.25">
      <c r="A5100" s="531"/>
    </row>
    <row r="5101" spans="1:1" x14ac:dyDescent="0.25">
      <c r="A5101" s="531"/>
    </row>
    <row r="5102" spans="1:1" x14ac:dyDescent="0.25">
      <c r="A5102" s="531"/>
    </row>
    <row r="5103" spans="1:1" x14ac:dyDescent="0.25">
      <c r="A5103" s="531"/>
    </row>
    <row r="5104" spans="1:1" x14ac:dyDescent="0.25">
      <c r="A5104" s="531"/>
    </row>
    <row r="5105" spans="1:1" x14ac:dyDescent="0.25">
      <c r="A5105" s="531"/>
    </row>
    <row r="5106" spans="1:1" x14ac:dyDescent="0.25">
      <c r="A5106" s="531"/>
    </row>
    <row r="5107" spans="1:1" x14ac:dyDescent="0.25">
      <c r="A5107" s="531"/>
    </row>
    <row r="5108" spans="1:1" x14ac:dyDescent="0.25">
      <c r="A5108" s="531"/>
    </row>
    <row r="5109" spans="1:1" x14ac:dyDescent="0.25">
      <c r="A5109" s="531"/>
    </row>
    <row r="5110" spans="1:1" x14ac:dyDescent="0.25">
      <c r="A5110" s="531"/>
    </row>
    <row r="5111" spans="1:1" x14ac:dyDescent="0.25">
      <c r="A5111" s="531"/>
    </row>
    <row r="5112" spans="1:1" x14ac:dyDescent="0.25">
      <c r="A5112" s="531"/>
    </row>
    <row r="5113" spans="1:1" x14ac:dyDescent="0.25">
      <c r="A5113" s="531"/>
    </row>
    <row r="5114" spans="1:1" x14ac:dyDescent="0.25">
      <c r="A5114" s="531"/>
    </row>
    <row r="5115" spans="1:1" x14ac:dyDescent="0.25">
      <c r="A5115" s="531"/>
    </row>
    <row r="5116" spans="1:1" x14ac:dyDescent="0.25">
      <c r="A5116" s="531"/>
    </row>
    <row r="5117" spans="1:1" x14ac:dyDescent="0.25">
      <c r="A5117" s="531"/>
    </row>
    <row r="5118" spans="1:1" x14ac:dyDescent="0.25">
      <c r="A5118" s="531"/>
    </row>
    <row r="5119" spans="1:1" x14ac:dyDescent="0.25">
      <c r="A5119" s="531"/>
    </row>
    <row r="5120" spans="1:1" x14ac:dyDescent="0.25">
      <c r="A5120" s="531"/>
    </row>
    <row r="5121" spans="1:1" x14ac:dyDescent="0.25">
      <c r="A5121" s="531"/>
    </row>
    <row r="5122" spans="1:1" x14ac:dyDescent="0.25">
      <c r="A5122" s="531"/>
    </row>
    <row r="5123" spans="1:1" x14ac:dyDescent="0.25">
      <c r="A5123" s="531"/>
    </row>
    <row r="5124" spans="1:1" x14ac:dyDescent="0.25">
      <c r="A5124" s="531"/>
    </row>
    <row r="5125" spans="1:1" x14ac:dyDescent="0.25">
      <c r="A5125" s="531"/>
    </row>
    <row r="5126" spans="1:1" x14ac:dyDescent="0.25">
      <c r="A5126" s="531"/>
    </row>
    <row r="5127" spans="1:1" x14ac:dyDescent="0.25">
      <c r="A5127" s="531"/>
    </row>
    <row r="5128" spans="1:1" x14ac:dyDescent="0.25">
      <c r="A5128" s="531"/>
    </row>
    <row r="5129" spans="1:1" x14ac:dyDescent="0.25">
      <c r="A5129" s="531"/>
    </row>
    <row r="5130" spans="1:1" x14ac:dyDescent="0.25">
      <c r="A5130" s="531"/>
    </row>
    <row r="5131" spans="1:1" x14ac:dyDescent="0.25">
      <c r="A5131" s="531"/>
    </row>
    <row r="5132" spans="1:1" x14ac:dyDescent="0.25">
      <c r="A5132" s="531"/>
    </row>
    <row r="5133" spans="1:1" x14ac:dyDescent="0.25">
      <c r="A5133" s="531"/>
    </row>
    <row r="5134" spans="1:1" x14ac:dyDescent="0.25">
      <c r="A5134" s="531"/>
    </row>
    <row r="5135" spans="1:1" x14ac:dyDescent="0.25">
      <c r="A5135" s="531"/>
    </row>
    <row r="5136" spans="1:1" x14ac:dyDescent="0.25">
      <c r="A5136" s="531"/>
    </row>
    <row r="5137" spans="1:1" x14ac:dyDescent="0.25">
      <c r="A5137" s="531"/>
    </row>
    <row r="5138" spans="1:1" x14ac:dyDescent="0.25">
      <c r="A5138" s="531"/>
    </row>
    <row r="5139" spans="1:1" x14ac:dyDescent="0.25">
      <c r="A5139" s="531"/>
    </row>
    <row r="5140" spans="1:1" x14ac:dyDescent="0.25">
      <c r="A5140" s="531"/>
    </row>
    <row r="5141" spans="1:1" x14ac:dyDescent="0.25">
      <c r="A5141" s="531"/>
    </row>
    <row r="5142" spans="1:1" x14ac:dyDescent="0.25">
      <c r="A5142" s="531"/>
    </row>
    <row r="5143" spans="1:1" x14ac:dyDescent="0.25">
      <c r="A5143" s="531"/>
    </row>
    <row r="5144" spans="1:1" x14ac:dyDescent="0.25">
      <c r="A5144" s="531"/>
    </row>
    <row r="5145" spans="1:1" x14ac:dyDescent="0.25">
      <c r="A5145" s="531"/>
    </row>
    <row r="5146" spans="1:1" x14ac:dyDescent="0.25">
      <c r="A5146" s="531"/>
    </row>
    <row r="5147" spans="1:1" x14ac:dyDescent="0.25">
      <c r="A5147" s="531"/>
    </row>
    <row r="5148" spans="1:1" x14ac:dyDescent="0.25">
      <c r="A5148" s="531"/>
    </row>
    <row r="5149" spans="1:1" x14ac:dyDescent="0.25">
      <c r="A5149" s="531"/>
    </row>
    <row r="5150" spans="1:1" x14ac:dyDescent="0.25">
      <c r="A5150" s="531"/>
    </row>
    <row r="5151" spans="1:1" x14ac:dyDescent="0.25">
      <c r="A5151" s="531"/>
    </row>
    <row r="5152" spans="1:1" x14ac:dyDescent="0.25">
      <c r="A5152" s="531"/>
    </row>
    <row r="5153" spans="1:1" x14ac:dyDescent="0.25">
      <c r="A5153" s="531"/>
    </row>
    <row r="5154" spans="1:1" x14ac:dyDescent="0.25">
      <c r="A5154" s="531"/>
    </row>
    <row r="5155" spans="1:1" x14ac:dyDescent="0.25">
      <c r="A5155" s="531"/>
    </row>
    <row r="5156" spans="1:1" x14ac:dyDescent="0.25">
      <c r="A5156" s="531"/>
    </row>
    <row r="5157" spans="1:1" x14ac:dyDescent="0.25">
      <c r="A5157" s="531"/>
    </row>
    <row r="5158" spans="1:1" x14ac:dyDescent="0.25">
      <c r="A5158" s="531"/>
    </row>
    <row r="5159" spans="1:1" x14ac:dyDescent="0.25">
      <c r="A5159" s="531"/>
    </row>
    <row r="5160" spans="1:1" x14ac:dyDescent="0.25">
      <c r="A5160" s="531"/>
    </row>
    <row r="5161" spans="1:1" x14ac:dyDescent="0.25">
      <c r="A5161" s="531"/>
    </row>
    <row r="5162" spans="1:1" x14ac:dyDescent="0.25">
      <c r="A5162" s="531"/>
    </row>
    <row r="5163" spans="1:1" x14ac:dyDescent="0.25">
      <c r="A5163" s="531"/>
    </row>
    <row r="5164" spans="1:1" x14ac:dyDescent="0.25">
      <c r="A5164" s="531"/>
    </row>
    <row r="5165" spans="1:1" x14ac:dyDescent="0.25">
      <c r="A5165" s="531"/>
    </row>
    <row r="5166" spans="1:1" x14ac:dyDescent="0.25">
      <c r="A5166" s="531"/>
    </row>
    <row r="5167" spans="1:1" x14ac:dyDescent="0.25">
      <c r="A5167" s="531"/>
    </row>
    <row r="5168" spans="1:1" x14ac:dyDescent="0.25">
      <c r="A5168" s="531"/>
    </row>
    <row r="5169" spans="1:1" x14ac:dyDescent="0.25">
      <c r="A5169" s="531"/>
    </row>
    <row r="5170" spans="1:1" x14ac:dyDescent="0.25">
      <c r="A5170" s="531"/>
    </row>
    <row r="5171" spans="1:1" x14ac:dyDescent="0.25">
      <c r="A5171" s="531"/>
    </row>
    <row r="5172" spans="1:1" x14ac:dyDescent="0.25">
      <c r="A5172" s="531"/>
    </row>
    <row r="5173" spans="1:1" x14ac:dyDescent="0.25">
      <c r="A5173" s="531"/>
    </row>
    <row r="5174" spans="1:1" x14ac:dyDescent="0.25">
      <c r="A5174" s="531"/>
    </row>
    <row r="5175" spans="1:1" x14ac:dyDescent="0.25">
      <c r="A5175" s="531"/>
    </row>
    <row r="5176" spans="1:1" x14ac:dyDescent="0.25">
      <c r="A5176" s="531"/>
    </row>
    <row r="5177" spans="1:1" x14ac:dyDescent="0.25">
      <c r="A5177" s="531"/>
    </row>
    <row r="5178" spans="1:1" x14ac:dyDescent="0.25">
      <c r="A5178" s="531"/>
    </row>
    <row r="5179" spans="1:1" x14ac:dyDescent="0.25">
      <c r="A5179" s="531"/>
    </row>
    <row r="5180" spans="1:1" x14ac:dyDescent="0.25">
      <c r="A5180" s="531"/>
    </row>
    <row r="5181" spans="1:1" x14ac:dyDescent="0.25">
      <c r="A5181" s="531"/>
    </row>
    <row r="5182" spans="1:1" x14ac:dyDescent="0.25">
      <c r="A5182" s="531"/>
    </row>
    <row r="5183" spans="1:1" x14ac:dyDescent="0.25">
      <c r="A5183" s="531"/>
    </row>
    <row r="5184" spans="1:1" x14ac:dyDescent="0.25">
      <c r="A5184" s="531"/>
    </row>
    <row r="5185" spans="1:1" x14ac:dyDescent="0.25">
      <c r="A5185" s="531"/>
    </row>
    <row r="5186" spans="1:1" x14ac:dyDescent="0.25">
      <c r="A5186" s="531"/>
    </row>
    <row r="5187" spans="1:1" x14ac:dyDescent="0.25">
      <c r="A5187" s="531"/>
    </row>
    <row r="5188" spans="1:1" x14ac:dyDescent="0.25">
      <c r="A5188" s="531"/>
    </row>
    <row r="5189" spans="1:1" x14ac:dyDescent="0.25">
      <c r="A5189" s="531"/>
    </row>
    <row r="5190" spans="1:1" x14ac:dyDescent="0.25">
      <c r="A5190" s="531"/>
    </row>
    <row r="5191" spans="1:1" x14ac:dyDescent="0.25">
      <c r="A5191" s="531"/>
    </row>
    <row r="5192" spans="1:1" x14ac:dyDescent="0.25">
      <c r="A5192" s="531"/>
    </row>
    <row r="5193" spans="1:1" x14ac:dyDescent="0.25">
      <c r="A5193" s="531"/>
    </row>
    <row r="5194" spans="1:1" x14ac:dyDescent="0.25">
      <c r="A5194" s="531"/>
    </row>
    <row r="5195" spans="1:1" x14ac:dyDescent="0.25">
      <c r="A5195" s="531"/>
    </row>
    <row r="5196" spans="1:1" x14ac:dyDescent="0.25">
      <c r="A5196" s="531"/>
    </row>
    <row r="5197" spans="1:1" x14ac:dyDescent="0.25">
      <c r="A5197" s="531"/>
    </row>
    <row r="5198" spans="1:1" x14ac:dyDescent="0.25">
      <c r="A5198" s="531"/>
    </row>
    <row r="5199" spans="1:1" x14ac:dyDescent="0.25">
      <c r="A5199" s="531"/>
    </row>
    <row r="5200" spans="1:1" x14ac:dyDescent="0.25">
      <c r="A5200" s="531"/>
    </row>
    <row r="5201" spans="1:1" x14ac:dyDescent="0.25">
      <c r="A5201" s="531"/>
    </row>
    <row r="5202" spans="1:1" x14ac:dyDescent="0.25">
      <c r="A5202" s="531"/>
    </row>
    <row r="5203" spans="1:1" x14ac:dyDescent="0.25">
      <c r="A5203" s="531"/>
    </row>
    <row r="5204" spans="1:1" x14ac:dyDescent="0.25">
      <c r="A5204" s="531"/>
    </row>
    <row r="5205" spans="1:1" x14ac:dyDescent="0.25">
      <c r="A5205" s="531"/>
    </row>
    <row r="5206" spans="1:1" x14ac:dyDescent="0.25">
      <c r="A5206" s="531"/>
    </row>
    <row r="5207" spans="1:1" x14ac:dyDescent="0.25">
      <c r="A5207" s="531"/>
    </row>
    <row r="5208" spans="1:1" x14ac:dyDescent="0.25">
      <c r="A5208" s="531"/>
    </row>
    <row r="5209" spans="1:1" x14ac:dyDescent="0.25">
      <c r="A5209" s="531"/>
    </row>
    <row r="5210" spans="1:1" x14ac:dyDescent="0.25">
      <c r="A5210" s="531"/>
    </row>
    <row r="5211" spans="1:1" x14ac:dyDescent="0.25">
      <c r="A5211" s="531"/>
    </row>
    <row r="5212" spans="1:1" x14ac:dyDescent="0.25">
      <c r="A5212" s="531"/>
    </row>
    <row r="5213" spans="1:1" x14ac:dyDescent="0.25">
      <c r="A5213" s="531"/>
    </row>
    <row r="5214" spans="1:1" x14ac:dyDescent="0.25">
      <c r="A5214" s="531"/>
    </row>
    <row r="5215" spans="1:1" x14ac:dyDescent="0.25">
      <c r="A5215" s="531"/>
    </row>
    <row r="5216" spans="1:1" x14ac:dyDescent="0.25">
      <c r="A5216" s="531"/>
    </row>
    <row r="5217" spans="1:1" x14ac:dyDescent="0.25">
      <c r="A5217" s="531"/>
    </row>
    <row r="5218" spans="1:1" x14ac:dyDescent="0.25">
      <c r="A5218" s="531"/>
    </row>
    <row r="5219" spans="1:1" x14ac:dyDescent="0.25">
      <c r="A5219" s="531"/>
    </row>
    <row r="5220" spans="1:1" x14ac:dyDescent="0.25">
      <c r="A5220" s="531"/>
    </row>
    <row r="5221" spans="1:1" x14ac:dyDescent="0.25">
      <c r="A5221" s="531"/>
    </row>
    <row r="5222" spans="1:1" x14ac:dyDescent="0.25">
      <c r="A5222" s="531"/>
    </row>
    <row r="5223" spans="1:1" x14ac:dyDescent="0.25">
      <c r="A5223" s="531"/>
    </row>
    <row r="5224" spans="1:1" x14ac:dyDescent="0.25">
      <c r="A5224" s="531"/>
    </row>
    <row r="5225" spans="1:1" x14ac:dyDescent="0.25">
      <c r="A5225" s="531"/>
    </row>
    <row r="5226" spans="1:1" x14ac:dyDescent="0.25">
      <c r="A5226" s="531"/>
    </row>
    <row r="5227" spans="1:1" x14ac:dyDescent="0.25">
      <c r="A5227" s="531"/>
    </row>
    <row r="5228" spans="1:1" x14ac:dyDescent="0.25">
      <c r="A5228" s="531"/>
    </row>
    <row r="5229" spans="1:1" x14ac:dyDescent="0.25">
      <c r="A5229" s="531"/>
    </row>
    <row r="5230" spans="1:1" x14ac:dyDescent="0.25">
      <c r="A5230" s="531"/>
    </row>
    <row r="5231" spans="1:1" x14ac:dyDescent="0.25">
      <c r="A5231" s="531"/>
    </row>
    <row r="5232" spans="1:1" x14ac:dyDescent="0.25">
      <c r="A5232" s="531"/>
    </row>
    <row r="5233" spans="1:1" x14ac:dyDescent="0.25">
      <c r="A5233" s="531"/>
    </row>
    <row r="5234" spans="1:1" x14ac:dyDescent="0.25">
      <c r="A5234" s="531"/>
    </row>
    <row r="5235" spans="1:1" x14ac:dyDescent="0.25">
      <c r="A5235" s="531"/>
    </row>
    <row r="5236" spans="1:1" x14ac:dyDescent="0.25">
      <c r="A5236" s="531"/>
    </row>
    <row r="5237" spans="1:1" x14ac:dyDescent="0.25">
      <c r="A5237" s="531"/>
    </row>
    <row r="5238" spans="1:1" x14ac:dyDescent="0.25">
      <c r="A5238" s="531"/>
    </row>
    <row r="5239" spans="1:1" x14ac:dyDescent="0.25">
      <c r="A5239" s="531"/>
    </row>
    <row r="5240" spans="1:1" x14ac:dyDescent="0.25">
      <c r="A5240" s="531"/>
    </row>
    <row r="5241" spans="1:1" x14ac:dyDescent="0.25">
      <c r="A5241" s="531"/>
    </row>
    <row r="5242" spans="1:1" x14ac:dyDescent="0.25">
      <c r="A5242" s="531"/>
    </row>
    <row r="5243" spans="1:1" x14ac:dyDescent="0.25">
      <c r="A5243" s="531"/>
    </row>
    <row r="5244" spans="1:1" x14ac:dyDescent="0.25">
      <c r="A5244" s="531"/>
    </row>
    <row r="5245" spans="1:1" x14ac:dyDescent="0.25">
      <c r="A5245" s="531"/>
    </row>
    <row r="5246" spans="1:1" x14ac:dyDescent="0.25">
      <c r="A5246" s="531"/>
    </row>
    <row r="5247" spans="1:1" x14ac:dyDescent="0.25">
      <c r="A5247" s="531"/>
    </row>
    <row r="5248" spans="1:1" x14ac:dyDescent="0.25">
      <c r="A5248" s="531"/>
    </row>
    <row r="5249" spans="1:1" x14ac:dyDescent="0.25">
      <c r="A5249" s="531"/>
    </row>
    <row r="5250" spans="1:1" x14ac:dyDescent="0.25">
      <c r="A5250" s="531"/>
    </row>
    <row r="5251" spans="1:1" x14ac:dyDescent="0.25">
      <c r="A5251" s="531"/>
    </row>
    <row r="5252" spans="1:1" x14ac:dyDescent="0.25">
      <c r="A5252" s="531"/>
    </row>
    <row r="5253" spans="1:1" x14ac:dyDescent="0.25">
      <c r="A5253" s="531"/>
    </row>
    <row r="5254" spans="1:1" x14ac:dyDescent="0.25">
      <c r="A5254" s="531"/>
    </row>
    <row r="5255" spans="1:1" x14ac:dyDescent="0.25">
      <c r="A5255" s="531"/>
    </row>
    <row r="5256" spans="1:1" x14ac:dyDescent="0.25">
      <c r="A5256" s="531"/>
    </row>
    <row r="5257" spans="1:1" x14ac:dyDescent="0.25">
      <c r="A5257" s="531"/>
    </row>
    <row r="5258" spans="1:1" x14ac:dyDescent="0.25">
      <c r="A5258" s="531"/>
    </row>
    <row r="5259" spans="1:1" x14ac:dyDescent="0.25">
      <c r="A5259" s="531"/>
    </row>
    <row r="5260" spans="1:1" x14ac:dyDescent="0.25">
      <c r="A5260" s="531"/>
    </row>
  </sheetData>
  <mergeCells count="30">
    <mergeCell ref="V4:AI4"/>
    <mergeCell ref="I18:L18"/>
    <mergeCell ref="I19:L19"/>
    <mergeCell ref="V27:V28"/>
    <mergeCell ref="I29:L29"/>
    <mergeCell ref="I24:L24"/>
    <mergeCell ref="V24:V25"/>
    <mergeCell ref="I25:L25"/>
    <mergeCell ref="I27:L28"/>
    <mergeCell ref="I26:L26"/>
    <mergeCell ref="D24:D25"/>
    <mergeCell ref="E24:E25"/>
    <mergeCell ref="I30:L30"/>
    <mergeCell ref="I31:L31"/>
    <mergeCell ref="I32:L32"/>
    <mergeCell ref="D27:D28"/>
    <mergeCell ref="E27:E28"/>
    <mergeCell ref="H46:J46"/>
    <mergeCell ref="H49:J49"/>
    <mergeCell ref="H50:J50"/>
    <mergeCell ref="H47:J47"/>
    <mergeCell ref="H48:J48"/>
    <mergeCell ref="D2:J2"/>
    <mergeCell ref="I21:L21"/>
    <mergeCell ref="I22:L22"/>
    <mergeCell ref="I23:L23"/>
    <mergeCell ref="A1:P1"/>
    <mergeCell ref="I20:L20"/>
    <mergeCell ref="B4:S4"/>
    <mergeCell ref="Q1:S1"/>
  </mergeCells>
  <conditionalFormatting sqref="B1:B34">
    <cfRule type="containsText" dxfId="104" priority="66" operator="containsText" text="x">
      <formula>NOT(ISERROR(SEARCH("x",B1)))</formula>
    </cfRule>
  </conditionalFormatting>
  <conditionalFormatting sqref="B35:B37 B39:B53">
    <cfRule type="cellIs" dxfId="103" priority="63" operator="equal">
      <formula>"x"</formula>
    </cfRule>
  </conditionalFormatting>
  <conditionalFormatting sqref="B38">
    <cfRule type="containsText" dxfId="102" priority="45" operator="containsText" text="x">
      <formula>NOT(ISERROR(SEARCH("x",B38)))</formula>
    </cfRule>
  </conditionalFormatting>
  <conditionalFormatting sqref="AF7 AF19:AF32 AF38 AF46:AF50">
    <cfRule type="expression" dxfId="101" priority="24">
      <formula>AND(AF7=AE7,AE7&lt;&gt;"")</formula>
    </cfRule>
    <cfRule type="expression" dxfId="100" priority="25">
      <formula>AF7&lt;&gt;AE7</formula>
    </cfRule>
  </conditionalFormatting>
  <conditionalFormatting sqref="AH7">
    <cfRule type="cellIs" dxfId="99" priority="5" operator="lessThan">
      <formula>-0.1</formula>
    </cfRule>
    <cfRule type="cellIs" dxfId="98" priority="6" operator="greaterThan">
      <formula>0.1</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9999"/>
    <pageSetUpPr fitToPage="1"/>
  </sheetPr>
  <dimension ref="A1:DM2862"/>
  <sheetViews>
    <sheetView zoomScale="70" zoomScaleNormal="70" workbookViewId="0">
      <selection sqref="A1:O1"/>
    </sheetView>
  </sheetViews>
  <sheetFormatPr defaultColWidth="9.28515625" defaultRowHeight="15" outlineLevelRow="1" x14ac:dyDescent="0.25"/>
  <cols>
    <col min="1" max="1" width="6" style="50" customWidth="1"/>
    <col min="2" max="2" width="11.5703125" style="50" customWidth="1"/>
    <col min="3" max="3" width="19.28515625" style="50" customWidth="1"/>
    <col min="4" max="4" width="20.28515625" style="50" customWidth="1"/>
    <col min="5" max="5" width="69.42578125" style="50" customWidth="1"/>
    <col min="6" max="6" width="15.5703125" style="50" customWidth="1"/>
    <col min="7" max="7" width="27.5703125" style="50" customWidth="1"/>
    <col min="8" max="8" width="27.42578125" style="50" customWidth="1"/>
    <col min="9" max="9" width="19.42578125" style="50" customWidth="1"/>
    <col min="10" max="10" width="20.28515625" style="50" customWidth="1"/>
    <col min="11" max="11" width="12.28515625" style="50" customWidth="1"/>
    <col min="12" max="12" width="17.7109375" style="50" customWidth="1"/>
    <col min="13" max="13" width="21.5703125" style="50" customWidth="1"/>
    <col min="14" max="14" width="8.5703125" style="50" customWidth="1"/>
    <col min="15" max="15" width="25.28515625" style="50" bestFit="1" customWidth="1"/>
    <col min="16" max="16" width="14" style="50" customWidth="1"/>
    <col min="17" max="17" width="21.28515625" style="50" customWidth="1"/>
    <col min="18" max="18" width="13.28515625" style="50" customWidth="1"/>
    <col min="19" max="19" width="14.42578125" style="50" customWidth="1"/>
    <col min="20" max="20" width="9.28515625" style="73" customWidth="1"/>
    <col min="21" max="21" width="11.7109375" style="73" customWidth="1"/>
    <col min="22" max="22" width="20.5703125" style="73" customWidth="1"/>
    <col min="23" max="23" width="15.42578125" style="73" customWidth="1"/>
    <col min="24" max="24" width="18" style="73" customWidth="1"/>
    <col min="25" max="26" width="16.7109375" style="73" customWidth="1"/>
    <col min="27" max="28" width="17.42578125" style="73" customWidth="1"/>
    <col min="29" max="29" width="18.7109375" style="73" customWidth="1"/>
    <col min="30" max="31" width="15.42578125" style="73" customWidth="1"/>
    <col min="32" max="32" width="17.7109375" style="73" customWidth="1"/>
    <col min="33" max="33" width="15.42578125" style="73" customWidth="1"/>
    <col min="34" max="51" width="9.28515625" style="73" customWidth="1"/>
    <col min="52" max="52" width="12.28515625" style="73" customWidth="1"/>
    <col min="53" max="110" width="9.28515625" style="73" customWidth="1"/>
    <col min="111" max="111" width="13.28515625" style="50" bestFit="1" customWidth="1"/>
    <col min="112" max="112" width="26.42578125" style="50" customWidth="1"/>
    <col min="113" max="113" width="13.28515625" style="50" customWidth="1"/>
    <col min="114" max="114" width="19" style="1059" customWidth="1"/>
    <col min="115" max="115" width="9.28515625" style="73"/>
    <col min="116" max="116" width="9" style="50" customWidth="1"/>
    <col min="117" max="117" width="10" style="50" customWidth="1"/>
    <col min="118" max="16384" width="9.28515625" style="50"/>
  </cols>
  <sheetData>
    <row r="1" spans="1:115" s="252" customFormat="1" ht="18.75" x14ac:dyDescent="0.3">
      <c r="A1" s="2098" t="s">
        <v>910</v>
      </c>
      <c r="B1" s="2132"/>
      <c r="C1" s="2132"/>
      <c r="D1" s="2132"/>
      <c r="E1" s="2132"/>
      <c r="F1" s="2132"/>
      <c r="G1" s="2132"/>
      <c r="H1" s="2132"/>
      <c r="I1" s="2132"/>
      <c r="J1" s="2132"/>
      <c r="K1" s="2132"/>
      <c r="L1" s="2132"/>
      <c r="M1" s="2132"/>
      <c r="N1" s="2132"/>
      <c r="O1" s="2132"/>
      <c r="P1" s="2190"/>
      <c r="Q1" s="2147"/>
      <c r="R1" s="2147"/>
      <c r="V1" s="764"/>
      <c r="W1" s="4"/>
      <c r="X1" s="4"/>
      <c r="Y1" s="5"/>
      <c r="Z1" s="5"/>
      <c r="AA1" s="5"/>
      <c r="AB1" s="5"/>
      <c r="AC1" s="5"/>
      <c r="AD1" s="5"/>
      <c r="AE1" s="5"/>
      <c r="AF1" s="5"/>
      <c r="AG1" s="5"/>
      <c r="AH1" s="5"/>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1040"/>
      <c r="DH1" s="172"/>
      <c r="DI1" s="1041"/>
      <c r="DJ1" s="1116"/>
      <c r="DK1" s="2"/>
    </row>
    <row r="2" spans="1:115" s="252" customFormat="1" ht="30" hidden="1" customHeight="1" outlineLevel="1" x14ac:dyDescent="0.35">
      <c r="A2" s="675"/>
      <c r="B2" s="446"/>
      <c r="C2" s="58"/>
      <c r="D2" s="2079" t="s">
        <v>39</v>
      </c>
      <c r="E2" s="2101"/>
      <c r="F2" s="2102"/>
      <c r="G2" s="2102"/>
      <c r="H2" s="2102"/>
      <c r="I2" s="2102"/>
      <c r="J2" s="2102"/>
      <c r="K2" s="251"/>
      <c r="L2" s="251"/>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1040"/>
      <c r="DH2" s="172"/>
      <c r="DI2" s="1041"/>
      <c r="DJ2" s="1116"/>
      <c r="DK2" s="2"/>
    </row>
    <row r="3" spans="1:115" s="252" customFormat="1" ht="33.75" customHeight="1" collapsed="1" x14ac:dyDescent="0.25">
      <c r="A3" s="675"/>
      <c r="C3" s="59"/>
      <c r="D3" s="60"/>
      <c r="E3" s="60"/>
      <c r="F3" s="59"/>
      <c r="G3" s="60"/>
      <c r="H3" s="59"/>
      <c r="I3" s="59"/>
      <c r="J3" s="59"/>
      <c r="M3" s="478"/>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1042"/>
      <c r="DH3" s="172"/>
      <c r="DI3" s="1041"/>
      <c r="DJ3" s="1116"/>
      <c r="DK3" s="2"/>
    </row>
    <row r="4" spans="1:115" hidden="1" outlineLevel="1" x14ac:dyDescent="0.25">
      <c r="A4" s="442"/>
      <c r="C4" s="1335"/>
      <c r="D4" s="127" t="s">
        <v>94</v>
      </c>
      <c r="E4" s="127" t="s">
        <v>911</v>
      </c>
      <c r="F4" s="127"/>
      <c r="G4" s="268"/>
      <c r="H4" s="268"/>
      <c r="I4" s="268"/>
      <c r="J4" s="268"/>
      <c r="K4" s="268"/>
      <c r="L4" s="268"/>
      <c r="M4" s="268"/>
      <c r="N4" s="268"/>
      <c r="O4" s="268"/>
      <c r="P4" s="268"/>
      <c r="Q4" s="270"/>
      <c r="R4" s="270"/>
      <c r="DG4" s="555"/>
      <c r="DH4" s="555"/>
      <c r="DI4" s="555"/>
    </row>
    <row r="5" spans="1:115" hidden="1" outlineLevel="1" x14ac:dyDescent="0.25">
      <c r="A5" s="442"/>
      <c r="C5" s="268"/>
      <c r="D5" s="127" t="s">
        <v>604</v>
      </c>
      <c r="E5" s="127" t="s">
        <v>912</v>
      </c>
      <c r="F5" s="127"/>
      <c r="G5" s="268"/>
      <c r="H5" s="268"/>
      <c r="I5" s="268"/>
      <c r="J5" s="268"/>
      <c r="K5" s="268"/>
      <c r="L5" s="268"/>
      <c r="M5" s="268"/>
      <c r="N5" s="268"/>
      <c r="O5" s="268"/>
      <c r="P5" s="268"/>
      <c r="Q5" s="270"/>
      <c r="R5" s="270"/>
      <c r="DG5" s="555"/>
      <c r="DH5" s="555"/>
      <c r="DI5" s="555"/>
    </row>
    <row r="6" spans="1:115" hidden="1" outlineLevel="1" x14ac:dyDescent="0.25">
      <c r="A6" s="442"/>
      <c r="C6" s="268"/>
      <c r="D6" s="127"/>
      <c r="E6" s="127" t="s">
        <v>913</v>
      </c>
      <c r="F6" s="127"/>
      <c r="G6" s="268"/>
      <c r="H6" s="268"/>
      <c r="I6" s="268"/>
      <c r="J6" s="268"/>
      <c r="K6" s="268"/>
      <c r="L6" s="268"/>
      <c r="M6" s="268"/>
      <c r="N6" s="268"/>
      <c r="O6" s="268"/>
      <c r="P6" s="268"/>
      <c r="Q6" s="270"/>
      <c r="R6" s="270"/>
      <c r="DG6" s="555"/>
      <c r="DH6" s="555"/>
      <c r="DI6" s="555"/>
    </row>
    <row r="7" spans="1:115" hidden="1" outlineLevel="1" x14ac:dyDescent="0.25">
      <c r="A7" s="442"/>
      <c r="C7" s="268"/>
      <c r="D7" s="127"/>
      <c r="E7" s="127" t="s">
        <v>914</v>
      </c>
      <c r="F7" s="127"/>
      <c r="G7" s="268"/>
      <c r="H7" s="268"/>
      <c r="I7" s="268"/>
      <c r="J7" s="268"/>
      <c r="K7" s="268"/>
      <c r="L7" s="268"/>
      <c r="M7" s="268"/>
      <c r="N7" s="268"/>
      <c r="O7" s="268"/>
      <c r="P7" s="268"/>
      <c r="Q7" s="270"/>
      <c r="R7" s="270"/>
      <c r="DG7" s="555"/>
      <c r="DH7" s="555"/>
      <c r="DI7" s="555"/>
    </row>
    <row r="8" spans="1:115" ht="26.25" hidden="1" outlineLevel="1" x14ac:dyDescent="0.4">
      <c r="A8" s="442"/>
      <c r="C8" s="268"/>
      <c r="D8" s="127"/>
      <c r="E8" s="127" t="s">
        <v>915</v>
      </c>
      <c r="F8" s="127"/>
      <c r="G8" s="268"/>
      <c r="H8" s="268"/>
      <c r="I8" s="268"/>
      <c r="J8" s="268"/>
      <c r="K8" s="268"/>
      <c r="L8" s="268"/>
      <c r="M8" s="268"/>
      <c r="N8" s="268"/>
      <c r="O8" s="268"/>
      <c r="P8" s="268"/>
      <c r="Q8" s="270"/>
      <c r="R8" s="270"/>
      <c r="S8" s="1894"/>
      <c r="T8" s="176"/>
      <c r="U8" s="176"/>
      <c r="V8" s="176"/>
      <c r="W8" s="176"/>
      <c r="X8" s="176"/>
      <c r="Y8" s="176"/>
      <c r="Z8" s="176"/>
      <c r="AA8" s="176"/>
      <c r="AB8" s="176"/>
      <c r="AC8" s="176"/>
      <c r="DG8" s="555"/>
      <c r="DH8" s="555"/>
      <c r="DI8" s="555"/>
    </row>
    <row r="9" spans="1:115" hidden="1" outlineLevel="1" x14ac:dyDescent="0.25">
      <c r="A9" s="442"/>
      <c r="C9" s="268"/>
      <c r="D9" s="127"/>
      <c r="E9" s="127" t="s">
        <v>607</v>
      </c>
      <c r="F9" s="127"/>
      <c r="G9" s="268"/>
      <c r="H9" s="268"/>
      <c r="I9" s="268"/>
      <c r="J9" s="268"/>
      <c r="K9" s="268"/>
      <c r="L9" s="268"/>
      <c r="M9" s="268"/>
      <c r="N9" s="268"/>
      <c r="O9" s="268"/>
      <c r="P9" s="268"/>
      <c r="Q9" s="270"/>
      <c r="R9" s="270"/>
      <c r="DG9" s="555"/>
      <c r="DH9" s="555"/>
      <c r="DI9" s="555"/>
    </row>
    <row r="10" spans="1:115" ht="19.5" hidden="1" customHeight="1" outlineLevel="1" x14ac:dyDescent="0.25">
      <c r="A10" s="442"/>
      <c r="C10" s="268"/>
      <c r="D10" s="127"/>
      <c r="E10" s="127"/>
      <c r="F10" s="127"/>
      <c r="G10" s="268"/>
      <c r="H10" s="268"/>
      <c r="I10" s="268"/>
      <c r="J10" s="268"/>
      <c r="K10" s="268"/>
      <c r="L10" s="268"/>
      <c r="M10" s="268"/>
      <c r="N10" s="268"/>
      <c r="O10" s="268"/>
      <c r="P10" s="268"/>
      <c r="Q10" s="270"/>
      <c r="R10" s="270"/>
      <c r="DG10" s="555"/>
      <c r="DH10" s="555"/>
      <c r="DI10" s="555"/>
    </row>
    <row r="11" spans="1:115" ht="21" hidden="1" customHeight="1" outlineLevel="1" x14ac:dyDescent="0.25">
      <c r="A11" s="442"/>
      <c r="C11" s="268"/>
      <c r="D11" s="268"/>
      <c r="E11" s="268"/>
      <c r="F11" s="268"/>
      <c r="G11" s="268"/>
      <c r="H11" s="268"/>
      <c r="I11" s="268"/>
      <c r="J11" s="268"/>
      <c r="K11" s="268"/>
      <c r="L11" s="268"/>
      <c r="M11" s="268"/>
      <c r="N11" s="268"/>
      <c r="O11" s="268"/>
      <c r="P11" s="268"/>
      <c r="Q11" s="270"/>
      <c r="R11" s="270"/>
      <c r="T11" s="50"/>
      <c r="U11" s="50"/>
      <c r="V11" s="50"/>
      <c r="DG11" s="555"/>
      <c r="DH11" s="555"/>
      <c r="DI11" s="555"/>
    </row>
    <row r="12" spans="1:115" hidden="1" outlineLevel="1" x14ac:dyDescent="0.25">
      <c r="A12" s="442"/>
      <c r="C12" s="268"/>
      <c r="D12" s="1373" t="s">
        <v>712</v>
      </c>
      <c r="E12" s="1373" t="s">
        <v>608</v>
      </c>
      <c r="F12" s="2108" t="s">
        <v>609</v>
      </c>
      <c r="G12" s="2108"/>
      <c r="H12" s="2108"/>
      <c r="I12" s="1300" t="s">
        <v>610</v>
      </c>
      <c r="J12" s="1300" t="s">
        <v>611</v>
      </c>
      <c r="K12" s="1300" t="s">
        <v>713</v>
      </c>
      <c r="L12" s="270"/>
      <c r="M12" s="270"/>
      <c r="N12" s="268"/>
      <c r="O12" s="270"/>
      <c r="U12" s="50"/>
      <c r="V12" s="165" t="s">
        <v>52</v>
      </c>
      <c r="W12" s="649">
        <v>43252</v>
      </c>
      <c r="X12" s="649" t="e">
        <f>#REF!</f>
        <v>#REF!</v>
      </c>
      <c r="Y12" s="649" t="e">
        <f>#REF!</f>
        <v>#REF!</v>
      </c>
      <c r="Z12" s="649" t="e">
        <f>#REF!</f>
        <v>#REF!</v>
      </c>
      <c r="AA12" s="649" t="e">
        <f>#REF!</f>
        <v>#REF!</v>
      </c>
      <c r="AB12" s="649" t="e">
        <f>#REF!</f>
        <v>#REF!</v>
      </c>
      <c r="AC12" s="649" t="e">
        <f>#REF!</f>
        <v>#REF!</v>
      </c>
      <c r="AD12" s="649" t="e">
        <f>#REF!</f>
        <v>#REF!</v>
      </c>
      <c r="AE12" s="649" t="e">
        <f>#REF!</f>
        <v>#REF!</v>
      </c>
      <c r="AF12" s="649" t="e">
        <f>#REF!</f>
        <v>#REF!</v>
      </c>
      <c r="AG12" s="649" t="e">
        <f>#REF!</f>
        <v>#REF!</v>
      </c>
      <c r="DG12" s="555"/>
      <c r="DH12" s="555"/>
      <c r="DI12" s="555"/>
    </row>
    <row r="13" spans="1:115" hidden="1" outlineLevel="1" x14ac:dyDescent="0.25">
      <c r="A13" s="442"/>
      <c r="C13" s="268"/>
      <c r="D13" s="2192" t="s">
        <v>916</v>
      </c>
      <c r="E13" s="2198" t="s">
        <v>917</v>
      </c>
      <c r="F13" s="2174" t="e">
        <f>#REF!</f>
        <v>#REF!</v>
      </c>
      <c r="G13" s="2174"/>
      <c r="H13" s="2174"/>
      <c r="I13" s="1515">
        <v>0.16336956521739129</v>
      </c>
      <c r="J13" s="2201" t="s">
        <v>918</v>
      </c>
      <c r="K13" s="178"/>
      <c r="L13" s="270"/>
      <c r="M13" s="270"/>
      <c r="N13" s="268"/>
      <c r="O13" s="270"/>
      <c r="U13" s="50"/>
      <c r="V13" s="2192" t="s">
        <v>916</v>
      </c>
      <c r="W13" s="292">
        <v>0.16</v>
      </c>
      <c r="X13" s="292">
        <f t="shared" ref="X13:X20" si="0">1759/10801</f>
        <v>0.16285529117674288</v>
      </c>
      <c r="Y13" s="179">
        <v>0.16336956521739129</v>
      </c>
      <c r="Z13" s="177">
        <v>0.16336956521739129</v>
      </c>
      <c r="AA13" s="177">
        <v>0.16336956521739129</v>
      </c>
      <c r="AB13" s="292">
        <v>0.16336956521739129</v>
      </c>
      <c r="AC13" s="292">
        <v>0.16336956521739129</v>
      </c>
      <c r="AD13" s="141">
        <v>0.16336956521739129</v>
      </c>
      <c r="AE13" s="141">
        <v>0.16336956521739129</v>
      </c>
      <c r="AF13" s="258">
        <f t="shared" ref="AF13:AF36" si="1">IF(I13&lt;&gt;"",I13,"")</f>
        <v>0.16336956521739129</v>
      </c>
      <c r="AG13" s="292"/>
      <c r="DG13" s="555"/>
      <c r="DH13" s="555"/>
      <c r="DI13" s="555"/>
    </row>
    <row r="14" spans="1:115" hidden="1" outlineLevel="1" x14ac:dyDescent="0.25">
      <c r="A14" s="442"/>
      <c r="C14" s="268"/>
      <c r="D14" s="2193"/>
      <c r="E14" s="2199"/>
      <c r="F14" s="2174" t="e">
        <f>#REF!</f>
        <v>#REF!</v>
      </c>
      <c r="G14" s="2174"/>
      <c r="H14" s="2174"/>
      <c r="I14" s="1515">
        <f t="shared" ref="I14:I20" si="2">I13</f>
        <v>0.16336956521739129</v>
      </c>
      <c r="J14" s="2202"/>
      <c r="K14" s="178"/>
      <c r="L14" s="270"/>
      <c r="M14" s="270"/>
      <c r="N14" s="268"/>
      <c r="O14" s="270"/>
      <c r="U14" s="50"/>
      <c r="V14" s="2193"/>
      <c r="W14" s="292">
        <v>0.16</v>
      </c>
      <c r="X14" s="292">
        <f t="shared" si="0"/>
        <v>0.16285529117674288</v>
      </c>
      <c r="Y14" s="179">
        <v>0.16336956521739129</v>
      </c>
      <c r="Z14" s="177">
        <v>0.16336956521739129</v>
      </c>
      <c r="AA14" s="177">
        <v>0.16336956521739129</v>
      </c>
      <c r="AB14" s="292">
        <v>0.16336956521739129</v>
      </c>
      <c r="AC14" s="292">
        <v>0.16336956521739129</v>
      </c>
      <c r="AD14" s="141">
        <v>0.16336956521739129</v>
      </c>
      <c r="AE14" s="141">
        <v>0.16336956521739129</v>
      </c>
      <c r="AF14" s="258">
        <f t="shared" si="1"/>
        <v>0.16336956521739129</v>
      </c>
      <c r="AG14" s="292"/>
      <c r="DG14" s="555"/>
      <c r="DH14" s="555"/>
      <c r="DI14" s="555"/>
    </row>
    <row r="15" spans="1:115" hidden="1" outlineLevel="1" x14ac:dyDescent="0.25">
      <c r="A15" s="442"/>
      <c r="C15" s="268"/>
      <c r="D15" s="2193"/>
      <c r="E15" s="2199"/>
      <c r="F15" s="2174" t="e">
        <f>#REF!</f>
        <v>#REF!</v>
      </c>
      <c r="G15" s="2174"/>
      <c r="H15" s="2174"/>
      <c r="I15" s="1515">
        <f t="shared" si="2"/>
        <v>0.16336956521739129</v>
      </c>
      <c r="J15" s="2202"/>
      <c r="K15" s="178"/>
      <c r="L15" s="270"/>
      <c r="M15" s="270"/>
      <c r="N15" s="268"/>
      <c r="O15" s="270"/>
      <c r="U15" s="50"/>
      <c r="V15" s="2193"/>
      <c r="W15" s="292">
        <v>0.16</v>
      </c>
      <c r="X15" s="292">
        <f t="shared" si="0"/>
        <v>0.16285529117674288</v>
      </c>
      <c r="Y15" s="179">
        <v>0.16336956521739129</v>
      </c>
      <c r="Z15" s="177">
        <v>0.16336956521739129</v>
      </c>
      <c r="AA15" s="177">
        <v>0.16336956521739129</v>
      </c>
      <c r="AB15" s="292">
        <v>0.16336956521739129</v>
      </c>
      <c r="AC15" s="292">
        <v>0.16336956521739129</v>
      </c>
      <c r="AD15" s="141">
        <v>0.16336956521739129</v>
      </c>
      <c r="AE15" s="141">
        <v>0.16336956521739129</v>
      </c>
      <c r="AF15" s="258">
        <f t="shared" si="1"/>
        <v>0.16336956521739129</v>
      </c>
      <c r="AG15" s="292"/>
      <c r="DG15" s="555"/>
      <c r="DH15" s="555"/>
      <c r="DI15" s="555"/>
    </row>
    <row r="16" spans="1:115" hidden="1" outlineLevel="1" x14ac:dyDescent="0.25">
      <c r="A16" s="442"/>
      <c r="C16" s="268"/>
      <c r="D16" s="2193"/>
      <c r="E16" s="2199"/>
      <c r="F16" s="2174" t="e">
        <f>#REF!</f>
        <v>#REF!</v>
      </c>
      <c r="G16" s="2174"/>
      <c r="H16" s="2174"/>
      <c r="I16" s="1515">
        <f t="shared" si="2"/>
        <v>0.16336956521739129</v>
      </c>
      <c r="J16" s="2202"/>
      <c r="K16" s="178"/>
      <c r="L16" s="270"/>
      <c r="M16" s="270"/>
      <c r="N16" s="268"/>
      <c r="O16" s="270"/>
      <c r="U16" s="50"/>
      <c r="V16" s="2193"/>
      <c r="W16" s="292">
        <v>0.16</v>
      </c>
      <c r="X16" s="292">
        <f t="shared" si="0"/>
        <v>0.16285529117674288</v>
      </c>
      <c r="Y16" s="179">
        <v>0.16336956521739129</v>
      </c>
      <c r="Z16" s="177">
        <v>0.16336956521739129</v>
      </c>
      <c r="AA16" s="177">
        <v>0.16336956521739129</v>
      </c>
      <c r="AB16" s="292">
        <v>0.16336956521739129</v>
      </c>
      <c r="AC16" s="292">
        <v>0.16336956521739129</v>
      </c>
      <c r="AD16" s="141">
        <v>0.16336956521739129</v>
      </c>
      <c r="AE16" s="141">
        <v>0.16336956521739129</v>
      </c>
      <c r="AF16" s="258">
        <f t="shared" si="1"/>
        <v>0.16336956521739129</v>
      </c>
      <c r="AG16" s="292"/>
      <c r="DG16" s="555"/>
      <c r="DH16" s="555"/>
      <c r="DI16" s="555"/>
    </row>
    <row r="17" spans="1:113" hidden="1" outlineLevel="1" x14ac:dyDescent="0.25">
      <c r="A17" s="442"/>
      <c r="C17" s="268"/>
      <c r="D17" s="2193"/>
      <c r="E17" s="2199"/>
      <c r="F17" s="2195" t="e">
        <f>#REF!</f>
        <v>#REF!</v>
      </c>
      <c r="G17" s="2196"/>
      <c r="H17" s="2197"/>
      <c r="I17" s="1515">
        <f t="shared" si="2"/>
        <v>0.16336956521739129</v>
      </c>
      <c r="J17" s="2202"/>
      <c r="K17" s="178"/>
      <c r="L17" s="270"/>
      <c r="M17" s="270"/>
      <c r="N17" s="268"/>
      <c r="O17" s="270"/>
      <c r="U17" s="50"/>
      <c r="V17" s="2193"/>
      <c r="W17" s="292">
        <v>0.16</v>
      </c>
      <c r="X17" s="292">
        <f t="shared" si="0"/>
        <v>0.16285529117674288</v>
      </c>
      <c r="Y17" s="179">
        <v>0.16336956521739129</v>
      </c>
      <c r="Z17" s="177">
        <v>0.16336956521739129</v>
      </c>
      <c r="AA17" s="177">
        <v>0.16336956521739129</v>
      </c>
      <c r="AB17" s="292">
        <v>0.16336956521739129</v>
      </c>
      <c r="AC17" s="292">
        <v>0.16336956521739129</v>
      </c>
      <c r="AD17" s="141">
        <v>0.16336956521739129</v>
      </c>
      <c r="AE17" s="141">
        <v>0.16336956521739129</v>
      </c>
      <c r="AF17" s="258">
        <f t="shared" si="1"/>
        <v>0.16336956521739129</v>
      </c>
      <c r="AG17" s="292"/>
      <c r="DG17" s="555"/>
      <c r="DH17" s="555"/>
      <c r="DI17" s="555"/>
    </row>
    <row r="18" spans="1:113" hidden="1" outlineLevel="1" x14ac:dyDescent="0.25">
      <c r="A18" s="442"/>
      <c r="C18" s="268"/>
      <c r="D18" s="2193"/>
      <c r="E18" s="2199"/>
      <c r="F18" s="2195" t="e">
        <f>#REF!</f>
        <v>#REF!</v>
      </c>
      <c r="G18" s="2196"/>
      <c r="H18" s="2197"/>
      <c r="I18" s="1515">
        <f t="shared" si="2"/>
        <v>0.16336956521739129</v>
      </c>
      <c r="J18" s="2202"/>
      <c r="K18" s="178"/>
      <c r="L18" s="270"/>
      <c r="M18" s="270"/>
      <c r="N18" s="268"/>
      <c r="O18" s="270"/>
      <c r="U18" s="50"/>
      <c r="V18" s="2193"/>
      <c r="W18" s="292">
        <v>0.16</v>
      </c>
      <c r="X18" s="292">
        <f t="shared" si="0"/>
        <v>0.16285529117674288</v>
      </c>
      <c r="Y18" s="179">
        <v>0.16336956521739129</v>
      </c>
      <c r="Z18" s="177">
        <v>0.16336956521739129</v>
      </c>
      <c r="AA18" s="177">
        <v>0.16336956521739129</v>
      </c>
      <c r="AB18" s="292">
        <v>0.16336956521739129</v>
      </c>
      <c r="AC18" s="292">
        <v>0.16336956521739129</v>
      </c>
      <c r="AD18" s="141">
        <v>0.16336956521739129</v>
      </c>
      <c r="AE18" s="141">
        <v>0.16336956521739129</v>
      </c>
      <c r="AF18" s="258">
        <f t="shared" si="1"/>
        <v>0.16336956521739129</v>
      </c>
      <c r="AG18" s="292"/>
      <c r="DG18" s="555"/>
      <c r="DH18" s="555"/>
      <c r="DI18" s="555"/>
    </row>
    <row r="19" spans="1:113" hidden="1" outlineLevel="1" x14ac:dyDescent="0.25">
      <c r="A19" s="442"/>
      <c r="C19" s="268"/>
      <c r="D19" s="2193"/>
      <c r="E19" s="2199"/>
      <c r="F19" s="2174" t="e">
        <f>#REF!</f>
        <v>#REF!</v>
      </c>
      <c r="G19" s="2174"/>
      <c r="H19" s="2174"/>
      <c r="I19" s="1515">
        <f t="shared" si="2"/>
        <v>0.16336956521739129</v>
      </c>
      <c r="J19" s="2202"/>
      <c r="K19" s="178"/>
      <c r="L19" s="270"/>
      <c r="M19" s="270"/>
      <c r="N19" s="268"/>
      <c r="O19" s="270"/>
      <c r="U19" s="50"/>
      <c r="V19" s="2193"/>
      <c r="W19" s="292">
        <v>0.16</v>
      </c>
      <c r="X19" s="292">
        <f t="shared" si="0"/>
        <v>0.16285529117674288</v>
      </c>
      <c r="Y19" s="179">
        <v>0.16336956521739129</v>
      </c>
      <c r="Z19" s="177">
        <v>0.16336956521739129</v>
      </c>
      <c r="AA19" s="177">
        <v>0.16336956521739129</v>
      </c>
      <c r="AB19" s="292">
        <v>0.16336956521739129</v>
      </c>
      <c r="AC19" s="292">
        <v>0.16336956521739129</v>
      </c>
      <c r="AD19" s="141">
        <v>0.16336956521739129</v>
      </c>
      <c r="AE19" s="141">
        <v>0.16336956521739129</v>
      </c>
      <c r="AF19" s="258">
        <f t="shared" si="1"/>
        <v>0.16336956521739129</v>
      </c>
      <c r="AG19" s="292"/>
      <c r="DG19" s="555"/>
      <c r="DH19" s="555"/>
      <c r="DI19" s="555"/>
    </row>
    <row r="20" spans="1:113" hidden="1" outlineLevel="1" x14ac:dyDescent="0.25">
      <c r="A20" s="442"/>
      <c r="C20" s="268"/>
      <c r="D20" s="2194"/>
      <c r="E20" s="2200"/>
      <c r="F20" s="2174" t="e">
        <f>#REF!</f>
        <v>#REF!</v>
      </c>
      <c r="G20" s="2174"/>
      <c r="H20" s="2174"/>
      <c r="I20" s="1515">
        <f t="shared" si="2"/>
        <v>0.16336956521739129</v>
      </c>
      <c r="J20" s="2203"/>
      <c r="K20" s="178"/>
      <c r="L20" s="270"/>
      <c r="M20" s="270"/>
      <c r="N20" s="268"/>
      <c r="O20" s="270"/>
      <c r="P20" s="270"/>
      <c r="T20" s="50"/>
      <c r="U20" s="50"/>
      <c r="V20" s="2194"/>
      <c r="W20" s="292">
        <v>0.16</v>
      </c>
      <c r="X20" s="292">
        <f t="shared" si="0"/>
        <v>0.16285529117674288</v>
      </c>
      <c r="Y20" s="179">
        <v>0.16336956521739129</v>
      </c>
      <c r="Z20" s="177">
        <v>0.16336956521739129</v>
      </c>
      <c r="AA20" s="177">
        <v>0.16336956521739129</v>
      </c>
      <c r="AB20" s="292">
        <v>0.16336956521739129</v>
      </c>
      <c r="AC20" s="292">
        <v>0.16336956521739129</v>
      </c>
      <c r="AD20" s="141">
        <v>0.16336956521739129</v>
      </c>
      <c r="AE20" s="141">
        <v>0.16336956521739129</v>
      </c>
      <c r="AF20" s="258">
        <f t="shared" si="1"/>
        <v>0.16336956521739129</v>
      </c>
      <c r="AG20" s="292"/>
      <c r="DG20" s="555"/>
      <c r="DH20" s="555"/>
      <c r="DI20" s="555"/>
    </row>
    <row r="21" spans="1:113" ht="45" hidden="1" outlineLevel="1" x14ac:dyDescent="0.25">
      <c r="A21" s="442"/>
      <c r="C21" s="268"/>
      <c r="D21" s="1308" t="s">
        <v>919</v>
      </c>
      <c r="E21" s="1329" t="s">
        <v>920</v>
      </c>
      <c r="F21" s="2191" t="s">
        <v>734</v>
      </c>
      <c r="G21" s="2191"/>
      <c r="H21" s="2191"/>
      <c r="I21" s="1524">
        <v>400</v>
      </c>
      <c r="J21" s="1296" t="s">
        <v>921</v>
      </c>
      <c r="K21" s="1336"/>
      <c r="L21" s="270"/>
      <c r="M21" s="270"/>
      <c r="N21" s="268"/>
      <c r="O21" s="270"/>
      <c r="P21" s="270"/>
      <c r="T21" s="50"/>
      <c r="U21" s="50"/>
      <c r="V21" s="1308" t="s">
        <v>919</v>
      </c>
      <c r="W21" s="324"/>
      <c r="X21" s="324"/>
      <c r="Y21" s="302">
        <v>400</v>
      </c>
      <c r="Z21" s="302">
        <v>400</v>
      </c>
      <c r="AA21" s="302">
        <v>400</v>
      </c>
      <c r="AB21" s="1655">
        <v>400</v>
      </c>
      <c r="AC21" s="1655">
        <v>400</v>
      </c>
      <c r="AD21" s="1656">
        <v>400</v>
      </c>
      <c r="AE21" s="1656">
        <v>400</v>
      </c>
      <c r="AF21" s="258">
        <f t="shared" si="1"/>
        <v>400</v>
      </c>
      <c r="AG21" s="292"/>
      <c r="DG21" s="555"/>
      <c r="DH21" s="555"/>
      <c r="DI21" s="555"/>
    </row>
    <row r="22" spans="1:113" ht="75" hidden="1" outlineLevel="1" x14ac:dyDescent="0.25">
      <c r="A22" s="442"/>
      <c r="C22" s="268"/>
      <c r="D22" s="718" t="s">
        <v>922</v>
      </c>
      <c r="E22" s="1329" t="s">
        <v>923</v>
      </c>
      <c r="F22" s="2191" t="s">
        <v>734</v>
      </c>
      <c r="G22" s="2191"/>
      <c r="H22" s="2191"/>
      <c r="I22" s="1522">
        <v>2009</v>
      </c>
      <c r="J22" s="1296" t="s">
        <v>924</v>
      </c>
      <c r="K22" s="178"/>
      <c r="L22" s="270"/>
      <c r="M22" s="270"/>
      <c r="N22" s="268"/>
      <c r="O22" s="270"/>
      <c r="P22" s="270"/>
      <c r="T22" s="196"/>
      <c r="U22" s="50"/>
      <c r="V22" s="718" t="s">
        <v>922</v>
      </c>
      <c r="W22" s="293">
        <v>2009</v>
      </c>
      <c r="X22" s="293">
        <v>2009</v>
      </c>
      <c r="Y22" s="298">
        <v>2009</v>
      </c>
      <c r="Z22" s="302">
        <v>2009</v>
      </c>
      <c r="AA22" s="302">
        <v>2009</v>
      </c>
      <c r="AB22" s="293">
        <v>2009</v>
      </c>
      <c r="AC22" s="293">
        <v>2009</v>
      </c>
      <c r="AD22" s="324">
        <v>2009</v>
      </c>
      <c r="AE22" s="324">
        <v>2009</v>
      </c>
      <c r="AF22" s="258">
        <f t="shared" si="1"/>
        <v>2009</v>
      </c>
      <c r="AG22" s="293"/>
      <c r="DG22" s="555"/>
      <c r="DH22" s="555"/>
      <c r="DI22" s="555"/>
    </row>
    <row r="23" spans="1:113" ht="45" hidden="1" outlineLevel="1" x14ac:dyDescent="0.25">
      <c r="A23" s="442"/>
      <c r="C23" s="268"/>
      <c r="D23" s="718" t="s">
        <v>925</v>
      </c>
      <c r="E23" s="1329" t="s">
        <v>926</v>
      </c>
      <c r="F23" s="2191" t="s">
        <v>734</v>
      </c>
      <c r="G23" s="2191"/>
      <c r="H23" s="2191"/>
      <c r="I23" s="1523">
        <v>2545.25</v>
      </c>
      <c r="J23" s="1296" t="s">
        <v>927</v>
      </c>
      <c r="K23" s="178"/>
      <c r="L23" s="270"/>
      <c r="M23" s="270"/>
      <c r="N23" s="268"/>
      <c r="O23" s="270"/>
      <c r="P23" s="270"/>
      <c r="U23" s="50"/>
      <c r="V23" s="718" t="s">
        <v>925</v>
      </c>
      <c r="W23" s="297">
        <v>2545.25</v>
      </c>
      <c r="X23" s="297">
        <v>2545.25</v>
      </c>
      <c r="Y23" s="291">
        <v>2545.25</v>
      </c>
      <c r="Z23" s="384">
        <v>2545.25</v>
      </c>
      <c r="AA23" s="384">
        <v>2545.25</v>
      </c>
      <c r="AB23" s="297">
        <v>2545.25</v>
      </c>
      <c r="AC23" s="297">
        <v>2545.25</v>
      </c>
      <c r="AD23" s="325">
        <v>2545.25</v>
      </c>
      <c r="AE23" s="325">
        <v>2545.25</v>
      </c>
      <c r="AF23" s="258">
        <f t="shared" si="1"/>
        <v>2545.25</v>
      </c>
      <c r="AG23" s="297"/>
      <c r="DG23" s="555"/>
      <c r="DH23" s="555"/>
      <c r="DI23" s="555"/>
    </row>
    <row r="24" spans="1:113" ht="15" hidden="1" customHeight="1" outlineLevel="1" x14ac:dyDescent="0.25">
      <c r="A24" s="442"/>
      <c r="C24" s="268"/>
      <c r="D24" s="2192" t="s">
        <v>928</v>
      </c>
      <c r="E24" s="2198" t="s">
        <v>929</v>
      </c>
      <c r="F24" s="2174" t="e">
        <f>#REF!</f>
        <v>#REF!</v>
      </c>
      <c r="G24" s="2174"/>
      <c r="H24" s="2174"/>
      <c r="I24" s="1526">
        <v>0.82</v>
      </c>
      <c r="J24" s="2201" t="s">
        <v>930</v>
      </c>
      <c r="K24" s="178"/>
      <c r="L24" s="270"/>
      <c r="M24" s="270"/>
      <c r="N24" s="268"/>
      <c r="O24" s="270"/>
      <c r="P24" s="270"/>
      <c r="U24" s="50"/>
      <c r="V24" s="2192" t="s">
        <v>928</v>
      </c>
      <c r="W24" s="292">
        <v>0.97</v>
      </c>
      <c r="X24" s="292">
        <f t="shared" ref="X24:X31" si="3">8493/10801</f>
        <v>0.78631608184427371</v>
      </c>
      <c r="Y24" s="179">
        <v>0.80141304347826092</v>
      </c>
      <c r="Z24" s="177">
        <v>0.80141304347826092</v>
      </c>
      <c r="AA24" s="177">
        <v>0.80141304347826092</v>
      </c>
      <c r="AB24" s="292">
        <v>0.80141304347826092</v>
      </c>
      <c r="AC24" s="292">
        <v>0.80141304347826092</v>
      </c>
      <c r="AD24" s="141">
        <v>0.80141304347826092</v>
      </c>
      <c r="AE24" s="141">
        <v>0.80141304347826092</v>
      </c>
      <c r="AF24" s="258">
        <f t="shared" si="1"/>
        <v>0.82</v>
      </c>
      <c r="AG24" s="292"/>
      <c r="DG24" s="555"/>
      <c r="DH24" s="555"/>
      <c r="DI24" s="555"/>
    </row>
    <row r="25" spans="1:113" ht="15" hidden="1" customHeight="1" outlineLevel="1" x14ac:dyDescent="0.25">
      <c r="A25" s="442"/>
      <c r="C25" s="268"/>
      <c r="D25" s="2193"/>
      <c r="E25" s="2199"/>
      <c r="F25" s="2174" t="e">
        <f>#REF!</f>
        <v>#REF!</v>
      </c>
      <c r="G25" s="2174"/>
      <c r="H25" s="2174"/>
      <c r="I25" s="1526">
        <f t="shared" ref="I25:I30" si="4">I24</f>
        <v>0.82</v>
      </c>
      <c r="J25" s="2202"/>
      <c r="K25" s="178"/>
      <c r="L25" s="309"/>
      <c r="M25" s="270"/>
      <c r="N25" s="268"/>
      <c r="O25" s="270"/>
      <c r="P25" s="270"/>
      <c r="Q25" s="270"/>
      <c r="R25" s="270"/>
      <c r="T25" s="50"/>
      <c r="U25" s="50"/>
      <c r="V25" s="2193"/>
      <c r="W25" s="292">
        <v>0.97</v>
      </c>
      <c r="X25" s="292">
        <f t="shared" si="3"/>
        <v>0.78631608184427371</v>
      </c>
      <c r="Y25" s="179">
        <v>0.80141304347826092</v>
      </c>
      <c r="Z25" s="177">
        <v>0.80141304347826092</v>
      </c>
      <c r="AA25" s="177">
        <v>0.80141304347826092</v>
      </c>
      <c r="AB25" s="292">
        <v>0.80141304347826092</v>
      </c>
      <c r="AC25" s="292">
        <v>0.80141304347826092</v>
      </c>
      <c r="AD25" s="141">
        <v>0.80141304347826092</v>
      </c>
      <c r="AE25" s="141">
        <v>0.80141304347826092</v>
      </c>
      <c r="AF25" s="258">
        <f t="shared" si="1"/>
        <v>0.82</v>
      </c>
      <c r="AG25" s="292"/>
      <c r="DG25" s="555"/>
      <c r="DH25" s="555"/>
      <c r="DI25" s="555"/>
    </row>
    <row r="26" spans="1:113" hidden="1" outlineLevel="1" x14ac:dyDescent="0.25">
      <c r="A26" s="442"/>
      <c r="C26" s="268"/>
      <c r="D26" s="2193"/>
      <c r="E26" s="2199"/>
      <c r="F26" s="2174" t="e">
        <f>#REF!</f>
        <v>#REF!</v>
      </c>
      <c r="G26" s="2174"/>
      <c r="H26" s="2174"/>
      <c r="I26" s="1526">
        <f t="shared" si="4"/>
        <v>0.82</v>
      </c>
      <c r="J26" s="2202"/>
      <c r="K26" s="178"/>
      <c r="L26" s="309"/>
      <c r="M26" s="270"/>
      <c r="N26" s="268"/>
      <c r="O26" s="270"/>
      <c r="P26" s="270"/>
      <c r="Q26" s="270"/>
      <c r="R26" s="270"/>
      <c r="T26" s="50"/>
      <c r="U26" s="50"/>
      <c r="V26" s="2193"/>
      <c r="W26" s="292">
        <v>0.97</v>
      </c>
      <c r="X26" s="292">
        <f t="shared" si="3"/>
        <v>0.78631608184427371</v>
      </c>
      <c r="Y26" s="179">
        <v>0.80141304347826092</v>
      </c>
      <c r="Z26" s="177">
        <v>0.80141304347826092</v>
      </c>
      <c r="AA26" s="177">
        <v>0.80141304347826092</v>
      </c>
      <c r="AB26" s="292">
        <v>0.80141304347826092</v>
      </c>
      <c r="AC26" s="292">
        <v>0.80141304347826092</v>
      </c>
      <c r="AD26" s="141">
        <v>0.80141304347826092</v>
      </c>
      <c r="AE26" s="141">
        <v>0.80141304347826092</v>
      </c>
      <c r="AF26" s="258">
        <f t="shared" si="1"/>
        <v>0.82</v>
      </c>
      <c r="AG26" s="292"/>
      <c r="DG26" s="555"/>
      <c r="DH26" s="555"/>
      <c r="DI26" s="555"/>
    </row>
    <row r="27" spans="1:113" hidden="1" outlineLevel="1" x14ac:dyDescent="0.25">
      <c r="A27" s="442"/>
      <c r="C27" s="268"/>
      <c r="D27" s="2193"/>
      <c r="E27" s="2199"/>
      <c r="F27" s="2174" t="e">
        <f>#REF!</f>
        <v>#REF!</v>
      </c>
      <c r="G27" s="2174"/>
      <c r="H27" s="2174"/>
      <c r="I27" s="1526">
        <f t="shared" si="4"/>
        <v>0.82</v>
      </c>
      <c r="J27" s="2202"/>
      <c r="K27" s="178"/>
      <c r="L27" s="309"/>
      <c r="M27" s="270"/>
      <c r="N27" s="268"/>
      <c r="O27" s="270"/>
      <c r="P27" s="270"/>
      <c r="Q27" s="270"/>
      <c r="R27" s="268"/>
      <c r="T27" s="50"/>
      <c r="U27" s="50"/>
      <c r="V27" s="2193"/>
      <c r="W27" s="292">
        <v>0.97</v>
      </c>
      <c r="X27" s="292">
        <f t="shared" si="3"/>
        <v>0.78631608184427371</v>
      </c>
      <c r="Y27" s="179">
        <v>0.80141304347826092</v>
      </c>
      <c r="Z27" s="177">
        <v>0.80141304347826092</v>
      </c>
      <c r="AA27" s="177">
        <v>0.80141304347826092</v>
      </c>
      <c r="AB27" s="292">
        <v>0.80141304347826092</v>
      </c>
      <c r="AC27" s="292">
        <v>0.80141304347826092</v>
      </c>
      <c r="AD27" s="141">
        <v>0.80141304347826092</v>
      </c>
      <c r="AE27" s="141">
        <v>0.80141304347826092</v>
      </c>
      <c r="AF27" s="258">
        <f t="shared" si="1"/>
        <v>0.82</v>
      </c>
      <c r="AG27" s="292"/>
      <c r="DG27" s="555"/>
      <c r="DH27" s="555"/>
      <c r="DI27" s="555"/>
    </row>
    <row r="28" spans="1:113" hidden="1" outlineLevel="1" x14ac:dyDescent="0.25">
      <c r="A28" s="442"/>
      <c r="C28" s="268"/>
      <c r="D28" s="2193"/>
      <c r="E28" s="2199"/>
      <c r="F28" s="2174" t="e">
        <f>#REF!</f>
        <v>#REF!</v>
      </c>
      <c r="G28" s="2174"/>
      <c r="H28" s="2174"/>
      <c r="I28" s="1526">
        <f t="shared" si="4"/>
        <v>0.82</v>
      </c>
      <c r="J28" s="2202"/>
      <c r="K28" s="178"/>
      <c r="L28" s="309"/>
      <c r="M28" s="270"/>
      <c r="N28" s="268"/>
      <c r="O28" s="270"/>
      <c r="P28" s="270"/>
      <c r="Q28" s="270"/>
      <c r="R28" s="270"/>
      <c r="T28" s="50"/>
      <c r="U28" s="50"/>
      <c r="V28" s="2193"/>
      <c r="W28" s="292">
        <v>0.97</v>
      </c>
      <c r="X28" s="292">
        <f t="shared" si="3"/>
        <v>0.78631608184427371</v>
      </c>
      <c r="Y28" s="179">
        <v>0.80141304347826092</v>
      </c>
      <c r="Z28" s="177">
        <v>0.80141304347826092</v>
      </c>
      <c r="AA28" s="177">
        <v>0.80141304347826092</v>
      </c>
      <c r="AB28" s="292">
        <v>0.80141304347826092</v>
      </c>
      <c r="AC28" s="292">
        <v>0.80141304347826092</v>
      </c>
      <c r="AD28" s="141">
        <v>0.80141304347826092</v>
      </c>
      <c r="AE28" s="141">
        <v>0.80141304347826092</v>
      </c>
      <c r="AF28" s="258">
        <f t="shared" si="1"/>
        <v>0.82</v>
      </c>
      <c r="AG28" s="292"/>
      <c r="DG28" s="555"/>
      <c r="DH28" s="555"/>
      <c r="DI28" s="555"/>
    </row>
    <row r="29" spans="1:113" ht="18" hidden="1" customHeight="1" outlineLevel="1" x14ac:dyDescent="0.25">
      <c r="A29" s="442"/>
      <c r="C29" s="268"/>
      <c r="D29" s="2193"/>
      <c r="E29" s="2199"/>
      <c r="F29" s="2174" t="e">
        <f>#REF!</f>
        <v>#REF!</v>
      </c>
      <c r="G29" s="2174"/>
      <c r="H29" s="2174"/>
      <c r="I29" s="1526">
        <f t="shared" si="4"/>
        <v>0.82</v>
      </c>
      <c r="J29" s="2202"/>
      <c r="K29" s="178"/>
      <c r="L29" s="309"/>
      <c r="M29" s="270"/>
      <c r="N29" s="268"/>
      <c r="O29" s="270"/>
      <c r="P29" s="270"/>
      <c r="Q29" s="270"/>
      <c r="R29" s="270"/>
      <c r="T29" s="50"/>
      <c r="U29" s="50"/>
      <c r="V29" s="2193"/>
      <c r="W29" s="292">
        <v>0.97</v>
      </c>
      <c r="X29" s="292">
        <f t="shared" si="3"/>
        <v>0.78631608184427371</v>
      </c>
      <c r="Y29" s="179">
        <v>0.80141304347826092</v>
      </c>
      <c r="Z29" s="177">
        <v>0.80141304347826092</v>
      </c>
      <c r="AA29" s="177">
        <v>0.80141304347826092</v>
      </c>
      <c r="AB29" s="292">
        <v>0.80141304347826092</v>
      </c>
      <c r="AC29" s="292">
        <v>0.80141304347826092</v>
      </c>
      <c r="AD29" s="141">
        <v>0.80141304347826092</v>
      </c>
      <c r="AE29" s="141">
        <v>0.80141304347826092</v>
      </c>
      <c r="AF29" s="258">
        <f t="shared" si="1"/>
        <v>0.82</v>
      </c>
      <c r="AG29" s="292"/>
      <c r="DG29" s="555"/>
      <c r="DH29" s="555"/>
      <c r="DI29" s="555"/>
    </row>
    <row r="30" spans="1:113" ht="18" hidden="1" customHeight="1" outlineLevel="1" x14ac:dyDescent="0.25">
      <c r="A30" s="442"/>
      <c r="C30" s="268"/>
      <c r="D30" s="2193"/>
      <c r="E30" s="2199"/>
      <c r="F30" s="2174" t="e">
        <f>#REF!</f>
        <v>#REF!</v>
      </c>
      <c r="G30" s="2174"/>
      <c r="H30" s="2174"/>
      <c r="I30" s="1526">
        <f t="shared" si="4"/>
        <v>0.82</v>
      </c>
      <c r="J30" s="2202"/>
      <c r="K30" s="178"/>
      <c r="L30" s="309"/>
      <c r="M30" s="270"/>
      <c r="N30" s="268"/>
      <c r="O30" s="270"/>
      <c r="P30" s="270"/>
      <c r="Q30" s="270"/>
      <c r="R30" s="270"/>
      <c r="T30" s="50"/>
      <c r="U30" s="50"/>
      <c r="V30" s="2193"/>
      <c r="W30" s="292">
        <v>0.97</v>
      </c>
      <c r="X30" s="292">
        <f t="shared" si="3"/>
        <v>0.78631608184427371</v>
      </c>
      <c r="Y30" s="179">
        <v>0.80141304347826092</v>
      </c>
      <c r="Z30" s="177">
        <v>0.80141304347826092</v>
      </c>
      <c r="AA30" s="177">
        <v>0.80141304347826092</v>
      </c>
      <c r="AB30" s="292">
        <v>0.80141304347826092</v>
      </c>
      <c r="AC30" s="292">
        <v>0.80141304347826092</v>
      </c>
      <c r="AD30" s="141">
        <v>0.80141304347826092</v>
      </c>
      <c r="AE30" s="141">
        <v>0.80141304347826092</v>
      </c>
      <c r="AF30" s="258">
        <f t="shared" si="1"/>
        <v>0.82</v>
      </c>
      <c r="AG30" s="292"/>
      <c r="DG30" s="555"/>
      <c r="DH30" s="555"/>
      <c r="DI30" s="555"/>
    </row>
    <row r="31" spans="1:113" ht="18" hidden="1" customHeight="1" outlineLevel="1" x14ac:dyDescent="0.25">
      <c r="A31" s="442"/>
      <c r="C31" s="268"/>
      <c r="D31" s="2194"/>
      <c r="E31" s="2200"/>
      <c r="F31" s="2174" t="e">
        <f>#REF!</f>
        <v>#REF!</v>
      </c>
      <c r="G31" s="2174"/>
      <c r="H31" s="2174"/>
      <c r="I31" s="1526">
        <f>I30</f>
        <v>0.82</v>
      </c>
      <c r="J31" s="2203"/>
      <c r="K31" s="178"/>
      <c r="L31" s="309"/>
      <c r="M31" s="270"/>
      <c r="N31" s="268"/>
      <c r="O31" s="270"/>
      <c r="P31" s="270"/>
      <c r="Q31" s="270"/>
      <c r="R31" s="270"/>
      <c r="T31" s="50"/>
      <c r="U31" s="50"/>
      <c r="V31" s="2194"/>
      <c r="W31" s="292">
        <v>0.97</v>
      </c>
      <c r="X31" s="292">
        <f t="shared" si="3"/>
        <v>0.78631608184427371</v>
      </c>
      <c r="Y31" s="179">
        <v>0.80141304347826092</v>
      </c>
      <c r="Z31" s="177">
        <v>0.80141304347826092</v>
      </c>
      <c r="AA31" s="177">
        <v>0.80141304347826092</v>
      </c>
      <c r="AB31" s="292">
        <v>0.80141304347826092</v>
      </c>
      <c r="AC31" s="292">
        <v>0.80141304347826092</v>
      </c>
      <c r="AD31" s="141">
        <v>0.80141304347826092</v>
      </c>
      <c r="AE31" s="141">
        <v>0.80141304347826092</v>
      </c>
      <c r="AF31" s="258">
        <f t="shared" si="1"/>
        <v>0.82</v>
      </c>
      <c r="AG31" s="292"/>
      <c r="DG31" s="555"/>
      <c r="DH31" s="555"/>
      <c r="DI31" s="555"/>
    </row>
    <row r="32" spans="1:113" ht="45" hidden="1" outlineLevel="1" x14ac:dyDescent="0.25">
      <c r="A32" s="442"/>
      <c r="C32" s="268"/>
      <c r="D32" s="1308" t="s">
        <v>931</v>
      </c>
      <c r="E32" s="1329" t="s">
        <v>932</v>
      </c>
      <c r="F32" s="2171" t="s">
        <v>734</v>
      </c>
      <c r="G32" s="2171"/>
      <c r="H32" s="2171"/>
      <c r="I32" s="1524">
        <v>70</v>
      </c>
      <c r="J32" s="1296" t="s">
        <v>933</v>
      </c>
      <c r="K32" s="1662"/>
      <c r="L32" s="309"/>
      <c r="M32" s="270"/>
      <c r="N32" s="268"/>
      <c r="O32" s="270"/>
      <c r="P32" s="270"/>
      <c r="Q32" s="270"/>
      <c r="R32" s="270"/>
      <c r="T32" s="50"/>
      <c r="U32" s="50"/>
      <c r="V32" s="1308" t="s">
        <v>931</v>
      </c>
      <c r="W32" s="292"/>
      <c r="X32" s="292"/>
      <c r="Y32" s="324">
        <v>70</v>
      </c>
      <c r="Z32" s="324">
        <v>70</v>
      </c>
      <c r="AA32" s="324">
        <v>70</v>
      </c>
      <c r="AB32" s="1655">
        <v>70</v>
      </c>
      <c r="AC32" s="1655">
        <v>70</v>
      </c>
      <c r="AD32" s="1656">
        <v>70</v>
      </c>
      <c r="AE32" s="1656">
        <v>70</v>
      </c>
      <c r="AF32" s="258">
        <f t="shared" si="1"/>
        <v>70</v>
      </c>
      <c r="AG32" s="292"/>
      <c r="DG32" s="555"/>
      <c r="DH32" s="555"/>
      <c r="DI32" s="555"/>
    </row>
    <row r="33" spans="1:114" ht="33.75" hidden="1" customHeight="1" outlineLevel="1" x14ac:dyDescent="0.25">
      <c r="A33" s="442"/>
      <c r="C33" s="268"/>
      <c r="D33" s="718" t="s">
        <v>934</v>
      </c>
      <c r="E33" s="1329" t="s">
        <v>935</v>
      </c>
      <c r="F33" s="2171" t="s">
        <v>734</v>
      </c>
      <c r="G33" s="2171"/>
      <c r="H33" s="2171"/>
      <c r="I33" s="1523">
        <v>1215</v>
      </c>
      <c r="J33" s="1296" t="s">
        <v>933</v>
      </c>
      <c r="K33" s="178"/>
      <c r="L33" s="309"/>
      <c r="M33" s="270"/>
      <c r="N33" s="268"/>
      <c r="O33" s="270"/>
      <c r="P33" s="270"/>
      <c r="Q33" s="270"/>
      <c r="R33" s="270"/>
      <c r="T33" s="50"/>
      <c r="U33" s="50"/>
      <c r="V33" s="718" t="s">
        <v>934</v>
      </c>
      <c r="W33" s="277">
        <v>1215</v>
      </c>
      <c r="X33" s="290">
        <v>1215</v>
      </c>
      <c r="Y33" s="291">
        <v>1215</v>
      </c>
      <c r="Z33" s="384">
        <v>1215</v>
      </c>
      <c r="AA33" s="384">
        <v>1215</v>
      </c>
      <c r="AB33" s="277">
        <v>1215</v>
      </c>
      <c r="AC33" s="277">
        <v>1215</v>
      </c>
      <c r="AD33" s="296">
        <v>1215</v>
      </c>
      <c r="AE33" s="296">
        <v>1215</v>
      </c>
      <c r="AF33" s="258">
        <f t="shared" si="1"/>
        <v>1215</v>
      </c>
      <c r="AG33" s="277"/>
      <c r="DG33" s="555"/>
      <c r="DH33" s="555"/>
      <c r="DI33" s="555"/>
    </row>
    <row r="34" spans="1:114" ht="45.75" hidden="1" customHeight="1" outlineLevel="1" x14ac:dyDescent="0.25">
      <c r="A34" s="442"/>
      <c r="C34" s="268"/>
      <c r="D34" s="718" t="s">
        <v>936</v>
      </c>
      <c r="E34" s="1329" t="s">
        <v>937</v>
      </c>
      <c r="F34" s="2171" t="s">
        <v>734</v>
      </c>
      <c r="G34" s="2171"/>
      <c r="H34" s="2171"/>
      <c r="I34" s="1524">
        <v>542.5</v>
      </c>
      <c r="J34" s="1296" t="s">
        <v>933</v>
      </c>
      <c r="K34" s="178"/>
      <c r="L34" s="309"/>
      <c r="M34" s="270"/>
      <c r="N34" s="268"/>
      <c r="O34" s="270"/>
      <c r="P34" s="270"/>
      <c r="Q34" s="270"/>
      <c r="R34" s="270"/>
      <c r="T34" s="50"/>
      <c r="U34" s="50"/>
      <c r="V34" s="718" t="s">
        <v>936</v>
      </c>
      <c r="W34" s="907">
        <v>542.5</v>
      </c>
      <c r="X34" s="907">
        <v>542.5</v>
      </c>
      <c r="Y34" s="180">
        <v>542.5</v>
      </c>
      <c r="Z34" s="182">
        <v>542.5</v>
      </c>
      <c r="AA34" s="182">
        <v>542.5</v>
      </c>
      <c r="AB34" s="907">
        <v>542.5</v>
      </c>
      <c r="AC34" s="907">
        <v>542.5</v>
      </c>
      <c r="AD34" s="182">
        <v>542.5</v>
      </c>
      <c r="AE34" s="182">
        <v>542.5</v>
      </c>
      <c r="AF34" s="258">
        <f t="shared" si="1"/>
        <v>542.5</v>
      </c>
      <c r="AG34" s="907"/>
      <c r="DG34" s="555"/>
      <c r="DH34" s="555"/>
      <c r="DI34" s="555"/>
    </row>
    <row r="35" spans="1:114" ht="27" hidden="1" customHeight="1" outlineLevel="1" x14ac:dyDescent="0.25">
      <c r="A35" s="442"/>
      <c r="C35" s="268"/>
      <c r="D35" s="1308" t="s">
        <v>938</v>
      </c>
      <c r="E35" s="1329" t="s">
        <v>939</v>
      </c>
      <c r="F35" s="2171" t="s">
        <v>734</v>
      </c>
      <c r="G35" s="2171"/>
      <c r="H35" s="2171"/>
      <c r="I35" s="1524">
        <v>25</v>
      </c>
      <c r="J35" s="2172" t="s">
        <v>940</v>
      </c>
      <c r="K35" s="178"/>
      <c r="L35" s="270"/>
      <c r="M35" s="270"/>
      <c r="N35" s="908"/>
      <c r="O35" s="270"/>
      <c r="P35" s="270"/>
      <c r="Q35" s="270"/>
      <c r="R35" s="270"/>
      <c r="T35" s="50"/>
      <c r="U35" s="50"/>
      <c r="V35" s="1308" t="s">
        <v>938</v>
      </c>
      <c r="W35" s="289"/>
      <c r="X35" s="289"/>
      <c r="Y35" s="182">
        <v>25</v>
      </c>
      <c r="Z35" s="182">
        <v>25</v>
      </c>
      <c r="AA35" s="182">
        <v>25</v>
      </c>
      <c r="AB35" s="182">
        <v>25</v>
      </c>
      <c r="AC35" s="182">
        <v>25</v>
      </c>
      <c r="AD35" s="182">
        <v>25</v>
      </c>
      <c r="AE35" s="182">
        <v>25</v>
      </c>
      <c r="AF35" s="258">
        <f t="shared" si="1"/>
        <v>25</v>
      </c>
      <c r="AG35" s="182"/>
      <c r="DG35" s="1043"/>
      <c r="DH35" s="1043"/>
      <c r="DI35" s="1043"/>
      <c r="DJ35" s="1127"/>
    </row>
    <row r="36" spans="1:114" ht="27" hidden="1" customHeight="1" outlineLevel="1" x14ac:dyDescent="0.25">
      <c r="A36" s="442"/>
      <c r="C36" s="268"/>
      <c r="D36" s="1308" t="s">
        <v>941</v>
      </c>
      <c r="E36" s="1329" t="s">
        <v>942</v>
      </c>
      <c r="F36" s="2171" t="s">
        <v>734</v>
      </c>
      <c r="G36" s="2171"/>
      <c r="H36" s="2171"/>
      <c r="I36" s="1524">
        <v>2960</v>
      </c>
      <c r="J36" s="2173"/>
      <c r="K36" s="178"/>
      <c r="L36" s="270"/>
      <c r="M36" s="270"/>
      <c r="N36" s="908"/>
      <c r="O36" s="270"/>
      <c r="P36" s="270"/>
      <c r="Q36" s="270"/>
      <c r="R36" s="270"/>
      <c r="T36" s="50"/>
      <c r="U36" s="50"/>
      <c r="V36" s="1308" t="s">
        <v>941</v>
      </c>
      <c r="W36" s="289"/>
      <c r="X36" s="289"/>
      <c r="Y36" s="182">
        <v>2960</v>
      </c>
      <c r="Z36" s="182">
        <v>2960</v>
      </c>
      <c r="AA36" s="182">
        <v>2960</v>
      </c>
      <c r="AB36" s="182">
        <v>2960</v>
      </c>
      <c r="AC36" s="182">
        <v>2960</v>
      </c>
      <c r="AD36" s="182">
        <v>2960</v>
      </c>
      <c r="AE36" s="182">
        <v>2960</v>
      </c>
      <c r="AF36" s="258">
        <f t="shared" si="1"/>
        <v>2960</v>
      </c>
      <c r="AG36" s="182"/>
      <c r="DG36" s="1043"/>
      <c r="DH36" s="1043"/>
      <c r="DI36" s="1043"/>
      <c r="DJ36" s="1127"/>
    </row>
    <row r="37" spans="1:114" ht="60" hidden="1" customHeight="1" outlineLevel="1" x14ac:dyDescent="0.25">
      <c r="A37" s="442"/>
      <c r="C37" s="268"/>
      <c r="D37" s="2170" t="s">
        <v>943</v>
      </c>
      <c r="E37" s="2170" t="s">
        <v>944</v>
      </c>
      <c r="F37" s="2171" t="s">
        <v>945</v>
      </c>
      <c r="G37" s="2171"/>
      <c r="H37" s="2171"/>
      <c r="I37" s="1525">
        <v>8.8084612296306403E-2</v>
      </c>
      <c r="J37" s="2170" t="s">
        <v>946</v>
      </c>
      <c r="K37" s="178"/>
      <c r="L37" s="270"/>
      <c r="M37" s="270"/>
      <c r="N37" s="908"/>
      <c r="O37" s="270"/>
      <c r="P37" s="270"/>
      <c r="Q37" s="270"/>
      <c r="R37" s="270"/>
      <c r="T37" s="50"/>
      <c r="U37" s="50"/>
      <c r="V37" s="2170" t="s">
        <v>943</v>
      </c>
      <c r="W37" s="289"/>
      <c r="X37" s="289"/>
      <c r="Y37" s="183">
        <v>8.8084612296306403E-2</v>
      </c>
      <c r="Z37" s="184">
        <v>8.8084612296306403E-2</v>
      </c>
      <c r="AA37" s="184">
        <v>8.8084612296306403E-2</v>
      </c>
      <c r="AB37" s="184">
        <v>8.8084612296306403E-2</v>
      </c>
      <c r="AC37" s="184">
        <v>8.8084612296306403E-2</v>
      </c>
      <c r="AD37" s="184">
        <v>8.8084612296306403E-2</v>
      </c>
      <c r="AE37" s="184">
        <v>8.8084612296306403E-2</v>
      </c>
      <c r="AF37" s="258">
        <f t="shared" ref="AF37:AF58" si="5">IF(I37&lt;&gt;"",I37,"")</f>
        <v>8.8084612296306403E-2</v>
      </c>
      <c r="AG37" s="184"/>
      <c r="DG37" s="1043"/>
      <c r="DH37" s="1043"/>
      <c r="DI37" s="1043"/>
      <c r="DJ37" s="1127"/>
    </row>
    <row r="38" spans="1:114" ht="30" hidden="1" customHeight="1" outlineLevel="1" x14ac:dyDescent="0.25">
      <c r="A38" s="442"/>
      <c r="C38" s="268"/>
      <c r="D38" s="2170"/>
      <c r="E38" s="2170"/>
      <c r="F38" s="2171" t="s">
        <v>947</v>
      </c>
      <c r="G38" s="2171"/>
      <c r="H38" s="2171"/>
      <c r="I38" s="1525">
        <v>8.8084612296306403E-2</v>
      </c>
      <c r="J38" s="2170"/>
      <c r="K38" s="178"/>
      <c r="L38" s="270"/>
      <c r="M38" s="270"/>
      <c r="N38" s="908"/>
      <c r="O38" s="270"/>
      <c r="P38" s="270"/>
      <c r="Q38" s="270"/>
      <c r="R38" s="270"/>
      <c r="T38" s="50"/>
      <c r="U38" s="50"/>
      <c r="V38" s="2170"/>
      <c r="W38" s="289"/>
      <c r="X38" s="289"/>
      <c r="Y38" s="183">
        <v>8.8084612296306403E-2</v>
      </c>
      <c r="Z38" s="184">
        <v>8.8084612296306403E-2</v>
      </c>
      <c r="AA38" s="184">
        <v>8.8084612296306403E-2</v>
      </c>
      <c r="AB38" s="184">
        <v>8.8084612296306403E-2</v>
      </c>
      <c r="AC38" s="184">
        <v>8.8084612296306403E-2</v>
      </c>
      <c r="AD38" s="184">
        <v>8.8084612296306403E-2</v>
      </c>
      <c r="AE38" s="184">
        <v>8.8084612296306403E-2</v>
      </c>
      <c r="AF38" s="258">
        <f t="shared" si="5"/>
        <v>8.8084612296306403E-2</v>
      </c>
      <c r="AG38" s="184"/>
      <c r="DG38" s="1043"/>
      <c r="DH38" s="1043"/>
      <c r="DI38" s="1043"/>
      <c r="DJ38" s="1127"/>
    </row>
    <row r="39" spans="1:114" ht="45" hidden="1" outlineLevel="1" x14ac:dyDescent="0.25">
      <c r="A39" s="442"/>
      <c r="C39" s="268"/>
      <c r="D39" s="1308" t="s">
        <v>948</v>
      </c>
      <c r="E39" s="1329" t="s">
        <v>949</v>
      </c>
      <c r="F39" s="2171" t="s">
        <v>734</v>
      </c>
      <c r="G39" s="2171"/>
      <c r="H39" s="2171"/>
      <c r="I39" s="1524">
        <v>30</v>
      </c>
      <c r="J39" s="1296" t="s">
        <v>940</v>
      </c>
      <c r="K39" s="178"/>
      <c r="L39" s="270"/>
      <c r="M39" s="270"/>
      <c r="N39" s="908"/>
      <c r="O39" s="270"/>
      <c r="P39" s="270"/>
      <c r="Q39" s="270"/>
      <c r="R39" s="270"/>
      <c r="T39" s="50"/>
      <c r="U39" s="50"/>
      <c r="V39" s="1308" t="s">
        <v>948</v>
      </c>
      <c r="W39" s="289"/>
      <c r="X39" s="289"/>
      <c r="Y39" s="182">
        <v>30</v>
      </c>
      <c r="Z39" s="182">
        <v>30</v>
      </c>
      <c r="AA39" s="182">
        <v>30</v>
      </c>
      <c r="AB39" s="182">
        <v>30</v>
      </c>
      <c r="AC39" s="182">
        <v>30</v>
      </c>
      <c r="AD39" s="182">
        <v>30</v>
      </c>
      <c r="AE39" s="182">
        <v>30</v>
      </c>
      <c r="AF39" s="258">
        <f t="shared" si="5"/>
        <v>30</v>
      </c>
      <c r="AG39" s="182"/>
      <c r="DG39" s="1043"/>
      <c r="DH39" s="1043"/>
      <c r="DI39" s="1043"/>
      <c r="DJ39" s="1127"/>
    </row>
    <row r="40" spans="1:114" ht="18" hidden="1" customHeight="1" outlineLevel="1" x14ac:dyDescent="0.25">
      <c r="A40" s="442"/>
      <c r="C40" s="268"/>
      <c r="D40" s="2201" t="s">
        <v>722</v>
      </c>
      <c r="E40" s="2204" t="s">
        <v>950</v>
      </c>
      <c r="F40" s="2174" t="e">
        <f>#REF!</f>
        <v>#REF!</v>
      </c>
      <c r="G40" s="2174"/>
      <c r="H40" s="2174"/>
      <c r="I40" s="1526">
        <v>1</v>
      </c>
      <c r="J40" s="178"/>
      <c r="K40" s="178"/>
      <c r="L40" s="309"/>
      <c r="M40" s="270"/>
      <c r="N40" s="268"/>
      <c r="O40" s="270"/>
      <c r="P40" s="270"/>
      <c r="Q40" s="270"/>
      <c r="R40" s="270"/>
      <c r="T40" s="50"/>
      <c r="U40" s="50"/>
      <c r="V40" s="2201" t="s">
        <v>722</v>
      </c>
      <c r="W40" s="274">
        <v>1</v>
      </c>
      <c r="X40" s="274">
        <v>1</v>
      </c>
      <c r="Y40" s="274">
        <v>1</v>
      </c>
      <c r="Z40" s="300">
        <v>1</v>
      </c>
      <c r="AA40" s="300">
        <v>1</v>
      </c>
      <c r="AB40" s="274">
        <v>1</v>
      </c>
      <c r="AC40" s="274">
        <v>1</v>
      </c>
      <c r="AD40" s="300">
        <v>1</v>
      </c>
      <c r="AE40" s="300">
        <v>1</v>
      </c>
      <c r="AF40" s="258">
        <f t="shared" si="5"/>
        <v>1</v>
      </c>
      <c r="AG40" s="274"/>
      <c r="DG40" s="555"/>
      <c r="DH40" s="555"/>
      <c r="DI40" s="555"/>
    </row>
    <row r="41" spans="1:114" ht="18" hidden="1" customHeight="1" outlineLevel="1" x14ac:dyDescent="0.25">
      <c r="A41" s="442"/>
      <c r="C41" s="268"/>
      <c r="D41" s="2202"/>
      <c r="E41" s="2205"/>
      <c r="F41" s="2174" t="e">
        <f>#REF!</f>
        <v>#REF!</v>
      </c>
      <c r="G41" s="2174"/>
      <c r="H41" s="2174"/>
      <c r="I41" s="1526">
        <v>1</v>
      </c>
      <c r="J41" s="178"/>
      <c r="K41" s="178"/>
      <c r="L41" s="309"/>
      <c r="M41" s="270"/>
      <c r="N41" s="268"/>
      <c r="O41" s="270"/>
      <c r="P41" s="270"/>
      <c r="Q41" s="270"/>
      <c r="R41" s="270"/>
      <c r="T41" s="50"/>
      <c r="U41" s="50"/>
      <c r="V41" s="2202"/>
      <c r="W41" s="274">
        <v>1</v>
      </c>
      <c r="X41" s="274">
        <v>1</v>
      </c>
      <c r="Y41" s="274">
        <v>1</v>
      </c>
      <c r="Z41" s="300">
        <v>1</v>
      </c>
      <c r="AA41" s="300">
        <v>1</v>
      </c>
      <c r="AB41" s="274">
        <v>1</v>
      </c>
      <c r="AC41" s="274">
        <v>1</v>
      </c>
      <c r="AD41" s="300">
        <v>1</v>
      </c>
      <c r="AE41" s="300">
        <v>1</v>
      </c>
      <c r="AF41" s="258">
        <f t="shared" si="5"/>
        <v>1</v>
      </c>
      <c r="AG41" s="274"/>
      <c r="DG41" s="555"/>
      <c r="DH41" s="555"/>
      <c r="DI41" s="555"/>
    </row>
    <row r="42" spans="1:114" ht="18" hidden="1" customHeight="1" outlineLevel="1" x14ac:dyDescent="0.25">
      <c r="A42" s="442"/>
      <c r="C42" s="268"/>
      <c r="D42" s="2202"/>
      <c r="E42" s="2205"/>
      <c r="F42" s="2174" t="e">
        <f>#REF!</f>
        <v>#REF!</v>
      </c>
      <c r="G42" s="2174"/>
      <c r="H42" s="2174"/>
      <c r="I42" s="1526">
        <v>1</v>
      </c>
      <c r="J42" s="178"/>
      <c r="K42" s="178"/>
      <c r="L42" s="309"/>
      <c r="M42" s="270"/>
      <c r="N42" s="268"/>
      <c r="O42" s="270"/>
      <c r="P42" s="270"/>
      <c r="Q42" s="270"/>
      <c r="R42" s="270"/>
      <c r="T42" s="50"/>
      <c r="U42" s="50"/>
      <c r="V42" s="2202"/>
      <c r="W42" s="274">
        <v>1</v>
      </c>
      <c r="X42" s="274">
        <v>1</v>
      </c>
      <c r="Y42" s="274">
        <v>1</v>
      </c>
      <c r="Z42" s="300">
        <v>1</v>
      </c>
      <c r="AA42" s="300">
        <v>1</v>
      </c>
      <c r="AB42" s="274">
        <v>1</v>
      </c>
      <c r="AC42" s="274">
        <v>1</v>
      </c>
      <c r="AD42" s="300">
        <v>1</v>
      </c>
      <c r="AE42" s="300">
        <v>1</v>
      </c>
      <c r="AF42" s="258">
        <f t="shared" si="5"/>
        <v>1</v>
      </c>
      <c r="AG42" s="274"/>
      <c r="DG42" s="555"/>
      <c r="DH42" s="555"/>
      <c r="DI42" s="555"/>
    </row>
    <row r="43" spans="1:114" ht="18" hidden="1" customHeight="1" outlineLevel="1" x14ac:dyDescent="0.25">
      <c r="A43" s="442"/>
      <c r="C43" s="268"/>
      <c r="D43" s="2202"/>
      <c r="E43" s="2205"/>
      <c r="F43" s="2174" t="e">
        <f>#REF!</f>
        <v>#REF!</v>
      </c>
      <c r="G43" s="2174"/>
      <c r="H43" s="2174"/>
      <c r="I43" s="1526">
        <v>1</v>
      </c>
      <c r="J43" s="178"/>
      <c r="K43" s="178"/>
      <c r="L43" s="309"/>
      <c r="M43" s="270"/>
      <c r="N43" s="268"/>
      <c r="O43" s="270"/>
      <c r="P43" s="270"/>
      <c r="Q43" s="270"/>
      <c r="R43" s="270"/>
      <c r="T43" s="50"/>
      <c r="U43" s="50"/>
      <c r="V43" s="2202"/>
      <c r="W43" s="274">
        <v>1</v>
      </c>
      <c r="X43" s="274">
        <v>1</v>
      </c>
      <c r="Y43" s="274">
        <v>1</v>
      </c>
      <c r="Z43" s="300">
        <v>1</v>
      </c>
      <c r="AA43" s="300">
        <v>1</v>
      </c>
      <c r="AB43" s="274">
        <v>1</v>
      </c>
      <c r="AC43" s="274">
        <v>1</v>
      </c>
      <c r="AD43" s="300">
        <v>1</v>
      </c>
      <c r="AE43" s="300">
        <v>1</v>
      </c>
      <c r="AF43" s="258">
        <f t="shared" si="5"/>
        <v>1</v>
      </c>
      <c r="AG43" s="274"/>
      <c r="DG43" s="555"/>
      <c r="DH43" s="555"/>
      <c r="DI43" s="555"/>
    </row>
    <row r="44" spans="1:114" hidden="1" outlineLevel="1" x14ac:dyDescent="0.25">
      <c r="A44" s="442"/>
      <c r="C44" s="268"/>
      <c r="D44" s="2202"/>
      <c r="E44" s="2205"/>
      <c r="F44" s="2174" t="e">
        <f>#REF!</f>
        <v>#REF!</v>
      </c>
      <c r="G44" s="2174"/>
      <c r="H44" s="2174"/>
      <c r="I44" s="1526">
        <v>1</v>
      </c>
      <c r="J44" s="178"/>
      <c r="K44" s="178"/>
      <c r="L44" s="309"/>
      <c r="M44" s="270"/>
      <c r="N44" s="268"/>
      <c r="O44" s="270"/>
      <c r="P44" s="270"/>
      <c r="Q44" s="270"/>
      <c r="R44" s="270"/>
      <c r="T44" s="50"/>
      <c r="U44" s="50"/>
      <c r="V44" s="2202"/>
      <c r="W44" s="274">
        <v>1</v>
      </c>
      <c r="X44" s="274">
        <v>1</v>
      </c>
      <c r="Y44" s="274">
        <v>1</v>
      </c>
      <c r="Z44" s="300">
        <v>1</v>
      </c>
      <c r="AA44" s="300">
        <v>1</v>
      </c>
      <c r="AB44" s="274">
        <v>1</v>
      </c>
      <c r="AC44" s="274">
        <v>1</v>
      </c>
      <c r="AD44" s="300">
        <v>1</v>
      </c>
      <c r="AE44" s="300">
        <v>1</v>
      </c>
      <c r="AF44" s="258">
        <f t="shared" si="5"/>
        <v>1</v>
      </c>
      <c r="AG44" s="274"/>
      <c r="DG44" s="555"/>
      <c r="DH44" s="555"/>
      <c r="DI44" s="555"/>
    </row>
    <row r="45" spans="1:114" hidden="1" outlineLevel="1" x14ac:dyDescent="0.25">
      <c r="A45" s="442"/>
      <c r="C45" s="268"/>
      <c r="D45" s="2202"/>
      <c r="E45" s="2205"/>
      <c r="F45" s="2174" t="e">
        <f>#REF!</f>
        <v>#REF!</v>
      </c>
      <c r="G45" s="2174"/>
      <c r="H45" s="2174"/>
      <c r="I45" s="1526">
        <v>1</v>
      </c>
      <c r="J45" s="178"/>
      <c r="K45" s="178"/>
      <c r="L45" s="309"/>
      <c r="M45" s="270"/>
      <c r="N45" s="268"/>
      <c r="O45" s="270"/>
      <c r="P45" s="270"/>
      <c r="Q45" s="270"/>
      <c r="R45" s="270"/>
      <c r="T45" s="50"/>
      <c r="U45" s="50"/>
      <c r="V45" s="2202"/>
      <c r="W45" s="274">
        <v>1</v>
      </c>
      <c r="X45" s="274">
        <v>1</v>
      </c>
      <c r="Y45" s="274">
        <v>1</v>
      </c>
      <c r="Z45" s="300">
        <v>1</v>
      </c>
      <c r="AA45" s="300">
        <v>1</v>
      </c>
      <c r="AB45" s="274">
        <v>1</v>
      </c>
      <c r="AC45" s="274">
        <v>1</v>
      </c>
      <c r="AD45" s="300">
        <v>1</v>
      </c>
      <c r="AE45" s="300">
        <v>1</v>
      </c>
      <c r="AF45" s="258">
        <f t="shared" si="5"/>
        <v>1</v>
      </c>
      <c r="AG45" s="274"/>
      <c r="DG45" s="555"/>
      <c r="DH45" s="555"/>
      <c r="DI45" s="555"/>
    </row>
    <row r="46" spans="1:114" ht="16.5" hidden="1" customHeight="1" outlineLevel="1" x14ac:dyDescent="0.25">
      <c r="A46" s="442"/>
      <c r="C46" s="268"/>
      <c r="D46" s="2202"/>
      <c r="E46" s="2205"/>
      <c r="F46" s="2174" t="e">
        <f>#REF!</f>
        <v>#REF!</v>
      </c>
      <c r="G46" s="2174"/>
      <c r="H46" s="2174"/>
      <c r="I46" s="1526">
        <v>1</v>
      </c>
      <c r="J46" s="178"/>
      <c r="K46" s="178"/>
      <c r="L46" s="309"/>
      <c r="M46" s="270"/>
      <c r="N46" s="268"/>
      <c r="O46" s="270"/>
      <c r="P46" s="270"/>
      <c r="Q46" s="270"/>
      <c r="R46" s="270"/>
      <c r="T46" s="50"/>
      <c r="U46" s="50"/>
      <c r="V46" s="2202"/>
      <c r="W46" s="274">
        <v>1</v>
      </c>
      <c r="X46" s="274">
        <v>1</v>
      </c>
      <c r="Y46" s="274">
        <v>1</v>
      </c>
      <c r="Z46" s="300">
        <v>1</v>
      </c>
      <c r="AA46" s="300">
        <v>1</v>
      </c>
      <c r="AB46" s="274">
        <v>1</v>
      </c>
      <c r="AC46" s="274">
        <v>1</v>
      </c>
      <c r="AD46" s="300">
        <v>1</v>
      </c>
      <c r="AE46" s="300">
        <v>1</v>
      </c>
      <c r="AF46" s="258">
        <f t="shared" si="5"/>
        <v>1</v>
      </c>
      <c r="AG46" s="274"/>
      <c r="DG46" s="555"/>
      <c r="DH46" s="555"/>
      <c r="DI46" s="555"/>
    </row>
    <row r="47" spans="1:114" hidden="1" outlineLevel="1" x14ac:dyDescent="0.25">
      <c r="A47" s="442"/>
      <c r="C47" s="268"/>
      <c r="D47" s="2203"/>
      <c r="E47" s="2206"/>
      <c r="F47" s="2174" t="e">
        <f>#REF!</f>
        <v>#REF!</v>
      </c>
      <c r="G47" s="2174"/>
      <c r="H47" s="2174"/>
      <c r="I47" s="1526">
        <v>1</v>
      </c>
      <c r="J47" s="178"/>
      <c r="K47" s="178"/>
      <c r="L47" s="309"/>
      <c r="M47" s="270"/>
      <c r="N47" s="268"/>
      <c r="O47" s="270"/>
      <c r="P47" s="270"/>
      <c r="Q47" s="270"/>
      <c r="R47" s="270"/>
      <c r="T47" s="50"/>
      <c r="U47" s="50"/>
      <c r="V47" s="2203"/>
      <c r="W47" s="274">
        <v>1</v>
      </c>
      <c r="X47" s="274">
        <v>1</v>
      </c>
      <c r="Y47" s="274">
        <v>1</v>
      </c>
      <c r="Z47" s="300">
        <v>1</v>
      </c>
      <c r="AA47" s="300">
        <v>1</v>
      </c>
      <c r="AB47" s="274">
        <v>1</v>
      </c>
      <c r="AC47" s="274">
        <v>1</v>
      </c>
      <c r="AD47" s="300">
        <v>1</v>
      </c>
      <c r="AE47" s="300">
        <v>1</v>
      </c>
      <c r="AF47" s="258">
        <f t="shared" si="5"/>
        <v>1</v>
      </c>
      <c r="AG47" s="274"/>
      <c r="DG47" s="555"/>
      <c r="DH47" s="555"/>
      <c r="DI47" s="555"/>
    </row>
    <row r="48" spans="1:114" ht="45" hidden="1" outlineLevel="1" x14ac:dyDescent="0.25">
      <c r="A48" s="442"/>
      <c r="C48" s="268"/>
      <c r="D48" s="1308" t="s">
        <v>104</v>
      </c>
      <c r="E48" s="1308" t="s">
        <v>951</v>
      </c>
      <c r="F48" s="2191" t="s">
        <v>734</v>
      </c>
      <c r="G48" s="2191"/>
      <c r="H48" s="2191"/>
      <c r="I48" s="1514">
        <v>1</v>
      </c>
      <c r="J48" s="1336" t="s">
        <v>952</v>
      </c>
      <c r="K48" s="178"/>
      <c r="L48" s="309"/>
      <c r="M48" s="270"/>
      <c r="N48" s="268"/>
      <c r="O48" s="270"/>
      <c r="P48" s="270"/>
      <c r="Q48" s="270"/>
      <c r="R48" s="270"/>
      <c r="T48" s="50"/>
      <c r="U48" s="50"/>
      <c r="V48" s="1308" t="s">
        <v>104</v>
      </c>
      <c r="W48" s="274"/>
      <c r="X48" s="274"/>
      <c r="Y48" s="274"/>
      <c r="Z48" s="300"/>
      <c r="AA48" s="300"/>
      <c r="AB48" s="1389">
        <v>1</v>
      </c>
      <c r="AC48" s="274">
        <v>1</v>
      </c>
      <c r="AD48" s="300">
        <v>1</v>
      </c>
      <c r="AE48" s="300">
        <v>1</v>
      </c>
      <c r="AF48" s="258">
        <f t="shared" si="5"/>
        <v>1</v>
      </c>
      <c r="AG48" s="274"/>
      <c r="DG48" s="555"/>
      <c r="DH48" s="555"/>
      <c r="DI48" s="555"/>
    </row>
    <row r="49" spans="1:113" ht="18" hidden="1" customHeight="1" outlineLevel="1" x14ac:dyDescent="0.25">
      <c r="A49" s="442"/>
      <c r="C49" s="268"/>
      <c r="D49" s="2201" t="s">
        <v>49</v>
      </c>
      <c r="E49" s="2201" t="s">
        <v>953</v>
      </c>
      <c r="F49" s="2174" t="e">
        <f>#REF!</f>
        <v>#REF!</v>
      </c>
      <c r="G49" s="2174"/>
      <c r="H49" s="2174"/>
      <c r="I49" s="1528">
        <v>6</v>
      </c>
      <c r="J49" s="2201" t="s">
        <v>954</v>
      </c>
      <c r="K49" s="178" t="s">
        <v>62</v>
      </c>
      <c r="L49" s="309"/>
      <c r="M49" s="270"/>
      <c r="N49" s="268"/>
      <c r="O49" s="270"/>
      <c r="P49" s="270"/>
      <c r="Q49" s="270"/>
      <c r="R49" s="270"/>
      <c r="T49" s="50"/>
      <c r="U49" s="50"/>
      <c r="V49" s="2201" t="s">
        <v>49</v>
      </c>
      <c r="W49" s="321">
        <v>6</v>
      </c>
      <c r="X49" s="321">
        <v>6</v>
      </c>
      <c r="Y49" s="321">
        <v>6</v>
      </c>
      <c r="Z49" s="432">
        <v>6</v>
      </c>
      <c r="AA49" s="432">
        <v>6</v>
      </c>
      <c r="AB49" s="321">
        <v>6</v>
      </c>
      <c r="AC49" s="327">
        <v>6</v>
      </c>
      <c r="AD49" s="327">
        <v>6</v>
      </c>
      <c r="AE49" s="327">
        <v>6</v>
      </c>
      <c r="AF49" s="258">
        <f t="shared" si="5"/>
        <v>6</v>
      </c>
      <c r="AG49" s="321"/>
      <c r="DG49" s="555"/>
      <c r="DH49" s="555"/>
      <c r="DI49" s="555"/>
    </row>
    <row r="50" spans="1:113" ht="18" hidden="1" customHeight="1" outlineLevel="1" x14ac:dyDescent="0.25">
      <c r="A50" s="442"/>
      <c r="C50" s="268"/>
      <c r="D50" s="2202"/>
      <c r="E50" s="2202"/>
      <c r="F50" s="2174" t="e">
        <f>#REF!</f>
        <v>#REF!</v>
      </c>
      <c r="G50" s="2174"/>
      <c r="H50" s="2174"/>
      <c r="I50" s="1527">
        <v>0</v>
      </c>
      <c r="J50" s="2202"/>
      <c r="K50" s="178" t="s">
        <v>62</v>
      </c>
      <c r="L50" s="309"/>
      <c r="M50" s="270"/>
      <c r="N50" s="268"/>
      <c r="O50" s="270"/>
      <c r="P50" s="270"/>
      <c r="Q50" s="270"/>
      <c r="R50" s="270"/>
      <c r="T50" s="50"/>
      <c r="U50" s="50"/>
      <c r="V50" s="2202"/>
      <c r="W50" s="321">
        <v>12</v>
      </c>
      <c r="X50" s="321">
        <v>12</v>
      </c>
      <c r="Y50" s="321">
        <v>12</v>
      </c>
      <c r="Z50" s="432">
        <v>12</v>
      </c>
      <c r="AA50" s="432">
        <v>12</v>
      </c>
      <c r="AB50" s="321">
        <v>12</v>
      </c>
      <c r="AC50" s="879">
        <v>0</v>
      </c>
      <c r="AD50" s="327">
        <v>0</v>
      </c>
      <c r="AE50" s="327">
        <v>0</v>
      </c>
      <c r="AF50" s="258">
        <f t="shared" si="5"/>
        <v>0</v>
      </c>
      <c r="AG50" s="321"/>
      <c r="DG50" s="555"/>
      <c r="DH50" s="555"/>
      <c r="DI50" s="555"/>
    </row>
    <row r="51" spans="1:113" ht="18" hidden="1" customHeight="1" outlineLevel="1" x14ac:dyDescent="0.25">
      <c r="A51" s="442"/>
      <c r="C51" s="268"/>
      <c r="D51" s="2202"/>
      <c r="E51" s="2202"/>
      <c r="F51" s="2174" t="e">
        <f>#REF!</f>
        <v>#REF!</v>
      </c>
      <c r="G51" s="2174"/>
      <c r="H51" s="2174"/>
      <c r="I51" s="1528">
        <v>6</v>
      </c>
      <c r="J51" s="2202"/>
      <c r="K51" s="178" t="s">
        <v>62</v>
      </c>
      <c r="L51" s="309"/>
      <c r="M51" s="270"/>
      <c r="N51" s="268"/>
      <c r="O51" s="270"/>
      <c r="P51" s="270"/>
      <c r="Q51" s="270"/>
      <c r="R51" s="270"/>
      <c r="T51" s="50"/>
      <c r="U51" s="50"/>
      <c r="V51" s="2202"/>
      <c r="W51" s="321">
        <v>6</v>
      </c>
      <c r="X51" s="321">
        <v>6</v>
      </c>
      <c r="Y51" s="321">
        <v>6</v>
      </c>
      <c r="Z51" s="432">
        <v>6</v>
      </c>
      <c r="AA51" s="432">
        <v>6</v>
      </c>
      <c r="AB51" s="321">
        <v>6</v>
      </c>
      <c r="AC51" s="327">
        <v>6</v>
      </c>
      <c r="AD51" s="327">
        <v>6</v>
      </c>
      <c r="AE51" s="327">
        <v>6</v>
      </c>
      <c r="AF51" s="258">
        <f t="shared" si="5"/>
        <v>6</v>
      </c>
      <c r="AG51" s="321"/>
      <c r="DG51" s="555"/>
      <c r="DH51" s="555"/>
      <c r="DI51" s="555"/>
    </row>
    <row r="52" spans="1:113" ht="18" hidden="1" customHeight="1" outlineLevel="1" x14ac:dyDescent="0.25">
      <c r="A52" s="442"/>
      <c r="C52" s="268"/>
      <c r="D52" s="2202"/>
      <c r="E52" s="2202"/>
      <c r="F52" s="2174" t="e">
        <f>#REF!</f>
        <v>#REF!</v>
      </c>
      <c r="G52" s="2174"/>
      <c r="H52" s="2174"/>
      <c r="I52" s="1527">
        <v>0</v>
      </c>
      <c r="J52" s="2202"/>
      <c r="K52" s="178" t="s">
        <v>62</v>
      </c>
      <c r="L52" s="309"/>
      <c r="M52" s="270"/>
      <c r="N52" s="268"/>
      <c r="O52" s="270"/>
      <c r="P52" s="270"/>
      <c r="Q52" s="270"/>
      <c r="R52" s="270"/>
      <c r="T52" s="50"/>
      <c r="U52" s="50"/>
      <c r="V52" s="2202"/>
      <c r="W52" s="321">
        <v>12</v>
      </c>
      <c r="X52" s="321">
        <v>12</v>
      </c>
      <c r="Y52" s="321">
        <v>12</v>
      </c>
      <c r="Z52" s="432">
        <v>12</v>
      </c>
      <c r="AA52" s="432">
        <v>12</v>
      </c>
      <c r="AB52" s="321">
        <v>12</v>
      </c>
      <c r="AC52" s="879">
        <v>0</v>
      </c>
      <c r="AD52" s="327">
        <v>0</v>
      </c>
      <c r="AE52" s="327">
        <v>0</v>
      </c>
      <c r="AF52" s="258">
        <f t="shared" si="5"/>
        <v>0</v>
      </c>
      <c r="AG52" s="321"/>
      <c r="DG52" s="555"/>
      <c r="DH52" s="555"/>
      <c r="DI52" s="555"/>
    </row>
    <row r="53" spans="1:113" hidden="1" outlineLevel="1" x14ac:dyDescent="0.25">
      <c r="A53" s="442"/>
      <c r="C53" s="268"/>
      <c r="D53" s="2202"/>
      <c r="E53" s="2202"/>
      <c r="F53" s="2174" t="e">
        <f>#REF!</f>
        <v>#REF!</v>
      </c>
      <c r="G53" s="2174"/>
      <c r="H53" s="2174"/>
      <c r="I53" s="1528">
        <v>6</v>
      </c>
      <c r="J53" s="2202"/>
      <c r="K53" s="178" t="s">
        <v>62</v>
      </c>
      <c r="L53" s="309"/>
      <c r="M53" s="270"/>
      <c r="N53" s="268"/>
      <c r="O53" s="270"/>
      <c r="P53" s="270"/>
      <c r="Q53" s="270"/>
      <c r="R53" s="270"/>
      <c r="T53" s="50"/>
      <c r="U53" s="50"/>
      <c r="V53" s="2202"/>
      <c r="W53" s="321">
        <v>6</v>
      </c>
      <c r="X53" s="321">
        <v>6</v>
      </c>
      <c r="Y53" s="321">
        <v>6</v>
      </c>
      <c r="Z53" s="432">
        <v>6</v>
      </c>
      <c r="AA53" s="432">
        <v>6</v>
      </c>
      <c r="AB53" s="321">
        <v>6</v>
      </c>
      <c r="AC53" s="327">
        <v>6</v>
      </c>
      <c r="AD53" s="327">
        <v>6</v>
      </c>
      <c r="AE53" s="327">
        <v>6</v>
      </c>
      <c r="AF53" s="258">
        <f t="shared" si="5"/>
        <v>6</v>
      </c>
      <c r="AG53" s="321"/>
      <c r="DG53" s="555"/>
      <c r="DH53" s="555"/>
      <c r="DI53" s="555"/>
    </row>
    <row r="54" spans="1:113" hidden="1" outlineLevel="1" x14ac:dyDescent="0.25">
      <c r="A54" s="442"/>
      <c r="C54" s="268"/>
      <c r="D54" s="2202"/>
      <c r="E54" s="2202"/>
      <c r="F54" s="2174" t="e">
        <f>#REF!</f>
        <v>#REF!</v>
      </c>
      <c r="G54" s="2174"/>
      <c r="H54" s="2174"/>
      <c r="I54" s="1527">
        <v>0</v>
      </c>
      <c r="J54" s="2202"/>
      <c r="K54" s="178" t="s">
        <v>62</v>
      </c>
      <c r="L54" s="309"/>
      <c r="M54" s="270"/>
      <c r="N54" s="268"/>
      <c r="O54" s="270"/>
      <c r="P54" s="270"/>
      <c r="Q54" s="270"/>
      <c r="R54" s="270"/>
      <c r="T54" s="50"/>
      <c r="U54" s="50"/>
      <c r="V54" s="2202"/>
      <c r="W54" s="321">
        <v>12</v>
      </c>
      <c r="X54" s="321">
        <v>12</v>
      </c>
      <c r="Y54" s="321">
        <v>12</v>
      </c>
      <c r="Z54" s="432">
        <v>12</v>
      </c>
      <c r="AA54" s="432">
        <v>12</v>
      </c>
      <c r="AB54" s="321">
        <v>12</v>
      </c>
      <c r="AC54" s="879">
        <v>0</v>
      </c>
      <c r="AD54" s="327">
        <v>0</v>
      </c>
      <c r="AE54" s="327">
        <v>0</v>
      </c>
      <c r="AF54" s="258">
        <f t="shared" si="5"/>
        <v>0</v>
      </c>
      <c r="AG54" s="321"/>
      <c r="DG54" s="555"/>
      <c r="DH54" s="555"/>
      <c r="DI54" s="555"/>
    </row>
    <row r="55" spans="1:113" ht="16.5" hidden="1" customHeight="1" outlineLevel="1" x14ac:dyDescent="0.25">
      <c r="A55" s="442"/>
      <c r="C55" s="268"/>
      <c r="D55" s="2202"/>
      <c r="E55" s="2202"/>
      <c r="F55" s="2174" t="e">
        <f>#REF!</f>
        <v>#REF!</v>
      </c>
      <c r="G55" s="2174"/>
      <c r="H55" s="2174"/>
      <c r="I55" s="1528">
        <v>6</v>
      </c>
      <c r="J55" s="2202"/>
      <c r="K55" s="178" t="s">
        <v>62</v>
      </c>
      <c r="L55" s="309"/>
      <c r="M55" s="270"/>
      <c r="N55" s="268"/>
      <c r="O55" s="270"/>
      <c r="P55" s="270"/>
      <c r="Q55" s="270"/>
      <c r="R55" s="270"/>
      <c r="T55" s="50"/>
      <c r="U55" s="50"/>
      <c r="V55" s="2202"/>
      <c r="W55" s="321">
        <v>6</v>
      </c>
      <c r="X55" s="321">
        <v>6</v>
      </c>
      <c r="Y55" s="321">
        <v>6</v>
      </c>
      <c r="Z55" s="432">
        <v>6</v>
      </c>
      <c r="AA55" s="432">
        <v>6</v>
      </c>
      <c r="AB55" s="321">
        <v>6</v>
      </c>
      <c r="AC55" s="327">
        <v>6</v>
      </c>
      <c r="AD55" s="327">
        <v>6</v>
      </c>
      <c r="AE55" s="327">
        <v>6</v>
      </c>
      <c r="AF55" s="258">
        <f t="shared" si="5"/>
        <v>6</v>
      </c>
      <c r="AG55" s="321"/>
      <c r="DG55" s="555"/>
      <c r="DH55" s="555"/>
      <c r="DI55" s="555"/>
    </row>
    <row r="56" spans="1:113" hidden="1" outlineLevel="1" x14ac:dyDescent="0.25">
      <c r="A56" s="442"/>
      <c r="C56" s="268"/>
      <c r="D56" s="2203"/>
      <c r="E56" s="2203"/>
      <c r="F56" s="2174" t="e">
        <f>#REF!</f>
        <v>#REF!</v>
      </c>
      <c r="G56" s="2174"/>
      <c r="H56" s="2174"/>
      <c r="I56" s="1527">
        <v>0</v>
      </c>
      <c r="J56" s="2203"/>
      <c r="K56" s="178" t="s">
        <v>62</v>
      </c>
      <c r="L56" s="309"/>
      <c r="M56" s="270"/>
      <c r="N56" s="268"/>
      <c r="O56" s="270"/>
      <c r="P56" s="270"/>
      <c r="Q56" s="270"/>
      <c r="R56" s="270"/>
      <c r="T56" s="50"/>
      <c r="U56" s="50"/>
      <c r="V56" s="2203"/>
      <c r="W56" s="321">
        <v>12</v>
      </c>
      <c r="X56" s="321">
        <v>12</v>
      </c>
      <c r="Y56" s="321">
        <v>12</v>
      </c>
      <c r="Z56" s="432">
        <v>12</v>
      </c>
      <c r="AA56" s="432">
        <v>12</v>
      </c>
      <c r="AB56" s="321">
        <v>12</v>
      </c>
      <c r="AC56" s="879">
        <v>0</v>
      </c>
      <c r="AD56" s="327">
        <v>0</v>
      </c>
      <c r="AE56" s="327">
        <v>0</v>
      </c>
      <c r="AF56" s="258">
        <f t="shared" si="5"/>
        <v>0</v>
      </c>
      <c r="AG56" s="321"/>
      <c r="DG56" s="555"/>
      <c r="DH56" s="555"/>
      <c r="DI56" s="555"/>
    </row>
    <row r="57" spans="1:113" ht="30" hidden="1" customHeight="1" outlineLevel="1" x14ac:dyDescent="0.25">
      <c r="A57" s="442"/>
      <c r="C57" s="268"/>
      <c r="D57" s="2201" t="s">
        <v>50</v>
      </c>
      <c r="E57" s="2201" t="s">
        <v>819</v>
      </c>
      <c r="F57" s="2174" t="e">
        <f>#REF!</f>
        <v>#REF!</v>
      </c>
      <c r="G57" s="2174"/>
      <c r="H57" s="2174"/>
      <c r="I57" s="1895">
        <f>0.75*0+0.25*350</f>
        <v>87.5</v>
      </c>
      <c r="J57" s="1296" t="s">
        <v>955</v>
      </c>
      <c r="K57" s="178" t="s">
        <v>62</v>
      </c>
      <c r="L57" s="309"/>
      <c r="M57" s="270"/>
      <c r="N57" s="268"/>
      <c r="O57" s="270"/>
      <c r="P57" s="270"/>
      <c r="Q57" s="270"/>
      <c r="R57" s="270"/>
      <c r="T57" s="50"/>
      <c r="U57" s="50"/>
      <c r="V57" s="2201" t="s">
        <v>50</v>
      </c>
      <c r="W57" s="909">
        <f>$Q$53</f>
        <v>0</v>
      </c>
      <c r="X57" s="909">
        <f>$Q$53</f>
        <v>0</v>
      </c>
      <c r="Y57" s="909">
        <f>$Q$53</f>
        <v>0</v>
      </c>
      <c r="Z57" s="433">
        <f>$Q$53</f>
        <v>0</v>
      </c>
      <c r="AA57" s="433">
        <f>$Q$53</f>
        <v>0</v>
      </c>
      <c r="AB57" s="909">
        <v>74.327224020150311</v>
      </c>
      <c r="AC57" s="909">
        <v>74.327224020150311</v>
      </c>
      <c r="AD57" s="433">
        <v>74.327224020150311</v>
      </c>
      <c r="AE57" s="433">
        <v>74.327224020150311</v>
      </c>
      <c r="AF57" s="810">
        <f t="shared" si="5"/>
        <v>87.5</v>
      </c>
      <c r="AG57" s="909"/>
      <c r="DG57" s="555"/>
      <c r="DH57" s="555"/>
      <c r="DI57" s="555"/>
    </row>
    <row r="58" spans="1:113" ht="18" hidden="1" customHeight="1" outlineLevel="1" x14ac:dyDescent="0.25">
      <c r="A58" s="442"/>
      <c r="C58" s="268"/>
      <c r="D58" s="2202"/>
      <c r="E58" s="2202"/>
      <c r="F58" s="2174" t="e">
        <f>#REF!</f>
        <v>#REF!</v>
      </c>
      <c r="G58" s="2174"/>
      <c r="H58" s="2174"/>
      <c r="I58" s="1530"/>
      <c r="J58" s="178"/>
      <c r="K58" s="178" t="s">
        <v>62</v>
      </c>
      <c r="L58" s="309"/>
      <c r="M58" s="270"/>
      <c r="N58" s="268"/>
      <c r="O58" s="270"/>
      <c r="P58" s="270"/>
      <c r="Q58" s="270"/>
      <c r="R58" s="270"/>
      <c r="T58" s="50"/>
      <c r="U58" s="50"/>
      <c r="V58" s="2202"/>
      <c r="W58" s="909"/>
      <c r="X58" s="909"/>
      <c r="Y58" s="909"/>
      <c r="Z58" s="433"/>
      <c r="AA58" s="433"/>
      <c r="AB58" s="909"/>
      <c r="AC58" s="909"/>
      <c r="AD58" s="909"/>
      <c r="AE58" s="909"/>
      <c r="AF58" s="810" t="str">
        <f t="shared" si="5"/>
        <v/>
      </c>
      <c r="AG58" s="909"/>
      <c r="DG58" s="555"/>
      <c r="DH58" s="555"/>
      <c r="DI58" s="555"/>
    </row>
    <row r="59" spans="1:113" ht="28.5" hidden="1" customHeight="1" outlineLevel="1" x14ac:dyDescent="0.25">
      <c r="A59" s="442"/>
      <c r="C59" s="268"/>
      <c r="D59" s="2202"/>
      <c r="E59" s="2202"/>
      <c r="F59" s="2174" t="e">
        <f>#REF!</f>
        <v>#REF!</v>
      </c>
      <c r="G59" s="2174"/>
      <c r="H59" s="2174"/>
      <c r="I59" s="1895">
        <f>0.75*0+0.25*350</f>
        <v>87.5</v>
      </c>
      <c r="J59" s="1296" t="s">
        <v>955</v>
      </c>
      <c r="K59" s="178" t="s">
        <v>62</v>
      </c>
      <c r="L59" s="309"/>
      <c r="M59" s="910"/>
      <c r="N59" s="268"/>
      <c r="O59" s="270"/>
      <c r="P59" s="270"/>
      <c r="Q59" s="270"/>
      <c r="R59" s="270"/>
      <c r="T59" s="50"/>
      <c r="U59" s="50"/>
      <c r="V59" s="2202"/>
      <c r="W59" s="909">
        <f>$Q$53</f>
        <v>0</v>
      </c>
      <c r="X59" s="909">
        <f>$Q$53</f>
        <v>0</v>
      </c>
      <c r="Y59" s="909">
        <f>$Q$53</f>
        <v>0</v>
      </c>
      <c r="Z59" s="433">
        <f>$Q$53</f>
        <v>0</v>
      </c>
      <c r="AA59" s="433">
        <f>$Q$53</f>
        <v>0</v>
      </c>
      <c r="AB59" s="909">
        <v>74.327224020150311</v>
      </c>
      <c r="AC59" s="909">
        <v>74.327224020150311</v>
      </c>
      <c r="AD59" s="909">
        <v>74.327224020150311</v>
      </c>
      <c r="AE59" s="909">
        <v>74.327224020150311</v>
      </c>
      <c r="AF59" s="810">
        <f t="shared" ref="AF59:AF64" si="6">IF(I59&lt;&gt;"",I59,"")</f>
        <v>87.5</v>
      </c>
      <c r="AG59" s="909"/>
      <c r="DG59" s="555"/>
      <c r="DH59" s="555"/>
      <c r="DI59" s="555"/>
    </row>
    <row r="60" spans="1:113" ht="18" hidden="1" customHeight="1" outlineLevel="1" x14ac:dyDescent="0.25">
      <c r="A60" s="442"/>
      <c r="C60" s="268"/>
      <c r="D60" s="2202"/>
      <c r="E60" s="2202"/>
      <c r="F60" s="2174" t="e">
        <f>#REF!</f>
        <v>#REF!</v>
      </c>
      <c r="G60" s="2174"/>
      <c r="H60" s="2174"/>
      <c r="I60" s="1530"/>
      <c r="J60" s="178"/>
      <c r="K60" s="178" t="s">
        <v>62</v>
      </c>
      <c r="L60" s="309"/>
      <c r="M60" s="270"/>
      <c r="N60" s="268"/>
      <c r="O60" s="270"/>
      <c r="P60" s="270"/>
      <c r="Q60" s="270"/>
      <c r="R60" s="270"/>
      <c r="T60" s="50"/>
      <c r="U60" s="50"/>
      <c r="V60" s="2202"/>
      <c r="W60" s="909"/>
      <c r="X60" s="909"/>
      <c r="Y60" s="909"/>
      <c r="Z60" s="433"/>
      <c r="AA60" s="433"/>
      <c r="AB60" s="909"/>
      <c r="AC60" s="909"/>
      <c r="AD60" s="909"/>
      <c r="AE60" s="909"/>
      <c r="AF60" s="810" t="str">
        <f t="shared" si="6"/>
        <v/>
      </c>
      <c r="AG60" s="909"/>
      <c r="DG60" s="555"/>
      <c r="DH60" s="555"/>
      <c r="DI60" s="555"/>
    </row>
    <row r="61" spans="1:113" ht="31.5" hidden="1" customHeight="1" outlineLevel="1" x14ac:dyDescent="0.25">
      <c r="A61" s="442"/>
      <c r="C61" s="268"/>
      <c r="D61" s="2202"/>
      <c r="E61" s="2202"/>
      <c r="F61" s="2174" t="e">
        <f>#REF!</f>
        <v>#REF!</v>
      </c>
      <c r="G61" s="2174"/>
      <c r="H61" s="2174"/>
      <c r="I61" s="1895">
        <f>0.75*0+0.25*350</f>
        <v>87.5</v>
      </c>
      <c r="J61" s="1296" t="s">
        <v>955</v>
      </c>
      <c r="K61" s="178" t="s">
        <v>62</v>
      </c>
      <c r="L61" s="309"/>
      <c r="M61" s="270"/>
      <c r="N61" s="268"/>
      <c r="T61" s="50"/>
      <c r="U61" s="50"/>
      <c r="V61" s="2202"/>
      <c r="W61" s="909">
        <f>$Q$53</f>
        <v>0</v>
      </c>
      <c r="X61" s="909">
        <f>$Q$53</f>
        <v>0</v>
      </c>
      <c r="Y61" s="909">
        <f>$Q$53</f>
        <v>0</v>
      </c>
      <c r="Z61" s="433">
        <f>$Q$53</f>
        <v>0</v>
      </c>
      <c r="AA61" s="433">
        <f>$Q$53</f>
        <v>0</v>
      </c>
      <c r="AB61" s="909">
        <v>74.327224020150311</v>
      </c>
      <c r="AC61" s="909">
        <v>74.327224020150311</v>
      </c>
      <c r="AD61" s="909">
        <v>74.327224020150311</v>
      </c>
      <c r="AE61" s="909">
        <v>74.327224020150311</v>
      </c>
      <c r="AF61" s="810">
        <f t="shared" si="6"/>
        <v>87.5</v>
      </c>
      <c r="AG61" s="909"/>
      <c r="DG61" s="555"/>
      <c r="DH61" s="555"/>
      <c r="DI61" s="555"/>
    </row>
    <row r="62" spans="1:113" hidden="1" outlineLevel="1" x14ac:dyDescent="0.25">
      <c r="A62" s="442"/>
      <c r="C62" s="268"/>
      <c r="D62" s="2202"/>
      <c r="E62" s="2202"/>
      <c r="F62" s="2174" t="e">
        <f>#REF!</f>
        <v>#REF!</v>
      </c>
      <c r="G62" s="2174"/>
      <c r="H62" s="2174"/>
      <c r="I62" s="1530"/>
      <c r="J62" s="178"/>
      <c r="K62" s="178" t="s">
        <v>62</v>
      </c>
      <c r="L62" s="309"/>
      <c r="M62" s="270"/>
      <c r="N62" s="268"/>
      <c r="T62" s="50"/>
      <c r="U62" s="50"/>
      <c r="V62" s="2202"/>
      <c r="W62" s="909"/>
      <c r="X62" s="909"/>
      <c r="Y62" s="909"/>
      <c r="Z62" s="433"/>
      <c r="AA62" s="433"/>
      <c r="AB62" s="909"/>
      <c r="AC62" s="909"/>
      <c r="AD62" s="909"/>
      <c r="AE62" s="909"/>
      <c r="AF62" s="810" t="str">
        <f t="shared" si="6"/>
        <v/>
      </c>
      <c r="AG62" s="909"/>
      <c r="DG62" s="555"/>
      <c r="DH62" s="555"/>
      <c r="DI62" s="555"/>
    </row>
    <row r="63" spans="1:113" ht="31.5" hidden="1" customHeight="1" outlineLevel="1" x14ac:dyDescent="0.25">
      <c r="A63" s="442"/>
      <c r="C63" s="268"/>
      <c r="D63" s="2202"/>
      <c r="E63" s="2202"/>
      <c r="F63" s="2174" t="e">
        <f>#REF!</f>
        <v>#REF!</v>
      </c>
      <c r="G63" s="2174"/>
      <c r="H63" s="2174"/>
      <c r="I63" s="1895">
        <f>0.75*0+0.25*350</f>
        <v>87.5</v>
      </c>
      <c r="J63" s="1296" t="s">
        <v>955</v>
      </c>
      <c r="K63" s="178" t="s">
        <v>62</v>
      </c>
      <c r="L63" s="309"/>
      <c r="M63" s="270"/>
      <c r="N63" s="268"/>
      <c r="O63" s="270"/>
      <c r="P63" s="270"/>
      <c r="Q63" s="270"/>
      <c r="R63" s="270"/>
      <c r="T63" s="50"/>
      <c r="U63" s="50"/>
      <c r="V63" s="2202"/>
      <c r="W63" s="909">
        <f>$Q$53</f>
        <v>0</v>
      </c>
      <c r="X63" s="909">
        <f>$Q$53</f>
        <v>0</v>
      </c>
      <c r="Y63" s="909">
        <f>$Q$53</f>
        <v>0</v>
      </c>
      <c r="Z63" s="433">
        <f>$Q$53</f>
        <v>0</v>
      </c>
      <c r="AA63" s="433">
        <f>$Q$53</f>
        <v>0</v>
      </c>
      <c r="AB63" s="909">
        <v>74.327224020150311</v>
      </c>
      <c r="AC63" s="909">
        <v>74.327224020150311</v>
      </c>
      <c r="AD63" s="909">
        <v>74.327224020150311</v>
      </c>
      <c r="AE63" s="909">
        <v>74.327224020150311</v>
      </c>
      <c r="AF63" s="810">
        <f t="shared" si="6"/>
        <v>87.5</v>
      </c>
      <c r="AG63" s="909"/>
      <c r="DG63" s="555"/>
      <c r="DH63" s="555"/>
      <c r="DI63" s="555"/>
    </row>
    <row r="64" spans="1:113" hidden="1" outlineLevel="1" x14ac:dyDescent="0.25">
      <c r="A64" s="442"/>
      <c r="C64" s="268"/>
      <c r="D64" s="2203"/>
      <c r="E64" s="2203"/>
      <c r="F64" s="2174" t="e">
        <f>#REF!</f>
        <v>#REF!</v>
      </c>
      <c r="G64" s="2174"/>
      <c r="H64" s="2174"/>
      <c r="I64" s="1530"/>
      <c r="J64" s="178"/>
      <c r="K64" s="178" t="s">
        <v>62</v>
      </c>
      <c r="L64" s="309"/>
      <c r="M64" s="270"/>
      <c r="N64" s="268"/>
      <c r="O64" s="270"/>
      <c r="P64" s="270"/>
      <c r="Q64" s="270"/>
      <c r="R64" s="270"/>
      <c r="T64" s="50"/>
      <c r="U64" s="50"/>
      <c r="V64" s="2203"/>
      <c r="W64" s="909"/>
      <c r="X64" s="909"/>
      <c r="Y64" s="909"/>
      <c r="Z64" s="433"/>
      <c r="AA64" s="433"/>
      <c r="AB64" s="909"/>
      <c r="AC64" s="909"/>
      <c r="AD64" s="909"/>
      <c r="AE64" s="909"/>
      <c r="AF64" s="258" t="str">
        <f t="shared" si="6"/>
        <v/>
      </c>
      <c r="AG64" s="909"/>
      <c r="DG64" s="555"/>
      <c r="DH64" s="555"/>
      <c r="DI64" s="555"/>
    </row>
    <row r="65" spans="1:114" collapsed="1" x14ac:dyDescent="0.25">
      <c r="A65" s="442"/>
      <c r="C65" s="49"/>
      <c r="D65" s="100"/>
      <c r="E65" s="100"/>
      <c r="G65" s="100"/>
      <c r="N65" s="49"/>
      <c r="T65" s="50"/>
      <c r="U65" s="50"/>
      <c r="V65" s="50"/>
      <c r="DG65" s="555"/>
      <c r="DH65" s="555"/>
      <c r="DI65" s="555"/>
    </row>
    <row r="66" spans="1:114" x14ac:dyDescent="0.25">
      <c r="A66" s="442"/>
      <c r="C66" s="49"/>
      <c r="D66" s="100"/>
      <c r="E66" s="100"/>
      <c r="G66" s="100"/>
      <c r="T66" s="50"/>
      <c r="U66" s="50"/>
      <c r="V66" s="50"/>
      <c r="DG66" s="555"/>
      <c r="DH66" s="555"/>
      <c r="DI66" s="555"/>
    </row>
    <row r="67" spans="1:114" x14ac:dyDescent="0.25">
      <c r="A67" s="442"/>
      <c r="B67" s="2103" t="s">
        <v>956</v>
      </c>
      <c r="C67" s="2104"/>
      <c r="D67" s="2104"/>
      <c r="E67" s="2104"/>
      <c r="F67" s="2104"/>
      <c r="G67" s="2104"/>
      <c r="H67" s="2104"/>
      <c r="I67" s="2104"/>
      <c r="J67" s="2104"/>
      <c r="K67" s="2104"/>
      <c r="L67" s="2104"/>
      <c r="M67" s="2104"/>
      <c r="N67" s="2104"/>
      <c r="O67" s="2104"/>
      <c r="P67" s="2104"/>
      <c r="Q67" s="2207"/>
      <c r="T67" s="50"/>
      <c r="U67" s="50"/>
      <c r="V67" s="2103" t="str">
        <f>B67</f>
        <v>Central Air Conditioners</v>
      </c>
      <c r="W67" s="2104"/>
      <c r="X67" s="2104"/>
      <c r="Y67" s="2104"/>
      <c r="Z67" s="2104"/>
      <c r="AA67" s="2104"/>
      <c r="AB67" s="2104"/>
      <c r="AC67" s="2106"/>
      <c r="AD67" s="2106"/>
      <c r="AE67" s="2106"/>
      <c r="AF67" s="2106"/>
      <c r="AG67" s="2106"/>
      <c r="AH67" s="2107"/>
      <c r="DG67" s="555"/>
      <c r="DH67" s="555"/>
      <c r="DI67" s="555"/>
    </row>
    <row r="68" spans="1:114" x14ac:dyDescent="0.25">
      <c r="A68" s="442"/>
      <c r="C68" s="49"/>
      <c r="D68" s="100"/>
      <c r="E68" s="100"/>
      <c r="G68" s="100"/>
      <c r="H68" s="49"/>
      <c r="I68" s="49"/>
      <c r="J68" s="49"/>
      <c r="K68" s="49"/>
      <c r="L68" s="49"/>
      <c r="M68" s="534"/>
      <c r="T68" s="50"/>
      <c r="U68" s="50"/>
      <c r="V68" s="50"/>
      <c r="DG68" s="555"/>
      <c r="DH68" s="555"/>
      <c r="DI68" s="555"/>
    </row>
    <row r="69" spans="1:114" ht="30" x14ac:dyDescent="0.25">
      <c r="A69" s="442"/>
      <c r="C69" s="1300" t="s">
        <v>42</v>
      </c>
      <c r="D69" s="1300" t="s">
        <v>43</v>
      </c>
      <c r="E69" s="1300" t="s">
        <v>44</v>
      </c>
      <c r="F69" s="1300" t="s">
        <v>45</v>
      </c>
      <c r="G69" s="1300" t="s">
        <v>46</v>
      </c>
      <c r="H69" s="1300" t="s">
        <v>47</v>
      </c>
      <c r="I69" s="1300" t="s">
        <v>48</v>
      </c>
      <c r="J69" s="1312" t="s">
        <v>49</v>
      </c>
      <c r="K69" s="1300" t="s">
        <v>50</v>
      </c>
      <c r="L69" s="1300" t="s">
        <v>957</v>
      </c>
      <c r="M69" s="100"/>
      <c r="T69" s="50"/>
      <c r="U69" s="50"/>
      <c r="V69" s="165" t="s">
        <v>52</v>
      </c>
      <c r="W69" s="649" t="e">
        <f>#REF!</f>
        <v>#REF!</v>
      </c>
      <c r="X69" s="649" t="e">
        <f>#REF!</f>
        <v>#REF!</v>
      </c>
      <c r="Y69" s="649" t="e">
        <f>#REF!</f>
        <v>#REF!</v>
      </c>
      <c r="Z69" s="649" t="e">
        <f>#REF!</f>
        <v>#REF!</v>
      </c>
      <c r="AA69" s="649" t="e">
        <f>#REF!</f>
        <v>#REF!</v>
      </c>
      <c r="AB69" s="649" t="e">
        <f>#REF!</f>
        <v>#REF!</v>
      </c>
      <c r="AC69" s="649" t="e">
        <f>#REF!</f>
        <v>#REF!</v>
      </c>
      <c r="AD69" s="649" t="e">
        <f>#REF!</f>
        <v>#REF!</v>
      </c>
      <c r="AE69" s="649" t="e">
        <f>#REF!</f>
        <v>#REF!</v>
      </c>
      <c r="AF69" s="649" t="e">
        <f>#REF!</f>
        <v>#REF!</v>
      </c>
      <c r="AG69" s="649" t="e">
        <f>#REF!</f>
        <v>#REF!</v>
      </c>
      <c r="DG69" s="957" t="e">
        <f>#REF!</f>
        <v>#REF!</v>
      </c>
      <c r="DH69" s="957" t="e">
        <f>#REF!</f>
        <v>#REF!</v>
      </c>
      <c r="DI69" s="1044" t="e">
        <f>#REF!</f>
        <v>#REF!</v>
      </c>
      <c r="DJ69" s="1126" t="e">
        <f>#REF!</f>
        <v>#REF!</v>
      </c>
    </row>
    <row r="70" spans="1:114" x14ac:dyDescent="0.25">
      <c r="A70" s="442"/>
      <c r="B70" s="1384">
        <f t="shared" ref="B70:B90" si="7">VALUE(LEFT(C70,6))</f>
        <v>350600</v>
      </c>
      <c r="C70" s="18" t="s">
        <v>958</v>
      </c>
      <c r="D70" s="537" t="s">
        <v>857</v>
      </c>
      <c r="E70" s="1324" t="s">
        <v>959</v>
      </c>
      <c r="F70" s="694">
        <f>ROUND(((J103*J126*(1/J195-1/J172))/1000)*J218*$J$241,2)</f>
        <v>2107.9899999999998</v>
      </c>
      <c r="G70" s="253" t="s">
        <v>688</v>
      </c>
      <c r="H70" s="66">
        <f>VLOOKUP(G70,'CP FACTORS'!$A$3:$B$38, 2, FALSE)</f>
        <v>9.4741810000000004E-4</v>
      </c>
      <c r="I70" s="536">
        <f t="shared" ref="I70:I80" si="8">ROUND(F70*H70,6)</f>
        <v>1.9971479999999999</v>
      </c>
      <c r="J70" s="186">
        <f t="shared" ref="J70:J72" si="9">J242</f>
        <v>6</v>
      </c>
      <c r="K70" s="129">
        <f t="shared" ref="K70:K72" si="10">J265</f>
        <v>526.97397959163982</v>
      </c>
      <c r="L70" s="20">
        <f t="shared" ref="L70:L72" si="11">K126</f>
        <v>3.1148319327731095</v>
      </c>
      <c r="T70" s="50"/>
      <c r="U70" s="50"/>
      <c r="V70" s="1307" t="s">
        <v>45</v>
      </c>
      <c r="W70" s="911">
        <v>1932.6604621309377</v>
      </c>
      <c r="X70" s="188">
        <v>1720.1937397650352</v>
      </c>
      <c r="Y70" s="658">
        <v>1844.27</v>
      </c>
      <c r="Z70" s="189">
        <v>1844.27</v>
      </c>
      <c r="AA70" s="189">
        <v>1844.27</v>
      </c>
      <c r="AB70" s="639">
        <v>2258.48</v>
      </c>
      <c r="AC70" s="791">
        <v>1789.74</v>
      </c>
      <c r="AD70" s="125">
        <v>2221.96</v>
      </c>
      <c r="AE70" s="125">
        <v>2107.9899999999998</v>
      </c>
      <c r="AF70" s="258">
        <f t="shared" ref="AF70:AF80" si="12">IF(F70&lt;&gt;"",F70,"")</f>
        <v>2107.9899999999998</v>
      </c>
      <c r="AG70" s="342"/>
      <c r="AH70" s="115"/>
      <c r="DG70" s="952">
        <f>(DI70+DI71)/(DJ70+DJ71)</f>
        <v>4.6546743470487746</v>
      </c>
      <c r="DH70" s="1298" t="str">
        <f t="shared" ref="DH70:DH80" si="13">CONCATENATE(G70," ",J70," Year EUL")</f>
        <v>Cooling RES 6 Year EUL</v>
      </c>
      <c r="DI70" s="1045">
        <f>(INDEX('Avoided Cost Benefits'!$B$4:$B$866,MATCH(DH70,'Avoided Cost Benefits'!$A$4:$A$866,0)))*F70</f>
        <v>2099.2378306782102</v>
      </c>
      <c r="DJ70" s="1952">
        <f t="shared" ref="DJ70:DJ80" si="14">IFERROR(K70/((1+DiscountRate)^(CurrentYear-DiscountYear)),0)</f>
        <v>526.97397959163982</v>
      </c>
    </row>
    <row r="71" spans="1:114" x14ac:dyDescent="0.25">
      <c r="A71" s="442"/>
      <c r="B71" s="1384">
        <f t="shared" si="7"/>
        <v>350600</v>
      </c>
      <c r="C71" s="18" t="s">
        <v>958</v>
      </c>
      <c r="D71" s="537" t="s">
        <v>857</v>
      </c>
      <c r="E71" s="1325" t="s">
        <v>960</v>
      </c>
      <c r="F71" s="694">
        <f>ROUND(((J104*J127*(1/J150-1/J173))/1000)*J219*$J$241,2)</f>
        <v>273.32</v>
      </c>
      <c r="G71" s="253" t="s">
        <v>961</v>
      </c>
      <c r="H71" s="66">
        <f>VLOOKUP(G71,'CP FACTORS'!$A$3:$B$38, 2, FALSE)</f>
        <v>9.4741810000000004E-4</v>
      </c>
      <c r="I71" s="536">
        <f t="shared" si="8"/>
        <v>0.25894800000000001</v>
      </c>
      <c r="J71" s="186">
        <f t="shared" si="9"/>
        <v>12</v>
      </c>
      <c r="K71" s="129">
        <f t="shared" si="10"/>
        <v>0</v>
      </c>
      <c r="L71" s="20">
        <f t="shared" si="11"/>
        <v>3.1148319327731095</v>
      </c>
      <c r="T71" s="50"/>
      <c r="U71" s="50"/>
      <c r="V71" s="1307" t="s">
        <v>45</v>
      </c>
      <c r="W71" s="911">
        <v>1177.266315789474</v>
      </c>
      <c r="X71" s="188">
        <v>348.58770042622297</v>
      </c>
      <c r="Y71" s="658">
        <v>373.73</v>
      </c>
      <c r="Z71" s="189">
        <v>373.73</v>
      </c>
      <c r="AA71" s="189">
        <v>373.73</v>
      </c>
      <c r="AB71" s="639">
        <v>363.6</v>
      </c>
      <c r="AC71" s="791">
        <v>348.11</v>
      </c>
      <c r="AD71" s="125">
        <v>350.43</v>
      </c>
      <c r="AE71" s="125">
        <v>169.64</v>
      </c>
      <c r="AF71" s="258">
        <f t="shared" si="12"/>
        <v>273.32</v>
      </c>
      <c r="AG71" s="342"/>
      <c r="AH71" s="115"/>
      <c r="DG71" s="955"/>
      <c r="DH71" s="1299" t="str">
        <f t="shared" si="13"/>
        <v>Cooling RES ER2 12 Year EUL</v>
      </c>
      <c r="DI71" s="1046">
        <f>(INDEX('Avoided Cost Benefits'!$B$4:$B$866,MATCH(DH71,'Avoided Cost Benefits'!$A$4:$A$866,0)))*F71</f>
        <v>353.65443368920046</v>
      </c>
      <c r="DJ71" s="1952">
        <f t="shared" si="14"/>
        <v>0</v>
      </c>
    </row>
    <row r="72" spans="1:114" x14ac:dyDescent="0.25">
      <c r="A72" s="442"/>
      <c r="B72" s="1384">
        <f t="shared" si="7"/>
        <v>350650</v>
      </c>
      <c r="C72" s="18" t="s">
        <v>962</v>
      </c>
      <c r="D72" s="537" t="s">
        <v>857</v>
      </c>
      <c r="E72" s="1324" t="s">
        <v>963</v>
      </c>
      <c r="F72" s="694">
        <f>ROUND(((J105*J128*(1/J151-1/J174))/1000)*J220*$J$241,2)</f>
        <v>262.89999999999998</v>
      </c>
      <c r="G72" s="253" t="s">
        <v>688</v>
      </c>
      <c r="H72" s="66">
        <f>VLOOKUP(G72,'CP FACTORS'!$A$3:$B$38, 2, FALSE)</f>
        <v>9.4741810000000004E-4</v>
      </c>
      <c r="I72" s="536">
        <f t="shared" si="8"/>
        <v>0.24907599999999999</v>
      </c>
      <c r="J72" s="186">
        <f t="shared" si="9"/>
        <v>18</v>
      </c>
      <c r="K72" s="129">
        <f t="shared" si="10"/>
        <v>453.02753789283406</v>
      </c>
      <c r="L72" s="20">
        <f t="shared" si="11"/>
        <v>2.9891966173361513</v>
      </c>
      <c r="T72" s="50"/>
      <c r="U72" s="50"/>
      <c r="V72" s="1307" t="s">
        <v>45</v>
      </c>
      <c r="W72" s="911">
        <v>334.67345899133977</v>
      </c>
      <c r="X72" s="188">
        <v>348.58770042622297</v>
      </c>
      <c r="Y72" s="658">
        <v>369.27</v>
      </c>
      <c r="Z72" s="189">
        <v>369.27</v>
      </c>
      <c r="AA72" s="189">
        <v>369.27</v>
      </c>
      <c r="AB72" s="639">
        <v>373.31</v>
      </c>
      <c r="AC72" s="791">
        <v>347.48</v>
      </c>
      <c r="AD72" s="125">
        <v>340.39</v>
      </c>
      <c r="AE72" s="125">
        <v>161.06</v>
      </c>
      <c r="AF72" s="258">
        <f t="shared" si="12"/>
        <v>262.89999999999998</v>
      </c>
      <c r="AG72" s="342"/>
      <c r="AH72" s="115"/>
      <c r="DG72" s="958">
        <f>(DI72)/(DJ72)</f>
        <v>1.3287939327387319</v>
      </c>
      <c r="DH72" s="191" t="str">
        <f t="shared" si="13"/>
        <v>Cooling RES 18 Year EUL</v>
      </c>
      <c r="DI72" s="1047">
        <f>(INDEX('Avoided Cost Benefits'!$B$4:$B$866,MATCH(DH72,'Avoided Cost Benefits'!$A$4:$A$866,0)))*F72</f>
        <v>601.98024371556392</v>
      </c>
      <c r="DJ72" s="1952">
        <f t="shared" si="14"/>
        <v>453.02753789283406</v>
      </c>
    </row>
    <row r="73" spans="1:114" x14ac:dyDescent="0.25">
      <c r="A73" s="442"/>
      <c r="B73" s="1384">
        <f t="shared" si="7"/>
        <v>350800</v>
      </c>
      <c r="C73" s="18" t="s">
        <v>964</v>
      </c>
      <c r="D73" s="537" t="s">
        <v>686</v>
      </c>
      <c r="E73" s="1324" t="s">
        <v>965</v>
      </c>
      <c r="F73" s="694">
        <f>ROUND(((J106*J129*(1/J198-1/J175))/1000)*J221*$J$241,2)</f>
        <v>2184.27</v>
      </c>
      <c r="G73" s="253" t="s">
        <v>688</v>
      </c>
      <c r="H73" s="66">
        <f>VLOOKUP(G73,'CP FACTORS'!$A$3:$B$38, 2, FALSE)</f>
        <v>9.4741810000000004E-4</v>
      </c>
      <c r="I73" s="536">
        <f t="shared" si="8"/>
        <v>2.0694170000000001</v>
      </c>
      <c r="J73" s="186">
        <f t="shared" ref="J73:J77" si="15">J245</f>
        <v>6</v>
      </c>
      <c r="K73" s="129">
        <f t="shared" ref="K73:K91" si="16">J268</f>
        <v>708.92766284367963</v>
      </c>
      <c r="L73" s="20">
        <f t="shared" ref="L73:L91" si="17">K129</f>
        <v>2.8756478324403312</v>
      </c>
      <c r="O73" s="539"/>
      <c r="T73" s="50"/>
      <c r="U73" s="50"/>
      <c r="V73" s="1307" t="s">
        <v>45</v>
      </c>
      <c r="W73" s="911">
        <v>1921.8676829268297</v>
      </c>
      <c r="X73" s="188">
        <v>1872.8908664383187</v>
      </c>
      <c r="Y73" s="658">
        <v>1880.22</v>
      </c>
      <c r="Z73" s="189">
        <v>1880.22</v>
      </c>
      <c r="AA73" s="189">
        <v>1880.22</v>
      </c>
      <c r="AB73" s="639">
        <v>2198.3200000000002</v>
      </c>
      <c r="AC73" s="791">
        <v>1809.8</v>
      </c>
      <c r="AD73" s="125">
        <v>2164.25</v>
      </c>
      <c r="AE73" s="125">
        <v>2134.7800000000002</v>
      </c>
      <c r="AF73" s="258">
        <f t="shared" si="12"/>
        <v>2184.27</v>
      </c>
      <c r="AG73" s="342"/>
      <c r="AH73" s="115"/>
      <c r="DG73" s="952">
        <f>(DI73+DI74)/(DJ73+DJ74)</f>
        <v>3.737573071863415</v>
      </c>
      <c r="DH73" s="1298" t="str">
        <f t="shared" si="13"/>
        <v>Cooling RES 6 Year EUL</v>
      </c>
      <c r="DI73" s="1045">
        <f>(INDEX('Avoided Cost Benefits'!$B$4:$B$866,MATCH(DH73,'Avoided Cost Benefits'!$A$4:$A$866,0)))*F73</f>
        <v>2175.2011235420923</v>
      </c>
      <c r="DJ73" s="1952">
        <f t="shared" si="14"/>
        <v>708.92766284367963</v>
      </c>
    </row>
    <row r="74" spans="1:114" x14ac:dyDescent="0.25">
      <c r="A74" s="442"/>
      <c r="B74" s="1384">
        <f t="shared" si="7"/>
        <v>350800</v>
      </c>
      <c r="C74" s="18" t="s">
        <v>964</v>
      </c>
      <c r="D74" s="537" t="s">
        <v>686</v>
      </c>
      <c r="E74" s="1325" t="s">
        <v>966</v>
      </c>
      <c r="F74" s="694">
        <f>ROUND(((J107*J130*(1/J153-1/J176))/1000)*J222*$J$241,2)</f>
        <v>366.69</v>
      </c>
      <c r="G74" s="253" t="s">
        <v>961</v>
      </c>
      <c r="H74" s="66">
        <f>VLOOKUP(G74,'CP FACTORS'!$A$3:$B$38, 2, FALSE)</f>
        <v>9.4741810000000004E-4</v>
      </c>
      <c r="I74" s="536">
        <f t="shared" si="8"/>
        <v>0.34740900000000002</v>
      </c>
      <c r="J74" s="186">
        <f t="shared" si="15"/>
        <v>12</v>
      </c>
      <c r="K74" s="129">
        <f t="shared" si="16"/>
        <v>0</v>
      </c>
      <c r="L74" s="20">
        <f t="shared" si="17"/>
        <v>2.8756478324403312</v>
      </c>
      <c r="O74" s="539"/>
      <c r="T74" s="50"/>
      <c r="U74" s="50"/>
      <c r="V74" s="1307" t="s">
        <v>45</v>
      </c>
      <c r="W74" s="911">
        <v>1212.2550000000003</v>
      </c>
      <c r="X74" s="188">
        <v>501.2848270995064</v>
      </c>
      <c r="Y74" s="658">
        <v>504.12</v>
      </c>
      <c r="Z74" s="189">
        <v>504.12</v>
      </c>
      <c r="AA74" s="189">
        <v>504.12</v>
      </c>
      <c r="AB74" s="639">
        <v>451.39</v>
      </c>
      <c r="AC74" s="791">
        <v>446.81</v>
      </c>
      <c r="AD74" s="125">
        <v>439.92</v>
      </c>
      <c r="AE74" s="125">
        <v>275.66000000000003</v>
      </c>
      <c r="AF74" s="258">
        <f t="shared" si="12"/>
        <v>366.69</v>
      </c>
      <c r="AG74" s="342"/>
      <c r="AH74" s="115"/>
      <c r="DG74" s="955"/>
      <c r="DH74" s="1299" t="str">
        <f t="shared" si="13"/>
        <v>Cooling RES ER2 12 Year EUL</v>
      </c>
      <c r="DI74" s="1046">
        <f>(INDEX('Avoided Cost Benefits'!$B$4:$B$866,MATCH(DH74,'Avoided Cost Benefits'!$A$4:$A$866,0)))*F74</f>
        <v>474.46781900151075</v>
      </c>
      <c r="DJ74" s="1952">
        <f t="shared" si="14"/>
        <v>0</v>
      </c>
    </row>
    <row r="75" spans="1:114" x14ac:dyDescent="0.25">
      <c r="A75" s="442"/>
      <c r="B75" s="1384">
        <f t="shared" si="7"/>
        <v>350850</v>
      </c>
      <c r="C75" s="18" t="s">
        <v>967</v>
      </c>
      <c r="D75" s="537" t="s">
        <v>686</v>
      </c>
      <c r="E75" s="1324" t="s">
        <v>968</v>
      </c>
      <c r="F75" s="694">
        <f>ROUND(((J108*J131*(1/J154-1/J177))/1000)*J223*$J$241,2)</f>
        <v>363.43</v>
      </c>
      <c r="G75" s="253" t="s">
        <v>688</v>
      </c>
      <c r="H75" s="66">
        <f>VLOOKUP(G75,'CP FACTORS'!$A$3:$B$38, 2, FALSE)</f>
        <v>9.4741810000000004E-4</v>
      </c>
      <c r="I75" s="536">
        <f t="shared" si="8"/>
        <v>0.34432000000000001</v>
      </c>
      <c r="J75" s="186">
        <f t="shared" si="15"/>
        <v>18</v>
      </c>
      <c r="K75" s="129">
        <f t="shared" si="16"/>
        <v>634.98122114487387</v>
      </c>
      <c r="L75" s="20">
        <f t="shared" si="17"/>
        <v>2.8453773584905662</v>
      </c>
      <c r="O75" s="539"/>
      <c r="T75" s="50"/>
      <c r="U75" s="50"/>
      <c r="V75" s="1307" t="s">
        <v>45</v>
      </c>
      <c r="W75" s="911">
        <v>436.17115384615397</v>
      </c>
      <c r="X75" s="188">
        <v>501.2848270995064</v>
      </c>
      <c r="Y75" s="658">
        <v>493.75</v>
      </c>
      <c r="Z75" s="189">
        <v>493.75</v>
      </c>
      <c r="AA75" s="189">
        <v>493.75</v>
      </c>
      <c r="AB75" s="639">
        <v>458.17</v>
      </c>
      <c r="AC75" s="791">
        <v>459.15</v>
      </c>
      <c r="AD75" s="125">
        <v>455.22</v>
      </c>
      <c r="AE75" s="125">
        <v>283.54000000000002</v>
      </c>
      <c r="AF75" s="258">
        <f t="shared" si="12"/>
        <v>363.43</v>
      </c>
      <c r="AG75" s="342"/>
      <c r="AH75" s="115"/>
      <c r="DG75" s="958">
        <f>(DI75)/(DJ75)</f>
        <v>1.3105438137147511</v>
      </c>
      <c r="DH75" s="191" t="str">
        <f t="shared" si="13"/>
        <v>Cooling RES 18 Year EUL</v>
      </c>
      <c r="DI75" s="1047">
        <f>(INDEX('Avoided Cost Benefits'!$B$4:$B$866,MATCH(DH75,'Avoided Cost Benefits'!$A$4:$A$866,0)))*F75</f>
        <v>832.17071119645277</v>
      </c>
      <c r="DJ75" s="1952">
        <f t="shared" si="14"/>
        <v>634.98122114487387</v>
      </c>
    </row>
    <row r="76" spans="1:114" x14ac:dyDescent="0.25">
      <c r="A76" s="442"/>
      <c r="B76" s="1384">
        <f t="shared" si="7"/>
        <v>350900</v>
      </c>
      <c r="C76" s="18" t="s">
        <v>969</v>
      </c>
      <c r="D76" s="537" t="s">
        <v>600</v>
      </c>
      <c r="E76" s="1324" t="s">
        <v>970</v>
      </c>
      <c r="F76" s="694">
        <f>ROUND(((J109*J132*(1/J201-1/J178))/1000)*J224*$J$241,2)</f>
        <v>1902.85</v>
      </c>
      <c r="G76" s="253" t="s">
        <v>688</v>
      </c>
      <c r="H76" s="66">
        <f>VLOOKUP(G76,'CP FACTORS'!$A$3:$B$38, 2, FALSE)</f>
        <v>9.4741810000000004E-4</v>
      </c>
      <c r="I76" s="536">
        <f t="shared" si="8"/>
        <v>1.8027949999999999</v>
      </c>
      <c r="J76" s="186">
        <f t="shared" si="15"/>
        <v>6</v>
      </c>
      <c r="K76" s="129">
        <f t="shared" si="16"/>
        <v>708.92766284367963</v>
      </c>
      <c r="L76" s="20">
        <f t="shared" si="17"/>
        <v>2.5384615384615383</v>
      </c>
      <c r="T76" s="50"/>
      <c r="U76" s="50"/>
      <c r="V76" s="1307" t="s">
        <v>45</v>
      </c>
      <c r="W76" s="911">
        <v>1249.2139939024394</v>
      </c>
      <c r="X76" s="188">
        <v>1710.3337488745497</v>
      </c>
      <c r="Y76" s="658">
        <v>1200.22</v>
      </c>
      <c r="Z76" s="189">
        <v>1200.22</v>
      </c>
      <c r="AA76" s="189">
        <v>1200.22</v>
      </c>
      <c r="AB76" s="639">
        <v>1687.17</v>
      </c>
      <c r="AC76" s="791">
        <v>1518.6</v>
      </c>
      <c r="AD76" s="125">
        <v>1566.43</v>
      </c>
      <c r="AE76" s="125">
        <v>1835.08</v>
      </c>
      <c r="AF76" s="258">
        <f t="shared" si="12"/>
        <v>1902.85</v>
      </c>
      <c r="AG76" s="342"/>
      <c r="AH76" s="115"/>
      <c r="DG76" s="1048">
        <f>(DI76+DI77)/(DJ76+DJ77)</f>
        <v>3.2644297990868072</v>
      </c>
      <c r="DH76" s="1323" t="str">
        <f t="shared" si="13"/>
        <v>Cooling RES 6 Year EUL</v>
      </c>
      <c r="DI76" s="1049">
        <f>(INDEX('Avoided Cost Benefits'!$B$4:$B$866,MATCH(DH76,'Avoided Cost Benefits'!$A$4:$A$866,0)))*F76</f>
        <v>1894.9495519931463</v>
      </c>
      <c r="DJ76" s="1952">
        <f t="shared" si="14"/>
        <v>708.92766284367963</v>
      </c>
    </row>
    <row r="77" spans="1:114" x14ac:dyDescent="0.25">
      <c r="A77" s="442"/>
      <c r="B77" s="1384">
        <f t="shared" si="7"/>
        <v>350900</v>
      </c>
      <c r="C77" s="18" t="s">
        <v>969</v>
      </c>
      <c r="D77" s="537" t="s">
        <v>600</v>
      </c>
      <c r="E77" s="1325" t="s">
        <v>971</v>
      </c>
      <c r="F77" s="694">
        <f>ROUND(((J110*J133*(1/J156-1/J179))/1000)*J225*$J$241,2)</f>
        <v>324.05</v>
      </c>
      <c r="G77" s="253" t="s">
        <v>961</v>
      </c>
      <c r="H77" s="66">
        <f>VLOOKUP(G77,'CP FACTORS'!$A$3:$B$38, 2, FALSE)</f>
        <v>9.4741810000000004E-4</v>
      </c>
      <c r="I77" s="536">
        <f t="shared" si="8"/>
        <v>0.30701099999999998</v>
      </c>
      <c r="J77" s="186">
        <f t="shared" si="15"/>
        <v>12</v>
      </c>
      <c r="K77" s="129">
        <f t="shared" si="16"/>
        <v>0</v>
      </c>
      <c r="L77" s="20">
        <f t="shared" si="17"/>
        <v>2.5384615384615383</v>
      </c>
      <c r="T77" s="50"/>
      <c r="U77" s="50"/>
      <c r="V77" s="1307" t="s">
        <v>45</v>
      </c>
      <c r="W77" s="911">
        <v>787.9657500000003</v>
      </c>
      <c r="X77" s="188">
        <v>428.65550480769241</v>
      </c>
      <c r="Y77" s="658">
        <v>300.81</v>
      </c>
      <c r="Z77" s="189">
        <v>300.81</v>
      </c>
      <c r="AA77" s="189">
        <v>300.81</v>
      </c>
      <c r="AB77" s="639">
        <v>391.02</v>
      </c>
      <c r="AC77" s="791">
        <v>378.59</v>
      </c>
      <c r="AD77" s="125">
        <v>327.91</v>
      </c>
      <c r="AE77" s="125">
        <v>238.17</v>
      </c>
      <c r="AF77" s="258">
        <f t="shared" si="12"/>
        <v>324.05</v>
      </c>
      <c r="AG77" s="342"/>
      <c r="AH77" s="115"/>
      <c r="DG77" s="1050"/>
      <c r="DH77" s="1299" t="str">
        <f t="shared" si="13"/>
        <v>Cooling RES ER2 12 Year EUL</v>
      </c>
      <c r="DI77" s="1049">
        <f>(INDEX('Avoided Cost Benefits'!$B$4:$B$866,MATCH(DH77,'Avoided Cost Benefits'!$A$4:$A$866,0)))*F77</f>
        <v>419.29503599072672</v>
      </c>
      <c r="DJ77" s="1952">
        <f t="shared" si="14"/>
        <v>0</v>
      </c>
    </row>
    <row r="78" spans="1:114" x14ac:dyDescent="0.25">
      <c r="A78" s="442"/>
      <c r="B78" s="1384">
        <f t="shared" si="7"/>
        <v>351000</v>
      </c>
      <c r="C78" s="18" t="s">
        <v>972</v>
      </c>
      <c r="D78" s="537" t="s">
        <v>686</v>
      </c>
      <c r="E78" s="1324" t="s">
        <v>973</v>
      </c>
      <c r="F78" s="694">
        <f>ROUND(((J111*J134*(1/J203-1/J180))/1000)*J226*$J$241,2)</f>
        <v>2381.9499999999998</v>
      </c>
      <c r="G78" s="253" t="s">
        <v>688</v>
      </c>
      <c r="H78" s="66">
        <f>VLOOKUP(G78,'CP FACTORS'!$A$3:$B$38, 2, FALSE)</f>
        <v>9.4741810000000004E-4</v>
      </c>
      <c r="I78" s="536">
        <f t="shared" si="8"/>
        <v>2.2567029999999999</v>
      </c>
      <c r="J78" s="186">
        <f t="shared" ref="J78:J80" si="18">J250</f>
        <v>6</v>
      </c>
      <c r="K78" s="129">
        <f t="shared" si="16"/>
        <v>965.14815558634655</v>
      </c>
      <c r="L78" s="20">
        <f t="shared" si="17"/>
        <v>3.1718995290423861</v>
      </c>
      <c r="T78" s="50"/>
      <c r="U78" s="50"/>
      <c r="V78" s="1307" t="s">
        <v>45</v>
      </c>
      <c r="W78" s="911">
        <v>2040.7162123385942</v>
      </c>
      <c r="X78" s="188">
        <v>1979.1918367346937</v>
      </c>
      <c r="Y78" s="658">
        <v>1953.65</v>
      </c>
      <c r="Z78" s="189">
        <v>1953.65</v>
      </c>
      <c r="AA78" s="189">
        <v>1953.65</v>
      </c>
      <c r="AB78" s="639">
        <v>2431.04</v>
      </c>
      <c r="AC78" s="791">
        <v>1896.58</v>
      </c>
      <c r="AD78" s="125">
        <v>2272.7399999999998</v>
      </c>
      <c r="AE78" s="125">
        <v>2272.7399999999998</v>
      </c>
      <c r="AF78" s="258">
        <f t="shared" si="12"/>
        <v>2381.9499999999998</v>
      </c>
      <c r="AG78" s="342"/>
      <c r="AH78" s="115"/>
      <c r="DG78" s="1048">
        <f>(DI78+DI79)/(DJ78+DJ79)</f>
        <v>3.1687674818130427</v>
      </c>
      <c r="DH78" s="1298" t="str">
        <f t="shared" si="13"/>
        <v>Cooling RES 6 Year EUL</v>
      </c>
      <c r="DI78" s="1049">
        <f>(INDEX('Avoided Cost Benefits'!$B$4:$B$866,MATCH(DH78,'Avoided Cost Benefits'!$A$4:$A$866,0)))*F78</f>
        <v>2372.0603754211184</v>
      </c>
      <c r="DJ78" s="1952">
        <f t="shared" si="14"/>
        <v>965.14815558634655</v>
      </c>
    </row>
    <row r="79" spans="1:114" x14ac:dyDescent="0.25">
      <c r="A79" s="442"/>
      <c r="B79" s="1384">
        <f t="shared" si="7"/>
        <v>351000</v>
      </c>
      <c r="C79" s="18" t="s">
        <v>972</v>
      </c>
      <c r="D79" s="537" t="s">
        <v>686</v>
      </c>
      <c r="E79" s="1325" t="s">
        <v>974</v>
      </c>
      <c r="F79" s="694">
        <f>ROUND(((J112*J135*(1/J158-1/J181))/1000)*J227*$J$241,2)</f>
        <v>530.38</v>
      </c>
      <c r="G79" s="253" t="s">
        <v>961</v>
      </c>
      <c r="H79" s="66">
        <f>VLOOKUP(G79,'CP FACTORS'!$A$3:$B$38, 2, FALSE)</f>
        <v>9.4741810000000004E-4</v>
      </c>
      <c r="I79" s="536">
        <f t="shared" si="8"/>
        <v>0.50249200000000005</v>
      </c>
      <c r="J79" s="186">
        <f t="shared" si="18"/>
        <v>12</v>
      </c>
      <c r="K79" s="129">
        <f t="shared" si="16"/>
        <v>0</v>
      </c>
      <c r="L79" s="20">
        <f t="shared" si="17"/>
        <v>3.1718995290423861</v>
      </c>
      <c r="T79" s="50"/>
      <c r="U79" s="50"/>
      <c r="V79" s="1307" t="s">
        <v>45</v>
      </c>
      <c r="W79" s="911">
        <v>1331.1035294117648</v>
      </c>
      <c r="X79" s="188">
        <v>585.10045248868789</v>
      </c>
      <c r="Y79" s="658">
        <v>577.54999999999995</v>
      </c>
      <c r="Z79" s="189">
        <v>577.54999999999995</v>
      </c>
      <c r="AA79" s="189">
        <v>577.54999999999995</v>
      </c>
      <c r="AB79" s="639">
        <v>645.84</v>
      </c>
      <c r="AC79" s="791">
        <v>576.42999999999995</v>
      </c>
      <c r="AD79" s="125">
        <v>562.64</v>
      </c>
      <c r="AE79" s="125">
        <v>394.29</v>
      </c>
      <c r="AF79" s="258">
        <f t="shared" si="12"/>
        <v>530.38</v>
      </c>
      <c r="AG79" s="342"/>
      <c r="AH79" s="115"/>
      <c r="DG79" s="1050"/>
      <c r="DH79" s="1299" t="str">
        <f t="shared" si="13"/>
        <v>Cooling RES ER2 12 Year EUL</v>
      </c>
      <c r="DI79" s="1049">
        <f>(INDEX('Avoided Cost Benefits'!$B$4:$B$866,MATCH(DH79,'Avoided Cost Benefits'!$A$4:$A$866,0)))*F79</f>
        <v>686.26971513273145</v>
      </c>
      <c r="DJ79" s="1952">
        <f t="shared" si="14"/>
        <v>0</v>
      </c>
    </row>
    <row r="80" spans="1:114" x14ac:dyDescent="0.25">
      <c r="A80" s="442"/>
      <c r="B80" s="1384">
        <f t="shared" si="7"/>
        <v>351050</v>
      </c>
      <c r="C80" s="18" t="s">
        <v>975</v>
      </c>
      <c r="D80" s="537" t="s">
        <v>686</v>
      </c>
      <c r="E80" s="1324" t="s">
        <v>976</v>
      </c>
      <c r="F80" s="694">
        <f>ROUND(((J113*J136*(1/J159-1/J182))/1000)*J228*$J$241,2)</f>
        <v>549.48</v>
      </c>
      <c r="G80" s="253" t="s">
        <v>688</v>
      </c>
      <c r="H80" s="66">
        <f>VLOOKUP(G80,'CP FACTORS'!$A$3:$B$38, 2, FALSE)</f>
        <v>9.4741810000000004E-4</v>
      </c>
      <c r="I80" s="536">
        <f t="shared" si="8"/>
        <v>0.52058700000000002</v>
      </c>
      <c r="J80" s="186">
        <f t="shared" si="18"/>
        <v>18</v>
      </c>
      <c r="K80" s="129">
        <f t="shared" si="16"/>
        <v>891.20171388754079</v>
      </c>
      <c r="L80" s="20">
        <f t="shared" si="17"/>
        <v>3.3001127819548874</v>
      </c>
      <c r="T80" s="50"/>
      <c r="U80" s="50"/>
      <c r="V80" s="1307" t="s">
        <v>45</v>
      </c>
      <c r="W80" s="911">
        <v>547.35203619909521</v>
      </c>
      <c r="X80" s="188">
        <v>547.35203619909521</v>
      </c>
      <c r="Y80" s="658">
        <v>564.34</v>
      </c>
      <c r="Z80" s="189">
        <v>564.34</v>
      </c>
      <c r="AA80" s="189">
        <v>564.34</v>
      </c>
      <c r="AB80" s="639">
        <v>665.3</v>
      </c>
      <c r="AC80" s="791">
        <v>595.16999999999996</v>
      </c>
      <c r="AD80" s="125">
        <v>559.92999999999995</v>
      </c>
      <c r="AE80" s="125">
        <v>384.26</v>
      </c>
      <c r="AF80" s="258">
        <f t="shared" si="12"/>
        <v>549.48</v>
      </c>
      <c r="AG80" s="342"/>
      <c r="AH80" s="115"/>
      <c r="DG80" s="1048">
        <f>(DI80)/(DJ80)</f>
        <v>1.4117816374996219</v>
      </c>
      <c r="DH80" s="191" t="str">
        <f t="shared" si="13"/>
        <v>Cooling RES 18 Year EUL</v>
      </c>
      <c r="DI80" s="1049">
        <f>(INDEX('Avoided Cost Benefits'!$B$4:$B$866,MATCH(DH80,'Avoided Cost Benefits'!$A$4:$A$866,0)))*F80</f>
        <v>1258.182214974622</v>
      </c>
      <c r="DJ80" s="1952">
        <f t="shared" si="14"/>
        <v>891.20171388754079</v>
      </c>
    </row>
    <row r="81" spans="1:114" x14ac:dyDescent="0.25">
      <c r="A81" s="442"/>
      <c r="B81" s="1384">
        <f t="shared" si="7"/>
        <v>351160</v>
      </c>
      <c r="C81" s="18" t="s">
        <v>977</v>
      </c>
      <c r="D81" s="537" t="s">
        <v>686</v>
      </c>
      <c r="E81" s="1324" t="s">
        <v>978</v>
      </c>
      <c r="F81" s="694">
        <f>ROUND(((J114*J137*(1/J206-1/J183))/1000)*J229*$J$241,2)</f>
        <v>2517.94</v>
      </c>
      <c r="G81" s="253" t="s">
        <v>688</v>
      </c>
      <c r="H81" s="66">
        <f>VLOOKUP(G81,'CP FACTORS'!$A$3:$B$38, 2, FALSE)</f>
        <v>9.4741810000000004E-4</v>
      </c>
      <c r="I81" s="536">
        <f>ROUND(F81*H81,6)</f>
        <v>2.3855420000000001</v>
      </c>
      <c r="J81" s="186">
        <f>J253</f>
        <v>6</v>
      </c>
      <c r="K81" s="129">
        <f t="shared" si="16"/>
        <v>994.85487938259848</v>
      </c>
      <c r="L81" s="20">
        <f t="shared" si="17"/>
        <v>3.3330761421319792</v>
      </c>
      <c r="T81" s="50"/>
      <c r="U81" s="50"/>
      <c r="V81" s="1307" t="s">
        <v>45</v>
      </c>
      <c r="W81" s="911"/>
      <c r="X81" s="188"/>
      <c r="Y81" s="658"/>
      <c r="Z81" s="658">
        <v>2017.58</v>
      </c>
      <c r="AA81" s="189">
        <v>2017.58</v>
      </c>
      <c r="AB81" s="905">
        <v>2017.58</v>
      </c>
      <c r="AC81" s="791">
        <v>2213.29</v>
      </c>
      <c r="AD81" s="125">
        <v>2517.94</v>
      </c>
      <c r="AE81" s="694">
        <v>2517.94</v>
      </c>
      <c r="AF81" s="258">
        <f t="shared" ref="AF81:AF90" si="19">IF(F81&lt;&gt;"",F81,"")</f>
        <v>2517.94</v>
      </c>
      <c r="AG81" s="342"/>
      <c r="AH81" s="115"/>
      <c r="DG81" s="952">
        <f>(DI81+DI82)/(DJ81+DJ82)</f>
        <v>3.3816804496492248</v>
      </c>
      <c r="DH81" s="1298" t="str">
        <f t="shared" ref="DH81:DH92" si="20">CONCATENATE(G81," ",J81," Year EUL")</f>
        <v>Cooling RES 6 Year EUL</v>
      </c>
      <c r="DI81" s="1045">
        <f>(INDEX('Avoided Cost Benefits'!$B$4:$B$866,MATCH(DH81,'Avoided Cost Benefits'!$A$4:$A$866,0)))*F81</f>
        <v>2507.4857581762217</v>
      </c>
      <c r="DJ81" s="1952">
        <f t="shared" ref="DJ81:DJ90" si="21">IFERROR(K81/((1+DiscountRate)^(CurrentYear-DiscountYear)),0)</f>
        <v>994.85487938259848</v>
      </c>
    </row>
    <row r="82" spans="1:114" x14ac:dyDescent="0.25">
      <c r="A82" s="442"/>
      <c r="B82" s="1384">
        <f t="shared" si="7"/>
        <v>351160</v>
      </c>
      <c r="C82" s="18" t="s">
        <v>977</v>
      </c>
      <c r="D82" s="537" t="s">
        <v>686</v>
      </c>
      <c r="E82" s="1325" t="s">
        <v>979</v>
      </c>
      <c r="F82" s="694">
        <f>ROUND(((J115*J138*(1/J161-1/J184))/1000)*J230*$J$241,2)</f>
        <v>662.17</v>
      </c>
      <c r="G82" s="253" t="s">
        <v>961</v>
      </c>
      <c r="H82" s="66">
        <f>VLOOKUP(G82,'CP FACTORS'!$A$3:$B$38, 2, FALSE)</f>
        <v>9.4741810000000004E-4</v>
      </c>
      <c r="I82" s="536">
        <f t="shared" ref="I82:I92" si="22">ROUND(F82*H82,6)</f>
        <v>0.62735200000000002</v>
      </c>
      <c r="J82" s="186">
        <f>J254</f>
        <v>12</v>
      </c>
      <c r="K82" s="129">
        <f t="shared" si="16"/>
        <v>0</v>
      </c>
      <c r="L82" s="20">
        <f t="shared" si="17"/>
        <v>3.3330761421319792</v>
      </c>
      <c r="T82" s="50"/>
      <c r="U82" s="50"/>
      <c r="V82" s="1307" t="s">
        <v>45</v>
      </c>
      <c r="W82" s="911"/>
      <c r="X82" s="188"/>
      <c r="Y82" s="658"/>
      <c r="Z82" s="658">
        <v>668.46</v>
      </c>
      <c r="AA82" s="189">
        <v>668.46</v>
      </c>
      <c r="AB82" s="905">
        <v>668.46</v>
      </c>
      <c r="AC82" s="791">
        <v>720.84</v>
      </c>
      <c r="AD82" s="125">
        <v>741.82</v>
      </c>
      <c r="AE82" s="125">
        <v>551.22</v>
      </c>
      <c r="AF82" s="258">
        <f t="shared" si="19"/>
        <v>662.17</v>
      </c>
      <c r="AG82" s="342"/>
      <c r="AH82" s="115"/>
      <c r="DG82" s="1050"/>
      <c r="DH82" s="1299" t="str">
        <f t="shared" si="20"/>
        <v>Cooling RES ER2 12 Year EUL</v>
      </c>
      <c r="DI82" s="1049">
        <f>(INDEX('Avoided Cost Benefits'!$B$4:$B$866,MATCH(DH82,'Avoided Cost Benefits'!$A$4:$A$866,0)))*F82</f>
        <v>856.79553767004927</v>
      </c>
      <c r="DJ82" s="1952">
        <f t="shared" si="21"/>
        <v>0</v>
      </c>
    </row>
    <row r="83" spans="1:114" x14ac:dyDescent="0.25">
      <c r="A83" s="442"/>
      <c r="B83" s="1384">
        <f t="shared" si="7"/>
        <v>351161</v>
      </c>
      <c r="C83" s="18" t="s">
        <v>980</v>
      </c>
      <c r="D83" s="537" t="s">
        <v>686</v>
      </c>
      <c r="E83" s="1324" t="s">
        <v>981</v>
      </c>
      <c r="F83" s="694">
        <f>ROUND(((J116*J139*(1/J162-1/J185))/1000)*J231*$J$241,2)</f>
        <v>660.62</v>
      </c>
      <c r="G83" s="253" t="s">
        <v>688</v>
      </c>
      <c r="H83" s="66">
        <f>VLOOKUP(G83,'CP FACTORS'!$A$3:$B$38, 2, FALSE)</f>
        <v>9.4741810000000004E-4</v>
      </c>
      <c r="I83" s="536">
        <f t="shared" si="22"/>
        <v>0.62588299999999997</v>
      </c>
      <c r="J83" s="186">
        <f>J255</f>
        <v>18</v>
      </c>
      <c r="K83" s="129">
        <f t="shared" si="16"/>
        <v>920.90843768379273</v>
      </c>
      <c r="L83" s="20">
        <f t="shared" si="17"/>
        <v>3.3284552845487805</v>
      </c>
      <c r="T83" s="50"/>
      <c r="U83" s="50"/>
      <c r="V83" s="1307" t="s">
        <v>45</v>
      </c>
      <c r="W83" s="911"/>
      <c r="X83" s="188"/>
      <c r="Y83" s="658"/>
      <c r="Z83" s="658">
        <v>668.46</v>
      </c>
      <c r="AA83" s="189">
        <v>668.46</v>
      </c>
      <c r="AB83" s="905">
        <v>668.46</v>
      </c>
      <c r="AC83" s="791">
        <v>706.92</v>
      </c>
      <c r="AD83" s="125">
        <v>755.44</v>
      </c>
      <c r="AE83" s="125">
        <v>561.19000000000005</v>
      </c>
      <c r="AF83" s="258">
        <f t="shared" si="19"/>
        <v>660.62</v>
      </c>
      <c r="AG83" s="342"/>
      <c r="AH83" s="115"/>
      <c r="DG83" s="1048">
        <f>IFERROR((DI83)/(DJ83),"")</f>
        <v>1.6425814647602304</v>
      </c>
      <c r="DH83" s="191" t="str">
        <f t="shared" si="20"/>
        <v>Cooling RES 18 Year EUL</v>
      </c>
      <c r="DI83" s="1049">
        <f>(INDEX('Avoided Cost Benefits'!$B$4:$B$866,MATCH(DH83,'Avoided Cost Benefits'!$A$4:$A$866,0)))*F83</f>
        <v>1512.6671304806996</v>
      </c>
      <c r="DJ83" s="1952">
        <f t="shared" si="21"/>
        <v>920.90843768379273</v>
      </c>
    </row>
    <row r="84" spans="1:114" x14ac:dyDescent="0.25">
      <c r="A84" s="442"/>
      <c r="B84" s="1384">
        <f t="shared" si="7"/>
        <v>351170</v>
      </c>
      <c r="C84" s="18" t="s">
        <v>982</v>
      </c>
      <c r="D84" s="537" t="s">
        <v>686</v>
      </c>
      <c r="E84" s="1324" t="s">
        <v>983</v>
      </c>
      <c r="F84" s="694">
        <f>ROUND(((J117*J140*(1/J209-1/J186))/1000)*J232*$J$241,2)</f>
        <v>3468.74</v>
      </c>
      <c r="G84" s="253" t="s">
        <v>688</v>
      </c>
      <c r="H84" s="66">
        <f>VLOOKUP(G84,'CP FACTORS'!$A$3:$B$38, 2, FALSE)</f>
        <v>9.4741810000000004E-4</v>
      </c>
      <c r="I84" s="536">
        <f t="shared" si="22"/>
        <v>3.2863470000000001</v>
      </c>
      <c r="J84" s="186">
        <f t="shared" ref="J84:J86" si="23">J256</f>
        <v>6</v>
      </c>
      <c r="K84" s="129">
        <f t="shared" si="16"/>
        <v>994.85487938259848</v>
      </c>
      <c r="L84" s="20">
        <f t="shared" si="17"/>
        <v>4.3031428571428565</v>
      </c>
      <c r="N84" s="543"/>
      <c r="T84" s="50"/>
      <c r="U84" s="50"/>
      <c r="V84" s="1307" t="s">
        <v>45</v>
      </c>
      <c r="W84" s="911"/>
      <c r="X84" s="188"/>
      <c r="Y84" s="658"/>
      <c r="Z84" s="658">
        <v>2109.06</v>
      </c>
      <c r="AA84" s="189">
        <v>2109.06</v>
      </c>
      <c r="AB84" s="905">
        <v>2109.06</v>
      </c>
      <c r="AC84" s="791">
        <v>3099.52</v>
      </c>
      <c r="AD84" s="125">
        <v>3353.86</v>
      </c>
      <c r="AE84" s="125">
        <v>3468.74</v>
      </c>
      <c r="AF84" s="258">
        <f t="shared" si="19"/>
        <v>3468.74</v>
      </c>
      <c r="AG84" s="342"/>
      <c r="AH84" s="115"/>
      <c r="DG84" s="1048">
        <f>(DI84+DI85)/(DJ84+DJ85)</f>
        <v>4.7754558872000947</v>
      </c>
      <c r="DH84" s="1298" t="str">
        <f t="shared" si="20"/>
        <v>Cooling RES 6 Year EUL</v>
      </c>
      <c r="DI84" s="1049">
        <f>(INDEX('Avoided Cost Benefits'!$B$4:$B$866,MATCH(DH84,'Avoided Cost Benefits'!$A$4:$A$866,0)))*F84</f>
        <v>3454.3381291119672</v>
      </c>
      <c r="DJ84" s="1952">
        <f t="shared" si="21"/>
        <v>994.85487938259848</v>
      </c>
    </row>
    <row r="85" spans="1:114" x14ac:dyDescent="0.25">
      <c r="A85" s="442"/>
      <c r="B85" s="1384">
        <f t="shared" si="7"/>
        <v>351170</v>
      </c>
      <c r="C85" s="18" t="s">
        <v>982</v>
      </c>
      <c r="D85" s="537" t="s">
        <v>686</v>
      </c>
      <c r="E85" s="1325" t="s">
        <v>984</v>
      </c>
      <c r="F85" s="694">
        <f>ROUND(((J118*J141*(1/J164-1/J187))/1000)*J233*$J$241,2)</f>
        <v>1002.03</v>
      </c>
      <c r="G85" s="253" t="s">
        <v>961</v>
      </c>
      <c r="H85" s="66">
        <f>VLOOKUP(G85,'CP FACTORS'!$A$3:$B$38, 2, FALSE)</f>
        <v>9.4741810000000004E-4</v>
      </c>
      <c r="I85" s="536">
        <f t="shared" si="22"/>
        <v>0.94934099999999999</v>
      </c>
      <c r="J85" s="186">
        <f t="shared" si="23"/>
        <v>12</v>
      </c>
      <c r="K85" s="129">
        <f t="shared" si="16"/>
        <v>0</v>
      </c>
      <c r="L85" s="20">
        <f t="shared" si="17"/>
        <v>4.3031428571428565</v>
      </c>
      <c r="N85" s="543"/>
      <c r="T85" s="50"/>
      <c r="U85" s="50"/>
      <c r="V85" s="1307" t="s">
        <v>45</v>
      </c>
      <c r="W85" s="911"/>
      <c r="X85" s="188"/>
      <c r="Y85" s="658"/>
      <c r="Z85" s="658">
        <v>759.94</v>
      </c>
      <c r="AA85" s="189">
        <v>759.94</v>
      </c>
      <c r="AB85" s="905">
        <v>759.94</v>
      </c>
      <c r="AC85" s="791">
        <v>1090.6400000000001</v>
      </c>
      <c r="AD85" s="125">
        <v>1110.54</v>
      </c>
      <c r="AE85" s="125">
        <v>858.8</v>
      </c>
      <c r="AF85" s="258">
        <f t="shared" si="19"/>
        <v>1002.03</v>
      </c>
      <c r="AG85" s="342"/>
      <c r="AH85" s="115"/>
      <c r="DG85" s="1050"/>
      <c r="DH85" s="1299" t="str">
        <f t="shared" si="20"/>
        <v>Cooling RES ER2 12 Year EUL</v>
      </c>
      <c r="DI85" s="1049">
        <f>(INDEX('Avoided Cost Benefits'!$B$4:$B$866,MATCH(DH85,'Avoided Cost Benefits'!$A$4:$A$866,0)))*F85</f>
        <v>1296.5474615454029</v>
      </c>
      <c r="DJ85" s="1952">
        <f t="shared" si="21"/>
        <v>0</v>
      </c>
    </row>
    <row r="86" spans="1:114" x14ac:dyDescent="0.25">
      <c r="A86" s="442"/>
      <c r="B86" s="1384">
        <f t="shared" si="7"/>
        <v>351171</v>
      </c>
      <c r="C86" s="18" t="s">
        <v>985</v>
      </c>
      <c r="D86" s="537" t="s">
        <v>686</v>
      </c>
      <c r="E86" s="1324" t="s">
        <v>986</v>
      </c>
      <c r="F86" s="694">
        <f>ROUND(((J119*J142*(1/J165-1/J188))/1000)*J234*$J$241,2)</f>
        <v>1037.44</v>
      </c>
      <c r="G86" s="253" t="s">
        <v>688</v>
      </c>
      <c r="H86" s="66">
        <f>VLOOKUP(G86,'CP FACTORS'!$A$3:$B$38, 2, FALSE)</f>
        <v>9.4741810000000004E-4</v>
      </c>
      <c r="I86" s="536">
        <f t="shared" si="22"/>
        <v>0.98288900000000001</v>
      </c>
      <c r="J86" s="186">
        <f t="shared" si="23"/>
        <v>18</v>
      </c>
      <c r="K86" s="129">
        <f t="shared" si="16"/>
        <v>920.90843768379273</v>
      </c>
      <c r="L86" s="20">
        <f t="shared" si="17"/>
        <v>4.4285714285714288</v>
      </c>
      <c r="N86" s="543"/>
      <c r="T86" s="50"/>
      <c r="U86" s="50"/>
      <c r="V86" s="1307" t="s">
        <v>45</v>
      </c>
      <c r="W86" s="911"/>
      <c r="X86" s="188"/>
      <c r="Y86" s="658"/>
      <c r="Z86" s="658">
        <v>759.94</v>
      </c>
      <c r="AA86" s="189">
        <v>759.94</v>
      </c>
      <c r="AB86" s="905">
        <v>759.94</v>
      </c>
      <c r="AC86" s="791">
        <v>1119.32</v>
      </c>
      <c r="AD86" s="125">
        <v>1117.5899999999999</v>
      </c>
      <c r="AE86" s="125">
        <v>852.72</v>
      </c>
      <c r="AF86" s="258">
        <f t="shared" si="19"/>
        <v>1037.44</v>
      </c>
      <c r="AG86" s="342"/>
      <c r="AH86" s="115"/>
      <c r="DG86" s="1048">
        <f>(DI86)/(DJ86)</f>
        <v>2.5795157803288631</v>
      </c>
      <c r="DH86" s="191" t="str">
        <f t="shared" si="20"/>
        <v>Cooling RES 18 Year EUL</v>
      </c>
      <c r="DI86" s="1049">
        <f>(INDEX('Avoided Cost Benefits'!$B$4:$B$866,MATCH(DH86,'Avoided Cost Benefits'!$A$4:$A$866,0)))*F86</f>
        <v>2375.4978472433427</v>
      </c>
      <c r="DJ86" s="1952">
        <f t="shared" si="21"/>
        <v>920.90843768379273</v>
      </c>
    </row>
    <row r="87" spans="1:114" x14ac:dyDescent="0.25">
      <c r="A87" s="442"/>
      <c r="B87" s="1384">
        <f t="shared" si="7"/>
        <v>351180</v>
      </c>
      <c r="C87" s="18" t="s">
        <v>987</v>
      </c>
      <c r="D87" s="537" t="s">
        <v>686</v>
      </c>
      <c r="E87" s="1324" t="s">
        <v>988</v>
      </c>
      <c r="F87" s="694">
        <f>ROUND(((J120*J143*(1/J212-1/J189))/1000)*J235*$J$241,2)</f>
        <v>2828.06</v>
      </c>
      <c r="G87" s="253" t="s">
        <v>688</v>
      </c>
      <c r="H87" s="66">
        <f>VLOOKUP(G87,'CP FACTORS'!$A$3:$B$38, 2, FALSE)</f>
        <v>9.4741810000000004E-4</v>
      </c>
      <c r="I87" s="536">
        <f t="shared" si="22"/>
        <v>2.6793550000000002</v>
      </c>
      <c r="J87" s="186">
        <f t="shared" ref="J87:J89" si="24">J259</f>
        <v>6</v>
      </c>
      <c r="K87" s="129">
        <f t="shared" si="16"/>
        <v>1080.2617102968206</v>
      </c>
      <c r="L87" s="20">
        <f t="shared" si="17"/>
        <v>3.6090823970000003</v>
      </c>
      <c r="N87" s="543"/>
      <c r="O87" s="539"/>
      <c r="T87" s="50"/>
      <c r="U87" s="50"/>
      <c r="V87" s="1307" t="s">
        <v>45</v>
      </c>
      <c r="W87" s="911"/>
      <c r="X87" s="188"/>
      <c r="Y87" s="658"/>
      <c r="Z87" s="658">
        <v>2191.38</v>
      </c>
      <c r="AA87" s="189">
        <v>2191.38</v>
      </c>
      <c r="AB87" s="905">
        <v>2191.38</v>
      </c>
      <c r="AC87" s="791">
        <v>2498.15</v>
      </c>
      <c r="AD87" s="125">
        <v>2895.68</v>
      </c>
      <c r="AE87" s="125">
        <v>2749.75</v>
      </c>
      <c r="AF87" s="258">
        <f t="shared" si="19"/>
        <v>2828.06</v>
      </c>
      <c r="AG87" s="342"/>
      <c r="AH87" s="115"/>
      <c r="DG87" s="1048">
        <f>(DI87+DI88)/(DJ87+DJ88)</f>
        <v>3.7273821117244457</v>
      </c>
      <c r="DH87" s="1298" t="str">
        <f t="shared" si="20"/>
        <v>Cooling RES 6 Year EUL</v>
      </c>
      <c r="DI87" s="1049">
        <f>(INDEX('Avoided Cost Benefits'!$B$4:$B$866,MATCH(DH87,'Avoided Cost Benefits'!$A$4:$A$866,0)))*F87</f>
        <v>2816.3181701183685</v>
      </c>
      <c r="DJ87" s="1952">
        <f t="shared" si="21"/>
        <v>1080.2617102968206</v>
      </c>
    </row>
    <row r="88" spans="1:114" x14ac:dyDescent="0.25">
      <c r="A88" s="442"/>
      <c r="B88" s="1384">
        <f t="shared" si="7"/>
        <v>351180</v>
      </c>
      <c r="C88" s="18" t="s">
        <v>987</v>
      </c>
      <c r="D88" s="537" t="s">
        <v>686</v>
      </c>
      <c r="E88" s="1325" t="s">
        <v>989</v>
      </c>
      <c r="F88" s="694">
        <f>ROUND(((J121*J144*(1/J167-1/J190))/1000)*J236*$J$241,2)</f>
        <v>935.32</v>
      </c>
      <c r="G88" s="253" t="s">
        <v>961</v>
      </c>
      <c r="H88" s="66">
        <f>VLOOKUP(G88,'CP FACTORS'!$A$3:$B$38, 2, FALSE)</f>
        <v>9.4741810000000004E-4</v>
      </c>
      <c r="I88" s="536">
        <f t="shared" si="22"/>
        <v>0.88613900000000001</v>
      </c>
      <c r="J88" s="186">
        <f t="shared" si="24"/>
        <v>12</v>
      </c>
      <c r="K88" s="129">
        <f t="shared" si="16"/>
        <v>0</v>
      </c>
      <c r="L88" s="20">
        <f t="shared" si="17"/>
        <v>3.6090823970000003</v>
      </c>
      <c r="N88" s="543"/>
      <c r="O88" s="539"/>
      <c r="T88" s="50"/>
      <c r="U88" s="50"/>
      <c r="V88" s="1307" t="s">
        <v>45</v>
      </c>
      <c r="W88" s="911"/>
      <c r="X88" s="188"/>
      <c r="Y88" s="658"/>
      <c r="Z88" s="658">
        <v>842.26</v>
      </c>
      <c r="AA88" s="189">
        <v>842.26</v>
      </c>
      <c r="AB88" s="905">
        <v>842.26</v>
      </c>
      <c r="AC88" s="791">
        <v>975.66</v>
      </c>
      <c r="AD88" s="125">
        <v>967.28</v>
      </c>
      <c r="AE88" s="125">
        <v>764.57</v>
      </c>
      <c r="AF88" s="258">
        <f t="shared" si="19"/>
        <v>935.32</v>
      </c>
      <c r="AG88" s="342"/>
      <c r="AH88" s="115"/>
      <c r="DG88" s="1050"/>
      <c r="DH88" s="1299" t="str">
        <f t="shared" si="20"/>
        <v>Cooling RES ER2 12 Year EUL</v>
      </c>
      <c r="DI88" s="1049">
        <f>(INDEX('Avoided Cost Benefits'!$B$4:$B$866,MATCH(DH88,'Avoided Cost Benefits'!$A$4:$A$866,0)))*F88</f>
        <v>1210.230004822856</v>
      </c>
      <c r="DJ88" s="1952">
        <f t="shared" si="21"/>
        <v>0</v>
      </c>
    </row>
    <row r="89" spans="1:114" x14ac:dyDescent="0.25">
      <c r="A89" s="442"/>
      <c r="B89" s="1384">
        <f t="shared" si="7"/>
        <v>351181</v>
      </c>
      <c r="C89" s="18" t="s">
        <v>990</v>
      </c>
      <c r="D89" s="537" t="s">
        <v>686</v>
      </c>
      <c r="E89" s="1324" t="s">
        <v>991</v>
      </c>
      <c r="F89" s="694">
        <f>ROUND(((J122*J145*(1/J168-1/J191))/1000)*J237*$J$241,2)</f>
        <v>968.73</v>
      </c>
      <c r="G89" s="253" t="s">
        <v>688</v>
      </c>
      <c r="H89" s="66">
        <f>VLOOKUP(G89,'CP FACTORS'!$A$3:$B$38, 2, FALSE)</f>
        <v>9.4741810000000004E-4</v>
      </c>
      <c r="I89" s="536">
        <f t="shared" si="22"/>
        <v>0.91779200000000005</v>
      </c>
      <c r="J89" s="186">
        <f t="shared" si="24"/>
        <v>18</v>
      </c>
      <c r="K89" s="129">
        <f t="shared" si="16"/>
        <v>1006.3152685980149</v>
      </c>
      <c r="L89" s="20">
        <f t="shared" si="17"/>
        <v>3.7737500000000002</v>
      </c>
      <c r="N89" s="543"/>
      <c r="O89" s="539"/>
      <c r="T89" s="50"/>
      <c r="U89" s="50"/>
      <c r="V89" s="1307" t="s">
        <v>45</v>
      </c>
      <c r="W89" s="911"/>
      <c r="X89" s="188"/>
      <c r="Y89" s="658"/>
      <c r="Z89" s="658">
        <v>842.26</v>
      </c>
      <c r="AA89" s="189">
        <v>842.26</v>
      </c>
      <c r="AB89" s="905">
        <v>842.26</v>
      </c>
      <c r="AC89" s="791">
        <v>917.64</v>
      </c>
      <c r="AD89" s="125">
        <v>951.42</v>
      </c>
      <c r="AE89" s="125">
        <v>662.85</v>
      </c>
      <c r="AF89" s="258">
        <f t="shared" si="19"/>
        <v>968.73</v>
      </c>
      <c r="AG89" s="342"/>
      <c r="AH89" s="115"/>
      <c r="DG89" s="1048">
        <f>(DI89)/(DJ89)</f>
        <v>2.2042474116877364</v>
      </c>
      <c r="DH89" s="191" t="str">
        <f t="shared" si="20"/>
        <v>Cooling RES 18 Year EUL</v>
      </c>
      <c r="DI89" s="1049">
        <f>(INDEX('Avoided Cost Benefits'!$B$4:$B$866,MATCH(DH89,'Avoided Cost Benefits'!$A$4:$A$866,0)))*F89</f>
        <v>2218.1678261490238</v>
      </c>
      <c r="DJ89" s="1952">
        <f t="shared" si="21"/>
        <v>1006.3152685980149</v>
      </c>
    </row>
    <row r="90" spans="1:114" x14ac:dyDescent="0.25">
      <c r="A90" s="442"/>
      <c r="B90" s="1384">
        <f t="shared" si="7"/>
        <v>351190</v>
      </c>
      <c r="C90" s="18" t="s">
        <v>992</v>
      </c>
      <c r="D90" s="537" t="s">
        <v>686</v>
      </c>
      <c r="E90" s="1324" t="s">
        <v>993</v>
      </c>
      <c r="F90" s="694">
        <f>ROUND(((J123*J146*(1/J215-1/J192))/1000)*J238*$J$241,2)</f>
        <v>2724.14</v>
      </c>
      <c r="G90" s="253" t="s">
        <v>688</v>
      </c>
      <c r="H90" s="66">
        <f>VLOOKUP(G90,'CP FACTORS'!$A$3:$B$38, 2, FALSE)</f>
        <v>9.4741810000000004E-4</v>
      </c>
      <c r="I90" s="536">
        <f t="shared" si="22"/>
        <v>2.5809000000000002</v>
      </c>
      <c r="J90" s="186">
        <f t="shared" ref="J90:J92" si="25">J262</f>
        <v>6</v>
      </c>
      <c r="K90" s="129">
        <f t="shared" si="16"/>
        <v>1193.5185947700302</v>
      </c>
      <c r="L90" s="20">
        <f t="shared" si="17"/>
        <v>3.297874149663266</v>
      </c>
      <c r="N90" s="543"/>
      <c r="T90" s="50"/>
      <c r="U90" s="50"/>
      <c r="V90" s="1307" t="s">
        <v>45</v>
      </c>
      <c r="W90" s="911"/>
      <c r="X90" s="188"/>
      <c r="Y90" s="658"/>
      <c r="Z90" s="658">
        <v>2265.87</v>
      </c>
      <c r="AA90" s="189">
        <v>2265.87</v>
      </c>
      <c r="AB90" s="905">
        <v>2265.87</v>
      </c>
      <c r="AC90" s="791">
        <v>2515.91</v>
      </c>
      <c r="AD90" s="125">
        <v>2849.43</v>
      </c>
      <c r="AE90" s="125">
        <v>2671.22</v>
      </c>
      <c r="AF90" s="258">
        <f t="shared" si="19"/>
        <v>2724.14</v>
      </c>
      <c r="AG90" s="342"/>
      <c r="AH90" s="115"/>
      <c r="DG90" s="1048">
        <f>(DI90+DI91)/(DJ90+DJ91)</f>
        <v>3.3685067344796575</v>
      </c>
      <c r="DH90" s="1298" t="str">
        <f t="shared" si="20"/>
        <v>Cooling RES 6 Year EUL</v>
      </c>
      <c r="DI90" s="1049">
        <f>(INDEX('Avoided Cost Benefits'!$B$4:$B$866,MATCH(DH90,'Avoided Cost Benefits'!$A$4:$A$866,0)))*F90</f>
        <v>2712.8296358444491</v>
      </c>
      <c r="DJ90" s="1952">
        <f t="shared" si="21"/>
        <v>1193.5185947700302</v>
      </c>
    </row>
    <row r="91" spans="1:114" x14ac:dyDescent="0.25">
      <c r="A91" s="442"/>
      <c r="B91" s="1384">
        <f t="shared" ref="B91:B92" si="26">VALUE(LEFT(C91,6))</f>
        <v>351190</v>
      </c>
      <c r="C91" s="18" t="s">
        <v>992</v>
      </c>
      <c r="D91" s="537" t="s">
        <v>686</v>
      </c>
      <c r="E91" s="1325" t="s">
        <v>994</v>
      </c>
      <c r="F91" s="694">
        <f>ROUND(((J124*J147*(1/J170-1/J193))/1000)*J239*$J$241,2)</f>
        <v>1010.53</v>
      </c>
      <c r="G91" s="253" t="s">
        <v>961</v>
      </c>
      <c r="H91" s="66">
        <f>VLOOKUP(G91,'CP FACTORS'!$A$3:$B$38, 2, FALSE)</f>
        <v>9.4741810000000004E-4</v>
      </c>
      <c r="I91" s="536">
        <f t="shared" si="22"/>
        <v>0.95739399999999997</v>
      </c>
      <c r="J91" s="186">
        <f t="shared" si="25"/>
        <v>12</v>
      </c>
      <c r="K91" s="129">
        <f t="shared" si="16"/>
        <v>0</v>
      </c>
      <c r="L91" s="20">
        <f t="shared" si="17"/>
        <v>3.297874149663266</v>
      </c>
      <c r="N91" s="543"/>
      <c r="T91" s="50"/>
      <c r="U91" s="50"/>
      <c r="V91" s="1307" t="s">
        <v>45</v>
      </c>
      <c r="W91" s="911"/>
      <c r="X91" s="188"/>
      <c r="Y91" s="658"/>
      <c r="Z91" s="658">
        <v>916.75</v>
      </c>
      <c r="AA91" s="189">
        <v>916.75</v>
      </c>
      <c r="AB91" s="905">
        <v>916.75</v>
      </c>
      <c r="AC91" s="791">
        <v>1081.83</v>
      </c>
      <c r="AD91" s="125">
        <v>1055.1400000000001</v>
      </c>
      <c r="AE91" s="125">
        <v>880.23</v>
      </c>
      <c r="AF91" s="258">
        <f t="shared" ref="AF91:AF92" si="27">IF(F91&lt;&gt;"",F91,"")</f>
        <v>1010.53</v>
      </c>
      <c r="AG91" s="342"/>
      <c r="AH91" s="115"/>
      <c r="DG91" s="1050"/>
      <c r="DH91" s="1299" t="str">
        <f t="shared" si="20"/>
        <v>Cooling RES ER2 12 Year EUL</v>
      </c>
      <c r="DI91" s="1049">
        <f>(INDEX('Avoided Cost Benefits'!$B$4:$B$866,MATCH(DH91,'Avoided Cost Benefits'!$A$4:$A$866,0)))*F91</f>
        <v>1307.5457883650949</v>
      </c>
      <c r="DJ91" s="1952">
        <f t="shared" ref="DJ91:DJ92" si="28">IFERROR(K91/((1+DiscountRate)^(CurrentYear-DiscountYear)),0)</f>
        <v>0</v>
      </c>
    </row>
    <row r="92" spans="1:114" x14ac:dyDescent="0.25">
      <c r="A92" s="442"/>
      <c r="B92" s="1384">
        <f t="shared" si="26"/>
        <v>351191</v>
      </c>
      <c r="C92" s="18" t="s">
        <v>995</v>
      </c>
      <c r="D92" s="537" t="s">
        <v>686</v>
      </c>
      <c r="E92" s="1324" t="s">
        <v>996</v>
      </c>
      <c r="F92" s="694">
        <f>ROUND(((J125*J148*(1/J171-1/J194))/1000)*J240*$J$241,2)</f>
        <v>1067.57</v>
      </c>
      <c r="G92" s="253" t="s">
        <v>688</v>
      </c>
      <c r="H92" s="66">
        <f>VLOOKUP(G92,'CP FACTORS'!$A$3:$B$38, 2, FALSE)</f>
        <v>9.4741810000000004E-4</v>
      </c>
      <c r="I92" s="536">
        <f t="shared" si="22"/>
        <v>1.0114350000000001</v>
      </c>
      <c r="J92" s="186">
        <f t="shared" si="25"/>
        <v>18</v>
      </c>
      <c r="K92" s="129">
        <f t="shared" ref="K92" si="29">J287</f>
        <v>1240.2557184934958</v>
      </c>
      <c r="L92" s="20">
        <f t="shared" ref="L92" si="30">K148</f>
        <v>3.376689189189189</v>
      </c>
      <c r="N92" s="543"/>
      <c r="T92" s="50"/>
      <c r="U92" s="50"/>
      <c r="V92" s="1307" t="s">
        <v>45</v>
      </c>
      <c r="W92" s="911"/>
      <c r="X92" s="188"/>
      <c r="Y92" s="658"/>
      <c r="Z92" s="658">
        <v>916.75</v>
      </c>
      <c r="AA92" s="189">
        <v>916.75</v>
      </c>
      <c r="AB92" s="905">
        <v>916.75</v>
      </c>
      <c r="AC92" s="791">
        <v>1009.72</v>
      </c>
      <c r="AD92" s="125">
        <v>1069.17</v>
      </c>
      <c r="AE92" s="125">
        <v>990.06</v>
      </c>
      <c r="AF92" s="258">
        <f t="shared" si="27"/>
        <v>1067.57</v>
      </c>
      <c r="AG92" s="342"/>
      <c r="AH92" s="115"/>
      <c r="DG92" s="1048">
        <f>(DI92)/(DJ92)</f>
        <v>1.9709553019910859</v>
      </c>
      <c r="DH92" s="191" t="str">
        <f t="shared" si="20"/>
        <v>Cooling RES 18 Year EUL</v>
      </c>
      <c r="DI92" s="1049">
        <f>(INDEX('Avoided Cost Benefits'!$B$4:$B$866,MATCH(DH92,'Avoided Cost Benefits'!$A$4:$A$866,0)))*F92</f>
        <v>2444.4885841895193</v>
      </c>
      <c r="DJ92" s="1952">
        <f t="shared" si="28"/>
        <v>1240.2557184934958</v>
      </c>
    </row>
    <row r="93" spans="1:114" hidden="1" outlineLevel="1" x14ac:dyDescent="0.25">
      <c r="A93" s="442"/>
      <c r="C93" s="49"/>
      <c r="D93" s="74" t="s">
        <v>94</v>
      </c>
      <c r="E93" s="934" t="s">
        <v>997</v>
      </c>
      <c r="F93" s="540"/>
      <c r="G93" s="934"/>
      <c r="H93" s="935"/>
      <c r="I93" s="936"/>
      <c r="J93" s="937"/>
      <c r="K93" s="541"/>
      <c r="L93" s="541"/>
      <c r="M93" s="542"/>
      <c r="N93" s="543"/>
      <c r="T93" s="50"/>
      <c r="U93" s="50"/>
      <c r="V93" s="50"/>
      <c r="DG93" s="555"/>
      <c r="DH93" s="175"/>
      <c r="DI93" s="1049"/>
      <c r="DJ93" s="1127"/>
    </row>
    <row r="94" spans="1:114" hidden="1" outlineLevel="1" x14ac:dyDescent="0.25">
      <c r="A94" s="442"/>
      <c r="C94" s="49"/>
      <c r="D94" s="74" t="s">
        <v>604</v>
      </c>
      <c r="E94" s="934" t="s">
        <v>998</v>
      </c>
      <c r="F94" s="540"/>
      <c r="G94" s="934"/>
      <c r="H94" s="935"/>
      <c r="I94" s="936"/>
      <c r="J94" s="937"/>
      <c r="K94" s="541"/>
      <c r="L94" s="541"/>
      <c r="M94" s="542"/>
      <c r="N94" s="543"/>
      <c r="T94" s="50"/>
      <c r="U94" s="50"/>
      <c r="V94" s="50"/>
      <c r="DG94" s="1043"/>
      <c r="DH94" s="538"/>
      <c r="DI94" s="1049"/>
      <c r="DJ94" s="1127"/>
    </row>
    <row r="95" spans="1:114" hidden="1" outlineLevel="1" x14ac:dyDescent="0.25">
      <c r="A95" s="442"/>
      <c r="C95" s="49"/>
      <c r="E95" s="934" t="s">
        <v>999</v>
      </c>
      <c r="F95" s="540"/>
      <c r="G95" s="934"/>
      <c r="H95" s="935"/>
      <c r="I95" s="936"/>
      <c r="J95" s="937"/>
      <c r="K95" s="541"/>
      <c r="L95" s="541"/>
      <c r="M95" s="542"/>
      <c r="N95" s="543"/>
      <c r="T95" s="50"/>
      <c r="U95" s="50"/>
      <c r="V95" s="50"/>
      <c r="DG95" s="1043"/>
      <c r="DH95" s="538"/>
      <c r="DI95" s="1049"/>
      <c r="DJ95" s="1127"/>
    </row>
    <row r="96" spans="1:114" hidden="1" outlineLevel="1" x14ac:dyDescent="0.25">
      <c r="A96" s="442"/>
      <c r="C96" s="49"/>
      <c r="D96" s="934"/>
      <c r="E96" s="934" t="s">
        <v>1000</v>
      </c>
      <c r="F96" s="540"/>
      <c r="G96" s="934"/>
      <c r="H96" s="935"/>
      <c r="I96" s="936"/>
      <c r="J96" s="937"/>
      <c r="K96" s="541"/>
      <c r="L96" s="541"/>
      <c r="M96" s="542"/>
      <c r="N96" s="543"/>
      <c r="T96" s="50"/>
      <c r="U96" s="50"/>
      <c r="V96" s="50"/>
      <c r="DG96" s="1043"/>
      <c r="DH96" s="538"/>
      <c r="DI96" s="1049"/>
      <c r="DJ96" s="1127"/>
    </row>
    <row r="97" spans="1:114" hidden="1" outlineLevel="1" x14ac:dyDescent="0.25">
      <c r="A97" s="442"/>
      <c r="C97" s="49"/>
      <c r="D97" s="934"/>
      <c r="E97" s="934" t="s">
        <v>1001</v>
      </c>
      <c r="F97" s="540"/>
      <c r="G97" s="934"/>
      <c r="H97" s="935"/>
      <c r="I97" s="936"/>
      <c r="J97" s="937"/>
      <c r="K97" s="541"/>
      <c r="L97" s="541"/>
      <c r="M97" s="542"/>
      <c r="N97" s="543"/>
      <c r="T97" s="50"/>
      <c r="U97" s="50"/>
      <c r="V97" s="50"/>
      <c r="DG97" s="1043"/>
      <c r="DH97" s="538"/>
      <c r="DI97" s="1049"/>
      <c r="DJ97" s="1127"/>
    </row>
    <row r="98" spans="1:114" hidden="1" outlineLevel="1" x14ac:dyDescent="0.25">
      <c r="A98" s="442"/>
      <c r="C98" s="49"/>
      <c r="E98" s="100" t="s">
        <v>1002</v>
      </c>
      <c r="G98" s="100"/>
      <c r="N98" s="543"/>
      <c r="O98" s="541"/>
      <c r="T98" s="50"/>
      <c r="U98" s="50"/>
      <c r="V98" s="50"/>
      <c r="DG98" s="1043"/>
      <c r="DH98" s="538"/>
      <c r="DI98" s="1049"/>
      <c r="DJ98" s="1127"/>
    </row>
    <row r="99" spans="1:114" hidden="1" outlineLevel="1" x14ac:dyDescent="0.25">
      <c r="A99" s="442"/>
      <c r="C99" s="49"/>
      <c r="D99" s="100"/>
      <c r="E99" s="100" t="s">
        <v>1003</v>
      </c>
      <c r="F99" s="100"/>
      <c r="H99" s="100"/>
      <c r="N99" s="543"/>
      <c r="O99" s="541"/>
      <c r="T99" s="50"/>
      <c r="U99" s="50"/>
      <c r="V99" s="50"/>
      <c r="DG99" s="1043"/>
      <c r="DH99" s="538"/>
      <c r="DI99" s="1049"/>
      <c r="DJ99" s="1127"/>
    </row>
    <row r="100" spans="1:114" hidden="1" outlineLevel="1" x14ac:dyDescent="0.25">
      <c r="A100" s="442"/>
      <c r="C100" s="49"/>
      <c r="D100" s="100"/>
      <c r="E100" s="50" t="s">
        <v>607</v>
      </c>
      <c r="G100" s="100"/>
      <c r="I100" s="49"/>
      <c r="J100" s="49"/>
      <c r="K100" s="49"/>
      <c r="L100" s="49"/>
      <c r="M100" s="49"/>
      <c r="N100" s="543"/>
      <c r="T100" s="50"/>
      <c r="U100" s="50"/>
      <c r="V100" s="50"/>
      <c r="DG100" s="1043"/>
      <c r="DH100" s="538"/>
      <c r="DI100" s="1049"/>
      <c r="DJ100" s="1127"/>
    </row>
    <row r="101" spans="1:114" hidden="1" outlineLevel="1" x14ac:dyDescent="0.25">
      <c r="A101" s="442"/>
      <c r="C101" s="49"/>
      <c r="D101" s="100"/>
      <c r="G101" s="100"/>
      <c r="I101" s="49"/>
      <c r="J101" s="49"/>
      <c r="K101" s="49"/>
      <c r="L101" s="49"/>
      <c r="M101" s="49"/>
      <c r="N101" s="543"/>
      <c r="T101" s="50"/>
      <c r="U101" s="50"/>
      <c r="V101" s="50"/>
      <c r="DG101" s="1043"/>
      <c r="DH101" s="538"/>
      <c r="DI101" s="1049"/>
      <c r="DJ101" s="1127"/>
    </row>
    <row r="102" spans="1:114" ht="30" hidden="1" outlineLevel="1" x14ac:dyDescent="0.25">
      <c r="A102" s="442"/>
      <c r="C102" s="49"/>
      <c r="D102" s="1373" t="s">
        <v>712</v>
      </c>
      <c r="E102" s="1373" t="s">
        <v>608</v>
      </c>
      <c r="F102" s="2108" t="s">
        <v>609</v>
      </c>
      <c r="G102" s="2108"/>
      <c r="H102" s="2108"/>
      <c r="I102" s="1300" t="s">
        <v>42</v>
      </c>
      <c r="J102" s="1300" t="s">
        <v>610</v>
      </c>
      <c r="K102" s="1300" t="s">
        <v>1004</v>
      </c>
      <c r="L102" s="1300" t="s">
        <v>1005</v>
      </c>
      <c r="N102" s="543"/>
      <c r="O102" s="543"/>
      <c r="P102" s="270"/>
      <c r="R102"/>
      <c r="S102" s="2175" t="s">
        <v>1006</v>
      </c>
      <c r="T102" s="2175"/>
      <c r="U102" s="50"/>
      <c r="V102" s="165" t="s">
        <v>52</v>
      </c>
      <c r="W102" s="649">
        <v>43252</v>
      </c>
      <c r="X102" s="649" t="e">
        <f>#REF!</f>
        <v>#REF!</v>
      </c>
      <c r="Y102" s="649" t="e">
        <f>#REF!</f>
        <v>#REF!</v>
      </c>
      <c r="Z102" s="649" t="e">
        <f>#REF!</f>
        <v>#REF!</v>
      </c>
      <c r="AA102" s="649" t="e">
        <f>#REF!</f>
        <v>#REF!</v>
      </c>
      <c r="AB102" s="649" t="e">
        <f>#REF!</f>
        <v>#REF!</v>
      </c>
      <c r="AC102" s="649" t="e">
        <f>#REF!</f>
        <v>#REF!</v>
      </c>
      <c r="AD102" s="649" t="e">
        <f>#REF!</f>
        <v>#REF!</v>
      </c>
      <c r="AE102" s="649" t="e">
        <f>#REF!</f>
        <v>#REF!</v>
      </c>
      <c r="AF102" s="649" t="e">
        <f>#REF!</f>
        <v>#REF!</v>
      </c>
      <c r="AG102" s="649" t="e">
        <f>#REF!</f>
        <v>#REF!</v>
      </c>
      <c r="DG102" s="555"/>
      <c r="DH102" s="175"/>
      <c r="DI102" s="1049"/>
      <c r="DJ102" s="1127"/>
    </row>
    <row r="103" spans="1:114" ht="72" hidden="1" outlineLevel="1" x14ac:dyDescent="0.25">
      <c r="A103" s="442"/>
      <c r="C103" s="49"/>
      <c r="D103" s="2208" t="s">
        <v>1007</v>
      </c>
      <c r="E103" s="2208" t="s">
        <v>1008</v>
      </c>
      <c r="F103" s="2184" t="str">
        <f t="shared" ref="F103:F125" si="31">E70</f>
        <v>CAC-SEER15_ER1_SF</v>
      </c>
      <c r="G103" s="2184"/>
      <c r="H103" s="2184"/>
      <c r="I103" s="1326" t="str">
        <f t="shared" ref="I103:I125" si="32">C70</f>
        <v>350600_2024_12_</v>
      </c>
      <c r="J103" s="1616">
        <v>869</v>
      </c>
      <c r="K103" s="1371"/>
      <c r="L103" s="2210" t="s">
        <v>1009</v>
      </c>
      <c r="N103" s="543"/>
      <c r="O103" s="543"/>
      <c r="Q103" s="1991" t="s">
        <v>1010</v>
      </c>
      <c r="R103" s="1991" t="s">
        <v>1011</v>
      </c>
      <c r="S103" s="1676" t="s">
        <v>1012</v>
      </c>
      <c r="T103" s="1676" t="s">
        <v>1013</v>
      </c>
      <c r="U103" s="50"/>
      <c r="V103" s="2179"/>
      <c r="W103" s="1326">
        <v>869</v>
      </c>
      <c r="X103" s="1326">
        <f t="shared" ref="X103:X108" si="33">W103</f>
        <v>869</v>
      </c>
      <c r="Y103" s="1326">
        <v>869</v>
      </c>
      <c r="Z103" s="1326">
        <v>869</v>
      </c>
      <c r="AA103" s="1326">
        <v>869</v>
      </c>
      <c r="AB103" s="912">
        <v>869</v>
      </c>
      <c r="AC103" s="912">
        <v>869</v>
      </c>
      <c r="AD103" s="912">
        <v>869</v>
      </c>
      <c r="AE103" s="1326">
        <v>869</v>
      </c>
      <c r="AF103" s="258">
        <f t="shared" ref="AF103:AF123" si="34">IF(J103&lt;&gt;"",J103,"")</f>
        <v>869</v>
      </c>
      <c r="AG103" s="1326"/>
      <c r="DG103" s="555"/>
      <c r="DH103" s="175"/>
      <c r="DI103" s="1049"/>
      <c r="DJ103" s="1127"/>
    </row>
    <row r="104" spans="1:114" ht="15" hidden="1" customHeight="1" outlineLevel="1" x14ac:dyDescent="0.25">
      <c r="A104" s="442"/>
      <c r="C104" s="49"/>
      <c r="D104" s="2209"/>
      <c r="E104" s="2209"/>
      <c r="F104" s="2184" t="str">
        <f t="shared" si="31"/>
        <v>CAC-SEER15_ER2_SF</v>
      </c>
      <c r="G104" s="2184"/>
      <c r="H104" s="2184"/>
      <c r="I104" s="1326" t="str">
        <f t="shared" si="32"/>
        <v>350600_2024_12_</v>
      </c>
      <c r="J104" s="1616">
        <v>869</v>
      </c>
      <c r="K104" s="1371"/>
      <c r="L104" s="2211"/>
      <c r="N104" s="543"/>
      <c r="O104" s="543"/>
      <c r="Q104" s="1992">
        <v>13.9</v>
      </c>
      <c r="R104" s="1993">
        <v>111.40021423594317</v>
      </c>
      <c r="S104" s="1677">
        <v>3449.6933008396918</v>
      </c>
      <c r="T104" s="1678">
        <f t="shared" ref="T104:T113" si="35">S104-S$115*S$121</f>
        <v>185.34665593474892</v>
      </c>
      <c r="U104" s="50"/>
      <c r="V104" s="2179"/>
      <c r="W104" s="1326">
        <v>869</v>
      </c>
      <c r="X104" s="1326">
        <f t="shared" si="33"/>
        <v>869</v>
      </c>
      <c r="Y104" s="1326">
        <v>869</v>
      </c>
      <c r="Z104" s="1326">
        <v>869</v>
      </c>
      <c r="AA104" s="1326">
        <v>869</v>
      </c>
      <c r="AB104" s="912">
        <v>869</v>
      </c>
      <c r="AC104" s="912">
        <v>869</v>
      </c>
      <c r="AD104" s="912">
        <v>869</v>
      </c>
      <c r="AE104" s="1326">
        <v>869</v>
      </c>
      <c r="AF104" s="258">
        <f t="shared" si="34"/>
        <v>869</v>
      </c>
      <c r="AG104" s="1326"/>
      <c r="DG104" s="555"/>
      <c r="DH104" s="175"/>
      <c r="DI104" s="1049"/>
      <c r="DJ104" s="1127"/>
    </row>
    <row r="105" spans="1:114" hidden="1" outlineLevel="1" x14ac:dyDescent="0.25">
      <c r="A105" s="442"/>
      <c r="C105" s="49"/>
      <c r="D105" s="2209"/>
      <c r="E105" s="2209"/>
      <c r="F105" s="2184" t="str">
        <f t="shared" si="31"/>
        <v>CAC-SEER15_ROF_SF</v>
      </c>
      <c r="G105" s="2184"/>
      <c r="H105" s="2184"/>
      <c r="I105" s="1326" t="str">
        <f t="shared" si="32"/>
        <v>350650_2024_12_</v>
      </c>
      <c r="J105" s="1616">
        <v>869</v>
      </c>
      <c r="K105" s="1371"/>
      <c r="L105" s="2211"/>
      <c r="N105" s="543"/>
      <c r="O105" s="543"/>
      <c r="Q105" s="1992">
        <v>14.4</v>
      </c>
      <c r="R105" s="1993">
        <v>230.22710942094773</v>
      </c>
      <c r="S105" s="1677">
        <v>3568.5201960246964</v>
      </c>
      <c r="T105" s="1678">
        <f t="shared" si="35"/>
        <v>304.17355111975348</v>
      </c>
      <c r="U105" s="50"/>
      <c r="V105" s="2179"/>
      <c r="W105" s="1326">
        <v>869</v>
      </c>
      <c r="X105" s="1326">
        <f t="shared" si="33"/>
        <v>869</v>
      </c>
      <c r="Y105" s="1326">
        <v>869</v>
      </c>
      <c r="Z105" s="1326">
        <v>869</v>
      </c>
      <c r="AA105" s="1326">
        <v>869</v>
      </c>
      <c r="AB105" s="912">
        <v>869</v>
      </c>
      <c r="AC105" s="912">
        <v>869</v>
      </c>
      <c r="AD105" s="912">
        <v>869</v>
      </c>
      <c r="AE105" s="1326">
        <v>869</v>
      </c>
      <c r="AF105" s="258">
        <f t="shared" si="34"/>
        <v>869</v>
      </c>
      <c r="AG105" s="1326"/>
      <c r="DG105" s="555"/>
      <c r="DH105" s="175"/>
      <c r="DI105" s="1049"/>
      <c r="DJ105" s="1127"/>
    </row>
    <row r="106" spans="1:114" hidden="1" outlineLevel="1" x14ac:dyDescent="0.25">
      <c r="A106" s="442"/>
      <c r="C106" s="49"/>
      <c r="D106" s="2209"/>
      <c r="E106" s="2209"/>
      <c r="F106" s="2184" t="str">
        <f t="shared" si="31"/>
        <v>CAC-SEER16_ER1_SF</v>
      </c>
      <c r="G106" s="2184"/>
      <c r="H106" s="2184"/>
      <c r="I106" s="1326" t="str">
        <f t="shared" si="32"/>
        <v>350800_2024_12_</v>
      </c>
      <c r="J106" s="1616">
        <v>869</v>
      </c>
      <c r="K106" s="1371"/>
      <c r="L106" s="2211"/>
      <c r="N106" s="543"/>
      <c r="O106" s="543"/>
      <c r="P106" s="543"/>
      <c r="Q106" s="1992">
        <v>14.9</v>
      </c>
      <c r="R106" s="1993">
        <v>453.02753789283406</v>
      </c>
      <c r="S106" s="1677">
        <v>3791.3206244965827</v>
      </c>
      <c r="T106" s="1678">
        <f t="shared" si="35"/>
        <v>526.97397959163982</v>
      </c>
      <c r="U106" s="151"/>
      <c r="V106" s="2179"/>
      <c r="W106" s="1326">
        <v>869</v>
      </c>
      <c r="X106" s="1326">
        <f t="shared" si="33"/>
        <v>869</v>
      </c>
      <c r="Y106" s="1326">
        <v>869</v>
      </c>
      <c r="Z106" s="1326">
        <v>869</v>
      </c>
      <c r="AA106" s="1326">
        <v>869</v>
      </c>
      <c r="AB106" s="912">
        <v>869</v>
      </c>
      <c r="AC106" s="912">
        <v>869</v>
      </c>
      <c r="AD106" s="912">
        <v>869</v>
      </c>
      <c r="AE106" s="1326">
        <v>869</v>
      </c>
      <c r="AF106" s="258">
        <f t="shared" si="34"/>
        <v>869</v>
      </c>
      <c r="AG106" s="1326"/>
      <c r="DG106" s="555"/>
      <c r="DH106" s="175"/>
      <c r="DI106" s="1049"/>
      <c r="DJ106" s="1127"/>
    </row>
    <row r="107" spans="1:114" hidden="1" outlineLevel="1" x14ac:dyDescent="0.25">
      <c r="A107" s="442"/>
      <c r="C107" s="49"/>
      <c r="D107" s="2209"/>
      <c r="E107" s="2209"/>
      <c r="F107" s="2184" t="str">
        <f t="shared" si="31"/>
        <v>CAC-SEER16_ER2_SF</v>
      </c>
      <c r="G107" s="2184"/>
      <c r="H107" s="2184"/>
      <c r="I107" s="1326" t="str">
        <f t="shared" si="32"/>
        <v>350800_2024_12_</v>
      </c>
      <c r="J107" s="1616">
        <v>869</v>
      </c>
      <c r="K107" s="1371"/>
      <c r="L107" s="2211"/>
      <c r="N107" s="543"/>
      <c r="O107" s="543"/>
      <c r="P107" s="543"/>
      <c r="Q107" s="1992">
        <v>15.4</v>
      </c>
      <c r="R107" s="1993">
        <v>634.98122114487387</v>
      </c>
      <c r="S107" s="1677">
        <v>3973.2743077486225</v>
      </c>
      <c r="T107" s="1678">
        <f t="shared" si="35"/>
        <v>708.92766284367963</v>
      </c>
      <c r="U107" s="151"/>
      <c r="V107" s="2179"/>
      <c r="W107" s="1326">
        <v>869</v>
      </c>
      <c r="X107" s="1326">
        <f t="shared" si="33"/>
        <v>869</v>
      </c>
      <c r="Y107" s="1326">
        <v>869</v>
      </c>
      <c r="Z107" s="1326">
        <v>869</v>
      </c>
      <c r="AA107" s="1326">
        <v>869</v>
      </c>
      <c r="AB107" s="912">
        <v>869</v>
      </c>
      <c r="AC107" s="912">
        <v>869</v>
      </c>
      <c r="AD107" s="912">
        <v>869</v>
      </c>
      <c r="AE107" s="1326">
        <v>869</v>
      </c>
      <c r="AF107" s="258">
        <f t="shared" si="34"/>
        <v>869</v>
      </c>
      <c r="AG107" s="1326"/>
      <c r="DG107" s="555"/>
      <c r="DH107" s="175"/>
      <c r="DI107" s="1049"/>
      <c r="DJ107" s="1127"/>
    </row>
    <row r="108" spans="1:114" hidden="1" outlineLevel="1" x14ac:dyDescent="0.25">
      <c r="A108" s="442"/>
      <c r="C108" s="49"/>
      <c r="D108" s="2209"/>
      <c r="E108" s="2209"/>
      <c r="F108" s="2184" t="str">
        <f t="shared" si="31"/>
        <v>CAC-SEER16_ROF_SF</v>
      </c>
      <c r="G108" s="2184"/>
      <c r="H108" s="2184"/>
      <c r="I108" s="1326" t="str">
        <f t="shared" si="32"/>
        <v>350850_2024_12_</v>
      </c>
      <c r="J108" s="1616">
        <v>869</v>
      </c>
      <c r="K108" s="1371"/>
      <c r="L108" s="2211"/>
      <c r="N108" s="543"/>
      <c r="O108" s="543"/>
      <c r="P108" s="543"/>
      <c r="Q108" s="1992">
        <v>16.3</v>
      </c>
      <c r="R108" s="1993">
        <v>861.49499009128976</v>
      </c>
      <c r="S108" s="1677">
        <v>4199.7880766950384</v>
      </c>
      <c r="T108" s="1678">
        <f t="shared" si="35"/>
        <v>935.44143179009552</v>
      </c>
      <c r="U108" s="151"/>
      <c r="V108" s="2179"/>
      <c r="W108" s="1326">
        <v>869</v>
      </c>
      <c r="X108" s="1326">
        <f t="shared" si="33"/>
        <v>869</v>
      </c>
      <c r="Y108" s="1326">
        <v>869</v>
      </c>
      <c r="Z108" s="1326">
        <v>869</v>
      </c>
      <c r="AA108" s="1326">
        <v>869</v>
      </c>
      <c r="AB108" s="912">
        <v>869</v>
      </c>
      <c r="AC108" s="912">
        <v>869</v>
      </c>
      <c r="AD108" s="912">
        <v>869</v>
      </c>
      <c r="AE108" s="1326">
        <v>869</v>
      </c>
      <c r="AF108" s="258">
        <f t="shared" si="34"/>
        <v>869</v>
      </c>
      <c r="AG108" s="1326"/>
      <c r="DG108" s="555"/>
      <c r="DH108" s="175"/>
      <c r="DI108" s="1049"/>
      <c r="DJ108" s="1127"/>
    </row>
    <row r="109" spans="1:114" ht="15" hidden="1" customHeight="1" outlineLevel="1" x14ac:dyDescent="0.25">
      <c r="A109" s="442"/>
      <c r="C109" s="49"/>
      <c r="D109" s="2209"/>
      <c r="E109" s="2209"/>
      <c r="F109" s="2184" t="str">
        <f t="shared" si="31"/>
        <v>CAC-SEER16_ER1_MF</v>
      </c>
      <c r="G109" s="2184"/>
      <c r="H109" s="2184"/>
      <c r="I109" s="1326" t="str">
        <f t="shared" si="32"/>
        <v>350900_2024_12_</v>
      </c>
      <c r="J109" s="1616">
        <v>869</v>
      </c>
      <c r="K109" s="1371"/>
      <c r="L109" s="2211"/>
      <c r="N109" s="543"/>
      <c r="O109" s="543"/>
      <c r="P109" s="543"/>
      <c r="Q109" s="1992">
        <v>16.8</v>
      </c>
      <c r="R109" s="1993">
        <v>891.20171388754079</v>
      </c>
      <c r="S109" s="1677">
        <v>4229.4948004912894</v>
      </c>
      <c r="T109" s="1678">
        <f t="shared" si="35"/>
        <v>965.14815558634655</v>
      </c>
      <c r="U109" s="50"/>
      <c r="V109" s="2179"/>
      <c r="W109" s="1326">
        <v>869</v>
      </c>
      <c r="X109" s="794">
        <v>1215</v>
      </c>
      <c r="Y109" s="794">
        <v>869</v>
      </c>
      <c r="Z109" s="1326">
        <v>869</v>
      </c>
      <c r="AA109" s="1326">
        <v>869</v>
      </c>
      <c r="AB109" s="912">
        <v>869</v>
      </c>
      <c r="AC109" s="912">
        <v>869</v>
      </c>
      <c r="AD109" s="912">
        <v>869</v>
      </c>
      <c r="AE109" s="1326">
        <v>869</v>
      </c>
      <c r="AF109" s="258">
        <f t="shared" si="34"/>
        <v>869</v>
      </c>
      <c r="AG109" s="1326"/>
      <c r="DG109" s="555"/>
      <c r="DH109" s="175"/>
      <c r="DI109" s="1049"/>
      <c r="DJ109" s="1127"/>
    </row>
    <row r="110" spans="1:114" hidden="1" outlineLevel="1" x14ac:dyDescent="0.25">
      <c r="A110" s="442"/>
      <c r="C110" s="49"/>
      <c r="D110" s="2209"/>
      <c r="E110" s="2209"/>
      <c r="F110" s="2184" t="str">
        <f t="shared" si="31"/>
        <v>CAC-SEER16_ER2_MF</v>
      </c>
      <c r="G110" s="2184"/>
      <c r="H110" s="2184"/>
      <c r="I110" s="1326" t="str">
        <f t="shared" si="32"/>
        <v>350900_2024_12_</v>
      </c>
      <c r="J110" s="1616">
        <v>869</v>
      </c>
      <c r="K110" s="1371"/>
      <c r="L110" s="2211"/>
      <c r="N110" s="543"/>
      <c r="Q110" s="1992">
        <v>17.3</v>
      </c>
      <c r="R110" s="1993">
        <v>920.90843768379273</v>
      </c>
      <c r="S110" s="1677">
        <v>4259.2015242875414</v>
      </c>
      <c r="T110" s="1678">
        <f t="shared" si="35"/>
        <v>994.85487938259848</v>
      </c>
      <c r="U110" s="50"/>
      <c r="V110" s="2179"/>
      <c r="W110" s="1326">
        <v>869</v>
      </c>
      <c r="X110" s="794">
        <v>1215</v>
      </c>
      <c r="Y110" s="794">
        <v>869</v>
      </c>
      <c r="Z110" s="1326">
        <v>869</v>
      </c>
      <c r="AA110" s="1326">
        <v>869</v>
      </c>
      <c r="AB110" s="912">
        <v>869</v>
      </c>
      <c r="AC110" s="912">
        <v>869</v>
      </c>
      <c r="AD110" s="912">
        <v>869</v>
      </c>
      <c r="AE110" s="1326">
        <v>869</v>
      </c>
      <c r="AF110" s="258">
        <f t="shared" si="34"/>
        <v>869</v>
      </c>
      <c r="AG110" s="1326"/>
      <c r="DG110" s="555"/>
      <c r="DH110" s="175"/>
      <c r="DI110" s="1049"/>
      <c r="DJ110" s="1127"/>
    </row>
    <row r="111" spans="1:114" hidden="1" outlineLevel="1" x14ac:dyDescent="0.25">
      <c r="A111" s="442"/>
      <c r="C111" s="49"/>
      <c r="D111" s="2209"/>
      <c r="E111" s="2209"/>
      <c r="F111" s="2184" t="str">
        <f t="shared" si="31"/>
        <v>CAC-SEER17_ER1_SF</v>
      </c>
      <c r="G111" s="2184"/>
      <c r="H111" s="2184"/>
      <c r="I111" s="1326" t="str">
        <f t="shared" si="32"/>
        <v>351000_2024_12_</v>
      </c>
      <c r="J111" s="1616">
        <v>869</v>
      </c>
      <c r="K111" s="1371"/>
      <c r="L111" s="2211"/>
      <c r="N111" s="543"/>
      <c r="Q111" s="1992">
        <v>19.200000000000003</v>
      </c>
      <c r="R111" s="1993">
        <v>1006.3152685980149</v>
      </c>
      <c r="S111" s="1677">
        <v>4344.6083552017635</v>
      </c>
      <c r="T111" s="1678">
        <f t="shared" si="35"/>
        <v>1080.2617102968206</v>
      </c>
      <c r="U111" s="50"/>
      <c r="V111" s="2179"/>
      <c r="W111" s="1326">
        <v>869</v>
      </c>
      <c r="X111" s="1326">
        <f t="shared" ref="X111:X113" si="36">W111</f>
        <v>869</v>
      </c>
      <c r="Y111" s="1326">
        <v>869</v>
      </c>
      <c r="Z111" s="1326">
        <v>869</v>
      </c>
      <c r="AA111" s="1326">
        <v>869</v>
      </c>
      <c r="AB111" s="912">
        <v>869</v>
      </c>
      <c r="AC111" s="912">
        <v>869</v>
      </c>
      <c r="AD111" s="912">
        <v>869</v>
      </c>
      <c r="AE111" s="1326">
        <v>869</v>
      </c>
      <c r="AF111" s="258">
        <f t="shared" si="34"/>
        <v>869</v>
      </c>
      <c r="AG111" s="1326"/>
      <c r="DG111" s="555"/>
      <c r="DH111" s="175"/>
      <c r="DI111" s="1049"/>
      <c r="DJ111" s="1127"/>
    </row>
    <row r="112" spans="1:114" hidden="1" outlineLevel="1" x14ac:dyDescent="0.25">
      <c r="A112" s="442"/>
      <c r="C112" s="49"/>
      <c r="D112" s="2209"/>
      <c r="E112" s="2209"/>
      <c r="F112" s="2184" t="str">
        <f t="shared" si="31"/>
        <v>CAC-SEER17_ER2_SF</v>
      </c>
      <c r="G112" s="2184"/>
      <c r="H112" s="2184"/>
      <c r="I112" s="1326" t="str">
        <f t="shared" si="32"/>
        <v>351000_2024_12_</v>
      </c>
      <c r="J112" s="1616">
        <v>869</v>
      </c>
      <c r="K112" s="1371"/>
      <c r="L112" s="2211"/>
      <c r="N112" s="543"/>
      <c r="Q112" s="1992">
        <v>21.1</v>
      </c>
      <c r="R112" s="1993">
        <v>1119.5721530712244</v>
      </c>
      <c r="S112" s="1677">
        <v>4457.8652396749731</v>
      </c>
      <c r="T112" s="1678">
        <f t="shared" si="35"/>
        <v>1193.5185947700302</v>
      </c>
      <c r="U112" s="50"/>
      <c r="V112" s="2179"/>
      <c r="W112" s="1326">
        <v>869</v>
      </c>
      <c r="X112" s="1326">
        <f t="shared" si="36"/>
        <v>869</v>
      </c>
      <c r="Y112" s="1326">
        <v>869</v>
      </c>
      <c r="Z112" s="1326">
        <v>869</v>
      </c>
      <c r="AA112" s="1326">
        <v>869</v>
      </c>
      <c r="AB112" s="912">
        <v>869</v>
      </c>
      <c r="AC112" s="912">
        <v>869</v>
      </c>
      <c r="AD112" s="912">
        <v>869</v>
      </c>
      <c r="AE112" s="1326">
        <v>869</v>
      </c>
      <c r="AF112" s="258">
        <f t="shared" si="34"/>
        <v>869</v>
      </c>
      <c r="AG112" s="1326"/>
      <c r="DG112" s="555"/>
      <c r="DH112" s="175"/>
      <c r="DI112" s="1049"/>
      <c r="DJ112" s="1127"/>
    </row>
    <row r="113" spans="1:114" hidden="1" outlineLevel="1" x14ac:dyDescent="0.25">
      <c r="A113" s="442"/>
      <c r="C113" s="49"/>
      <c r="D113" s="2209"/>
      <c r="E113" s="2209"/>
      <c r="F113" s="2184" t="str">
        <f t="shared" si="31"/>
        <v>CAC-SEER17_ROF_SF</v>
      </c>
      <c r="G113" s="2184"/>
      <c r="H113" s="2184"/>
      <c r="I113" s="1326" t="str">
        <f t="shared" si="32"/>
        <v>351050_2024_12_</v>
      </c>
      <c r="J113" s="1616">
        <v>869</v>
      </c>
      <c r="K113" s="1371"/>
      <c r="L113" s="2211"/>
      <c r="N113" s="543"/>
      <c r="Q113" s="1992">
        <v>22.400000000000002</v>
      </c>
      <c r="R113" s="1993">
        <v>1240.2557184934958</v>
      </c>
      <c r="S113" s="1677">
        <v>4578.5488050972444</v>
      </c>
      <c r="T113" s="1678">
        <f t="shared" si="35"/>
        <v>1314.2021601923016</v>
      </c>
      <c r="U113" s="50"/>
      <c r="V113" s="2179"/>
      <c r="W113" s="1326">
        <v>869</v>
      </c>
      <c r="X113" s="1326">
        <f t="shared" si="36"/>
        <v>869</v>
      </c>
      <c r="Y113" s="1326">
        <v>869</v>
      </c>
      <c r="Z113" s="1326">
        <v>869</v>
      </c>
      <c r="AA113" s="1326">
        <v>869</v>
      </c>
      <c r="AB113" s="912">
        <v>869</v>
      </c>
      <c r="AC113" s="912">
        <v>869</v>
      </c>
      <c r="AD113" s="912">
        <v>869</v>
      </c>
      <c r="AE113" s="1326">
        <v>869</v>
      </c>
      <c r="AF113" s="258">
        <f t="shared" si="34"/>
        <v>869</v>
      </c>
      <c r="AG113" s="1326"/>
      <c r="DG113" s="555"/>
      <c r="DH113" s="175"/>
      <c r="DI113" s="1049"/>
      <c r="DJ113" s="1127"/>
    </row>
    <row r="114" spans="1:114" ht="14.65" hidden="1" customHeight="1" outlineLevel="1" x14ac:dyDescent="0.25">
      <c r="A114" s="442"/>
      <c r="C114" s="49"/>
      <c r="D114" s="2209"/>
      <c r="E114" s="2209"/>
      <c r="F114" s="2184" t="str">
        <f t="shared" si="31"/>
        <v>CAC-SEER18_ER1_SF</v>
      </c>
      <c r="G114" s="2184"/>
      <c r="H114" s="2184"/>
      <c r="I114" s="1326" t="str">
        <f t="shared" si="32"/>
        <v>351160_2024_12_</v>
      </c>
      <c r="J114" s="1616">
        <v>869</v>
      </c>
      <c r="K114" s="1371"/>
      <c r="L114" s="2211"/>
      <c r="P114" s="545"/>
      <c r="V114" s="2138"/>
      <c r="W114" s="1326"/>
      <c r="X114" s="1326"/>
      <c r="Y114" s="1326"/>
      <c r="Z114" s="794">
        <v>869</v>
      </c>
      <c r="AA114" s="1326">
        <v>869</v>
      </c>
      <c r="AB114" s="912">
        <v>869</v>
      </c>
      <c r="AC114" s="912">
        <v>869</v>
      </c>
      <c r="AD114" s="912">
        <v>869</v>
      </c>
      <c r="AE114" s="1326">
        <v>869</v>
      </c>
      <c r="AF114" s="258">
        <f t="shared" si="34"/>
        <v>869</v>
      </c>
      <c r="AG114" s="1326"/>
      <c r="DG114" s="555"/>
      <c r="DH114" s="175"/>
      <c r="DI114" s="1049"/>
      <c r="DJ114" s="1127"/>
    </row>
    <row r="115" spans="1:114" ht="14.65" hidden="1" customHeight="1" outlineLevel="1" x14ac:dyDescent="0.25">
      <c r="A115" s="442"/>
      <c r="C115" s="49"/>
      <c r="D115" s="2209"/>
      <c r="E115" s="2209"/>
      <c r="F115" s="2184" t="str">
        <f t="shared" si="31"/>
        <v>CAC-SEER18_ER2_SF</v>
      </c>
      <c r="G115" s="2184"/>
      <c r="H115" s="2184"/>
      <c r="I115" s="1326" t="str">
        <f t="shared" si="32"/>
        <v>351160_2024_12_</v>
      </c>
      <c r="J115" s="1616">
        <v>869</v>
      </c>
      <c r="K115" s="1371"/>
      <c r="L115" s="2211"/>
      <c r="P115" s="545"/>
      <c r="Q115" s="270"/>
      <c r="R115" s="1499" t="s">
        <v>1014</v>
      </c>
      <c r="S115" s="1677">
        <v>3669.5133412312694</v>
      </c>
      <c r="T115" s="270"/>
      <c r="U115" s="50"/>
      <c r="V115" s="2138"/>
      <c r="W115" s="1326"/>
      <c r="X115" s="1326"/>
      <c r="Y115" s="1326"/>
      <c r="Z115" s="794">
        <v>869</v>
      </c>
      <c r="AA115" s="1326">
        <v>869</v>
      </c>
      <c r="AB115" s="912">
        <v>869</v>
      </c>
      <c r="AC115" s="912">
        <v>869</v>
      </c>
      <c r="AD115" s="912">
        <v>869</v>
      </c>
      <c r="AE115" s="1326">
        <v>869</v>
      </c>
      <c r="AF115" s="258">
        <f t="shared" si="34"/>
        <v>869</v>
      </c>
      <c r="AG115" s="1326"/>
      <c r="DG115" s="555"/>
      <c r="DH115" s="175"/>
      <c r="DI115" s="1049"/>
      <c r="DJ115" s="1127"/>
    </row>
    <row r="116" spans="1:114" ht="14.65" hidden="1" customHeight="1" outlineLevel="1" x14ac:dyDescent="0.25">
      <c r="A116" s="442"/>
      <c r="C116" s="49"/>
      <c r="D116" s="2209"/>
      <c r="E116" s="2209"/>
      <c r="F116" s="2184" t="str">
        <f t="shared" si="31"/>
        <v>CAC-SEER18_ROF_SF</v>
      </c>
      <c r="G116" s="2184"/>
      <c r="H116" s="2184"/>
      <c r="I116" s="1326" t="str">
        <f t="shared" si="32"/>
        <v>351161_2024_12_</v>
      </c>
      <c r="J116" s="1616">
        <v>869</v>
      </c>
      <c r="K116" s="1371"/>
      <c r="L116" s="2211"/>
      <c r="P116" s="545"/>
      <c r="S116"/>
      <c r="T116"/>
      <c r="U116" s="50"/>
      <c r="V116" s="2138"/>
      <c r="W116" s="1326"/>
      <c r="X116" s="1326"/>
      <c r="Y116" s="1326"/>
      <c r="Z116" s="794">
        <v>869</v>
      </c>
      <c r="AA116" s="1326">
        <v>869</v>
      </c>
      <c r="AB116" s="912">
        <v>869</v>
      </c>
      <c r="AC116" s="912">
        <v>869</v>
      </c>
      <c r="AD116" s="912">
        <v>869</v>
      </c>
      <c r="AE116" s="1326">
        <v>869</v>
      </c>
      <c r="AF116" s="258">
        <f t="shared" si="34"/>
        <v>869</v>
      </c>
      <c r="AG116" s="1326"/>
      <c r="DG116" s="555"/>
      <c r="DH116" s="175"/>
      <c r="DI116" s="1049"/>
      <c r="DJ116" s="1127"/>
    </row>
    <row r="117" spans="1:114" hidden="1" outlineLevel="1" x14ac:dyDescent="0.25">
      <c r="A117" s="442"/>
      <c r="C117" s="49"/>
      <c r="D117" s="2209"/>
      <c r="E117" s="2209"/>
      <c r="F117" s="2184" t="str">
        <f t="shared" si="31"/>
        <v>CAC-SEER19_ER1_SF</v>
      </c>
      <c r="G117" s="2184"/>
      <c r="H117" s="2184"/>
      <c r="I117" s="1326" t="str">
        <f t="shared" si="32"/>
        <v>351170_2024_12_</v>
      </c>
      <c r="J117" s="1616">
        <v>869</v>
      </c>
      <c r="K117" s="1371"/>
      <c r="L117" s="2211"/>
      <c r="N117" s="543"/>
      <c r="P117" s="61"/>
      <c r="T117" s="50"/>
      <c r="U117" s="50"/>
      <c r="V117" s="2138"/>
      <c r="W117" s="1326"/>
      <c r="X117" s="1326"/>
      <c r="Y117" s="1326"/>
      <c r="Z117" s="794">
        <v>869</v>
      </c>
      <c r="AA117" s="1326">
        <v>869</v>
      </c>
      <c r="AB117" s="912">
        <v>869</v>
      </c>
      <c r="AC117" s="912">
        <v>869</v>
      </c>
      <c r="AD117" s="912">
        <v>869</v>
      </c>
      <c r="AE117" s="1326">
        <v>869</v>
      </c>
      <c r="AF117" s="258">
        <f t="shared" si="34"/>
        <v>869</v>
      </c>
      <c r="AG117" s="1326"/>
      <c r="DG117" s="555"/>
      <c r="DH117" s="175"/>
      <c r="DI117" s="1049"/>
      <c r="DJ117" s="1127"/>
    </row>
    <row r="118" spans="1:114" ht="15" hidden="1" customHeight="1" outlineLevel="1" x14ac:dyDescent="0.25">
      <c r="A118" s="442"/>
      <c r="C118" s="49"/>
      <c r="D118" s="2209"/>
      <c r="E118" s="2209"/>
      <c r="F118" s="2184" t="str">
        <f t="shared" si="31"/>
        <v>CAC-SEER19_ER2_SF</v>
      </c>
      <c r="G118" s="2184"/>
      <c r="H118" s="2184"/>
      <c r="I118" s="1326" t="str">
        <f t="shared" si="32"/>
        <v>351170_2024_12_</v>
      </c>
      <c r="J118" s="1616">
        <v>869</v>
      </c>
      <c r="K118" s="1371"/>
      <c r="L118" s="2211"/>
      <c r="N118" s="543"/>
      <c r="R118" s="1499" t="s">
        <v>1015</v>
      </c>
      <c r="S118" s="1499" t="s">
        <v>610</v>
      </c>
      <c r="T118" s="1499" t="s">
        <v>611</v>
      </c>
      <c r="U118" s="50"/>
      <c r="V118" s="2138"/>
      <c r="W118" s="1326"/>
      <c r="X118" s="1326"/>
      <c r="Y118" s="1326"/>
      <c r="Z118" s="794">
        <v>869</v>
      </c>
      <c r="AA118" s="1326">
        <v>869</v>
      </c>
      <c r="AB118" s="912">
        <v>869</v>
      </c>
      <c r="AC118" s="912">
        <v>869</v>
      </c>
      <c r="AD118" s="912">
        <v>869</v>
      </c>
      <c r="AE118" s="1326">
        <v>869</v>
      </c>
      <c r="AF118" s="258">
        <f t="shared" si="34"/>
        <v>869</v>
      </c>
      <c r="AG118" s="1326"/>
      <c r="DG118" s="555"/>
      <c r="DH118" s="175"/>
      <c r="DI118" s="1049"/>
      <c r="DJ118" s="1127"/>
    </row>
    <row r="119" spans="1:114" hidden="1" outlineLevel="1" x14ac:dyDescent="0.25">
      <c r="A119" s="442"/>
      <c r="C119" s="49"/>
      <c r="D119" s="2209"/>
      <c r="E119" s="2209"/>
      <c r="F119" s="2184" t="str">
        <f t="shared" si="31"/>
        <v>CAC-SEER19_ROF_SF</v>
      </c>
      <c r="G119" s="2184"/>
      <c r="H119" s="2184"/>
      <c r="I119" s="1326" t="str">
        <f t="shared" si="32"/>
        <v>351171_2024_12_</v>
      </c>
      <c r="J119" s="1616">
        <v>869</v>
      </c>
      <c r="K119" s="1371"/>
      <c r="L119" s="2211"/>
      <c r="N119" s="543"/>
      <c r="P119" s="1291"/>
      <c r="R119" s="68" t="s">
        <v>1016</v>
      </c>
      <c r="S119" s="247">
        <v>2.3128228708516586E-2</v>
      </c>
      <c r="T119" s="68" t="s">
        <v>1017</v>
      </c>
      <c r="U119" s="50"/>
      <c r="V119" s="2138"/>
      <c r="W119" s="1326"/>
      <c r="X119" s="1326"/>
      <c r="Y119" s="1326"/>
      <c r="Z119" s="794">
        <v>869</v>
      </c>
      <c r="AA119" s="1326">
        <v>869</v>
      </c>
      <c r="AB119" s="912">
        <v>869</v>
      </c>
      <c r="AC119" s="912">
        <v>869</v>
      </c>
      <c r="AD119" s="912">
        <v>869</v>
      </c>
      <c r="AE119" s="1326">
        <v>869</v>
      </c>
      <c r="AF119" s="258">
        <f t="shared" si="34"/>
        <v>869</v>
      </c>
      <c r="AG119" s="1326"/>
      <c r="DG119" s="555"/>
      <c r="DH119" s="175"/>
      <c r="DI119" s="1049"/>
      <c r="DJ119" s="1127"/>
    </row>
    <row r="120" spans="1:114" hidden="1" outlineLevel="1" x14ac:dyDescent="0.25">
      <c r="A120" s="442"/>
      <c r="C120" s="49"/>
      <c r="D120" s="2209"/>
      <c r="E120" s="2209"/>
      <c r="F120" s="2184" t="str">
        <f t="shared" si="31"/>
        <v>CAC-SEER20_ER1_SF</v>
      </c>
      <c r="G120" s="2184"/>
      <c r="H120" s="2184"/>
      <c r="I120" s="1326" t="str">
        <f t="shared" si="32"/>
        <v>351180_2024_12_</v>
      </c>
      <c r="J120" s="1616">
        <v>869</v>
      </c>
      <c r="K120" s="1371"/>
      <c r="L120" s="2211"/>
      <c r="N120" s="543"/>
      <c r="R120" s="68" t="s">
        <v>1018</v>
      </c>
      <c r="S120" s="1307">
        <v>6</v>
      </c>
      <c r="T120" s="68" t="s">
        <v>1019</v>
      </c>
      <c r="U120" s="50"/>
      <c r="V120" s="2138"/>
      <c r="W120" s="1326"/>
      <c r="X120" s="1326"/>
      <c r="Y120" s="1326"/>
      <c r="Z120" s="794">
        <v>869</v>
      </c>
      <c r="AA120" s="1326">
        <v>869</v>
      </c>
      <c r="AB120" s="912">
        <v>869</v>
      </c>
      <c r="AC120" s="912">
        <v>869</v>
      </c>
      <c r="AD120" s="912">
        <v>869</v>
      </c>
      <c r="AE120" s="1326">
        <v>869</v>
      </c>
      <c r="AF120" s="258">
        <f t="shared" si="34"/>
        <v>869</v>
      </c>
      <c r="AG120" s="1326"/>
      <c r="DG120" s="555"/>
      <c r="DH120" s="175"/>
      <c r="DI120" s="1049"/>
      <c r="DJ120" s="1127"/>
    </row>
    <row r="121" spans="1:114" hidden="1" outlineLevel="1" x14ac:dyDescent="0.25">
      <c r="A121" s="442"/>
      <c r="C121" s="49"/>
      <c r="D121" s="2209"/>
      <c r="E121" s="2209"/>
      <c r="F121" s="2184" t="str">
        <f t="shared" si="31"/>
        <v>CAC-SEER20_ER2_SF</v>
      </c>
      <c r="G121" s="2184"/>
      <c r="H121" s="2184"/>
      <c r="I121" s="1326" t="str">
        <f t="shared" si="32"/>
        <v>351180_2024_12_</v>
      </c>
      <c r="J121" s="1616">
        <v>869</v>
      </c>
      <c r="K121" s="1371"/>
      <c r="L121" s="2211"/>
      <c r="N121" s="543"/>
      <c r="R121" s="68" t="s">
        <v>1020</v>
      </c>
      <c r="S121" s="189">
        <f>(1-S119)^(S120-1)</f>
        <v>0.88958571378558426</v>
      </c>
      <c r="T121" s="68" t="s">
        <v>1021</v>
      </c>
      <c r="U121" s="50"/>
      <c r="V121" s="2138"/>
      <c r="W121" s="1326"/>
      <c r="X121" s="1326"/>
      <c r="Y121" s="1326"/>
      <c r="Z121" s="794">
        <v>869</v>
      </c>
      <c r="AA121" s="1326">
        <v>869</v>
      </c>
      <c r="AB121" s="912">
        <v>869</v>
      </c>
      <c r="AC121" s="912">
        <v>869</v>
      </c>
      <c r="AD121" s="912">
        <v>869</v>
      </c>
      <c r="AE121" s="1326">
        <v>869</v>
      </c>
      <c r="AF121" s="258">
        <f t="shared" si="34"/>
        <v>869</v>
      </c>
      <c r="AG121" s="1326"/>
      <c r="DG121" s="555"/>
      <c r="DH121" s="175"/>
      <c r="DI121" s="1049"/>
      <c r="DJ121" s="1127"/>
    </row>
    <row r="122" spans="1:114" hidden="1" outlineLevel="1" x14ac:dyDescent="0.25">
      <c r="A122" s="442"/>
      <c r="C122" s="49"/>
      <c r="D122" s="2209"/>
      <c r="E122" s="2209"/>
      <c r="F122" s="2184" t="str">
        <f t="shared" si="31"/>
        <v>CAC-SEER20_ROF_SF</v>
      </c>
      <c r="G122" s="2184"/>
      <c r="H122" s="2184"/>
      <c r="I122" s="1326" t="str">
        <f t="shared" si="32"/>
        <v>351181_2024_12_</v>
      </c>
      <c r="J122" s="1616">
        <v>869</v>
      </c>
      <c r="K122" s="1371"/>
      <c r="L122" s="2211"/>
      <c r="N122" s="543"/>
      <c r="T122" s="50"/>
      <c r="U122" s="50"/>
      <c r="V122" s="2138"/>
      <c r="W122" s="1326"/>
      <c r="X122" s="1326"/>
      <c r="Y122" s="1326"/>
      <c r="Z122" s="794">
        <v>869</v>
      </c>
      <c r="AA122" s="1326">
        <v>869</v>
      </c>
      <c r="AB122" s="912">
        <v>869</v>
      </c>
      <c r="AC122" s="912">
        <v>869</v>
      </c>
      <c r="AD122" s="912">
        <v>869</v>
      </c>
      <c r="AE122" s="1326">
        <v>869</v>
      </c>
      <c r="AF122" s="258">
        <f t="shared" si="34"/>
        <v>869</v>
      </c>
      <c r="AG122" s="1326"/>
      <c r="DG122" s="555"/>
      <c r="DH122" s="175"/>
      <c r="DI122" s="1049"/>
      <c r="DJ122" s="1127"/>
    </row>
    <row r="123" spans="1:114" hidden="1" outlineLevel="1" x14ac:dyDescent="0.25">
      <c r="A123" s="442"/>
      <c r="C123" s="49"/>
      <c r="D123" s="2209"/>
      <c r="E123" s="2209"/>
      <c r="F123" s="2184" t="str">
        <f t="shared" si="31"/>
        <v>CAC-SEER21+_ER1_SF</v>
      </c>
      <c r="G123" s="2184"/>
      <c r="H123" s="2184"/>
      <c r="I123" s="1326" t="str">
        <f t="shared" si="32"/>
        <v>351190_2024_12_</v>
      </c>
      <c r="J123" s="1616">
        <v>869</v>
      </c>
      <c r="K123" s="1371"/>
      <c r="L123" s="2211"/>
      <c r="N123" s="543"/>
      <c r="T123" s="50"/>
      <c r="U123" s="50"/>
      <c r="V123" s="2138"/>
      <c r="W123" s="1326"/>
      <c r="X123" s="1326"/>
      <c r="Y123" s="1326"/>
      <c r="Z123" s="794">
        <v>869</v>
      </c>
      <c r="AA123" s="1326">
        <v>869</v>
      </c>
      <c r="AB123" s="912">
        <v>869</v>
      </c>
      <c r="AC123" s="912">
        <v>869</v>
      </c>
      <c r="AD123" s="912">
        <v>869</v>
      </c>
      <c r="AE123" s="1326">
        <v>869</v>
      </c>
      <c r="AF123" s="258">
        <f t="shared" si="34"/>
        <v>869</v>
      </c>
      <c r="AG123" s="1326"/>
      <c r="DG123" s="555"/>
      <c r="DH123" s="175"/>
      <c r="DI123" s="1049"/>
      <c r="DJ123" s="1127"/>
    </row>
    <row r="124" spans="1:114" hidden="1" outlineLevel="1" x14ac:dyDescent="0.25">
      <c r="A124" s="442"/>
      <c r="C124" s="49"/>
      <c r="D124" s="2209"/>
      <c r="E124" s="2209"/>
      <c r="F124" s="2184" t="str">
        <f t="shared" si="31"/>
        <v>CAC-SEER21+_ER2_SF</v>
      </c>
      <c r="G124" s="2184"/>
      <c r="H124" s="2184"/>
      <c r="I124" s="1326" t="str">
        <f t="shared" si="32"/>
        <v>351190_2024_12_</v>
      </c>
      <c r="J124" s="1616">
        <v>869</v>
      </c>
      <c r="K124" s="1371"/>
      <c r="L124" s="2211"/>
      <c r="N124" s="543"/>
      <c r="T124" s="50"/>
      <c r="U124" s="50"/>
      <c r="V124" s="2138"/>
      <c r="W124" s="1326"/>
      <c r="X124" s="1326"/>
      <c r="Y124" s="1326"/>
      <c r="Z124" s="794">
        <v>869</v>
      </c>
      <c r="AA124" s="1326">
        <v>869</v>
      </c>
      <c r="AB124" s="912">
        <v>869</v>
      </c>
      <c r="AC124" s="912">
        <v>869</v>
      </c>
      <c r="AD124" s="912">
        <v>869</v>
      </c>
      <c r="AE124" s="1326">
        <v>869</v>
      </c>
      <c r="AF124" s="258">
        <f t="shared" ref="AF124:AF144" si="37">IF(J124&lt;&gt;"",J124,"")</f>
        <v>869</v>
      </c>
      <c r="AG124" s="1326"/>
      <c r="DG124" s="555"/>
      <c r="DH124" s="175"/>
      <c r="DI124" s="1049"/>
      <c r="DJ124" s="1127"/>
    </row>
    <row r="125" spans="1:114" hidden="1" outlineLevel="1" x14ac:dyDescent="0.25">
      <c r="A125" s="442"/>
      <c r="C125" s="49"/>
      <c r="D125" s="2209"/>
      <c r="E125" s="2209"/>
      <c r="F125" s="2184" t="str">
        <f t="shared" si="31"/>
        <v>CAC-SEER21+_ROF_SF</v>
      </c>
      <c r="G125" s="2184"/>
      <c r="H125" s="2184"/>
      <c r="I125" s="1326" t="str">
        <f t="shared" si="32"/>
        <v>351191_2024_12_</v>
      </c>
      <c r="J125" s="1616">
        <v>869</v>
      </c>
      <c r="K125" s="1371"/>
      <c r="L125" s="2211"/>
      <c r="N125" s="543"/>
      <c r="T125" s="50"/>
      <c r="U125" s="50"/>
      <c r="V125" s="2138"/>
      <c r="W125" s="1326"/>
      <c r="X125" s="1326"/>
      <c r="Y125" s="1326"/>
      <c r="Z125" s="794">
        <v>869</v>
      </c>
      <c r="AA125" s="1326">
        <v>869</v>
      </c>
      <c r="AB125" s="912">
        <v>869</v>
      </c>
      <c r="AC125" s="912">
        <v>869</v>
      </c>
      <c r="AD125" s="912">
        <v>869</v>
      </c>
      <c r="AE125" s="1326">
        <v>869</v>
      </c>
      <c r="AF125" s="258">
        <f t="shared" si="37"/>
        <v>869</v>
      </c>
      <c r="AG125" s="1326"/>
      <c r="DG125" s="555"/>
      <c r="DH125" s="175"/>
      <c r="DI125" s="1049"/>
      <c r="DJ125" s="1127"/>
    </row>
    <row r="126" spans="1:114" ht="14.65" hidden="1" customHeight="1" outlineLevel="1" x14ac:dyDescent="0.25">
      <c r="A126" s="442"/>
      <c r="C126" s="49"/>
      <c r="D126" s="2208" t="s">
        <v>1022</v>
      </c>
      <c r="E126" s="2212" t="s">
        <v>1023</v>
      </c>
      <c r="F126" s="2183" t="str">
        <f t="shared" ref="F126:F157" si="38">F103</f>
        <v>CAC-SEER15_ER1_SF</v>
      </c>
      <c r="G126" s="2183"/>
      <c r="H126" s="2183"/>
      <c r="I126" s="1326" t="str">
        <f t="shared" ref="I126:I157" si="39">I103</f>
        <v>350600_2024_12_</v>
      </c>
      <c r="J126" s="1611">
        <v>37377.983193277316</v>
      </c>
      <c r="K126" s="17">
        <f t="shared" ref="K126:K146" si="40">J126/12000</f>
        <v>3.1148319327731095</v>
      </c>
      <c r="L126" s="1593" t="s">
        <v>1024</v>
      </c>
      <c r="M126" s="545"/>
      <c r="N126" s="543"/>
      <c r="T126" s="50"/>
      <c r="U126" s="50"/>
      <c r="V126" s="2179"/>
      <c r="W126" s="1326">
        <v>39600</v>
      </c>
      <c r="X126" s="794">
        <f t="shared" ref="X126:X131" si="41">3.05*12000</f>
        <v>36600</v>
      </c>
      <c r="Y126" s="794">
        <v>39240</v>
      </c>
      <c r="Z126" s="1326">
        <v>39240</v>
      </c>
      <c r="AA126" s="1326">
        <v>39240</v>
      </c>
      <c r="AB126" s="702">
        <v>38991.153460381152</v>
      </c>
      <c r="AC126" s="702">
        <v>37553.669972948606</v>
      </c>
      <c r="AD126" s="702">
        <v>37693.038869257951</v>
      </c>
      <c r="AE126" s="702">
        <v>37377.983193277316</v>
      </c>
      <c r="AF126" s="258">
        <f t="shared" si="37"/>
        <v>37377.983193277316</v>
      </c>
      <c r="AG126" s="1326"/>
      <c r="DG126" s="555"/>
      <c r="DH126" s="175"/>
      <c r="DI126" s="1049"/>
      <c r="DJ126" s="1127"/>
    </row>
    <row r="127" spans="1:114" ht="14.65" hidden="1" customHeight="1" outlineLevel="1" x14ac:dyDescent="0.25">
      <c r="A127" s="442"/>
      <c r="C127" s="49"/>
      <c r="D127" s="2209"/>
      <c r="E127" s="2213"/>
      <c r="F127" s="2183" t="str">
        <f t="shared" si="38"/>
        <v>CAC-SEER15_ER2_SF</v>
      </c>
      <c r="G127" s="2183"/>
      <c r="H127" s="2183"/>
      <c r="I127" s="1326" t="str">
        <f t="shared" si="39"/>
        <v>350600_2024_12_</v>
      </c>
      <c r="J127" s="1611">
        <f>J126</f>
        <v>37377.983193277316</v>
      </c>
      <c r="K127" s="17">
        <f t="shared" si="40"/>
        <v>3.1148319327731095</v>
      </c>
      <c r="L127" s="1593" t="s">
        <v>1024</v>
      </c>
      <c r="M127" s="545"/>
      <c r="N127" s="543"/>
      <c r="T127" s="50"/>
      <c r="U127" s="50"/>
      <c r="V127" s="2179"/>
      <c r="W127" s="1326">
        <v>39600</v>
      </c>
      <c r="X127" s="794">
        <f t="shared" si="41"/>
        <v>36600</v>
      </c>
      <c r="Y127" s="794">
        <v>39240</v>
      </c>
      <c r="Z127" s="1326">
        <v>39240</v>
      </c>
      <c r="AA127" s="1326">
        <v>39240</v>
      </c>
      <c r="AB127" s="702">
        <v>38991.153460381152</v>
      </c>
      <c r="AC127" s="702">
        <v>37553.669972948606</v>
      </c>
      <c r="AD127" s="702">
        <v>37693.038869257951</v>
      </c>
      <c r="AE127" s="702">
        <v>37377.983193277316</v>
      </c>
      <c r="AF127" s="258">
        <f t="shared" si="37"/>
        <v>37377.983193277316</v>
      </c>
      <c r="AG127" s="1326"/>
      <c r="DG127" s="555"/>
      <c r="DH127" s="175"/>
      <c r="DI127" s="1049"/>
      <c r="DJ127" s="1127"/>
    </row>
    <row r="128" spans="1:114" ht="14.65" hidden="1" customHeight="1" outlineLevel="1" x14ac:dyDescent="0.25">
      <c r="A128" s="442"/>
      <c r="C128" s="49"/>
      <c r="D128" s="2209"/>
      <c r="E128" s="2213"/>
      <c r="F128" s="2183" t="str">
        <f t="shared" si="38"/>
        <v>CAC-SEER15_ROF_SF</v>
      </c>
      <c r="G128" s="2183"/>
      <c r="H128" s="2183"/>
      <c r="I128" s="1326" t="str">
        <f t="shared" si="39"/>
        <v>350650_2024_12_</v>
      </c>
      <c r="J128" s="1611">
        <v>35870.359408033815</v>
      </c>
      <c r="K128" s="17">
        <f t="shared" si="40"/>
        <v>2.9891966173361513</v>
      </c>
      <c r="L128" s="1593" t="s">
        <v>1025</v>
      </c>
      <c r="M128" s="545"/>
      <c r="N128" s="543"/>
      <c r="T128" s="50"/>
      <c r="U128" s="50"/>
      <c r="V128" s="2179"/>
      <c r="W128" s="1326">
        <v>36000</v>
      </c>
      <c r="X128" s="794">
        <f t="shared" si="41"/>
        <v>36600</v>
      </c>
      <c r="Y128" s="794">
        <v>39240</v>
      </c>
      <c r="Z128" s="1326">
        <v>39240</v>
      </c>
      <c r="AA128" s="1326">
        <v>39240</v>
      </c>
      <c r="AB128" s="702">
        <v>39839.242902208207</v>
      </c>
      <c r="AC128" s="702">
        <v>37360</v>
      </c>
      <c r="AD128" s="702">
        <v>36703.815028901736</v>
      </c>
      <c r="AE128" s="702">
        <v>35355.905511811026</v>
      </c>
      <c r="AF128" s="258">
        <f t="shared" si="37"/>
        <v>35870.359408033815</v>
      </c>
      <c r="AG128" s="1326"/>
      <c r="DG128" s="555"/>
      <c r="DH128" s="175"/>
      <c r="DI128" s="1049"/>
      <c r="DJ128" s="1127"/>
    </row>
    <row r="129" spans="1:114" ht="14.65" hidden="1" customHeight="1" outlineLevel="1" x14ac:dyDescent="0.25">
      <c r="A129" s="442"/>
      <c r="C129" s="49"/>
      <c r="D129" s="2209"/>
      <c r="E129" s="2213"/>
      <c r="F129" s="2183" t="str">
        <f t="shared" si="38"/>
        <v>CAC-SEER16_ER1_SF</v>
      </c>
      <c r="G129" s="2183"/>
      <c r="H129" s="2183"/>
      <c r="I129" s="1326" t="str">
        <f t="shared" si="39"/>
        <v>350800_2024_12_</v>
      </c>
      <c r="J129" s="1611">
        <v>34507.773989283975</v>
      </c>
      <c r="K129" s="17">
        <f t="shared" si="40"/>
        <v>2.8756478324403312</v>
      </c>
      <c r="L129" s="1593" t="s">
        <v>1025</v>
      </c>
      <c r="M129" s="545"/>
      <c r="N129" s="543"/>
      <c r="T129" s="50"/>
      <c r="U129" s="50"/>
      <c r="V129" s="2179"/>
      <c r="W129" s="1326">
        <v>37200</v>
      </c>
      <c r="X129" s="794">
        <f t="shared" si="41"/>
        <v>36600</v>
      </c>
      <c r="Y129" s="794">
        <v>36720</v>
      </c>
      <c r="Z129" s="1326">
        <v>36720</v>
      </c>
      <c r="AA129" s="1326">
        <v>36720</v>
      </c>
      <c r="AB129" s="703">
        <v>35734.902975420438</v>
      </c>
      <c r="AC129" s="703">
        <v>35455.827196858118</v>
      </c>
      <c r="AD129" s="703">
        <v>34928.920972644381</v>
      </c>
      <c r="AE129" s="703">
        <v>35105.30215608867</v>
      </c>
      <c r="AF129" s="258">
        <f t="shared" si="37"/>
        <v>34507.773989283975</v>
      </c>
      <c r="AG129" s="1326"/>
      <c r="DG129" s="555"/>
      <c r="DH129" s="175"/>
      <c r="DI129" s="1049"/>
      <c r="DJ129" s="1127"/>
    </row>
    <row r="130" spans="1:114" ht="14.65" hidden="1" customHeight="1" outlineLevel="1" x14ac:dyDescent="0.25">
      <c r="A130" s="442"/>
      <c r="C130" s="49"/>
      <c r="D130" s="2209"/>
      <c r="E130" s="2213"/>
      <c r="F130" s="2183" t="str">
        <f t="shared" si="38"/>
        <v>CAC-SEER16_ER2_SF</v>
      </c>
      <c r="G130" s="2183"/>
      <c r="H130" s="2183"/>
      <c r="I130" s="1326" t="str">
        <f t="shared" si="39"/>
        <v>350800_2024_12_</v>
      </c>
      <c r="J130" s="1603">
        <f>J129</f>
        <v>34507.773989283975</v>
      </c>
      <c r="K130" s="17">
        <f t="shared" si="40"/>
        <v>2.8756478324403312</v>
      </c>
      <c r="L130" s="1593" t="s">
        <v>1025</v>
      </c>
      <c r="M130" s="545"/>
      <c r="N130" s="543"/>
      <c r="T130" s="50"/>
      <c r="U130" s="50"/>
      <c r="V130" s="2179"/>
      <c r="W130" s="1326">
        <v>37200</v>
      </c>
      <c r="X130" s="794">
        <f t="shared" si="41"/>
        <v>36600</v>
      </c>
      <c r="Y130" s="794">
        <v>36720</v>
      </c>
      <c r="Z130" s="1326">
        <v>36720</v>
      </c>
      <c r="AA130" s="1326">
        <v>36720</v>
      </c>
      <c r="AB130" s="703">
        <v>35734.902975420438</v>
      </c>
      <c r="AC130" s="703">
        <v>35455.827196858118</v>
      </c>
      <c r="AD130" s="703">
        <v>34928.920972644381</v>
      </c>
      <c r="AE130" s="703">
        <v>35105.30215608867</v>
      </c>
      <c r="AF130" s="258">
        <f t="shared" si="37"/>
        <v>34507.773989283975</v>
      </c>
      <c r="AG130" s="1326"/>
      <c r="DG130" s="555"/>
      <c r="DH130" s="175"/>
      <c r="DI130" s="1049"/>
      <c r="DJ130" s="1127"/>
    </row>
    <row r="131" spans="1:114" ht="14.65" hidden="1" customHeight="1" outlineLevel="1" x14ac:dyDescent="0.25">
      <c r="A131" s="442"/>
      <c r="C131" s="49"/>
      <c r="D131" s="2209"/>
      <c r="E131" s="2213"/>
      <c r="F131" s="2183" t="str">
        <f t="shared" si="38"/>
        <v>CAC-SEER16_ROF_SF</v>
      </c>
      <c r="G131" s="2183"/>
      <c r="H131" s="2183"/>
      <c r="I131" s="1326" t="str">
        <f t="shared" si="39"/>
        <v>350850_2024_12_</v>
      </c>
      <c r="J131" s="1603">
        <v>34144.528301886792</v>
      </c>
      <c r="K131" s="17">
        <f t="shared" si="40"/>
        <v>2.8453773584905662</v>
      </c>
      <c r="L131" s="1593" t="s">
        <v>1025</v>
      </c>
      <c r="M131" s="545"/>
      <c r="N131" s="543"/>
      <c r="T131" s="50"/>
      <c r="U131" s="50"/>
      <c r="V131" s="2179"/>
      <c r="W131" s="1326">
        <v>34800</v>
      </c>
      <c r="X131" s="794">
        <f t="shared" si="41"/>
        <v>36600</v>
      </c>
      <c r="Y131" s="794">
        <v>35880</v>
      </c>
      <c r="Z131" s="1326">
        <v>35880</v>
      </c>
      <c r="AA131" s="1326">
        <v>35880</v>
      </c>
      <c r="AB131" s="703">
        <v>36194.49901768173</v>
      </c>
      <c r="AC131" s="703">
        <v>36399.092122830436</v>
      </c>
      <c r="AD131" s="703">
        <v>36027.146529562975</v>
      </c>
      <c r="AE131" s="767">
        <v>36027.146529562975</v>
      </c>
      <c r="AF131" s="258">
        <f t="shared" si="37"/>
        <v>34144.528301886792</v>
      </c>
      <c r="AG131" s="1326"/>
      <c r="DG131" s="555"/>
      <c r="DH131" s="175"/>
      <c r="DI131" s="1049"/>
      <c r="DJ131" s="1127"/>
    </row>
    <row r="132" spans="1:114" ht="14.65" hidden="1" customHeight="1" outlineLevel="1" x14ac:dyDescent="0.25">
      <c r="A132" s="442"/>
      <c r="C132" s="49"/>
      <c r="D132" s="2209"/>
      <c r="E132" s="2213"/>
      <c r="F132" s="2183" t="str">
        <f t="shared" si="38"/>
        <v>CAC-SEER16_ER1_MF</v>
      </c>
      <c r="G132" s="2183"/>
      <c r="H132" s="2183"/>
      <c r="I132" s="1326" t="str">
        <f t="shared" si="39"/>
        <v>350900_2024_12_</v>
      </c>
      <c r="J132" s="1603">
        <v>30461.538461538461</v>
      </c>
      <c r="K132" s="17">
        <f t="shared" si="40"/>
        <v>2.5384615384615383</v>
      </c>
      <c r="L132" s="1593" t="s">
        <v>1025</v>
      </c>
      <c r="M132" s="545"/>
      <c r="N132" s="543"/>
      <c r="T132" s="50"/>
      <c r="U132" s="50"/>
      <c r="V132" s="2179"/>
      <c r="W132" s="1326">
        <v>37200</v>
      </c>
      <c r="X132" s="794">
        <v>24461</v>
      </c>
      <c r="Y132" s="794">
        <v>24000</v>
      </c>
      <c r="Z132" s="1326">
        <v>24000</v>
      </c>
      <c r="AA132" s="1326">
        <v>24000</v>
      </c>
      <c r="AB132" s="703">
        <v>30857.142857142859</v>
      </c>
      <c r="AC132" s="703">
        <v>30216.867469879515</v>
      </c>
      <c r="AD132" s="703">
        <v>26175.824175824175</v>
      </c>
      <c r="AE132" s="703">
        <v>30285.714285714286</v>
      </c>
      <c r="AF132" s="258">
        <f t="shared" si="37"/>
        <v>30461.538461538461</v>
      </c>
      <c r="AG132" s="1326"/>
      <c r="DG132" s="555"/>
      <c r="DH132" s="175"/>
      <c r="DI132" s="1049"/>
      <c r="DJ132" s="1127"/>
    </row>
    <row r="133" spans="1:114" ht="14.65" hidden="1" customHeight="1" outlineLevel="1" x14ac:dyDescent="0.25">
      <c r="A133" s="442"/>
      <c r="C133" s="49"/>
      <c r="D133" s="2209"/>
      <c r="E133" s="2213"/>
      <c r="F133" s="2183" t="str">
        <f t="shared" si="38"/>
        <v>CAC-SEER16_ER2_MF</v>
      </c>
      <c r="G133" s="2183"/>
      <c r="H133" s="2183"/>
      <c r="I133" s="1326" t="str">
        <f t="shared" si="39"/>
        <v>350900_2024_12_</v>
      </c>
      <c r="J133" s="1603">
        <f>J132</f>
        <v>30461.538461538461</v>
      </c>
      <c r="K133" s="17">
        <f t="shared" si="40"/>
        <v>2.5384615384615383</v>
      </c>
      <c r="L133" s="1593" t="s">
        <v>1025</v>
      </c>
      <c r="M133" s="545"/>
      <c r="N133" s="543"/>
      <c r="T133" s="50"/>
      <c r="U133" s="50"/>
      <c r="V133" s="2179"/>
      <c r="W133" s="1326">
        <v>37200</v>
      </c>
      <c r="X133" s="794">
        <v>24461</v>
      </c>
      <c r="Y133" s="794">
        <v>24000</v>
      </c>
      <c r="Z133" s="1326">
        <v>24000</v>
      </c>
      <c r="AA133" s="1326">
        <v>24000</v>
      </c>
      <c r="AB133" s="703">
        <v>30857.142857142859</v>
      </c>
      <c r="AC133" s="703">
        <v>30216.867469879515</v>
      </c>
      <c r="AD133" s="703">
        <v>26175.824175824175</v>
      </c>
      <c r="AE133" s="703">
        <v>30285.714285714286</v>
      </c>
      <c r="AF133" s="258">
        <f t="shared" si="37"/>
        <v>30461.538461538461</v>
      </c>
      <c r="AG133" s="1326"/>
      <c r="DG133" s="555"/>
      <c r="DH133" s="175"/>
      <c r="DI133" s="1049"/>
      <c r="DJ133" s="1127"/>
    </row>
    <row r="134" spans="1:114" ht="14.65" hidden="1" customHeight="1" outlineLevel="1" x14ac:dyDescent="0.25">
      <c r="A134" s="442"/>
      <c r="C134" s="49"/>
      <c r="D134" s="2209"/>
      <c r="E134" s="2213"/>
      <c r="F134" s="2183" t="str">
        <f t="shared" si="38"/>
        <v>CAC-SEER17_ER1_SF</v>
      </c>
      <c r="G134" s="2183"/>
      <c r="H134" s="2183"/>
      <c r="I134" s="1326" t="str">
        <f t="shared" si="39"/>
        <v>351000_2024_12_</v>
      </c>
      <c r="J134" s="1603">
        <v>38062.794348508636</v>
      </c>
      <c r="K134" s="17">
        <f t="shared" si="40"/>
        <v>3.1718995290423861</v>
      </c>
      <c r="L134" s="1593" t="s">
        <v>1025</v>
      </c>
      <c r="M134" s="545"/>
      <c r="N134" s="543"/>
      <c r="T134" s="50"/>
      <c r="U134" s="50"/>
      <c r="V134" s="2179"/>
      <c r="W134" s="1326">
        <v>37200</v>
      </c>
      <c r="X134" s="912">
        <f>W134</f>
        <v>37200</v>
      </c>
      <c r="Y134" s="794">
        <v>36720</v>
      </c>
      <c r="Z134" s="1326">
        <v>36720</v>
      </c>
      <c r="AA134" s="1326">
        <v>36720</v>
      </c>
      <c r="AB134" s="703">
        <v>36976.704980842915</v>
      </c>
      <c r="AC134" s="703">
        <v>35029.739776951676</v>
      </c>
      <c r="AD134" s="703">
        <v>35328.775637041639</v>
      </c>
      <c r="AE134" s="767">
        <v>35328.775637041639</v>
      </c>
      <c r="AF134" s="258">
        <f t="shared" si="37"/>
        <v>38062.794348508636</v>
      </c>
      <c r="AG134" s="1326"/>
      <c r="DG134" s="555"/>
      <c r="DH134" s="175"/>
      <c r="DI134" s="1049"/>
      <c r="DJ134" s="1127"/>
    </row>
    <row r="135" spans="1:114" ht="14.65" hidden="1" customHeight="1" outlineLevel="1" x14ac:dyDescent="0.25">
      <c r="A135" s="442"/>
      <c r="C135" s="49"/>
      <c r="D135" s="2209"/>
      <c r="E135" s="2213"/>
      <c r="F135" s="2183" t="str">
        <f t="shared" si="38"/>
        <v>CAC-SEER17_ER2_SF</v>
      </c>
      <c r="G135" s="2183"/>
      <c r="H135" s="2183"/>
      <c r="I135" s="1326" t="str">
        <f t="shared" si="39"/>
        <v>351000_2024_12_</v>
      </c>
      <c r="J135" s="1603">
        <f>J134</f>
        <v>38062.794348508636</v>
      </c>
      <c r="K135" s="17">
        <f t="shared" si="40"/>
        <v>3.1718995290423861</v>
      </c>
      <c r="L135" s="1593" t="s">
        <v>1025</v>
      </c>
      <c r="M135" s="545"/>
      <c r="N135" s="543"/>
      <c r="T135" s="50"/>
      <c r="U135" s="50"/>
      <c r="V135" s="2179"/>
      <c r="W135" s="1326">
        <v>37200</v>
      </c>
      <c r="X135" s="912">
        <f t="shared" ref="X135:X136" si="42">W135</f>
        <v>37200</v>
      </c>
      <c r="Y135" s="794">
        <v>36720</v>
      </c>
      <c r="Z135" s="1326">
        <v>36720</v>
      </c>
      <c r="AA135" s="1326">
        <v>36720</v>
      </c>
      <c r="AB135" s="703">
        <v>36976.704980842915</v>
      </c>
      <c r="AC135" s="703">
        <v>35029.739776951676</v>
      </c>
      <c r="AD135" s="703">
        <v>35328.775637041639</v>
      </c>
      <c r="AE135" s="767">
        <v>35328.775637041639</v>
      </c>
      <c r="AF135" s="258">
        <f t="shared" si="37"/>
        <v>38062.794348508636</v>
      </c>
      <c r="AG135" s="1326"/>
      <c r="DG135" s="555"/>
      <c r="DH135" s="175"/>
      <c r="DI135" s="1049"/>
      <c r="DJ135" s="1127"/>
    </row>
    <row r="136" spans="1:114" ht="14.65" hidden="1" customHeight="1" outlineLevel="1" x14ac:dyDescent="0.25">
      <c r="A136" s="442"/>
      <c r="C136" s="49"/>
      <c r="D136" s="2209"/>
      <c r="E136" s="2213"/>
      <c r="F136" s="2183" t="str">
        <f t="shared" si="38"/>
        <v>CAC-SEER17_ROF_SF</v>
      </c>
      <c r="G136" s="2183"/>
      <c r="H136" s="2183"/>
      <c r="I136" s="1326" t="str">
        <f t="shared" si="39"/>
        <v>351050_2024_12_</v>
      </c>
      <c r="J136" s="1603">
        <v>39601.353383458649</v>
      </c>
      <c r="K136" s="17">
        <f t="shared" si="40"/>
        <v>3.3001127819548874</v>
      </c>
      <c r="L136" s="1593" t="s">
        <v>1025</v>
      </c>
      <c r="M136" s="545"/>
      <c r="N136" s="543"/>
      <c r="T136" s="50"/>
      <c r="U136" s="50"/>
      <c r="V136" s="2179"/>
      <c r="W136" s="1326">
        <v>34800</v>
      </c>
      <c r="X136" s="912">
        <f t="shared" si="42"/>
        <v>34800</v>
      </c>
      <c r="Y136" s="794">
        <v>35880</v>
      </c>
      <c r="Z136" s="1326">
        <v>35880</v>
      </c>
      <c r="AA136" s="1326">
        <v>35880</v>
      </c>
      <c r="AB136" s="703">
        <v>38408.163265306124</v>
      </c>
      <c r="AC136" s="703">
        <v>36358.695652173912</v>
      </c>
      <c r="AD136" s="703">
        <v>35148.936170212764</v>
      </c>
      <c r="AE136" s="703">
        <v>34613.981762917931</v>
      </c>
      <c r="AF136" s="258">
        <f t="shared" si="37"/>
        <v>39601.353383458649</v>
      </c>
      <c r="AG136" s="1326"/>
      <c r="DG136" s="555"/>
      <c r="DH136" s="175"/>
      <c r="DI136" s="1049"/>
      <c r="DJ136" s="1127"/>
    </row>
    <row r="137" spans="1:114" ht="14.65" hidden="1" customHeight="1" outlineLevel="1" x14ac:dyDescent="0.25">
      <c r="A137" s="442"/>
      <c r="C137" s="49"/>
      <c r="D137" s="2209"/>
      <c r="E137" s="2213"/>
      <c r="F137" s="2183" t="str">
        <f t="shared" si="38"/>
        <v>CAC-SEER18_ER1_SF</v>
      </c>
      <c r="G137" s="2183"/>
      <c r="H137" s="2183"/>
      <c r="I137" s="1326" t="str">
        <f t="shared" si="39"/>
        <v>351160_2024_12_</v>
      </c>
      <c r="J137" s="1603">
        <v>39996.913705583749</v>
      </c>
      <c r="K137" s="20">
        <f t="shared" si="40"/>
        <v>3.3330761421319792</v>
      </c>
      <c r="L137" s="1593" t="s">
        <v>1026</v>
      </c>
      <c r="N137" s="543"/>
      <c r="T137" s="50"/>
      <c r="U137" s="50"/>
      <c r="V137" s="2138"/>
      <c r="W137" s="1326"/>
      <c r="X137" s="794"/>
      <c r="Y137" s="794"/>
      <c r="Z137" s="794">
        <v>36000</v>
      </c>
      <c r="AA137" s="1326">
        <v>36000</v>
      </c>
      <c r="AB137" s="913">
        <v>36000</v>
      </c>
      <c r="AC137" s="790">
        <v>38898.876404494382</v>
      </c>
      <c r="AD137" s="703">
        <v>39996.913705583749</v>
      </c>
      <c r="AE137" s="767">
        <v>39996.913705583749</v>
      </c>
      <c r="AF137" s="258">
        <f t="shared" si="37"/>
        <v>39996.913705583749</v>
      </c>
      <c r="AG137" s="1326"/>
      <c r="DG137" s="555"/>
      <c r="DH137" s="175"/>
      <c r="DI137" s="1049"/>
      <c r="DJ137" s="1127"/>
    </row>
    <row r="138" spans="1:114" ht="14.65" hidden="1" customHeight="1" outlineLevel="1" x14ac:dyDescent="0.25">
      <c r="A138" s="442"/>
      <c r="C138" s="49"/>
      <c r="D138" s="2209"/>
      <c r="E138" s="2213"/>
      <c r="F138" s="2183" t="str">
        <f t="shared" si="38"/>
        <v>CAC-SEER18_ER2_SF</v>
      </c>
      <c r="G138" s="2183"/>
      <c r="H138" s="2183"/>
      <c r="I138" s="1326" t="str">
        <f t="shared" si="39"/>
        <v>351160_2024_12_</v>
      </c>
      <c r="J138" s="1603">
        <f>J137</f>
        <v>39996.913705583749</v>
      </c>
      <c r="K138" s="20">
        <f t="shared" si="40"/>
        <v>3.3330761421319792</v>
      </c>
      <c r="L138" s="1593" t="s">
        <v>1026</v>
      </c>
      <c r="N138" s="543"/>
      <c r="T138" s="50"/>
      <c r="U138" s="50"/>
      <c r="V138" s="2138"/>
      <c r="W138" s="1326"/>
      <c r="X138" s="794"/>
      <c r="Y138" s="794"/>
      <c r="Z138" s="794">
        <v>36000</v>
      </c>
      <c r="AA138" s="1326">
        <v>36000</v>
      </c>
      <c r="AB138" s="913">
        <v>36000</v>
      </c>
      <c r="AC138" s="790">
        <v>38898.876404494382</v>
      </c>
      <c r="AD138" s="703">
        <v>39996.913705583749</v>
      </c>
      <c r="AE138" s="767">
        <v>39996.913705583749</v>
      </c>
      <c r="AF138" s="258">
        <f t="shared" si="37"/>
        <v>39996.913705583749</v>
      </c>
      <c r="AG138" s="1326"/>
      <c r="DG138" s="555"/>
      <c r="DH138" s="175"/>
      <c r="DI138" s="1049"/>
      <c r="DJ138" s="1127"/>
    </row>
    <row r="139" spans="1:114" ht="14.65" hidden="1" customHeight="1" outlineLevel="1" x14ac:dyDescent="0.25">
      <c r="A139" s="442"/>
      <c r="C139" s="49"/>
      <c r="D139" s="2209"/>
      <c r="E139" s="2213"/>
      <c r="F139" s="2183" t="str">
        <f t="shared" si="38"/>
        <v>CAC-SEER18_ROF_SF</v>
      </c>
      <c r="G139" s="2183"/>
      <c r="H139" s="2183"/>
      <c r="I139" s="1326" t="str">
        <f t="shared" si="39"/>
        <v>351161_2024_12_</v>
      </c>
      <c r="J139" s="1603">
        <v>39941.463414585363</v>
      </c>
      <c r="K139" s="20">
        <f t="shared" si="40"/>
        <v>3.3284552845487805</v>
      </c>
      <c r="L139" s="1593" t="s">
        <v>1025</v>
      </c>
      <c r="N139" s="543"/>
      <c r="T139" s="50"/>
      <c r="U139" s="50"/>
      <c r="V139" s="2138"/>
      <c r="W139" s="1326"/>
      <c r="X139" s="794"/>
      <c r="Y139" s="794"/>
      <c r="Z139" s="794">
        <v>36000</v>
      </c>
      <c r="AA139" s="1326">
        <v>36000</v>
      </c>
      <c r="AB139" s="913">
        <v>36000</v>
      </c>
      <c r="AC139" s="790">
        <v>38076.923076923078</v>
      </c>
      <c r="AD139" s="703">
        <v>40765.935483870977</v>
      </c>
      <c r="AE139" s="767">
        <v>40765.935483870977</v>
      </c>
      <c r="AF139" s="258">
        <f t="shared" si="37"/>
        <v>39941.463414585363</v>
      </c>
      <c r="AG139" s="1326"/>
      <c r="DG139" s="555"/>
      <c r="DH139" s="175"/>
      <c r="DI139" s="1049"/>
      <c r="DJ139" s="1127"/>
    </row>
    <row r="140" spans="1:114" ht="14.65" hidden="1" customHeight="1" outlineLevel="1" x14ac:dyDescent="0.25">
      <c r="A140" s="442"/>
      <c r="C140" s="49"/>
      <c r="D140" s="2209"/>
      <c r="E140" s="2213"/>
      <c r="F140" s="2183" t="str">
        <f t="shared" si="38"/>
        <v>CAC-SEER19_ER1_SF</v>
      </c>
      <c r="G140" s="2183"/>
      <c r="H140" s="2183"/>
      <c r="I140" s="1326" t="str">
        <f t="shared" si="39"/>
        <v>351170_2024_12_</v>
      </c>
      <c r="J140" s="1603">
        <v>51637.714285714283</v>
      </c>
      <c r="K140" s="20">
        <f t="shared" si="40"/>
        <v>4.3031428571428565</v>
      </c>
      <c r="L140" s="1593" t="s">
        <v>1024</v>
      </c>
      <c r="M140" s="545"/>
      <c r="N140" s="543"/>
      <c r="T140" s="50"/>
      <c r="U140" s="50"/>
      <c r="V140" s="2138"/>
      <c r="W140" s="1326"/>
      <c r="X140" s="794"/>
      <c r="Y140" s="794"/>
      <c r="Z140" s="794">
        <v>36000</v>
      </c>
      <c r="AA140" s="1326">
        <v>36000</v>
      </c>
      <c r="AB140" s="913">
        <v>36000</v>
      </c>
      <c r="AC140" s="790">
        <v>50823.529411764706</v>
      </c>
      <c r="AD140" s="703">
        <v>51760.434782608703</v>
      </c>
      <c r="AE140" s="703">
        <v>51637.714285714283</v>
      </c>
      <c r="AF140" s="258">
        <f t="shared" si="37"/>
        <v>51637.714285714283</v>
      </c>
      <c r="AG140" s="1326"/>
      <c r="DG140" s="555"/>
      <c r="DH140" s="175"/>
      <c r="DI140" s="1049"/>
      <c r="DJ140" s="1127"/>
    </row>
    <row r="141" spans="1:114" ht="14.65" hidden="1" customHeight="1" outlineLevel="1" x14ac:dyDescent="0.25">
      <c r="A141" s="442"/>
      <c r="C141" s="49"/>
      <c r="D141" s="2209"/>
      <c r="E141" s="2213"/>
      <c r="F141" s="2183" t="str">
        <f t="shared" si="38"/>
        <v>CAC-SEER19_ER2_SF</v>
      </c>
      <c r="G141" s="2183"/>
      <c r="H141" s="2183"/>
      <c r="I141" s="1326" t="str">
        <f t="shared" si="39"/>
        <v>351170_2024_12_</v>
      </c>
      <c r="J141" s="1603">
        <f>J140</f>
        <v>51637.714285714283</v>
      </c>
      <c r="K141" s="20">
        <f t="shared" si="40"/>
        <v>4.3031428571428565</v>
      </c>
      <c r="L141" s="1593" t="s">
        <v>1024</v>
      </c>
      <c r="M141" s="545"/>
      <c r="N141" s="543"/>
      <c r="T141" s="50"/>
      <c r="U141" s="50"/>
      <c r="V141" s="2138"/>
      <c r="W141" s="1326"/>
      <c r="X141" s="794"/>
      <c r="Y141" s="794"/>
      <c r="Z141" s="794">
        <v>36000</v>
      </c>
      <c r="AA141" s="1326">
        <v>36000</v>
      </c>
      <c r="AB141" s="913">
        <v>36000</v>
      </c>
      <c r="AC141" s="790">
        <v>50823.529411764706</v>
      </c>
      <c r="AD141" s="703">
        <v>51760.434782608703</v>
      </c>
      <c r="AE141" s="703">
        <v>51637.714285714283</v>
      </c>
      <c r="AF141" s="258">
        <f t="shared" si="37"/>
        <v>51637.714285714283</v>
      </c>
      <c r="AG141" s="1326"/>
      <c r="DG141" s="555"/>
      <c r="DH141" s="175"/>
      <c r="DI141" s="1049"/>
      <c r="DJ141" s="1127"/>
    </row>
    <row r="142" spans="1:114" ht="14.65" hidden="1" customHeight="1" outlineLevel="1" x14ac:dyDescent="0.25">
      <c r="A142" s="442"/>
      <c r="C142" s="49"/>
      <c r="D142" s="2209"/>
      <c r="E142" s="2213"/>
      <c r="F142" s="2183" t="str">
        <f t="shared" si="38"/>
        <v>CAC-SEER19_ROF_SF</v>
      </c>
      <c r="G142" s="2183"/>
      <c r="H142" s="2183"/>
      <c r="I142" s="1326" t="str">
        <f t="shared" si="39"/>
        <v>351171_2024_12_</v>
      </c>
      <c r="J142" s="1603">
        <v>53142.857142857145</v>
      </c>
      <c r="K142" s="20">
        <f t="shared" si="40"/>
        <v>4.4285714285714288</v>
      </c>
      <c r="L142" s="1593" t="s">
        <v>1025</v>
      </c>
      <c r="M142" s="545"/>
      <c r="N142" s="543"/>
      <c r="T142" s="50"/>
      <c r="U142" s="50"/>
      <c r="V142" s="2138"/>
      <c r="W142" s="1326"/>
      <c r="X142" s="794"/>
      <c r="Y142" s="794"/>
      <c r="Z142" s="794">
        <v>36000</v>
      </c>
      <c r="AA142" s="1326">
        <v>36000</v>
      </c>
      <c r="AB142" s="913">
        <v>36000</v>
      </c>
      <c r="AC142" s="790">
        <v>52285.714285714283</v>
      </c>
      <c r="AD142" s="703">
        <v>51772.5</v>
      </c>
      <c r="AE142" s="703">
        <v>50915</v>
      </c>
      <c r="AF142" s="258">
        <f t="shared" si="37"/>
        <v>53142.857142857145</v>
      </c>
      <c r="AG142" s="1326"/>
      <c r="DG142" s="555"/>
      <c r="DH142" s="175"/>
      <c r="DI142" s="1049"/>
      <c r="DJ142" s="1127"/>
    </row>
    <row r="143" spans="1:114" ht="14.65" hidden="1" customHeight="1" outlineLevel="1" x14ac:dyDescent="0.25">
      <c r="A143" s="442"/>
      <c r="C143" s="49"/>
      <c r="D143" s="2209"/>
      <c r="E143" s="2213"/>
      <c r="F143" s="2183" t="str">
        <f t="shared" si="38"/>
        <v>CAC-SEER20_ER1_SF</v>
      </c>
      <c r="G143" s="2183"/>
      <c r="H143" s="2183"/>
      <c r="I143" s="1326" t="str">
        <f t="shared" si="39"/>
        <v>351180_2024_12_</v>
      </c>
      <c r="J143" s="1603">
        <v>43308.988764000002</v>
      </c>
      <c r="K143" s="20">
        <f t="shared" si="40"/>
        <v>3.6090823970000003</v>
      </c>
      <c r="L143" s="1593" t="s">
        <v>1025</v>
      </c>
      <c r="M143" s="545"/>
      <c r="N143" s="543"/>
      <c r="T143" s="50"/>
      <c r="U143" s="50"/>
      <c r="V143" s="2138"/>
      <c r="W143" s="1326"/>
      <c r="X143" s="794"/>
      <c r="Y143" s="794"/>
      <c r="Z143" s="794">
        <v>36000</v>
      </c>
      <c r="AA143" s="1326">
        <v>36000</v>
      </c>
      <c r="AB143" s="913">
        <v>36000</v>
      </c>
      <c r="AC143" s="790">
        <v>41052.631578947367</v>
      </c>
      <c r="AD143" s="703">
        <v>40910.503597122304</v>
      </c>
      <c r="AE143" s="703">
        <v>40619.469026548672</v>
      </c>
      <c r="AF143" s="258">
        <f t="shared" si="37"/>
        <v>43308.988764000002</v>
      </c>
      <c r="AG143" s="1326"/>
      <c r="DG143" s="555"/>
      <c r="DH143" s="175"/>
      <c r="DI143" s="1049"/>
      <c r="DJ143" s="1127"/>
    </row>
    <row r="144" spans="1:114" ht="14.65" hidden="1" customHeight="1" outlineLevel="1" x14ac:dyDescent="0.25">
      <c r="A144" s="442"/>
      <c r="C144" s="49"/>
      <c r="D144" s="2209"/>
      <c r="E144" s="2213"/>
      <c r="F144" s="2183" t="str">
        <f t="shared" si="38"/>
        <v>CAC-SEER20_ER2_SF</v>
      </c>
      <c r="G144" s="2183"/>
      <c r="H144" s="2183"/>
      <c r="I144" s="1326" t="str">
        <f t="shared" si="39"/>
        <v>351180_2024_12_</v>
      </c>
      <c r="J144" s="1603">
        <f>J143</f>
        <v>43308.988764000002</v>
      </c>
      <c r="K144" s="20">
        <f t="shared" si="40"/>
        <v>3.6090823970000003</v>
      </c>
      <c r="L144" s="1593" t="s">
        <v>1025</v>
      </c>
      <c r="M144" s="545"/>
      <c r="N144" s="543"/>
      <c r="T144" s="50"/>
      <c r="U144" s="50"/>
      <c r="V144" s="2138"/>
      <c r="W144" s="1326"/>
      <c r="X144" s="794"/>
      <c r="Y144" s="794"/>
      <c r="Z144" s="794">
        <v>36000</v>
      </c>
      <c r="AA144" s="1326">
        <v>36000</v>
      </c>
      <c r="AB144" s="913">
        <v>36000</v>
      </c>
      <c r="AC144" s="790">
        <v>41052.631578947367</v>
      </c>
      <c r="AD144" s="703">
        <v>40910.503597122304</v>
      </c>
      <c r="AE144" s="703">
        <v>40619.469026548672</v>
      </c>
      <c r="AF144" s="258">
        <f t="shared" si="37"/>
        <v>43308.988764000002</v>
      </c>
      <c r="AG144" s="1326"/>
      <c r="DG144" s="555"/>
      <c r="DH144" s="175"/>
      <c r="DI144" s="1049"/>
      <c r="DJ144" s="1127"/>
    </row>
    <row r="145" spans="1:114" ht="14.65" hidden="1" customHeight="1" outlineLevel="1" x14ac:dyDescent="0.25">
      <c r="A145" s="442"/>
      <c r="C145" s="49"/>
      <c r="D145" s="2209"/>
      <c r="E145" s="2213"/>
      <c r="F145" s="2183" t="str">
        <f t="shared" si="38"/>
        <v>CAC-SEER20_ROF_SF</v>
      </c>
      <c r="G145" s="2183"/>
      <c r="H145" s="2183"/>
      <c r="I145" s="1326" t="str">
        <f t="shared" si="39"/>
        <v>351181_2024_12_</v>
      </c>
      <c r="J145" s="1603">
        <v>45285</v>
      </c>
      <c r="K145" s="20">
        <f t="shared" si="40"/>
        <v>3.7737500000000002</v>
      </c>
      <c r="L145" s="1593" t="s">
        <v>1025</v>
      </c>
      <c r="M145" s="545"/>
      <c r="N145" s="543"/>
      <c r="T145" s="50"/>
      <c r="U145" s="50"/>
      <c r="V145" s="2138"/>
      <c r="W145" s="1326"/>
      <c r="X145" s="794"/>
      <c r="Y145" s="794"/>
      <c r="Z145" s="794">
        <v>36000</v>
      </c>
      <c r="AA145" s="1326">
        <v>36000</v>
      </c>
      <c r="AB145" s="913">
        <v>36000</v>
      </c>
      <c r="AC145" s="790">
        <v>39000</v>
      </c>
      <c r="AD145" s="703">
        <v>40333.333333333336</v>
      </c>
      <c r="AE145" s="703">
        <v>35602.5</v>
      </c>
      <c r="AF145" s="258">
        <f t="shared" ref="AF145:AF165" si="43">IF(J145&lt;&gt;"",J145,"")</f>
        <v>45285</v>
      </c>
      <c r="AG145" s="1326"/>
      <c r="DG145" s="555"/>
      <c r="DH145" s="175"/>
      <c r="DI145" s="1049"/>
      <c r="DJ145" s="1127"/>
    </row>
    <row r="146" spans="1:114" ht="14.65" hidden="1" customHeight="1" outlineLevel="1" x14ac:dyDescent="0.25">
      <c r="A146" s="442"/>
      <c r="C146" s="49"/>
      <c r="D146" s="2209"/>
      <c r="E146" s="2213"/>
      <c r="F146" s="2183" t="str">
        <f t="shared" si="38"/>
        <v>CAC-SEER21+_ER1_SF</v>
      </c>
      <c r="G146" s="2183"/>
      <c r="H146" s="2183"/>
      <c r="I146" s="1326" t="str">
        <f t="shared" si="39"/>
        <v>351190_2024_12_</v>
      </c>
      <c r="J146" s="1603">
        <v>39574.489795959191</v>
      </c>
      <c r="K146" s="20">
        <f t="shared" si="40"/>
        <v>3.297874149663266</v>
      </c>
      <c r="L146" s="1593" t="s">
        <v>1025</v>
      </c>
      <c r="M146" s="545"/>
      <c r="N146" s="543"/>
      <c r="T146" s="50"/>
      <c r="U146" s="50"/>
      <c r="V146" s="2138"/>
      <c r="W146" s="1326"/>
      <c r="X146" s="912"/>
      <c r="Y146" s="794"/>
      <c r="Z146" s="794">
        <v>36000</v>
      </c>
      <c r="AA146" s="1326">
        <v>36000</v>
      </c>
      <c r="AB146" s="913">
        <v>36000</v>
      </c>
      <c r="AC146" s="790">
        <v>39974.025974025972</v>
      </c>
      <c r="AD146" s="703">
        <v>38854.368932038837</v>
      </c>
      <c r="AE146" s="703">
        <v>38672.727272727272</v>
      </c>
      <c r="AF146" s="258">
        <f t="shared" si="43"/>
        <v>39574.489795959191</v>
      </c>
      <c r="AG146" s="1326"/>
      <c r="DG146" s="555"/>
      <c r="DH146" s="175"/>
      <c r="DI146" s="1049"/>
      <c r="DJ146" s="1127"/>
    </row>
    <row r="147" spans="1:114" ht="14.65" hidden="1" customHeight="1" outlineLevel="1" x14ac:dyDescent="0.25">
      <c r="A147" s="442"/>
      <c r="C147" s="49"/>
      <c r="D147" s="2209"/>
      <c r="E147" s="2213"/>
      <c r="F147" s="2183" t="str">
        <f t="shared" si="38"/>
        <v>CAC-SEER21+_ER2_SF</v>
      </c>
      <c r="G147" s="2183"/>
      <c r="H147" s="2183"/>
      <c r="I147" s="1326" t="str">
        <f t="shared" si="39"/>
        <v>351190_2024_12_</v>
      </c>
      <c r="J147" s="1603">
        <f>J146</f>
        <v>39574.489795959191</v>
      </c>
      <c r="K147" s="20">
        <f t="shared" ref="K147:K148" si="44">J147/12000</f>
        <v>3.297874149663266</v>
      </c>
      <c r="L147" s="1593" t="s">
        <v>1025</v>
      </c>
      <c r="M147" s="545"/>
      <c r="N147" s="543"/>
      <c r="T147" s="50"/>
      <c r="U147" s="50"/>
      <c r="V147" s="2138"/>
      <c r="W147" s="1326"/>
      <c r="X147" s="912"/>
      <c r="Y147" s="794"/>
      <c r="Z147" s="794">
        <v>36000</v>
      </c>
      <c r="AA147" s="1326">
        <v>36000</v>
      </c>
      <c r="AB147" s="913">
        <v>36000</v>
      </c>
      <c r="AC147" s="790">
        <v>39974.025974025972</v>
      </c>
      <c r="AD147" s="703">
        <v>38854.368932038837</v>
      </c>
      <c r="AE147" s="703">
        <v>38672.727272727272</v>
      </c>
      <c r="AF147" s="258">
        <f t="shared" si="43"/>
        <v>39574.489795959191</v>
      </c>
      <c r="AG147" s="1326"/>
      <c r="DG147" s="555"/>
      <c r="DH147" s="175"/>
      <c r="DI147" s="1049"/>
      <c r="DJ147" s="1127"/>
    </row>
    <row r="148" spans="1:114" ht="14.65" hidden="1" customHeight="1" outlineLevel="1" x14ac:dyDescent="0.25">
      <c r="A148" s="442"/>
      <c r="C148" s="49"/>
      <c r="D148" s="2209"/>
      <c r="E148" s="2213"/>
      <c r="F148" s="2183" t="str">
        <f t="shared" si="38"/>
        <v>CAC-SEER21+_ROF_SF</v>
      </c>
      <c r="G148" s="2183"/>
      <c r="H148" s="2183"/>
      <c r="I148" s="1326" t="str">
        <f t="shared" si="39"/>
        <v>351191_2024_12_</v>
      </c>
      <c r="J148" s="1603">
        <v>40520.270270270266</v>
      </c>
      <c r="K148" s="20">
        <f t="shared" si="44"/>
        <v>3.376689189189189</v>
      </c>
      <c r="L148" s="1593" t="s">
        <v>1025</v>
      </c>
      <c r="M148" s="545"/>
      <c r="N148" s="543"/>
      <c r="T148" s="50"/>
      <c r="U148" s="50"/>
      <c r="V148" s="2138"/>
      <c r="W148" s="1326"/>
      <c r="X148" s="912"/>
      <c r="Y148" s="794"/>
      <c r="Z148" s="794">
        <v>36000</v>
      </c>
      <c r="AA148" s="1326">
        <v>36000</v>
      </c>
      <c r="AB148" s="913">
        <v>36000</v>
      </c>
      <c r="AC148" s="790">
        <v>37714.28571428571</v>
      </c>
      <c r="AD148" s="703">
        <v>38250</v>
      </c>
      <c r="AE148" s="703">
        <v>42000</v>
      </c>
      <c r="AF148" s="258">
        <f t="shared" si="43"/>
        <v>40520.270270270266</v>
      </c>
      <c r="AG148" s="1326"/>
      <c r="DG148" s="555"/>
      <c r="DH148" s="175"/>
      <c r="DI148" s="1049"/>
      <c r="DJ148" s="1127"/>
    </row>
    <row r="149" spans="1:114" hidden="1" outlineLevel="1" x14ac:dyDescent="0.25">
      <c r="A149" s="442"/>
      <c r="C149" s="49"/>
      <c r="D149" s="2208" t="s">
        <v>1027</v>
      </c>
      <c r="E149" s="2208" t="s">
        <v>1028</v>
      </c>
      <c r="F149" s="2183" t="str">
        <f t="shared" si="38"/>
        <v>CAC-SEER15_ER1_SF</v>
      </c>
      <c r="G149" s="2183"/>
      <c r="H149" s="2183"/>
      <c r="I149" s="1326" t="str">
        <f t="shared" si="39"/>
        <v>350600_2024_12_</v>
      </c>
      <c r="J149" s="1898"/>
      <c r="K149" s="1371"/>
      <c r="L149" s="1307"/>
      <c r="M149" s="49"/>
      <c r="N149" s="543"/>
      <c r="O149" s="49"/>
      <c r="T149" s="50"/>
      <c r="U149" s="50"/>
      <c r="V149" s="2179"/>
      <c r="W149" s="1326">
        <v>10</v>
      </c>
      <c r="X149" s="794"/>
      <c r="Y149" s="794"/>
      <c r="Z149" s="794"/>
      <c r="AA149" s="1326"/>
      <c r="AB149" s="912"/>
      <c r="AC149" s="1326"/>
      <c r="AD149" s="1326"/>
      <c r="AE149" s="704"/>
      <c r="AF149" s="258" t="str">
        <f t="shared" si="43"/>
        <v/>
      </c>
      <c r="AG149" s="1326"/>
      <c r="DG149" s="555"/>
      <c r="DH149" s="175"/>
      <c r="DI149" s="1049"/>
      <c r="DJ149" s="1127"/>
    </row>
    <row r="150" spans="1:114" hidden="1" outlineLevel="1" x14ac:dyDescent="0.25">
      <c r="A150" s="442"/>
      <c r="C150" s="49"/>
      <c r="D150" s="2209"/>
      <c r="E150" s="2209"/>
      <c r="F150" s="2183" t="str">
        <f t="shared" si="38"/>
        <v>CAC-SEER15_ER2_SF</v>
      </c>
      <c r="G150" s="2183"/>
      <c r="H150" s="2183"/>
      <c r="I150" s="1326" t="str">
        <f t="shared" si="39"/>
        <v>350600_2024_12_</v>
      </c>
      <c r="J150" s="1898">
        <v>13.4</v>
      </c>
      <c r="K150" s="1371"/>
      <c r="L150" s="1307" t="s">
        <v>1029</v>
      </c>
      <c r="M150" s="49"/>
      <c r="N150" s="543"/>
      <c r="O150" s="49"/>
      <c r="T150" s="50"/>
      <c r="U150" s="50"/>
      <c r="V150" s="2179"/>
      <c r="W150" s="1326">
        <v>13</v>
      </c>
      <c r="X150" s="1326">
        <v>13</v>
      </c>
      <c r="Y150" s="1326">
        <v>13</v>
      </c>
      <c r="Z150" s="1326">
        <v>13</v>
      </c>
      <c r="AA150" s="1326">
        <v>13</v>
      </c>
      <c r="AB150" s="912">
        <v>13</v>
      </c>
      <c r="AC150" s="1326">
        <v>13</v>
      </c>
      <c r="AD150" s="1326">
        <v>13</v>
      </c>
      <c r="AE150" s="704">
        <v>14</v>
      </c>
      <c r="AF150" s="258">
        <f t="shared" si="43"/>
        <v>13.4</v>
      </c>
      <c r="AG150" s="1326"/>
      <c r="DG150" s="555"/>
      <c r="DH150" s="175"/>
      <c r="DI150" s="1049"/>
      <c r="DJ150" s="1127"/>
    </row>
    <row r="151" spans="1:114" hidden="1" outlineLevel="1" x14ac:dyDescent="0.25">
      <c r="A151" s="442"/>
      <c r="C151" s="49"/>
      <c r="D151" s="2209"/>
      <c r="E151" s="2209"/>
      <c r="F151" s="2183" t="str">
        <f t="shared" si="38"/>
        <v>CAC-SEER15_ROF_SF</v>
      </c>
      <c r="G151" s="2183"/>
      <c r="H151" s="2183"/>
      <c r="I151" s="1326" t="str">
        <f t="shared" si="39"/>
        <v>350650_2024_12_</v>
      </c>
      <c r="J151" s="1898">
        <v>13.4</v>
      </c>
      <c r="K151" s="1371"/>
      <c r="L151" s="1307" t="s">
        <v>1029</v>
      </c>
      <c r="M151" s="49"/>
      <c r="N151" s="543"/>
      <c r="O151" s="49"/>
      <c r="T151" s="50"/>
      <c r="U151" s="50"/>
      <c r="V151" s="2179"/>
      <c r="W151" s="1326">
        <v>13</v>
      </c>
      <c r="X151" s="1326">
        <v>13</v>
      </c>
      <c r="Y151" s="1326">
        <v>13</v>
      </c>
      <c r="Z151" s="1326">
        <v>13</v>
      </c>
      <c r="AA151" s="1326">
        <v>13</v>
      </c>
      <c r="AB151" s="912">
        <v>13</v>
      </c>
      <c r="AC151" s="1326">
        <v>13</v>
      </c>
      <c r="AD151" s="1326">
        <v>13</v>
      </c>
      <c r="AE151" s="704">
        <v>14</v>
      </c>
      <c r="AF151" s="258">
        <f t="shared" si="43"/>
        <v>13.4</v>
      </c>
      <c r="AG151" s="1326"/>
      <c r="DG151" s="555"/>
      <c r="DH151" s="175"/>
      <c r="DI151" s="1049"/>
      <c r="DJ151" s="1127"/>
    </row>
    <row r="152" spans="1:114" hidden="1" outlineLevel="1" x14ac:dyDescent="0.25">
      <c r="A152" s="442"/>
      <c r="C152" s="49"/>
      <c r="D152" s="2209"/>
      <c r="E152" s="2209"/>
      <c r="F152" s="2183" t="str">
        <f t="shared" si="38"/>
        <v>CAC-SEER16_ER1_SF</v>
      </c>
      <c r="G152" s="2183"/>
      <c r="H152" s="2183"/>
      <c r="I152" s="1326" t="str">
        <f t="shared" si="39"/>
        <v>350800_2024_12_</v>
      </c>
      <c r="J152" s="1898"/>
      <c r="K152" s="1371"/>
      <c r="L152" s="1307"/>
      <c r="M152" s="49"/>
      <c r="N152" s="543"/>
      <c r="O152" s="49"/>
      <c r="T152" s="50"/>
      <c r="U152" s="50"/>
      <c r="V152" s="2179"/>
      <c r="W152" s="1326">
        <v>10</v>
      </c>
      <c r="X152" s="794"/>
      <c r="Y152" s="794"/>
      <c r="Z152" s="794"/>
      <c r="AA152" s="1326"/>
      <c r="AB152" s="912"/>
      <c r="AC152" s="1326"/>
      <c r="AD152" s="1326"/>
      <c r="AE152" s="704"/>
      <c r="AF152" s="258" t="str">
        <f t="shared" si="43"/>
        <v/>
      </c>
      <c r="AG152" s="1326"/>
      <c r="DG152" s="555"/>
      <c r="DH152" s="175"/>
      <c r="DI152" s="1049"/>
      <c r="DJ152" s="1127"/>
    </row>
    <row r="153" spans="1:114" hidden="1" outlineLevel="1" x14ac:dyDescent="0.25">
      <c r="A153" s="442"/>
      <c r="C153" s="49"/>
      <c r="D153" s="2209"/>
      <c r="E153" s="2209"/>
      <c r="F153" s="2183" t="str">
        <f t="shared" si="38"/>
        <v>CAC-SEER16_ER2_SF</v>
      </c>
      <c r="G153" s="2183"/>
      <c r="H153" s="2183"/>
      <c r="I153" s="1326" t="str">
        <f t="shared" si="39"/>
        <v>350800_2024_12_</v>
      </c>
      <c r="J153" s="1898">
        <v>13.4</v>
      </c>
      <c r="K153" s="1371"/>
      <c r="L153" s="1307" t="s">
        <v>1029</v>
      </c>
      <c r="M153" s="49"/>
      <c r="N153" s="543"/>
      <c r="O153" s="49"/>
      <c r="T153" s="50"/>
      <c r="U153" s="50"/>
      <c r="V153" s="2179"/>
      <c r="W153" s="1326">
        <v>13</v>
      </c>
      <c r="X153" s="1326">
        <v>13</v>
      </c>
      <c r="Y153" s="1326">
        <v>13</v>
      </c>
      <c r="Z153" s="1326">
        <v>13</v>
      </c>
      <c r="AA153" s="1326">
        <v>13</v>
      </c>
      <c r="AB153" s="912">
        <v>13</v>
      </c>
      <c r="AC153" s="1326">
        <v>13</v>
      </c>
      <c r="AD153" s="1326">
        <v>13</v>
      </c>
      <c r="AE153" s="704">
        <v>14</v>
      </c>
      <c r="AF153" s="258">
        <f t="shared" si="43"/>
        <v>13.4</v>
      </c>
      <c r="AG153" s="1326"/>
      <c r="DG153" s="555"/>
      <c r="DH153" s="175"/>
      <c r="DI153" s="1049"/>
      <c r="DJ153" s="1127"/>
    </row>
    <row r="154" spans="1:114" hidden="1" outlineLevel="1" x14ac:dyDescent="0.25">
      <c r="A154" s="442"/>
      <c r="C154" s="49"/>
      <c r="D154" s="2209"/>
      <c r="E154" s="2209"/>
      <c r="F154" s="2183" t="str">
        <f t="shared" si="38"/>
        <v>CAC-SEER16_ROF_SF</v>
      </c>
      <c r="G154" s="2183"/>
      <c r="H154" s="2183"/>
      <c r="I154" s="1326" t="str">
        <f t="shared" si="39"/>
        <v>350850_2024_12_</v>
      </c>
      <c r="J154" s="1898">
        <v>13.4</v>
      </c>
      <c r="K154" s="1371"/>
      <c r="L154" s="1307" t="s">
        <v>1029</v>
      </c>
      <c r="M154" s="49"/>
      <c r="N154" s="543"/>
      <c r="O154" s="49"/>
      <c r="T154" s="50"/>
      <c r="U154" s="50"/>
      <c r="V154" s="2179"/>
      <c r="W154" s="1326">
        <v>13</v>
      </c>
      <c r="X154" s="1326">
        <v>13</v>
      </c>
      <c r="Y154" s="1326">
        <v>13</v>
      </c>
      <c r="Z154" s="1326">
        <v>13</v>
      </c>
      <c r="AA154" s="1326">
        <v>13</v>
      </c>
      <c r="AB154" s="912">
        <v>13</v>
      </c>
      <c r="AC154" s="1326">
        <v>13</v>
      </c>
      <c r="AD154" s="1326">
        <v>13</v>
      </c>
      <c r="AE154" s="704">
        <v>14</v>
      </c>
      <c r="AF154" s="258">
        <f t="shared" si="43"/>
        <v>13.4</v>
      </c>
      <c r="AG154" s="1326"/>
      <c r="DG154" s="555"/>
      <c r="DH154" s="175"/>
      <c r="DI154" s="1049"/>
      <c r="DJ154" s="1127"/>
    </row>
    <row r="155" spans="1:114" hidden="1" outlineLevel="1" x14ac:dyDescent="0.25">
      <c r="A155" s="442"/>
      <c r="C155" s="49"/>
      <c r="D155" s="2209"/>
      <c r="E155" s="2209"/>
      <c r="F155" s="2183" t="str">
        <f t="shared" si="38"/>
        <v>CAC-SEER16_ER1_MF</v>
      </c>
      <c r="G155" s="2183"/>
      <c r="H155" s="2183"/>
      <c r="I155" s="1326" t="str">
        <f t="shared" si="39"/>
        <v>350900_2024_12_</v>
      </c>
      <c r="J155" s="1898"/>
      <c r="K155" s="1371"/>
      <c r="L155" s="1307"/>
      <c r="M155" s="49"/>
      <c r="N155" s="543"/>
      <c r="O155" s="49"/>
      <c r="T155" s="50"/>
      <c r="U155" s="50"/>
      <c r="V155" s="2179"/>
      <c r="W155" s="1326">
        <v>10</v>
      </c>
      <c r="X155" s="794"/>
      <c r="Y155" s="794"/>
      <c r="Z155" s="794"/>
      <c r="AA155" s="1326"/>
      <c r="AB155" s="912"/>
      <c r="AC155" s="1326"/>
      <c r="AD155" s="1326"/>
      <c r="AE155" s="704"/>
      <c r="AF155" s="258" t="str">
        <f t="shared" si="43"/>
        <v/>
      </c>
      <c r="AG155" s="1326"/>
      <c r="DG155" s="555"/>
      <c r="DH155" s="175"/>
      <c r="DI155" s="1049"/>
      <c r="DJ155" s="1127"/>
    </row>
    <row r="156" spans="1:114" hidden="1" outlineLevel="1" x14ac:dyDescent="0.25">
      <c r="A156" s="442"/>
      <c r="C156" s="49"/>
      <c r="D156" s="2209"/>
      <c r="E156" s="2209"/>
      <c r="F156" s="2183" t="str">
        <f t="shared" si="38"/>
        <v>CAC-SEER16_ER2_MF</v>
      </c>
      <c r="G156" s="2183"/>
      <c r="H156" s="2183"/>
      <c r="I156" s="1326" t="str">
        <f t="shared" si="39"/>
        <v>350900_2024_12_</v>
      </c>
      <c r="J156" s="1898">
        <v>13.4</v>
      </c>
      <c r="K156" s="1371"/>
      <c r="L156" s="1307" t="s">
        <v>1029</v>
      </c>
      <c r="M156" s="49"/>
      <c r="N156" s="543"/>
      <c r="O156" s="49"/>
      <c r="T156" s="50"/>
      <c r="U156" s="50"/>
      <c r="V156" s="2179"/>
      <c r="W156" s="1326">
        <v>13</v>
      </c>
      <c r="X156" s="1326">
        <v>13</v>
      </c>
      <c r="Y156" s="1326">
        <v>13</v>
      </c>
      <c r="Z156" s="1326">
        <v>13</v>
      </c>
      <c r="AA156" s="1326">
        <v>13</v>
      </c>
      <c r="AB156" s="912">
        <v>13</v>
      </c>
      <c r="AC156" s="1326">
        <v>13</v>
      </c>
      <c r="AD156" s="1326">
        <v>13</v>
      </c>
      <c r="AE156" s="704">
        <v>14</v>
      </c>
      <c r="AF156" s="258">
        <f t="shared" si="43"/>
        <v>13.4</v>
      </c>
      <c r="AG156" s="1326"/>
      <c r="DG156" s="555"/>
      <c r="DH156" s="175"/>
      <c r="DI156" s="1049"/>
      <c r="DJ156" s="1127"/>
    </row>
    <row r="157" spans="1:114" hidden="1" outlineLevel="1" x14ac:dyDescent="0.25">
      <c r="A157" s="442"/>
      <c r="C157" s="49"/>
      <c r="D157" s="2209"/>
      <c r="E157" s="2209"/>
      <c r="F157" s="2183" t="str">
        <f t="shared" si="38"/>
        <v>CAC-SEER17_ER1_SF</v>
      </c>
      <c r="G157" s="2183"/>
      <c r="H157" s="2183"/>
      <c r="I157" s="1326" t="str">
        <f t="shared" si="39"/>
        <v>351000_2024_12_</v>
      </c>
      <c r="J157" s="1898"/>
      <c r="K157" s="1371"/>
      <c r="L157" s="1307"/>
      <c r="M157" s="49"/>
      <c r="N157" s="543"/>
      <c r="O157" s="49"/>
      <c r="T157" s="50"/>
      <c r="U157" s="50"/>
      <c r="V157" s="2179"/>
      <c r="W157" s="1326">
        <v>10</v>
      </c>
      <c r="X157" s="794"/>
      <c r="Y157" s="794"/>
      <c r="Z157" s="794"/>
      <c r="AA157" s="1326"/>
      <c r="AB157" s="912"/>
      <c r="AC157" s="1326"/>
      <c r="AD157" s="1326"/>
      <c r="AE157" s="704"/>
      <c r="AF157" s="258" t="str">
        <f t="shared" si="43"/>
        <v/>
      </c>
      <c r="AG157" s="1326"/>
      <c r="DG157" s="555"/>
      <c r="DH157" s="175"/>
      <c r="DI157" s="1049"/>
      <c r="DJ157" s="1127"/>
    </row>
    <row r="158" spans="1:114" ht="14.65" hidden="1" customHeight="1" outlineLevel="1" x14ac:dyDescent="0.25">
      <c r="A158" s="442"/>
      <c r="C158" s="49"/>
      <c r="D158" s="2209"/>
      <c r="E158" s="2209"/>
      <c r="F158" s="2183" t="str">
        <f t="shared" ref="F158:F189" si="45">F135</f>
        <v>CAC-SEER17_ER2_SF</v>
      </c>
      <c r="G158" s="2183"/>
      <c r="H158" s="2183"/>
      <c r="I158" s="1326" t="str">
        <f t="shared" ref="I158:I189" si="46">I135</f>
        <v>351000_2024_12_</v>
      </c>
      <c r="J158" s="1898">
        <v>13.4</v>
      </c>
      <c r="K158" s="1371"/>
      <c r="L158" s="1307" t="s">
        <v>1029</v>
      </c>
      <c r="M158" s="49"/>
      <c r="N158" s="543"/>
      <c r="O158" s="49"/>
      <c r="T158" s="50"/>
      <c r="U158" s="50"/>
      <c r="V158" s="2179"/>
      <c r="W158" s="1326">
        <v>13</v>
      </c>
      <c r="X158" s="1326">
        <v>13</v>
      </c>
      <c r="Y158" s="1326">
        <v>13</v>
      </c>
      <c r="Z158" s="1326">
        <v>13</v>
      </c>
      <c r="AA158" s="1326">
        <v>13</v>
      </c>
      <c r="AB158" s="912">
        <v>13</v>
      </c>
      <c r="AC158" s="1326">
        <v>13</v>
      </c>
      <c r="AD158" s="1326">
        <v>13</v>
      </c>
      <c r="AE158" s="704">
        <v>14</v>
      </c>
      <c r="AF158" s="258">
        <f t="shared" si="43"/>
        <v>13.4</v>
      </c>
      <c r="AG158" s="1326"/>
      <c r="DG158" s="555"/>
      <c r="DH158" s="175"/>
      <c r="DI158" s="1049"/>
      <c r="DJ158" s="1127"/>
    </row>
    <row r="159" spans="1:114" ht="14.65" hidden="1" customHeight="1" outlineLevel="1" x14ac:dyDescent="0.25">
      <c r="A159" s="442"/>
      <c r="C159" s="49"/>
      <c r="D159" s="2209"/>
      <c r="E159" s="2209"/>
      <c r="F159" s="2183" t="str">
        <f t="shared" si="45"/>
        <v>CAC-SEER17_ROF_SF</v>
      </c>
      <c r="G159" s="2183"/>
      <c r="H159" s="2183"/>
      <c r="I159" s="1326" t="str">
        <f t="shared" si="46"/>
        <v>351050_2024_12_</v>
      </c>
      <c r="J159" s="1898">
        <v>13.4</v>
      </c>
      <c r="K159" s="1371"/>
      <c r="L159" s="1307" t="s">
        <v>1029</v>
      </c>
      <c r="M159" s="49"/>
      <c r="N159" s="543"/>
      <c r="O159" s="49"/>
      <c r="T159" s="50"/>
      <c r="U159" s="50"/>
      <c r="V159" s="2179"/>
      <c r="W159" s="1326">
        <v>13</v>
      </c>
      <c r="X159" s="1326">
        <v>13</v>
      </c>
      <c r="Y159" s="1326">
        <v>13</v>
      </c>
      <c r="Z159" s="1326">
        <v>13</v>
      </c>
      <c r="AA159" s="1326">
        <v>13</v>
      </c>
      <c r="AB159" s="912">
        <v>13</v>
      </c>
      <c r="AC159" s="1326">
        <v>13</v>
      </c>
      <c r="AD159" s="1326">
        <v>13</v>
      </c>
      <c r="AE159" s="704">
        <v>14</v>
      </c>
      <c r="AF159" s="258">
        <f t="shared" si="43"/>
        <v>13.4</v>
      </c>
      <c r="AG159" s="1326"/>
      <c r="DG159" s="555"/>
      <c r="DH159" s="175"/>
      <c r="DI159" s="1049"/>
      <c r="DJ159" s="1127"/>
    </row>
    <row r="160" spans="1:114" ht="14.65" hidden="1" customHeight="1" outlineLevel="1" x14ac:dyDescent="0.25">
      <c r="A160" s="442"/>
      <c r="C160" s="49"/>
      <c r="D160" s="2209"/>
      <c r="E160" s="2209"/>
      <c r="F160" s="2183" t="str">
        <f t="shared" si="45"/>
        <v>CAC-SEER18_ER1_SF</v>
      </c>
      <c r="G160" s="2183"/>
      <c r="H160" s="2183"/>
      <c r="I160" s="1326" t="str">
        <f t="shared" si="46"/>
        <v>351160_2024_12_</v>
      </c>
      <c r="J160" s="1898"/>
      <c r="K160" s="1371"/>
      <c r="L160" s="1307"/>
      <c r="M160" s="545"/>
      <c r="N160" s="543"/>
      <c r="T160" s="50"/>
      <c r="U160" s="50"/>
      <c r="V160" s="2138"/>
      <c r="W160" s="1326"/>
      <c r="X160" s="794"/>
      <c r="Y160" s="794"/>
      <c r="Z160" s="794"/>
      <c r="AA160" s="1326"/>
      <c r="AB160" s="912"/>
      <c r="AC160" s="1326"/>
      <c r="AD160" s="1326"/>
      <c r="AE160" s="704"/>
      <c r="AF160" s="258" t="str">
        <f t="shared" si="43"/>
        <v/>
      </c>
      <c r="AG160" s="1326"/>
      <c r="DG160" s="555"/>
      <c r="DH160" s="175"/>
      <c r="DI160" s="1049"/>
      <c r="DJ160" s="1127"/>
    </row>
    <row r="161" spans="1:114" ht="14.65" hidden="1" customHeight="1" outlineLevel="1" x14ac:dyDescent="0.25">
      <c r="A161" s="442"/>
      <c r="C161" s="49"/>
      <c r="D161" s="2209"/>
      <c r="E161" s="2209"/>
      <c r="F161" s="2183" t="str">
        <f t="shared" si="45"/>
        <v>CAC-SEER18_ER2_SF</v>
      </c>
      <c r="G161" s="2183"/>
      <c r="H161" s="2183"/>
      <c r="I161" s="1326" t="str">
        <f t="shared" si="46"/>
        <v>351160_2024_12_</v>
      </c>
      <c r="J161" s="1898">
        <v>13.4</v>
      </c>
      <c r="K161" s="1371"/>
      <c r="L161" s="1307" t="s">
        <v>1029</v>
      </c>
      <c r="M161" s="545"/>
      <c r="N161" s="543"/>
      <c r="T161" s="50"/>
      <c r="U161" s="50"/>
      <c r="V161" s="2138"/>
      <c r="W161" s="1326"/>
      <c r="X161" s="1326"/>
      <c r="Y161" s="1326"/>
      <c r="Z161" s="794">
        <v>13</v>
      </c>
      <c r="AA161" s="1326">
        <v>13</v>
      </c>
      <c r="AB161" s="912">
        <v>13</v>
      </c>
      <c r="AC161" s="1326">
        <v>13</v>
      </c>
      <c r="AD161" s="1326">
        <v>13</v>
      </c>
      <c r="AE161" s="704">
        <v>14</v>
      </c>
      <c r="AF161" s="258">
        <f t="shared" si="43"/>
        <v>13.4</v>
      </c>
      <c r="AG161" s="1326"/>
      <c r="DG161" s="555"/>
      <c r="DH161" s="175"/>
      <c r="DI161" s="1049"/>
      <c r="DJ161" s="1127"/>
    </row>
    <row r="162" spans="1:114" ht="14.65" hidden="1" customHeight="1" outlineLevel="1" x14ac:dyDescent="0.25">
      <c r="A162" s="442"/>
      <c r="C162" s="49"/>
      <c r="D162" s="2209"/>
      <c r="E162" s="2209"/>
      <c r="F162" s="2183" t="str">
        <f t="shared" si="45"/>
        <v>CAC-SEER18_ROF_SF</v>
      </c>
      <c r="G162" s="2183"/>
      <c r="H162" s="2183"/>
      <c r="I162" s="1326" t="str">
        <f t="shared" si="46"/>
        <v>351161_2024_12_</v>
      </c>
      <c r="J162" s="1898">
        <v>13.4</v>
      </c>
      <c r="K162" s="1371"/>
      <c r="L162" s="1307" t="s">
        <v>1029</v>
      </c>
      <c r="M162" s="49"/>
      <c r="N162" s="543"/>
      <c r="O162" s="49"/>
      <c r="T162" s="50"/>
      <c r="U162" s="50"/>
      <c r="V162" s="2138"/>
      <c r="W162" s="1326"/>
      <c r="X162" s="1326"/>
      <c r="Y162" s="1326"/>
      <c r="Z162" s="794">
        <v>13</v>
      </c>
      <c r="AA162" s="1326">
        <v>13</v>
      </c>
      <c r="AB162" s="912">
        <v>13</v>
      </c>
      <c r="AC162" s="1326">
        <v>13</v>
      </c>
      <c r="AD162" s="1326">
        <v>13</v>
      </c>
      <c r="AE162" s="704">
        <v>14</v>
      </c>
      <c r="AF162" s="258">
        <f t="shared" si="43"/>
        <v>13.4</v>
      </c>
      <c r="AG162" s="1326"/>
      <c r="DG162" s="555"/>
      <c r="DH162" s="175"/>
      <c r="DI162" s="1049"/>
      <c r="DJ162" s="1127"/>
    </row>
    <row r="163" spans="1:114" hidden="1" outlineLevel="1" x14ac:dyDescent="0.25">
      <c r="A163" s="442"/>
      <c r="C163" s="49"/>
      <c r="D163" s="2209"/>
      <c r="E163" s="2209"/>
      <c r="F163" s="2183" t="str">
        <f t="shared" si="45"/>
        <v>CAC-SEER19_ER1_SF</v>
      </c>
      <c r="G163" s="2183"/>
      <c r="H163" s="2183"/>
      <c r="I163" s="1326" t="str">
        <f t="shared" si="46"/>
        <v>351170_2024_12_</v>
      </c>
      <c r="J163" s="1898"/>
      <c r="K163" s="1371"/>
      <c r="L163" s="1307"/>
      <c r="M163" s="49"/>
      <c r="N163" s="543"/>
      <c r="O163" s="49"/>
      <c r="T163" s="50"/>
      <c r="U163" s="50"/>
      <c r="V163" s="2138"/>
      <c r="W163" s="1326"/>
      <c r="X163" s="794"/>
      <c r="Y163" s="794"/>
      <c r="Z163" s="794"/>
      <c r="AA163" s="1326"/>
      <c r="AB163" s="912"/>
      <c r="AC163" s="1326"/>
      <c r="AD163" s="1326"/>
      <c r="AE163" s="704"/>
      <c r="AF163" s="258" t="str">
        <f t="shared" si="43"/>
        <v/>
      </c>
      <c r="AG163" s="1326"/>
      <c r="DG163" s="555"/>
      <c r="DH163" s="175"/>
      <c r="DI163" s="1049"/>
      <c r="DJ163" s="1127"/>
    </row>
    <row r="164" spans="1:114" hidden="1" outlineLevel="1" x14ac:dyDescent="0.25">
      <c r="A164" s="442"/>
      <c r="C164" s="49"/>
      <c r="D164" s="2209"/>
      <c r="E164" s="2209"/>
      <c r="F164" s="2183" t="str">
        <f t="shared" si="45"/>
        <v>CAC-SEER19_ER2_SF</v>
      </c>
      <c r="G164" s="2183"/>
      <c r="H164" s="2183"/>
      <c r="I164" s="1326" t="str">
        <f t="shared" si="46"/>
        <v>351170_2024_12_</v>
      </c>
      <c r="J164" s="1898">
        <v>13.4</v>
      </c>
      <c r="K164" s="1371"/>
      <c r="L164" s="1307" t="s">
        <v>1029</v>
      </c>
      <c r="M164" s="49"/>
      <c r="N164" s="543"/>
      <c r="O164" s="49"/>
      <c r="T164" s="50"/>
      <c r="U164" s="50"/>
      <c r="V164" s="2138"/>
      <c r="W164" s="1326"/>
      <c r="X164" s="1326"/>
      <c r="Y164" s="1326"/>
      <c r="Z164" s="794">
        <v>13</v>
      </c>
      <c r="AA164" s="1326">
        <v>13</v>
      </c>
      <c r="AB164" s="912">
        <v>13</v>
      </c>
      <c r="AC164" s="1326">
        <v>13</v>
      </c>
      <c r="AD164" s="1326">
        <v>13</v>
      </c>
      <c r="AE164" s="704">
        <v>14</v>
      </c>
      <c r="AF164" s="258">
        <f t="shared" si="43"/>
        <v>13.4</v>
      </c>
      <c r="AG164" s="1326"/>
      <c r="DG164" s="555"/>
      <c r="DH164" s="175"/>
      <c r="DI164" s="1049"/>
      <c r="DJ164" s="1127"/>
    </row>
    <row r="165" spans="1:114" hidden="1" outlineLevel="1" x14ac:dyDescent="0.25">
      <c r="A165" s="442"/>
      <c r="C165" s="49"/>
      <c r="D165" s="2209"/>
      <c r="E165" s="2209"/>
      <c r="F165" s="2183" t="str">
        <f t="shared" si="45"/>
        <v>CAC-SEER19_ROF_SF</v>
      </c>
      <c r="G165" s="2183"/>
      <c r="H165" s="2183"/>
      <c r="I165" s="1326" t="str">
        <f t="shared" si="46"/>
        <v>351171_2024_12_</v>
      </c>
      <c r="J165" s="1898">
        <v>13.4</v>
      </c>
      <c r="K165" s="1371"/>
      <c r="L165" s="1307" t="s">
        <v>1029</v>
      </c>
      <c r="M165" s="49"/>
      <c r="N165" s="543"/>
      <c r="O165" s="49"/>
      <c r="T165" s="50"/>
      <c r="U165" s="50"/>
      <c r="V165" s="2138"/>
      <c r="W165" s="1326"/>
      <c r="X165" s="1326"/>
      <c r="Y165" s="1326"/>
      <c r="Z165" s="794">
        <v>13</v>
      </c>
      <c r="AA165" s="1326">
        <v>13</v>
      </c>
      <c r="AB165" s="912">
        <v>13</v>
      </c>
      <c r="AC165" s="1326">
        <v>13</v>
      </c>
      <c r="AD165" s="1326">
        <v>13</v>
      </c>
      <c r="AE165" s="704">
        <v>14</v>
      </c>
      <c r="AF165" s="258">
        <f t="shared" si="43"/>
        <v>13.4</v>
      </c>
      <c r="AG165" s="1326"/>
      <c r="DG165" s="555"/>
      <c r="DH165" s="175"/>
      <c r="DI165" s="1049"/>
      <c r="DJ165" s="1127"/>
    </row>
    <row r="166" spans="1:114" hidden="1" outlineLevel="1" x14ac:dyDescent="0.25">
      <c r="A166" s="442"/>
      <c r="C166" s="49"/>
      <c r="D166" s="2209"/>
      <c r="E166" s="2209"/>
      <c r="F166" s="2183" t="str">
        <f t="shared" si="45"/>
        <v>CAC-SEER20_ER1_SF</v>
      </c>
      <c r="G166" s="2183"/>
      <c r="H166" s="2183"/>
      <c r="I166" s="1326" t="str">
        <f t="shared" si="46"/>
        <v>351180_2024_12_</v>
      </c>
      <c r="J166" s="1898"/>
      <c r="K166" s="1371"/>
      <c r="L166" s="1307"/>
      <c r="M166" s="49"/>
      <c r="N166" s="543"/>
      <c r="O166" s="49"/>
      <c r="T166" s="50"/>
      <c r="U166" s="50"/>
      <c r="V166" s="2138"/>
      <c r="W166" s="1326"/>
      <c r="X166" s="794"/>
      <c r="Y166" s="794"/>
      <c r="Z166" s="794"/>
      <c r="AA166" s="1326"/>
      <c r="AB166" s="912"/>
      <c r="AC166" s="1326"/>
      <c r="AD166" s="1326"/>
      <c r="AE166" s="704"/>
      <c r="AF166" s="258" t="str">
        <f t="shared" ref="AF166:AF185" si="47">IF(J166&lt;&gt;"",J166,"")</f>
        <v/>
      </c>
      <c r="AG166" s="1326"/>
      <c r="DG166" s="555"/>
      <c r="DH166" s="175"/>
      <c r="DI166" s="1049"/>
      <c r="DJ166" s="1127"/>
    </row>
    <row r="167" spans="1:114" hidden="1" outlineLevel="1" x14ac:dyDescent="0.25">
      <c r="A167" s="442"/>
      <c r="C167" s="49"/>
      <c r="D167" s="2209"/>
      <c r="E167" s="2209"/>
      <c r="F167" s="2183" t="str">
        <f t="shared" si="45"/>
        <v>CAC-SEER20_ER2_SF</v>
      </c>
      <c r="G167" s="2183"/>
      <c r="H167" s="2183"/>
      <c r="I167" s="1326" t="str">
        <f t="shared" si="46"/>
        <v>351180_2024_12_</v>
      </c>
      <c r="J167" s="1898">
        <v>13.4</v>
      </c>
      <c r="K167" s="1371"/>
      <c r="L167" s="1307" t="s">
        <v>1029</v>
      </c>
      <c r="M167" s="49"/>
      <c r="N167" s="543"/>
      <c r="O167" s="49"/>
      <c r="T167" s="50"/>
      <c r="U167" s="50"/>
      <c r="V167" s="2138"/>
      <c r="W167" s="1326"/>
      <c r="X167" s="1326"/>
      <c r="Y167" s="1326"/>
      <c r="Z167" s="794">
        <v>13</v>
      </c>
      <c r="AA167" s="1326">
        <v>13</v>
      </c>
      <c r="AB167" s="912">
        <v>13</v>
      </c>
      <c r="AC167" s="1326">
        <v>13</v>
      </c>
      <c r="AD167" s="1326">
        <v>13</v>
      </c>
      <c r="AE167" s="704">
        <v>14</v>
      </c>
      <c r="AF167" s="258">
        <f t="shared" si="47"/>
        <v>13.4</v>
      </c>
      <c r="AG167" s="1326"/>
      <c r="DG167" s="555"/>
      <c r="DH167" s="175"/>
      <c r="DI167" s="1049"/>
      <c r="DJ167" s="1127"/>
    </row>
    <row r="168" spans="1:114" hidden="1" outlineLevel="1" x14ac:dyDescent="0.25">
      <c r="A168" s="442"/>
      <c r="C168" s="49"/>
      <c r="D168" s="2209"/>
      <c r="E168" s="2209"/>
      <c r="F168" s="2183" t="str">
        <f t="shared" si="45"/>
        <v>CAC-SEER20_ROF_SF</v>
      </c>
      <c r="G168" s="2183"/>
      <c r="H168" s="2183"/>
      <c r="I168" s="1326" t="str">
        <f t="shared" si="46"/>
        <v>351181_2024_12_</v>
      </c>
      <c r="J168" s="1898">
        <v>13.4</v>
      </c>
      <c r="K168" s="1371"/>
      <c r="L168" s="1307" t="s">
        <v>1029</v>
      </c>
      <c r="M168" s="49"/>
      <c r="N168" s="543"/>
      <c r="O168" s="49"/>
      <c r="T168" s="50"/>
      <c r="U168" s="50"/>
      <c r="V168" s="2138"/>
      <c r="W168" s="1326"/>
      <c r="X168" s="1326"/>
      <c r="Y168" s="1326"/>
      <c r="Z168" s="794">
        <v>13</v>
      </c>
      <c r="AA168" s="1326">
        <v>13</v>
      </c>
      <c r="AB168" s="912">
        <v>13</v>
      </c>
      <c r="AC168" s="1326">
        <v>13</v>
      </c>
      <c r="AD168" s="1326">
        <v>13</v>
      </c>
      <c r="AE168" s="704">
        <v>14</v>
      </c>
      <c r="AF168" s="258">
        <f t="shared" si="47"/>
        <v>13.4</v>
      </c>
      <c r="AG168" s="1326"/>
      <c r="DG168" s="555"/>
      <c r="DH168" s="175"/>
      <c r="DI168" s="1049"/>
      <c r="DJ168" s="1127"/>
    </row>
    <row r="169" spans="1:114" hidden="1" outlineLevel="1" x14ac:dyDescent="0.25">
      <c r="A169" s="442"/>
      <c r="C169" s="49"/>
      <c r="D169" s="2209"/>
      <c r="E169" s="2209"/>
      <c r="F169" s="2183" t="str">
        <f t="shared" si="45"/>
        <v>CAC-SEER21+_ER1_SF</v>
      </c>
      <c r="G169" s="2183"/>
      <c r="H169" s="2183"/>
      <c r="I169" s="1326" t="str">
        <f t="shared" si="46"/>
        <v>351190_2024_12_</v>
      </c>
      <c r="J169" s="1898"/>
      <c r="K169" s="1371"/>
      <c r="L169" s="1307"/>
      <c r="M169" s="49"/>
      <c r="N169" s="543"/>
      <c r="O169" s="49"/>
      <c r="T169" s="50"/>
      <c r="U169" s="50"/>
      <c r="V169" s="2138"/>
      <c r="W169" s="1326"/>
      <c r="X169" s="794"/>
      <c r="Y169" s="794"/>
      <c r="Z169" s="794"/>
      <c r="AA169" s="1326"/>
      <c r="AB169" s="912"/>
      <c r="AC169" s="1326"/>
      <c r="AD169" s="1326"/>
      <c r="AE169" s="704"/>
      <c r="AF169" s="258" t="str">
        <f t="shared" si="47"/>
        <v/>
      </c>
      <c r="AG169" s="1326"/>
      <c r="DG169" s="555"/>
      <c r="DH169" s="175"/>
      <c r="DI169" s="1049"/>
      <c r="DJ169" s="1127"/>
    </row>
    <row r="170" spans="1:114" ht="14.65" hidden="1" customHeight="1" outlineLevel="1" x14ac:dyDescent="0.25">
      <c r="A170" s="442"/>
      <c r="C170" s="49"/>
      <c r="D170" s="2209"/>
      <c r="E170" s="2209"/>
      <c r="F170" s="2183" t="str">
        <f t="shared" si="45"/>
        <v>CAC-SEER21+_ER2_SF</v>
      </c>
      <c r="G170" s="2183"/>
      <c r="H170" s="2183"/>
      <c r="I170" s="1326" t="str">
        <f t="shared" si="46"/>
        <v>351190_2024_12_</v>
      </c>
      <c r="J170" s="1898">
        <v>13.4</v>
      </c>
      <c r="K170" s="1371"/>
      <c r="L170" s="1307" t="s">
        <v>1029</v>
      </c>
      <c r="M170" s="49"/>
      <c r="N170" s="543"/>
      <c r="O170" s="49"/>
      <c r="T170" s="50"/>
      <c r="U170" s="50"/>
      <c r="V170" s="2138"/>
      <c r="W170" s="1326"/>
      <c r="X170" s="1326"/>
      <c r="Y170" s="1326"/>
      <c r="Z170" s="794">
        <v>13</v>
      </c>
      <c r="AA170" s="1326">
        <v>13</v>
      </c>
      <c r="AB170" s="912">
        <v>13</v>
      </c>
      <c r="AC170" s="1326">
        <v>13</v>
      </c>
      <c r="AD170" s="1326">
        <v>13</v>
      </c>
      <c r="AE170" s="704">
        <v>14</v>
      </c>
      <c r="AF170" s="258">
        <f t="shared" si="47"/>
        <v>13.4</v>
      </c>
      <c r="AG170" s="1326"/>
      <c r="DG170" s="555"/>
      <c r="DH170" s="175"/>
      <c r="DI170" s="1049"/>
      <c r="DJ170" s="1127"/>
    </row>
    <row r="171" spans="1:114" ht="14.65" hidden="1" customHeight="1" outlineLevel="1" x14ac:dyDescent="0.25">
      <c r="A171" s="442"/>
      <c r="C171" s="49"/>
      <c r="D171" s="2209"/>
      <c r="E171" s="2209"/>
      <c r="F171" s="2183" t="str">
        <f t="shared" si="45"/>
        <v>CAC-SEER21+_ROF_SF</v>
      </c>
      <c r="G171" s="2183"/>
      <c r="H171" s="2183"/>
      <c r="I171" s="1326" t="str">
        <f t="shared" si="46"/>
        <v>351191_2024_12_</v>
      </c>
      <c r="J171" s="1898">
        <v>13.4</v>
      </c>
      <c r="K171" s="1371"/>
      <c r="L171" s="1307" t="s">
        <v>1029</v>
      </c>
      <c r="M171" s="49"/>
      <c r="N171" s="543"/>
      <c r="O171" s="49"/>
      <c r="T171" s="50"/>
      <c r="U171" s="50"/>
      <c r="V171" s="2138"/>
      <c r="W171" s="1326"/>
      <c r="X171" s="1326"/>
      <c r="Y171" s="1326"/>
      <c r="Z171" s="794">
        <v>13</v>
      </c>
      <c r="AA171" s="1326">
        <v>13</v>
      </c>
      <c r="AB171" s="912">
        <v>13</v>
      </c>
      <c r="AC171" s="1326">
        <v>13</v>
      </c>
      <c r="AD171" s="1326">
        <v>13</v>
      </c>
      <c r="AE171" s="704">
        <v>14</v>
      </c>
      <c r="AF171" s="258">
        <f t="shared" si="47"/>
        <v>13.4</v>
      </c>
      <c r="AG171" s="1326"/>
      <c r="DG171" s="555"/>
      <c r="DH171" s="175"/>
      <c r="DI171" s="1049"/>
      <c r="DJ171" s="1127"/>
    </row>
    <row r="172" spans="1:114" hidden="1" outlineLevel="1" x14ac:dyDescent="0.25">
      <c r="A172" s="442"/>
      <c r="C172" s="49"/>
      <c r="D172" s="2208" t="s">
        <v>1030</v>
      </c>
      <c r="E172" s="2208" t="s">
        <v>1031</v>
      </c>
      <c r="F172" s="2183" t="str">
        <f t="shared" si="45"/>
        <v>CAC-SEER15_ER1_SF</v>
      </c>
      <c r="G172" s="2183"/>
      <c r="H172" s="2183"/>
      <c r="I172" s="1326" t="str">
        <f t="shared" si="46"/>
        <v>350600_2024_12_</v>
      </c>
      <c r="J172" s="1604">
        <v>15.10681605975719</v>
      </c>
      <c r="K172" s="1307"/>
      <c r="L172" s="1593" t="s">
        <v>1024</v>
      </c>
      <c r="M172" s="49"/>
      <c r="N172" s="543"/>
      <c r="O172" s="49"/>
      <c r="T172" s="50"/>
      <c r="U172" s="50"/>
      <c r="V172" s="2179"/>
      <c r="W172" s="1326">
        <v>15.2</v>
      </c>
      <c r="X172" s="199">
        <v>15.16</v>
      </c>
      <c r="Y172" s="199">
        <v>15.16</v>
      </c>
      <c r="Z172" s="198">
        <v>15.16</v>
      </c>
      <c r="AA172" s="198">
        <v>15.16</v>
      </c>
      <c r="AB172" s="704">
        <v>15.107566616390109</v>
      </c>
      <c r="AC172" s="704">
        <v>15.097858431018889</v>
      </c>
      <c r="AD172" s="898">
        <v>15.105013250883337</v>
      </c>
      <c r="AE172" s="898">
        <v>15.10681605975719</v>
      </c>
      <c r="AF172" s="258">
        <f t="shared" si="47"/>
        <v>15.10681605975719</v>
      </c>
      <c r="AG172" s="1326"/>
      <c r="DG172" s="555"/>
      <c r="DH172" s="175"/>
      <c r="DI172" s="1049"/>
      <c r="DJ172" s="1127"/>
    </row>
    <row r="173" spans="1:114" hidden="1" outlineLevel="1" x14ac:dyDescent="0.25">
      <c r="A173" s="442"/>
      <c r="C173" s="49"/>
      <c r="D173" s="2209"/>
      <c r="E173" s="2209"/>
      <c r="F173" s="2183" t="str">
        <f t="shared" si="45"/>
        <v>CAC-SEER15_ER2_SF</v>
      </c>
      <c r="G173" s="2183"/>
      <c r="H173" s="2183"/>
      <c r="I173" s="1326" t="str">
        <f t="shared" si="46"/>
        <v>350600_2024_12_</v>
      </c>
      <c r="J173" s="1592">
        <f>J172</f>
        <v>15.10681605975719</v>
      </c>
      <c r="K173" s="1307"/>
      <c r="L173" s="1593" t="s">
        <v>1024</v>
      </c>
      <c r="M173" s="49"/>
      <c r="N173" s="543"/>
      <c r="O173" s="49"/>
      <c r="T173" s="50"/>
      <c r="U173" s="50"/>
      <c r="V173" s="2179"/>
      <c r="W173" s="1326">
        <v>15.2</v>
      </c>
      <c r="X173" s="199">
        <v>15.16</v>
      </c>
      <c r="Y173" s="199">
        <v>15.16</v>
      </c>
      <c r="Z173" s="198">
        <v>15.16</v>
      </c>
      <c r="AA173" s="198">
        <v>15.16</v>
      </c>
      <c r="AB173" s="704">
        <v>15.107566616390109</v>
      </c>
      <c r="AC173" s="704">
        <v>15.097858431018889</v>
      </c>
      <c r="AD173" s="704">
        <v>15.105013250883337</v>
      </c>
      <c r="AE173" s="704">
        <v>15.10681605975719</v>
      </c>
      <c r="AF173" s="258">
        <f t="shared" si="47"/>
        <v>15.10681605975719</v>
      </c>
      <c r="AG173" s="1326"/>
      <c r="DG173" s="555"/>
      <c r="DH173" s="175"/>
      <c r="DI173" s="1049"/>
      <c r="DJ173" s="1127"/>
    </row>
    <row r="174" spans="1:114" hidden="1" outlineLevel="1" x14ac:dyDescent="0.25">
      <c r="A174" s="442"/>
      <c r="C174" s="49"/>
      <c r="D174" s="2209"/>
      <c r="E174" s="2209"/>
      <c r="F174" s="2183" t="str">
        <f t="shared" si="45"/>
        <v>CAC-SEER15_ROF_SF</v>
      </c>
      <c r="G174" s="2183"/>
      <c r="H174" s="2183"/>
      <c r="I174" s="1326" t="str">
        <f t="shared" si="46"/>
        <v>350650_2024_12_</v>
      </c>
      <c r="J174" s="1604">
        <v>15.111256544502622</v>
      </c>
      <c r="K174" s="1307"/>
      <c r="L174" s="1593" t="s">
        <v>1024</v>
      </c>
      <c r="M174" s="49"/>
      <c r="N174" s="543"/>
      <c r="O174" s="49"/>
      <c r="T174" s="50"/>
      <c r="U174" s="50"/>
      <c r="V174" s="2179"/>
      <c r="W174" s="1326">
        <v>15.1</v>
      </c>
      <c r="X174" s="199">
        <v>15.16</v>
      </c>
      <c r="Y174" s="199">
        <v>15.13</v>
      </c>
      <c r="Z174" s="198">
        <v>15.13</v>
      </c>
      <c r="AA174" s="198">
        <v>15.13</v>
      </c>
      <c r="AB174" s="704">
        <v>15.119400630914827</v>
      </c>
      <c r="AC174" s="704">
        <v>15.106015037593986</v>
      </c>
      <c r="AD174" s="898">
        <v>15.098944337811908</v>
      </c>
      <c r="AE174" s="898">
        <v>15.111256544502622</v>
      </c>
      <c r="AF174" s="258">
        <f t="shared" si="47"/>
        <v>15.111256544502622</v>
      </c>
      <c r="AG174" s="1326"/>
      <c r="DG174" s="555"/>
      <c r="DH174" s="175"/>
      <c r="DI174" s="1049"/>
      <c r="DJ174" s="1127"/>
    </row>
    <row r="175" spans="1:114" hidden="1" outlineLevel="1" x14ac:dyDescent="0.25">
      <c r="A175" s="442"/>
      <c r="C175" s="49"/>
      <c r="D175" s="2209"/>
      <c r="E175" s="2209"/>
      <c r="F175" s="2183" t="str">
        <f t="shared" si="45"/>
        <v>CAC-SEER16_ER1_SF</v>
      </c>
      <c r="G175" s="2183"/>
      <c r="H175" s="2183"/>
      <c r="I175" s="1326" t="str">
        <f t="shared" si="46"/>
        <v>350800_2024_12_</v>
      </c>
      <c r="J175" s="1604">
        <v>16.032257819617371</v>
      </c>
      <c r="K175" s="1307"/>
      <c r="L175" s="1593" t="s">
        <v>1024</v>
      </c>
      <c r="M175" s="49"/>
      <c r="N175" s="543"/>
      <c r="O175" s="49"/>
      <c r="P175" s="50" t="s">
        <v>1032</v>
      </c>
      <c r="T175" s="50"/>
      <c r="U175" s="50"/>
      <c r="V175" s="2179"/>
      <c r="W175" s="1326">
        <v>16</v>
      </c>
      <c r="X175" s="199">
        <v>16.350000000000001</v>
      </c>
      <c r="Y175" s="199">
        <v>16.36</v>
      </c>
      <c r="Z175" s="198">
        <v>16.36</v>
      </c>
      <c r="AA175" s="198">
        <v>16.36</v>
      </c>
      <c r="AB175" s="704">
        <v>16.028875215889464</v>
      </c>
      <c r="AC175" s="704">
        <v>16.027565046637211</v>
      </c>
      <c r="AD175" s="898">
        <v>16.025474924012158</v>
      </c>
      <c r="AE175" s="898">
        <v>16.032257819617371</v>
      </c>
      <c r="AF175" s="258">
        <f t="shared" si="47"/>
        <v>16.032257819617371</v>
      </c>
      <c r="AG175" s="1326"/>
      <c r="DG175" s="555"/>
      <c r="DH175" s="175"/>
      <c r="DI175" s="1049"/>
      <c r="DJ175" s="1127"/>
    </row>
    <row r="176" spans="1:114" hidden="1" outlineLevel="1" x14ac:dyDescent="0.25">
      <c r="A176" s="442"/>
      <c r="C176" s="49"/>
      <c r="D176" s="2209"/>
      <c r="E176" s="2209"/>
      <c r="F176" s="2183" t="str">
        <f t="shared" si="45"/>
        <v>CAC-SEER16_ER2_SF</v>
      </c>
      <c r="G176" s="2183"/>
      <c r="H176" s="2183"/>
      <c r="I176" s="1326" t="str">
        <f t="shared" si="46"/>
        <v>350800_2024_12_</v>
      </c>
      <c r="J176" s="1592">
        <f>J175</f>
        <v>16.032257819617371</v>
      </c>
      <c r="K176" s="1307"/>
      <c r="L176" s="1593" t="s">
        <v>1024</v>
      </c>
      <c r="M176" s="49"/>
      <c r="N176" s="543"/>
      <c r="O176" s="49"/>
      <c r="P176" s="50" t="s">
        <v>1032</v>
      </c>
      <c r="T176" s="50"/>
      <c r="U176" s="50"/>
      <c r="V176" s="2179"/>
      <c r="W176" s="1326">
        <v>16</v>
      </c>
      <c r="X176" s="199">
        <v>16.350000000000001</v>
      </c>
      <c r="Y176" s="199">
        <v>16.36</v>
      </c>
      <c r="Z176" s="198">
        <v>16.36</v>
      </c>
      <c r="AA176" s="198">
        <v>16.36</v>
      </c>
      <c r="AB176" s="704">
        <v>16.028875215889464</v>
      </c>
      <c r="AC176" s="704">
        <v>16.027565046637211</v>
      </c>
      <c r="AD176" s="704">
        <v>16.025474924012158</v>
      </c>
      <c r="AE176" s="704">
        <v>16.032257819617371</v>
      </c>
      <c r="AF176" s="258">
        <f t="shared" si="47"/>
        <v>16.032257819617371</v>
      </c>
      <c r="AG176" s="1326"/>
      <c r="DG176" s="555"/>
      <c r="DH176" s="175"/>
      <c r="DI176" s="1049"/>
      <c r="DJ176" s="1127"/>
    </row>
    <row r="177" spans="1:114" hidden="1" outlineLevel="1" x14ac:dyDescent="0.25">
      <c r="A177" s="442"/>
      <c r="C177" s="49"/>
      <c r="D177" s="2209"/>
      <c r="E177" s="2209"/>
      <c r="F177" s="2183" t="str">
        <f t="shared" si="45"/>
        <v>CAC-SEER16_ROF_SF</v>
      </c>
      <c r="G177" s="2183"/>
      <c r="H177" s="2183"/>
      <c r="I177" s="1326" t="str">
        <f t="shared" si="46"/>
        <v>350850_2024_12_</v>
      </c>
      <c r="J177" s="1604">
        <v>16.037510692899918</v>
      </c>
      <c r="K177" s="1307"/>
      <c r="L177" s="1593" t="s">
        <v>1026</v>
      </c>
      <c r="M177" s="49"/>
      <c r="N177" s="543"/>
      <c r="O177" s="49"/>
      <c r="T177" s="50"/>
      <c r="U177" s="50"/>
      <c r="V177" s="2179"/>
      <c r="W177" s="1326">
        <v>16</v>
      </c>
      <c r="X177" s="199">
        <v>16.350000000000001</v>
      </c>
      <c r="Y177" s="199">
        <v>16.37</v>
      </c>
      <c r="Z177" s="198">
        <v>16.37</v>
      </c>
      <c r="AA177" s="198">
        <v>16.37</v>
      </c>
      <c r="AB177" s="704">
        <v>16.036909448818896</v>
      </c>
      <c r="AC177" s="704">
        <v>16.031308411214955</v>
      </c>
      <c r="AD177" s="898">
        <v>16.037510692899918</v>
      </c>
      <c r="AE177" s="999">
        <v>16.037510692899918</v>
      </c>
      <c r="AF177" s="258">
        <f t="shared" si="47"/>
        <v>16.037510692899918</v>
      </c>
      <c r="AG177" s="1326"/>
      <c r="DG177" s="555"/>
      <c r="DH177" s="175"/>
      <c r="DI177" s="1049"/>
      <c r="DJ177" s="1127"/>
    </row>
    <row r="178" spans="1:114" hidden="1" outlineLevel="1" x14ac:dyDescent="0.25">
      <c r="A178" s="442"/>
      <c r="C178" s="49"/>
      <c r="D178" s="2209"/>
      <c r="E178" s="2209"/>
      <c r="F178" s="2183" t="str">
        <f t="shared" si="45"/>
        <v>CAC-SEER16_ER1_MF</v>
      </c>
      <c r="G178" s="2183"/>
      <c r="H178" s="2183"/>
      <c r="I178" s="1326" t="str">
        <f t="shared" si="46"/>
        <v>350900_2024_12_</v>
      </c>
      <c r="J178" s="1592">
        <v>16.035714285714285</v>
      </c>
      <c r="K178" s="1307"/>
      <c r="L178" s="1593" t="s">
        <v>1024</v>
      </c>
      <c r="M178" s="49"/>
      <c r="N178" s="543"/>
      <c r="O178" s="49"/>
      <c r="P178" s="50" t="s">
        <v>1032</v>
      </c>
      <c r="T178" s="50"/>
      <c r="U178" s="50"/>
      <c r="V178" s="2179"/>
      <c r="W178" s="1326">
        <v>16</v>
      </c>
      <c r="X178" s="199">
        <v>16</v>
      </c>
      <c r="Y178" s="198">
        <v>16</v>
      </c>
      <c r="Z178" s="198">
        <v>16</v>
      </c>
      <c r="AA178" s="198">
        <v>16</v>
      </c>
      <c r="AB178" s="704">
        <v>16.040816326530614</v>
      </c>
      <c r="AC178" s="704">
        <v>16.006024096385541</v>
      </c>
      <c r="AD178" s="704">
        <v>16.005494505494507</v>
      </c>
      <c r="AE178" s="704">
        <v>16.035714285714285</v>
      </c>
      <c r="AF178" s="258">
        <f t="shared" si="47"/>
        <v>16.035714285714285</v>
      </c>
      <c r="AG178" s="1326"/>
      <c r="DG178" s="555"/>
      <c r="DH178" s="175"/>
      <c r="DI178" s="1049"/>
      <c r="DJ178" s="1127"/>
    </row>
    <row r="179" spans="1:114" hidden="1" outlineLevel="1" x14ac:dyDescent="0.25">
      <c r="A179" s="442"/>
      <c r="C179" s="49"/>
      <c r="D179" s="2209"/>
      <c r="E179" s="2209"/>
      <c r="F179" s="2183" t="str">
        <f t="shared" si="45"/>
        <v>CAC-SEER16_ER2_MF</v>
      </c>
      <c r="G179" s="2183"/>
      <c r="H179" s="2183"/>
      <c r="I179" s="1326" t="str">
        <f t="shared" si="46"/>
        <v>350900_2024_12_</v>
      </c>
      <c r="J179" s="1592">
        <f>J178</f>
        <v>16.035714285714285</v>
      </c>
      <c r="K179" s="1307"/>
      <c r="L179" s="1593" t="s">
        <v>1024</v>
      </c>
      <c r="M179" s="49"/>
      <c r="N179" s="543"/>
      <c r="O179" s="49"/>
      <c r="P179" s="50" t="s">
        <v>1032</v>
      </c>
      <c r="T179" s="50"/>
      <c r="U179" s="50"/>
      <c r="V179" s="2179"/>
      <c r="W179" s="1326">
        <v>16</v>
      </c>
      <c r="X179" s="199">
        <v>16</v>
      </c>
      <c r="Y179" s="198">
        <v>16</v>
      </c>
      <c r="Z179" s="198">
        <v>16</v>
      </c>
      <c r="AA179" s="198">
        <v>16</v>
      </c>
      <c r="AB179" s="704">
        <v>16.040816326530614</v>
      </c>
      <c r="AC179" s="704">
        <v>16.006024096385541</v>
      </c>
      <c r="AD179" s="704">
        <v>16.005494505494507</v>
      </c>
      <c r="AE179" s="704">
        <v>16.035714285714285</v>
      </c>
      <c r="AF179" s="258">
        <f t="shared" si="47"/>
        <v>16.035714285714285</v>
      </c>
      <c r="AG179" s="1326"/>
      <c r="DG179" s="555"/>
      <c r="DH179" s="175"/>
      <c r="DI179" s="1049"/>
      <c r="DJ179" s="1127"/>
    </row>
    <row r="180" spans="1:114" hidden="1" outlineLevel="1" x14ac:dyDescent="0.25">
      <c r="A180" s="442"/>
      <c r="C180" s="49"/>
      <c r="D180" s="2209"/>
      <c r="E180" s="2209"/>
      <c r="F180" s="2183" t="str">
        <f t="shared" si="45"/>
        <v>CAC-SEER17_ER1_SF</v>
      </c>
      <c r="G180" s="2183"/>
      <c r="H180" s="2183"/>
      <c r="I180" s="1326" t="str">
        <f t="shared" si="46"/>
        <v>351000_2024_12_</v>
      </c>
      <c r="J180" s="1592">
        <v>17.076594157862026</v>
      </c>
      <c r="K180" s="1307"/>
      <c r="L180" s="1593" t="s">
        <v>1026</v>
      </c>
      <c r="M180" s="49"/>
      <c r="N180" s="543"/>
      <c r="O180" s="49"/>
      <c r="T180" s="50"/>
      <c r="U180" s="50"/>
      <c r="V180" s="2179"/>
      <c r="W180" s="1326">
        <v>17</v>
      </c>
      <c r="X180" s="198">
        <f t="shared" ref="X180:X182" si="48">W180</f>
        <v>17</v>
      </c>
      <c r="Y180" s="198">
        <v>17</v>
      </c>
      <c r="Z180" s="198">
        <v>17</v>
      </c>
      <c r="AA180" s="198">
        <v>17</v>
      </c>
      <c r="AB180" s="704">
        <v>17.598210862619805</v>
      </c>
      <c r="AC180" s="704">
        <v>17.256511771995044</v>
      </c>
      <c r="AD180" s="704">
        <v>17.076594157862026</v>
      </c>
      <c r="AE180" s="709">
        <v>17.076594157862026</v>
      </c>
      <c r="AF180" s="258">
        <f t="shared" si="47"/>
        <v>17.076594157862026</v>
      </c>
      <c r="AG180" s="1326"/>
      <c r="DG180" s="555"/>
      <c r="DH180" s="175"/>
      <c r="DI180" s="1049"/>
      <c r="DJ180" s="1127"/>
    </row>
    <row r="181" spans="1:114" ht="14.65" hidden="1" customHeight="1" outlineLevel="1" x14ac:dyDescent="0.25">
      <c r="A181" s="442"/>
      <c r="C181" s="49"/>
      <c r="D181" s="2209"/>
      <c r="E181" s="2209"/>
      <c r="F181" s="2183" t="str">
        <f t="shared" si="45"/>
        <v>CAC-SEER17_ER2_SF</v>
      </c>
      <c r="G181" s="2183"/>
      <c r="H181" s="2183"/>
      <c r="I181" s="1326" t="str">
        <f t="shared" si="46"/>
        <v>351000_2024_12_</v>
      </c>
      <c r="J181" s="1592">
        <f>J180</f>
        <v>17.076594157862026</v>
      </c>
      <c r="K181" s="1307"/>
      <c r="L181" s="1593" t="s">
        <v>1026</v>
      </c>
      <c r="M181" s="49"/>
      <c r="N181" s="543"/>
      <c r="O181" s="49"/>
      <c r="T181" s="50"/>
      <c r="U181" s="50"/>
      <c r="V181" s="2179"/>
      <c r="W181" s="1326">
        <v>17</v>
      </c>
      <c r="X181" s="198">
        <f t="shared" si="48"/>
        <v>17</v>
      </c>
      <c r="Y181" s="198">
        <v>17</v>
      </c>
      <c r="Z181" s="198">
        <v>17</v>
      </c>
      <c r="AA181" s="198">
        <v>17</v>
      </c>
      <c r="AB181" s="704">
        <v>17.598210862619805</v>
      </c>
      <c r="AC181" s="704">
        <v>17.256511771995044</v>
      </c>
      <c r="AD181" s="704">
        <v>17.076594157862026</v>
      </c>
      <c r="AE181" s="709">
        <v>17.076594157862026</v>
      </c>
      <c r="AF181" s="258">
        <f t="shared" si="47"/>
        <v>17.076594157862026</v>
      </c>
      <c r="AG181" s="1326"/>
      <c r="DG181" s="555"/>
      <c r="DH181" s="175"/>
      <c r="DI181" s="1049"/>
      <c r="DJ181" s="1127"/>
    </row>
    <row r="182" spans="1:114" ht="14.65" hidden="1" customHeight="1" outlineLevel="1" x14ac:dyDescent="0.25">
      <c r="A182" s="442"/>
      <c r="C182" s="49"/>
      <c r="D182" s="2209"/>
      <c r="E182" s="2209"/>
      <c r="F182" s="2183" t="str">
        <f t="shared" si="45"/>
        <v>CAC-SEER17_ROF_SF</v>
      </c>
      <c r="G182" s="2183"/>
      <c r="H182" s="2183"/>
      <c r="I182" s="1326" t="str">
        <f t="shared" si="46"/>
        <v>351050_2024_12_</v>
      </c>
      <c r="J182" s="1592">
        <v>17.056686930091182</v>
      </c>
      <c r="K182" s="1307"/>
      <c r="L182" s="1593" t="s">
        <v>1024</v>
      </c>
      <c r="M182" s="49"/>
      <c r="N182" s="543"/>
      <c r="O182" s="49"/>
      <c r="T182" s="50"/>
      <c r="U182" s="50"/>
      <c r="V182" s="2179"/>
      <c r="W182" s="1326">
        <v>17</v>
      </c>
      <c r="X182" s="198">
        <f t="shared" si="48"/>
        <v>17</v>
      </c>
      <c r="Y182" s="198">
        <v>17</v>
      </c>
      <c r="Z182" s="198">
        <v>17</v>
      </c>
      <c r="AA182" s="198">
        <v>17</v>
      </c>
      <c r="AB182" s="704">
        <v>17.546938775510206</v>
      </c>
      <c r="AC182" s="704">
        <v>17.227010869565216</v>
      </c>
      <c r="AD182" s="704">
        <v>17.078014184397162</v>
      </c>
      <c r="AE182" s="704">
        <v>17.056686930091182</v>
      </c>
      <c r="AF182" s="258">
        <f t="shared" si="47"/>
        <v>17.056686930091182</v>
      </c>
      <c r="AG182" s="1326"/>
      <c r="DG182" s="555"/>
      <c r="DH182" s="175"/>
      <c r="DI182" s="1049"/>
      <c r="DJ182" s="1127"/>
    </row>
    <row r="183" spans="1:114" ht="14.65" hidden="1" customHeight="1" outlineLevel="1" x14ac:dyDescent="0.25">
      <c r="A183" s="442"/>
      <c r="C183" s="49"/>
      <c r="D183" s="2209"/>
      <c r="E183" s="2209"/>
      <c r="F183" s="2183" t="str">
        <f t="shared" si="45"/>
        <v>CAC-SEER18_ER1_SF</v>
      </c>
      <c r="G183" s="2183"/>
      <c r="H183" s="2183"/>
      <c r="I183" s="1326" t="str">
        <f t="shared" si="46"/>
        <v>351160_2024_12_</v>
      </c>
      <c r="J183" s="1604">
        <v>18.005837563451777</v>
      </c>
      <c r="K183" s="1307"/>
      <c r="L183" s="1593" t="s">
        <v>1026</v>
      </c>
      <c r="M183" s="49"/>
      <c r="N183" s="543"/>
      <c r="O183" s="49"/>
      <c r="P183" s="50" t="s">
        <v>1032</v>
      </c>
      <c r="T183" s="50"/>
      <c r="U183" s="50"/>
      <c r="V183" s="2138"/>
      <c r="W183" s="1326"/>
      <c r="X183" s="199"/>
      <c r="Y183" s="199"/>
      <c r="Z183" s="794">
        <v>18</v>
      </c>
      <c r="AA183" s="198">
        <v>18</v>
      </c>
      <c r="AB183" s="914">
        <v>18</v>
      </c>
      <c r="AC183" s="704">
        <v>18.00561797752809</v>
      </c>
      <c r="AD183" s="898">
        <v>18.005837563451777</v>
      </c>
      <c r="AE183" s="999">
        <v>18.005837563451777</v>
      </c>
      <c r="AF183" s="258">
        <f t="shared" si="47"/>
        <v>18.005837563451777</v>
      </c>
      <c r="AG183" s="1326"/>
      <c r="DG183" s="555"/>
      <c r="DH183" s="175"/>
      <c r="DI183" s="1049"/>
      <c r="DJ183" s="1127"/>
    </row>
    <row r="184" spans="1:114" ht="14.65" hidden="1" customHeight="1" outlineLevel="1" x14ac:dyDescent="0.25">
      <c r="A184" s="442"/>
      <c r="C184" s="49"/>
      <c r="D184" s="2209"/>
      <c r="E184" s="2209"/>
      <c r="F184" s="2183" t="str">
        <f t="shared" si="45"/>
        <v>CAC-SEER18_ER2_SF</v>
      </c>
      <c r="G184" s="2183"/>
      <c r="H184" s="2183"/>
      <c r="I184" s="1326" t="str">
        <f t="shared" si="46"/>
        <v>351160_2024_12_</v>
      </c>
      <c r="J184" s="1592">
        <f>J183</f>
        <v>18.005837563451777</v>
      </c>
      <c r="K184" s="1307"/>
      <c r="L184" s="1593" t="s">
        <v>1026</v>
      </c>
      <c r="M184" s="49"/>
      <c r="N184" s="543"/>
      <c r="O184" s="49"/>
      <c r="P184" s="50" t="s">
        <v>1032</v>
      </c>
      <c r="T184" s="50"/>
      <c r="U184" s="50"/>
      <c r="V184" s="2138"/>
      <c r="W184" s="1326"/>
      <c r="X184" s="199"/>
      <c r="Y184" s="199"/>
      <c r="Z184" s="794">
        <v>18</v>
      </c>
      <c r="AA184" s="198">
        <v>18</v>
      </c>
      <c r="AB184" s="914">
        <v>18</v>
      </c>
      <c r="AC184" s="914">
        <v>18</v>
      </c>
      <c r="AD184" s="704">
        <v>18.005837563451777</v>
      </c>
      <c r="AE184" s="709">
        <v>18.005837563451777</v>
      </c>
      <c r="AF184" s="258">
        <f t="shared" si="47"/>
        <v>18.005837563451777</v>
      </c>
      <c r="AG184" s="1326"/>
      <c r="DG184" s="555"/>
      <c r="DH184" s="175"/>
      <c r="DI184" s="1049"/>
      <c r="DJ184" s="1127"/>
    </row>
    <row r="185" spans="1:114" ht="14.65" hidden="1" customHeight="1" outlineLevel="1" x14ac:dyDescent="0.25">
      <c r="A185" s="442"/>
      <c r="C185" s="49"/>
      <c r="D185" s="2209"/>
      <c r="E185" s="2209"/>
      <c r="F185" s="2183" t="str">
        <f t="shared" si="45"/>
        <v>CAC-SEER18_ROF_SF</v>
      </c>
      <c r="G185" s="2183"/>
      <c r="H185" s="2183"/>
      <c r="I185" s="1326" t="str">
        <f t="shared" si="46"/>
        <v>351161_2024_12_</v>
      </c>
      <c r="J185" s="1604">
        <v>18</v>
      </c>
      <c r="K185" s="1307"/>
      <c r="L185" s="1593" t="s">
        <v>1026</v>
      </c>
      <c r="M185" s="49"/>
      <c r="N185" s="543"/>
      <c r="O185" s="49"/>
      <c r="T185" s="50"/>
      <c r="U185" s="50"/>
      <c r="V185" s="2138"/>
      <c r="W185" s="1326"/>
      <c r="X185" s="199"/>
      <c r="Y185" s="199"/>
      <c r="Z185" s="794">
        <v>18</v>
      </c>
      <c r="AA185" s="198">
        <v>18</v>
      </c>
      <c r="AB185" s="914">
        <v>18</v>
      </c>
      <c r="AC185" s="704">
        <v>18.012820512820515</v>
      </c>
      <c r="AD185" s="898">
        <v>18</v>
      </c>
      <c r="AE185" s="999">
        <v>18</v>
      </c>
      <c r="AF185" s="258">
        <f t="shared" si="47"/>
        <v>18</v>
      </c>
      <c r="AG185" s="1326"/>
      <c r="DG185" s="555"/>
      <c r="DH185" s="175"/>
      <c r="DI185" s="1049"/>
      <c r="DJ185" s="1127"/>
    </row>
    <row r="186" spans="1:114" hidden="1" outlineLevel="1" x14ac:dyDescent="0.25">
      <c r="A186" s="442"/>
      <c r="C186" s="49"/>
      <c r="D186" s="2209"/>
      <c r="E186" s="2209"/>
      <c r="F186" s="2183" t="str">
        <f t="shared" si="45"/>
        <v>CAC-SEER19_ER1_SF</v>
      </c>
      <c r="G186" s="2183"/>
      <c r="H186" s="2183"/>
      <c r="I186" s="1326" t="str">
        <f t="shared" si="46"/>
        <v>351170_2024_12_</v>
      </c>
      <c r="J186" s="1604">
        <v>19.138095238095239</v>
      </c>
      <c r="K186" s="1307"/>
      <c r="L186" s="1593" t="s">
        <v>1024</v>
      </c>
      <c r="M186" s="49"/>
      <c r="N186" s="543"/>
      <c r="O186" s="49"/>
      <c r="T186" s="50"/>
      <c r="U186" s="50"/>
      <c r="V186" s="2138"/>
      <c r="W186" s="1326"/>
      <c r="X186" s="199"/>
      <c r="Y186" s="199"/>
      <c r="Z186" s="794">
        <v>19</v>
      </c>
      <c r="AA186" s="198">
        <v>19</v>
      </c>
      <c r="AB186" s="914">
        <v>19</v>
      </c>
      <c r="AC186" s="704">
        <v>19.164705882352941</v>
      </c>
      <c r="AD186" s="898">
        <v>19.163043478260871</v>
      </c>
      <c r="AE186" s="898">
        <v>19.138095238095239</v>
      </c>
      <c r="AF186" s="258">
        <f t="shared" ref="AF186:AF205" si="49">IF(J186&lt;&gt;"",J186,"")</f>
        <v>19.138095238095239</v>
      </c>
      <c r="AG186" s="1326"/>
      <c r="DG186" s="555"/>
      <c r="DH186" s="175"/>
      <c r="DI186" s="1049"/>
      <c r="DJ186" s="1127"/>
    </row>
    <row r="187" spans="1:114" hidden="1" outlineLevel="1" x14ac:dyDescent="0.25">
      <c r="A187" s="442"/>
      <c r="C187" s="49"/>
      <c r="D187" s="2209"/>
      <c r="E187" s="2209"/>
      <c r="F187" s="2183" t="str">
        <f t="shared" si="45"/>
        <v>CAC-SEER19_ER2_SF</v>
      </c>
      <c r="G187" s="2183"/>
      <c r="H187" s="2183"/>
      <c r="I187" s="1326" t="str">
        <f t="shared" si="46"/>
        <v>351170_2024_12_</v>
      </c>
      <c r="J187" s="1592">
        <f>J186</f>
        <v>19.138095238095239</v>
      </c>
      <c r="K187" s="1307"/>
      <c r="L187" s="1593" t="s">
        <v>1024</v>
      </c>
      <c r="M187" s="49"/>
      <c r="N187" s="543"/>
      <c r="O187" s="49"/>
      <c r="T187" s="50"/>
      <c r="U187" s="50"/>
      <c r="V187" s="2138"/>
      <c r="W187" s="1326"/>
      <c r="X187" s="199"/>
      <c r="Y187" s="199"/>
      <c r="Z187" s="794">
        <v>19</v>
      </c>
      <c r="AA187" s="198">
        <v>19</v>
      </c>
      <c r="AB187" s="914">
        <v>19</v>
      </c>
      <c r="AC187" s="704">
        <v>19.164705882352941</v>
      </c>
      <c r="AD187" s="704">
        <v>19.163043478260871</v>
      </c>
      <c r="AE187" s="704">
        <v>19.138095238095239</v>
      </c>
      <c r="AF187" s="258">
        <f t="shared" si="49"/>
        <v>19.138095238095239</v>
      </c>
      <c r="AG187" s="1326"/>
      <c r="DG187" s="555"/>
      <c r="DH187" s="175"/>
      <c r="DI187" s="1049"/>
      <c r="DJ187" s="1127"/>
    </row>
    <row r="188" spans="1:114" hidden="1" outlineLevel="1" x14ac:dyDescent="0.25">
      <c r="A188" s="442"/>
      <c r="C188" s="49"/>
      <c r="D188" s="2209"/>
      <c r="E188" s="2209"/>
      <c r="F188" s="2183" t="str">
        <f t="shared" si="45"/>
        <v>CAC-SEER19_ROF_SF</v>
      </c>
      <c r="G188" s="2183"/>
      <c r="H188" s="2183"/>
      <c r="I188" s="1326" t="str">
        <f t="shared" si="46"/>
        <v>351171_2024_12_</v>
      </c>
      <c r="J188" s="1604">
        <v>19.1875</v>
      </c>
      <c r="K188" s="1307"/>
      <c r="L188" s="1593" t="s">
        <v>1024</v>
      </c>
      <c r="M188" s="49"/>
      <c r="N188" s="543"/>
      <c r="O188" s="49"/>
      <c r="T188" s="50"/>
      <c r="U188" s="50"/>
      <c r="V188" s="2138"/>
      <c r="W188" s="1326"/>
      <c r="X188" s="199"/>
      <c r="Y188" s="199"/>
      <c r="Z188" s="794">
        <v>19</v>
      </c>
      <c r="AA188" s="198">
        <v>19</v>
      </c>
      <c r="AB188" s="914">
        <v>19</v>
      </c>
      <c r="AC188" s="704">
        <v>19.142857142857142</v>
      </c>
      <c r="AD188" s="898">
        <v>19.21875</v>
      </c>
      <c r="AE188" s="898">
        <v>19.1875</v>
      </c>
      <c r="AF188" s="258">
        <f t="shared" si="49"/>
        <v>19.1875</v>
      </c>
      <c r="AG188" s="1326"/>
      <c r="DG188" s="555"/>
      <c r="DH188" s="175"/>
      <c r="DI188" s="1049"/>
      <c r="DJ188" s="1127"/>
    </row>
    <row r="189" spans="1:114" hidden="1" outlineLevel="1" x14ac:dyDescent="0.25">
      <c r="A189" s="442"/>
      <c r="C189" s="49"/>
      <c r="D189" s="2209"/>
      <c r="E189" s="2209"/>
      <c r="F189" s="2183" t="str">
        <f t="shared" si="45"/>
        <v>CAC-SEER20_ER1_SF</v>
      </c>
      <c r="G189" s="2183"/>
      <c r="H189" s="2183"/>
      <c r="I189" s="1326" t="str">
        <f t="shared" si="46"/>
        <v>351180_2024_12_</v>
      </c>
      <c r="J189" s="1604">
        <v>20.110619469026549</v>
      </c>
      <c r="K189" s="1307"/>
      <c r="L189" s="1593" t="s">
        <v>1024</v>
      </c>
      <c r="M189" s="49"/>
      <c r="N189" s="543"/>
      <c r="O189" s="49"/>
      <c r="T189" s="50"/>
      <c r="U189" s="50"/>
      <c r="V189" s="2138"/>
      <c r="W189" s="1326"/>
      <c r="X189" s="199"/>
      <c r="Y189" s="199"/>
      <c r="Z189" s="794">
        <v>20</v>
      </c>
      <c r="AA189" s="198">
        <v>20</v>
      </c>
      <c r="AB189" s="914">
        <v>20</v>
      </c>
      <c r="AC189" s="704">
        <v>20.194078947368421</v>
      </c>
      <c r="AD189" s="898">
        <v>20.136690647482013</v>
      </c>
      <c r="AE189" s="898">
        <v>20.110619469026549</v>
      </c>
      <c r="AF189" s="258">
        <f t="shared" si="49"/>
        <v>20.110619469026549</v>
      </c>
      <c r="AG189" s="1326"/>
      <c r="DG189" s="555"/>
      <c r="DH189" s="175"/>
      <c r="DI189" s="1049"/>
      <c r="DJ189" s="1127"/>
    </row>
    <row r="190" spans="1:114" hidden="1" outlineLevel="1" x14ac:dyDescent="0.25">
      <c r="A190" s="442"/>
      <c r="C190" s="49"/>
      <c r="D190" s="2209"/>
      <c r="E190" s="2209"/>
      <c r="F190" s="2183" t="str">
        <f t="shared" ref="F190:F221" si="50">F167</f>
        <v>CAC-SEER20_ER2_SF</v>
      </c>
      <c r="G190" s="2183"/>
      <c r="H190" s="2183"/>
      <c r="I190" s="1326" t="str">
        <f t="shared" ref="I190:I221" si="51">I167</f>
        <v>351180_2024_12_</v>
      </c>
      <c r="J190" s="1604">
        <f>J189</f>
        <v>20.110619469026549</v>
      </c>
      <c r="K190" s="1307"/>
      <c r="L190" s="1593" t="s">
        <v>1024</v>
      </c>
      <c r="M190" s="49"/>
      <c r="N190" s="543"/>
      <c r="O190" s="49"/>
      <c r="T190" s="50"/>
      <c r="U190" s="50"/>
      <c r="V190" s="2138"/>
      <c r="W190" s="1326"/>
      <c r="X190" s="199"/>
      <c r="Y190" s="199"/>
      <c r="Z190" s="794">
        <v>20</v>
      </c>
      <c r="AA190" s="198">
        <v>20</v>
      </c>
      <c r="AB190" s="914">
        <v>20</v>
      </c>
      <c r="AC190" s="704">
        <v>20.194078947368421</v>
      </c>
      <c r="AD190" s="898">
        <v>20.136690647482013</v>
      </c>
      <c r="AE190" s="898">
        <v>20.110619469026549</v>
      </c>
      <c r="AF190" s="258">
        <f t="shared" si="49"/>
        <v>20.110619469026549</v>
      </c>
      <c r="AG190" s="1326"/>
      <c r="DG190" s="555"/>
      <c r="DH190" s="175"/>
      <c r="DI190" s="1049"/>
      <c r="DJ190" s="1127"/>
    </row>
    <row r="191" spans="1:114" hidden="1" outlineLevel="1" x14ac:dyDescent="0.25">
      <c r="A191" s="442"/>
      <c r="C191" s="49"/>
      <c r="D191" s="2209"/>
      <c r="E191" s="2209"/>
      <c r="F191" s="2183" t="str">
        <f t="shared" si="50"/>
        <v>CAC-SEER20_ROF_SF</v>
      </c>
      <c r="G191" s="2183"/>
      <c r="H191" s="2183"/>
      <c r="I191" s="1326" t="str">
        <f t="shared" si="51"/>
        <v>351181_2024_12_</v>
      </c>
      <c r="J191" s="1604">
        <v>20.015625</v>
      </c>
      <c r="K191" s="1307"/>
      <c r="L191" s="1593" t="s">
        <v>1024</v>
      </c>
      <c r="M191" s="49"/>
      <c r="N191" s="543"/>
      <c r="O191" s="49"/>
      <c r="T191" s="50"/>
      <c r="U191" s="50"/>
      <c r="V191" s="2138"/>
      <c r="W191" s="1326"/>
      <c r="X191" s="199"/>
      <c r="Y191" s="199"/>
      <c r="Z191" s="794">
        <v>20</v>
      </c>
      <c r="AA191" s="198">
        <v>20</v>
      </c>
      <c r="AB191" s="914">
        <v>20</v>
      </c>
      <c r="AC191" s="704">
        <v>20.083333333333332</v>
      </c>
      <c r="AD191" s="898">
        <v>20.111111111111111</v>
      </c>
      <c r="AE191" s="898">
        <v>20.015625</v>
      </c>
      <c r="AF191" s="258">
        <f t="shared" si="49"/>
        <v>20.015625</v>
      </c>
      <c r="AG191" s="1326"/>
      <c r="DG191" s="555"/>
      <c r="DH191" s="175"/>
      <c r="DI191" s="1049"/>
      <c r="DJ191" s="1127"/>
    </row>
    <row r="192" spans="1:114" hidden="1" outlineLevel="1" x14ac:dyDescent="0.25">
      <c r="A192" s="442"/>
      <c r="C192" s="49"/>
      <c r="D192" s="2209"/>
      <c r="E192" s="2209"/>
      <c r="F192" s="2183" t="str">
        <f t="shared" si="50"/>
        <v>CAC-SEER21+_ER1_SF</v>
      </c>
      <c r="G192" s="2183"/>
      <c r="H192" s="2183"/>
      <c r="I192" s="1326" t="str">
        <f t="shared" si="51"/>
        <v>351190_2024_12_</v>
      </c>
      <c r="J192" s="1592">
        <v>22.131818181818183</v>
      </c>
      <c r="K192" s="1307"/>
      <c r="L192" s="1593" t="s">
        <v>1026</v>
      </c>
      <c r="M192" s="49"/>
      <c r="N192" s="543"/>
      <c r="O192" s="49"/>
      <c r="T192" s="50"/>
      <c r="U192" s="50"/>
      <c r="V192" s="2138"/>
      <c r="W192" s="1326"/>
      <c r="X192" s="198"/>
      <c r="Y192" s="198"/>
      <c r="Z192" s="794">
        <v>21</v>
      </c>
      <c r="AA192" s="198">
        <v>21</v>
      </c>
      <c r="AB192" s="914">
        <v>21</v>
      </c>
      <c r="AC192" s="704">
        <v>21.873376623376622</v>
      </c>
      <c r="AD192" s="704">
        <v>21.924757281553397</v>
      </c>
      <c r="AE192" s="704">
        <v>22.131818181818183</v>
      </c>
      <c r="AF192" s="258">
        <f t="shared" si="49"/>
        <v>22.131818181818183</v>
      </c>
      <c r="AG192" s="1326"/>
      <c r="DG192" s="555"/>
      <c r="DH192" s="175"/>
      <c r="DI192" s="1049"/>
      <c r="DJ192" s="1127"/>
    </row>
    <row r="193" spans="1:114" ht="14.65" hidden="1" customHeight="1" outlineLevel="1" x14ac:dyDescent="0.25">
      <c r="A193" s="442"/>
      <c r="C193" s="49"/>
      <c r="D193" s="2209"/>
      <c r="E193" s="2209"/>
      <c r="F193" s="2183" t="str">
        <f t="shared" si="50"/>
        <v>CAC-SEER21+_ER2_SF</v>
      </c>
      <c r="G193" s="2183"/>
      <c r="H193" s="2183"/>
      <c r="I193" s="1326" t="str">
        <f t="shared" si="51"/>
        <v>351190_2024_12_</v>
      </c>
      <c r="J193" s="1592">
        <f>J192</f>
        <v>22.131818181818183</v>
      </c>
      <c r="K193" s="1307"/>
      <c r="L193" s="1593" t="s">
        <v>1026</v>
      </c>
      <c r="M193" s="49"/>
      <c r="N193" s="543"/>
      <c r="O193" s="49"/>
      <c r="T193" s="50"/>
      <c r="U193" s="50"/>
      <c r="V193" s="2138"/>
      <c r="W193" s="1326"/>
      <c r="X193" s="198"/>
      <c r="Y193" s="198"/>
      <c r="Z193" s="794">
        <v>21</v>
      </c>
      <c r="AA193" s="198">
        <v>21</v>
      </c>
      <c r="AB193" s="914">
        <v>21</v>
      </c>
      <c r="AC193" s="704">
        <v>21.873376623376622</v>
      </c>
      <c r="AD193" s="704">
        <v>21.924757281553397</v>
      </c>
      <c r="AE193" s="704">
        <v>22.131818181818183</v>
      </c>
      <c r="AF193" s="258">
        <f t="shared" si="49"/>
        <v>22.131818181818183</v>
      </c>
      <c r="AG193" s="1326"/>
      <c r="DG193" s="555"/>
      <c r="DH193" s="175"/>
      <c r="DI193" s="1049"/>
      <c r="DJ193" s="1127"/>
    </row>
    <row r="194" spans="1:114" ht="14.65" hidden="1" customHeight="1" outlineLevel="1" x14ac:dyDescent="0.25">
      <c r="A194" s="442"/>
      <c r="C194" s="49"/>
      <c r="D194" s="2209"/>
      <c r="E194" s="2209"/>
      <c r="F194" s="2183" t="str">
        <f t="shared" si="50"/>
        <v>CAC-SEER21+_ROF_SF</v>
      </c>
      <c r="G194" s="2183"/>
      <c r="H194" s="2183"/>
      <c r="I194" s="1326" t="str">
        <f t="shared" si="51"/>
        <v>351191_2024_12_</v>
      </c>
      <c r="J194" s="1604">
        <v>22.6</v>
      </c>
      <c r="K194" s="1307"/>
      <c r="L194" s="1593" t="s">
        <v>1026</v>
      </c>
      <c r="M194" s="49"/>
      <c r="N194" s="543"/>
      <c r="O194" s="49"/>
      <c r="T194" s="50"/>
      <c r="U194" s="50"/>
      <c r="V194" s="2138"/>
      <c r="W194" s="1326"/>
      <c r="X194" s="198"/>
      <c r="Y194" s="198"/>
      <c r="Z194" s="794">
        <v>21</v>
      </c>
      <c r="AA194" s="198">
        <v>21</v>
      </c>
      <c r="AB194" s="914">
        <v>21</v>
      </c>
      <c r="AC194" s="704">
        <v>21.714285714285715</v>
      </c>
      <c r="AD194" s="898">
        <v>22.375</v>
      </c>
      <c r="AE194" s="898">
        <v>22.6</v>
      </c>
      <c r="AF194" s="258">
        <f t="shared" si="49"/>
        <v>22.6</v>
      </c>
      <c r="AG194" s="1326"/>
      <c r="DG194" s="555"/>
      <c r="DH194" s="175"/>
      <c r="DI194" s="1049"/>
      <c r="DJ194" s="1127"/>
    </row>
    <row r="195" spans="1:114" hidden="1" outlineLevel="1" x14ac:dyDescent="0.25">
      <c r="A195" s="442"/>
      <c r="C195" s="49"/>
      <c r="D195" s="2223" t="s">
        <v>1033</v>
      </c>
      <c r="E195" s="2208" t="s">
        <v>1034</v>
      </c>
      <c r="F195" s="2183" t="str">
        <f t="shared" si="50"/>
        <v>CAC-SEER15_ER1_SF</v>
      </c>
      <c r="G195" s="2183"/>
      <c r="H195" s="2183"/>
      <c r="I195" s="1326" t="str">
        <f t="shared" si="51"/>
        <v>350600_2024_12_</v>
      </c>
      <c r="J195" s="1604">
        <v>7.6205760700821035</v>
      </c>
      <c r="K195" s="53"/>
      <c r="L195" s="1577" t="s">
        <v>1024</v>
      </c>
      <c r="M195" s="49"/>
      <c r="N195" s="543"/>
      <c r="O195" s="49"/>
      <c r="T195" s="50"/>
      <c r="U195" s="50"/>
      <c r="V195" s="2179"/>
      <c r="W195" s="1326">
        <v>8.1999999999999993</v>
      </c>
      <c r="X195" s="794">
        <v>8.33</v>
      </c>
      <c r="Y195" s="1326">
        <v>8.33</v>
      </c>
      <c r="Z195" s="1326">
        <v>8.33</v>
      </c>
      <c r="AA195" s="1326">
        <v>8.33</v>
      </c>
      <c r="AB195" s="704">
        <v>7.5274715869040065</v>
      </c>
      <c r="AC195" s="704">
        <v>8.2517061990859339</v>
      </c>
      <c r="AD195" s="898">
        <v>7.4529882194918962</v>
      </c>
      <c r="AE195" s="898">
        <v>7.6205760700821035</v>
      </c>
      <c r="AF195" s="258">
        <f t="shared" si="49"/>
        <v>7.6205760700821035</v>
      </c>
      <c r="AG195" s="1326"/>
      <c r="DG195" s="555"/>
      <c r="DH195" s="175"/>
      <c r="DI195" s="1049"/>
      <c r="DJ195" s="1127"/>
    </row>
    <row r="196" spans="1:114" hidden="1" outlineLevel="1" x14ac:dyDescent="0.25">
      <c r="A196" s="442"/>
      <c r="C196" s="49"/>
      <c r="D196" s="2224"/>
      <c r="E196" s="2209"/>
      <c r="F196" s="2183" t="str">
        <f t="shared" si="50"/>
        <v>CAC-SEER15_ER2_SF</v>
      </c>
      <c r="G196" s="2183"/>
      <c r="H196" s="2183"/>
      <c r="I196" s="1326" t="str">
        <f t="shared" si="51"/>
        <v>350600_2024_12_</v>
      </c>
      <c r="J196" s="1592"/>
      <c r="K196" s="53"/>
      <c r="L196" s="1608"/>
      <c r="M196" s="49"/>
      <c r="N196" s="543"/>
      <c r="O196" s="49"/>
      <c r="T196" s="50"/>
      <c r="U196" s="50"/>
      <c r="V196" s="2179"/>
      <c r="W196" s="1326"/>
      <c r="X196" s="1326"/>
      <c r="Y196" s="1326"/>
      <c r="Z196" s="1326"/>
      <c r="AA196" s="1326"/>
      <c r="AB196" s="914"/>
      <c r="AC196" s="709"/>
      <c r="AD196" s="709"/>
      <c r="AE196" s="709"/>
      <c r="AF196" s="258" t="str">
        <f t="shared" si="49"/>
        <v/>
      </c>
      <c r="AG196" s="1326"/>
      <c r="DG196" s="555"/>
      <c r="DH196" s="175"/>
      <c r="DI196" s="1049"/>
      <c r="DJ196" s="1127"/>
    </row>
    <row r="197" spans="1:114" hidden="1" outlineLevel="1" x14ac:dyDescent="0.25">
      <c r="A197" s="442"/>
      <c r="C197" s="49"/>
      <c r="D197" s="2224"/>
      <c r="E197" s="2209"/>
      <c r="F197" s="2183" t="str">
        <f t="shared" si="50"/>
        <v>CAC-SEER15_ROF_SF</v>
      </c>
      <c r="G197" s="2183"/>
      <c r="H197" s="2183"/>
      <c r="I197" s="1326" t="str">
        <f t="shared" si="51"/>
        <v>350650_2024_12_</v>
      </c>
      <c r="J197" s="1592"/>
      <c r="K197" s="53"/>
      <c r="L197" s="1608"/>
      <c r="M197" s="49"/>
      <c r="N197" s="543"/>
      <c r="O197" s="49"/>
      <c r="T197" s="50"/>
      <c r="U197" s="50"/>
      <c r="V197" s="2179"/>
      <c r="W197" s="1326"/>
      <c r="X197" s="1326"/>
      <c r="Y197" s="1326"/>
      <c r="Z197" s="1326"/>
      <c r="AA197" s="1326"/>
      <c r="AB197" s="914"/>
      <c r="AC197" s="709"/>
      <c r="AD197" s="709"/>
      <c r="AE197" s="709"/>
      <c r="AF197" s="258" t="str">
        <f t="shared" si="49"/>
        <v/>
      </c>
      <c r="AG197" s="1326"/>
      <c r="DG197" s="555"/>
      <c r="DH197" s="175"/>
      <c r="DI197" s="1049"/>
      <c r="DJ197" s="1127"/>
    </row>
    <row r="198" spans="1:114" hidden="1" outlineLevel="1" x14ac:dyDescent="0.25">
      <c r="A198" s="442"/>
      <c r="C198" s="49"/>
      <c r="D198" s="2224"/>
      <c r="E198" s="2209"/>
      <c r="F198" s="2183" t="str">
        <f t="shared" si="50"/>
        <v>CAC-SEER16_ER1_SF</v>
      </c>
      <c r="G198" s="2183"/>
      <c r="H198" s="2183"/>
      <c r="I198" s="1326" t="str">
        <f t="shared" si="51"/>
        <v>350800_2024_12_</v>
      </c>
      <c r="J198" s="1604">
        <v>7.3876970461088041</v>
      </c>
      <c r="K198" s="53"/>
      <c r="L198" s="1593" t="s">
        <v>1035</v>
      </c>
      <c r="M198" s="49"/>
      <c r="N198" s="543"/>
      <c r="O198" s="49"/>
      <c r="T198" s="50"/>
      <c r="U198" s="50"/>
      <c r="V198" s="2179"/>
      <c r="W198" s="1326">
        <v>8.1999999999999993</v>
      </c>
      <c r="X198" s="794">
        <v>8.33</v>
      </c>
      <c r="Y198" s="1326">
        <v>8.33</v>
      </c>
      <c r="Z198" s="1326">
        <v>8.33</v>
      </c>
      <c r="AA198" s="1326">
        <v>8.33</v>
      </c>
      <c r="AB198" s="704">
        <v>7.508722873173407</v>
      </c>
      <c r="AC198" s="704">
        <v>8.2475141229575382</v>
      </c>
      <c r="AD198" s="898">
        <v>7.4712867392476277</v>
      </c>
      <c r="AE198" s="898">
        <v>7.5476111173509768</v>
      </c>
      <c r="AF198" s="258">
        <f t="shared" si="49"/>
        <v>7.3876970461088041</v>
      </c>
      <c r="AG198" s="1326"/>
      <c r="DG198" s="555"/>
      <c r="DH198" s="175"/>
      <c r="DI198" s="1049"/>
      <c r="DJ198" s="1127"/>
    </row>
    <row r="199" spans="1:114" hidden="1" outlineLevel="1" x14ac:dyDescent="0.25">
      <c r="A199" s="442"/>
      <c r="C199" s="49"/>
      <c r="D199" s="2224"/>
      <c r="E199" s="2209"/>
      <c r="F199" s="2183" t="str">
        <f t="shared" si="50"/>
        <v>CAC-SEER16_ER2_SF</v>
      </c>
      <c r="G199" s="2183"/>
      <c r="H199" s="2183"/>
      <c r="I199" s="1326" t="str">
        <f t="shared" si="51"/>
        <v>350800_2024_12_</v>
      </c>
      <c r="J199" s="1592"/>
      <c r="K199" s="53"/>
      <c r="L199" s="1577"/>
      <c r="M199" s="49"/>
      <c r="N199" s="543"/>
      <c r="O199" s="49"/>
      <c r="T199" s="50"/>
      <c r="U199" s="50"/>
      <c r="V199" s="2179"/>
      <c r="W199" s="1326"/>
      <c r="X199" s="1326"/>
      <c r="Y199" s="1326"/>
      <c r="Z199" s="1326"/>
      <c r="AA199" s="1326"/>
      <c r="AB199" s="914"/>
      <c r="AC199" s="709"/>
      <c r="AD199" s="709"/>
      <c r="AE199" s="709"/>
      <c r="AF199" s="258" t="str">
        <f t="shared" si="49"/>
        <v/>
      </c>
      <c r="AG199" s="1326"/>
      <c r="DG199" s="555"/>
      <c r="DH199" s="175"/>
      <c r="DI199" s="1049"/>
      <c r="DJ199" s="1127"/>
    </row>
    <row r="200" spans="1:114" hidden="1" outlineLevel="1" x14ac:dyDescent="0.25">
      <c r="A200" s="442"/>
      <c r="C200" s="49"/>
      <c r="D200" s="2224"/>
      <c r="E200" s="2209"/>
      <c r="F200" s="2183" t="str">
        <f t="shared" si="50"/>
        <v>CAC-SEER16_ROF_SF</v>
      </c>
      <c r="G200" s="2183"/>
      <c r="H200" s="2183"/>
      <c r="I200" s="1326" t="str">
        <f t="shared" si="51"/>
        <v>350850_2024_12_</v>
      </c>
      <c r="J200" s="1592"/>
      <c r="K200" s="53"/>
      <c r="L200" s="1608"/>
      <c r="M200" s="49"/>
      <c r="N200" s="543"/>
      <c r="O200" s="49"/>
      <c r="T200" s="50"/>
      <c r="U200" s="50"/>
      <c r="V200" s="2179"/>
      <c r="W200" s="1326"/>
      <c r="X200" s="1326"/>
      <c r="Y200" s="1326"/>
      <c r="Z200" s="1326"/>
      <c r="AA200" s="1326"/>
      <c r="AB200" s="914"/>
      <c r="AC200" s="709"/>
      <c r="AD200" s="709"/>
      <c r="AE200" s="709"/>
      <c r="AF200" s="258" t="str">
        <f t="shared" si="49"/>
        <v/>
      </c>
      <c r="AG200" s="1326"/>
      <c r="DG200" s="555"/>
      <c r="DH200" s="175"/>
      <c r="DI200" s="1049"/>
      <c r="DJ200" s="1127"/>
    </row>
    <row r="201" spans="1:114" hidden="1" outlineLevel="1" x14ac:dyDescent="0.25">
      <c r="A201" s="442"/>
      <c r="C201" s="49"/>
      <c r="D201" s="2224"/>
      <c r="E201" s="2209"/>
      <c r="F201" s="2183" t="str">
        <f t="shared" si="50"/>
        <v>CAC-SEER16_ER1_MF</v>
      </c>
      <c r="G201" s="2183"/>
      <c r="H201" s="2183"/>
      <c r="I201" s="1326" t="str">
        <f t="shared" si="51"/>
        <v>350900_2024_12_</v>
      </c>
      <c r="J201" s="1604">
        <v>7.4410849195197439</v>
      </c>
      <c r="K201" s="53"/>
      <c r="L201" s="1593" t="s">
        <v>1035</v>
      </c>
      <c r="M201" s="49"/>
      <c r="N201" s="543"/>
      <c r="O201" s="49"/>
      <c r="T201" s="50"/>
      <c r="U201" s="50"/>
      <c r="V201" s="2179"/>
      <c r="W201" s="1326">
        <v>8.1999999999999993</v>
      </c>
      <c r="X201" s="794">
        <v>8.33</v>
      </c>
      <c r="Y201" s="1326">
        <v>8.33</v>
      </c>
      <c r="Z201" s="1326">
        <v>8.33</v>
      </c>
      <c r="AA201" s="1326">
        <v>8.33</v>
      </c>
      <c r="AB201" s="704">
        <v>7.983392742151227</v>
      </c>
      <c r="AC201" s="704">
        <v>8.3039211249486229</v>
      </c>
      <c r="AD201" s="898">
        <v>7.6056879052271524</v>
      </c>
      <c r="AE201" s="898">
        <v>7.5627579008933568</v>
      </c>
      <c r="AF201" s="258">
        <f t="shared" si="49"/>
        <v>7.4410849195197439</v>
      </c>
      <c r="AG201" s="1326"/>
      <c r="DG201" s="555"/>
      <c r="DH201" s="175"/>
      <c r="DI201" s="1049"/>
      <c r="DJ201" s="1127"/>
    </row>
    <row r="202" spans="1:114" hidden="1" outlineLevel="1" x14ac:dyDescent="0.25">
      <c r="A202" s="442"/>
      <c r="C202" s="49"/>
      <c r="D202" s="2224"/>
      <c r="E202" s="2209"/>
      <c r="F202" s="2183" t="str">
        <f t="shared" si="50"/>
        <v>CAC-SEER16_ER2_MF</v>
      </c>
      <c r="G202" s="2183"/>
      <c r="H202" s="2183"/>
      <c r="I202" s="1326" t="str">
        <f t="shared" si="51"/>
        <v>350900_2024_12_</v>
      </c>
      <c r="J202" s="1592"/>
      <c r="K202" s="53"/>
      <c r="L202" s="1577"/>
      <c r="M202" s="49"/>
      <c r="N202" s="543"/>
      <c r="O202" s="49"/>
      <c r="T202" s="50"/>
      <c r="U202" s="50"/>
      <c r="V202" s="2179"/>
      <c r="W202" s="1326"/>
      <c r="X202" s="1326"/>
      <c r="Y202" s="1326"/>
      <c r="Z202" s="1326"/>
      <c r="AA202" s="1326"/>
      <c r="AB202" s="914"/>
      <c r="AC202" s="709"/>
      <c r="AD202" s="709"/>
      <c r="AE202" s="709"/>
      <c r="AF202" s="258" t="str">
        <f t="shared" si="49"/>
        <v/>
      </c>
      <c r="AG202" s="1326"/>
      <c r="DG202" s="555"/>
      <c r="DH202" s="175"/>
      <c r="DI202" s="1049"/>
      <c r="DJ202" s="1127"/>
    </row>
    <row r="203" spans="1:114" hidden="1" outlineLevel="1" x14ac:dyDescent="0.25">
      <c r="A203" s="442"/>
      <c r="C203" s="49"/>
      <c r="D203" s="2224"/>
      <c r="E203" s="2209"/>
      <c r="F203" s="2183" t="str">
        <f t="shared" si="50"/>
        <v>CAC-SEER17_ER1_SF</v>
      </c>
      <c r="G203" s="2183"/>
      <c r="H203" s="2183"/>
      <c r="I203" s="1326" t="str">
        <f t="shared" si="51"/>
        <v>351000_2024_12_</v>
      </c>
      <c r="J203" s="1604">
        <v>7.6500934614747482</v>
      </c>
      <c r="K203" s="53"/>
      <c r="L203" s="1593" t="s">
        <v>1035</v>
      </c>
      <c r="M203" s="49"/>
      <c r="N203" s="543"/>
      <c r="O203" s="49"/>
      <c r="T203" s="50"/>
      <c r="U203" s="50"/>
      <c r="V203" s="2179"/>
      <c r="W203" s="1326">
        <v>8.1999999999999993</v>
      </c>
      <c r="X203" s="794">
        <v>8.33</v>
      </c>
      <c r="Y203" s="1326">
        <v>8.33</v>
      </c>
      <c r="Z203" s="1326">
        <v>8.33</v>
      </c>
      <c r="AA203" s="1326">
        <v>8.33</v>
      </c>
      <c r="AB203" s="704">
        <v>7.5482963446217566</v>
      </c>
      <c r="AC203" s="704">
        <v>8.3071815083938851</v>
      </c>
      <c r="AD203" s="898">
        <v>7.5336948652838496</v>
      </c>
      <c r="AE203" s="999">
        <v>7.5336948652838496</v>
      </c>
      <c r="AF203" s="258">
        <f t="shared" si="49"/>
        <v>7.6500934614747482</v>
      </c>
      <c r="AG203" s="1326"/>
      <c r="DG203" s="555"/>
      <c r="DH203" s="175"/>
      <c r="DI203" s="1049"/>
      <c r="DJ203" s="1127"/>
    </row>
    <row r="204" spans="1:114" ht="14.65" hidden="1" customHeight="1" outlineLevel="1" x14ac:dyDescent="0.25">
      <c r="A204" s="442"/>
      <c r="C204" s="49"/>
      <c r="D204" s="2224"/>
      <c r="E204" s="2209"/>
      <c r="F204" s="2183" t="str">
        <f t="shared" si="50"/>
        <v>CAC-SEER17_ER2_SF</v>
      </c>
      <c r="G204" s="2183"/>
      <c r="H204" s="2183"/>
      <c r="I204" s="1326" t="str">
        <f t="shared" si="51"/>
        <v>351000_2024_12_</v>
      </c>
      <c r="J204" s="1592"/>
      <c r="K204" s="53"/>
      <c r="L204" s="1577"/>
      <c r="M204" s="49"/>
      <c r="N204" s="543"/>
      <c r="O204" s="49"/>
      <c r="T204" s="50"/>
      <c r="U204" s="50"/>
      <c r="V204" s="2179"/>
      <c r="W204" s="1326"/>
      <c r="X204" s="1326"/>
      <c r="Y204" s="1326"/>
      <c r="Z204" s="1326"/>
      <c r="AA204" s="1326"/>
      <c r="AB204" s="914"/>
      <c r="AC204" s="709"/>
      <c r="AD204" s="709"/>
      <c r="AE204" s="709"/>
      <c r="AF204" s="258" t="str">
        <f t="shared" si="49"/>
        <v/>
      </c>
      <c r="AG204" s="1326"/>
      <c r="DG204" s="555"/>
      <c r="DH204" s="175"/>
      <c r="DI204" s="1049"/>
      <c r="DJ204" s="1127"/>
    </row>
    <row r="205" spans="1:114" ht="14.65" hidden="1" customHeight="1" outlineLevel="1" x14ac:dyDescent="0.25">
      <c r="A205" s="442"/>
      <c r="C205" s="49"/>
      <c r="D205" s="2224"/>
      <c r="E205" s="2209"/>
      <c r="F205" s="2183" t="str">
        <f t="shared" si="50"/>
        <v>CAC-SEER17_ROF_SF</v>
      </c>
      <c r="G205" s="2183"/>
      <c r="H205" s="2183"/>
      <c r="I205" s="1326" t="str">
        <f t="shared" si="51"/>
        <v>351050_2024_12_</v>
      </c>
      <c r="J205" s="1592"/>
      <c r="K205" s="53"/>
      <c r="L205" s="1608"/>
      <c r="M205" s="49"/>
      <c r="N205" s="543"/>
      <c r="O205" s="49"/>
      <c r="T205" s="50"/>
      <c r="U205" s="50"/>
      <c r="V205" s="2179"/>
      <c r="W205" s="1326"/>
      <c r="X205" s="1326"/>
      <c r="Y205" s="1326"/>
      <c r="Z205" s="1326"/>
      <c r="AA205" s="1326"/>
      <c r="AB205" s="914"/>
      <c r="AC205" s="709"/>
      <c r="AD205" s="709"/>
      <c r="AE205" s="709"/>
      <c r="AF205" s="258" t="str">
        <f t="shared" si="49"/>
        <v/>
      </c>
      <c r="AG205" s="1326"/>
      <c r="DG205" s="555"/>
      <c r="DH205" s="175"/>
      <c r="DI205" s="1049"/>
      <c r="DJ205" s="1127"/>
    </row>
    <row r="206" spans="1:114" ht="14.65" hidden="1" customHeight="1" outlineLevel="1" x14ac:dyDescent="0.25">
      <c r="A206" s="442"/>
      <c r="C206" s="49"/>
      <c r="D206" s="2224"/>
      <c r="E206" s="2209"/>
      <c r="F206" s="2183" t="str">
        <f t="shared" si="50"/>
        <v>CAC-SEER18_ER1_SF</v>
      </c>
      <c r="G206" s="2183"/>
      <c r="H206" s="2183"/>
      <c r="I206" s="1326" t="str">
        <f t="shared" si="51"/>
        <v>351160_2024_12_</v>
      </c>
      <c r="J206" s="1604">
        <v>7.8048008052100615</v>
      </c>
      <c r="K206" s="53"/>
      <c r="L206" s="1577" t="s">
        <v>1026</v>
      </c>
      <c r="M206" s="49"/>
      <c r="N206" s="543"/>
      <c r="O206" s="49"/>
      <c r="T206" s="50"/>
      <c r="U206" s="50"/>
      <c r="V206" s="2138"/>
      <c r="W206" s="1326"/>
      <c r="X206" s="794"/>
      <c r="Y206" s="1326"/>
      <c r="Z206" s="794">
        <v>8.33</v>
      </c>
      <c r="AA206" s="1326">
        <v>8.33</v>
      </c>
      <c r="AB206" s="914">
        <v>8.33</v>
      </c>
      <c r="AC206" s="704">
        <v>8.2545556293481042</v>
      </c>
      <c r="AD206" s="898">
        <v>7.8048008052100615</v>
      </c>
      <c r="AE206" s="999">
        <v>7.8048008052100615</v>
      </c>
      <c r="AF206" s="258">
        <f t="shared" ref="AF206:AF225" si="52">IF(J206&lt;&gt;"",J206,"")</f>
        <v>7.8048008052100615</v>
      </c>
      <c r="AG206" s="1326"/>
      <c r="DG206" s="555"/>
      <c r="DH206" s="175"/>
      <c r="DI206" s="1049"/>
      <c r="DJ206" s="1127"/>
    </row>
    <row r="207" spans="1:114" ht="14.65" hidden="1" customHeight="1" outlineLevel="1" x14ac:dyDescent="0.25">
      <c r="A207" s="442"/>
      <c r="C207" s="49"/>
      <c r="D207" s="2224"/>
      <c r="E207" s="2209"/>
      <c r="F207" s="2183" t="str">
        <f t="shared" si="50"/>
        <v>CAC-SEER18_ER2_SF</v>
      </c>
      <c r="G207" s="2183"/>
      <c r="H207" s="2183"/>
      <c r="I207" s="1326" t="str">
        <f t="shared" si="51"/>
        <v>351160_2024_12_</v>
      </c>
      <c r="J207" s="1592"/>
      <c r="K207" s="53"/>
      <c r="L207" s="1608"/>
      <c r="M207" s="49"/>
      <c r="N207" s="543"/>
      <c r="O207" s="49"/>
      <c r="T207" s="50"/>
      <c r="U207" s="50"/>
      <c r="V207" s="2138"/>
      <c r="W207" s="1326"/>
      <c r="X207" s="1326"/>
      <c r="Y207" s="1326"/>
      <c r="Z207" s="794"/>
      <c r="AA207" s="1326"/>
      <c r="AB207" s="914"/>
      <c r="AC207" s="709"/>
      <c r="AD207" s="709"/>
      <c r="AE207" s="709"/>
      <c r="AF207" s="258" t="str">
        <f t="shared" si="52"/>
        <v/>
      </c>
      <c r="AG207" s="1326"/>
      <c r="DG207" s="555"/>
      <c r="DH207" s="175"/>
      <c r="DI207" s="1049"/>
      <c r="DJ207" s="1127"/>
    </row>
    <row r="208" spans="1:114" ht="14.65" hidden="1" customHeight="1" outlineLevel="1" x14ac:dyDescent="0.25">
      <c r="A208" s="442"/>
      <c r="C208" s="49"/>
      <c r="D208" s="2224"/>
      <c r="E208" s="2209"/>
      <c r="F208" s="2183" t="str">
        <f t="shared" si="50"/>
        <v>CAC-SEER18_ROF_SF</v>
      </c>
      <c r="G208" s="2183"/>
      <c r="H208" s="2183"/>
      <c r="I208" s="1326" t="str">
        <f t="shared" si="51"/>
        <v>351161_2024_12_</v>
      </c>
      <c r="J208" s="1592"/>
      <c r="K208" s="53"/>
      <c r="L208" s="1608"/>
      <c r="M208" s="49"/>
      <c r="N208" s="543"/>
      <c r="O208" s="49"/>
      <c r="T208" s="50"/>
      <c r="U208" s="50"/>
      <c r="V208" s="2138"/>
      <c r="W208" s="1326"/>
      <c r="X208" s="1326"/>
      <c r="Y208" s="1326"/>
      <c r="Z208" s="794"/>
      <c r="AA208" s="1326"/>
      <c r="AB208" s="914"/>
      <c r="AC208" s="709"/>
      <c r="AD208" s="709"/>
      <c r="AE208" s="709"/>
      <c r="AF208" s="258" t="str">
        <f t="shared" si="52"/>
        <v/>
      </c>
      <c r="AG208" s="1326"/>
      <c r="DG208" s="555"/>
      <c r="DH208" s="175"/>
      <c r="DI208" s="1049"/>
      <c r="DJ208" s="1127"/>
    </row>
    <row r="209" spans="1:114" hidden="1" outlineLevel="1" x14ac:dyDescent="0.25">
      <c r="A209" s="442"/>
      <c r="C209" s="49"/>
      <c r="D209" s="2224"/>
      <c r="E209" s="2209"/>
      <c r="F209" s="2183" t="str">
        <f t="shared" si="50"/>
        <v>CAC-SEER19_ER1_SF</v>
      </c>
      <c r="G209" s="2183"/>
      <c r="H209" s="2183"/>
      <c r="I209" s="1326" t="str">
        <f t="shared" si="51"/>
        <v>351170_2024_12_</v>
      </c>
      <c r="J209" s="1604">
        <v>7.7096367887427188</v>
      </c>
      <c r="K209" s="53"/>
      <c r="L209" s="1577" t="s">
        <v>1024</v>
      </c>
      <c r="M209" s="49"/>
      <c r="N209" s="543"/>
      <c r="O209" s="49"/>
      <c r="T209" s="50"/>
      <c r="U209" s="50"/>
      <c r="V209" s="2138"/>
      <c r="W209" s="1326"/>
      <c r="X209" s="794"/>
      <c r="Y209" s="1326"/>
      <c r="Z209" s="794">
        <v>8.33</v>
      </c>
      <c r="AA209" s="1326">
        <v>8.33</v>
      </c>
      <c r="AB209" s="914">
        <v>8.33</v>
      </c>
      <c r="AC209" s="704">
        <v>8.1633174958765817</v>
      </c>
      <c r="AD209" s="898">
        <v>7.8804195940950725</v>
      </c>
      <c r="AE209" s="898">
        <v>7.7096367887427188</v>
      </c>
      <c r="AF209" s="258">
        <f t="shared" si="52"/>
        <v>7.7096367887427188</v>
      </c>
      <c r="AG209" s="1326"/>
      <c r="DG209" s="555"/>
      <c r="DH209" s="175"/>
      <c r="DI209" s="1049"/>
      <c r="DJ209" s="1127"/>
    </row>
    <row r="210" spans="1:114" hidden="1" outlineLevel="1" x14ac:dyDescent="0.25">
      <c r="A210" s="442"/>
      <c r="C210" s="49"/>
      <c r="D210" s="2224"/>
      <c r="E210" s="2209"/>
      <c r="F210" s="2183" t="str">
        <f t="shared" si="50"/>
        <v>CAC-SEER19_ER2_SF</v>
      </c>
      <c r="G210" s="2183"/>
      <c r="H210" s="2183"/>
      <c r="I210" s="1326" t="str">
        <f t="shared" si="51"/>
        <v>351170_2024_12_</v>
      </c>
      <c r="J210" s="1592"/>
      <c r="K210" s="53"/>
      <c r="L210" s="1608"/>
      <c r="M210" s="49"/>
      <c r="N210" s="543"/>
      <c r="O210" s="49"/>
      <c r="T210" s="50"/>
      <c r="U210" s="50"/>
      <c r="V210" s="2138"/>
      <c r="W210" s="1326"/>
      <c r="X210" s="1326"/>
      <c r="Y210" s="1326"/>
      <c r="Z210" s="794"/>
      <c r="AA210" s="1326"/>
      <c r="AB210" s="914"/>
      <c r="AC210" s="709"/>
      <c r="AD210" s="709"/>
      <c r="AE210" s="709"/>
      <c r="AF210" s="258" t="str">
        <f t="shared" si="52"/>
        <v/>
      </c>
      <c r="AG210" s="1326"/>
      <c r="DG210" s="555"/>
      <c r="DH210" s="175"/>
      <c r="DI210" s="1049"/>
      <c r="DJ210" s="1127"/>
    </row>
    <row r="211" spans="1:114" hidden="1" outlineLevel="1" x14ac:dyDescent="0.25">
      <c r="A211" s="442"/>
      <c r="C211" s="49"/>
      <c r="D211" s="2224"/>
      <c r="E211" s="2209"/>
      <c r="F211" s="2183" t="str">
        <f t="shared" si="50"/>
        <v>CAC-SEER19_ROF_SF</v>
      </c>
      <c r="G211" s="2183"/>
      <c r="H211" s="2183"/>
      <c r="I211" s="1326" t="str">
        <f t="shared" si="51"/>
        <v>351171_2024_12_</v>
      </c>
      <c r="J211" s="1592"/>
      <c r="K211" s="53"/>
      <c r="L211" s="1608"/>
      <c r="M211" s="49"/>
      <c r="N211" s="543"/>
      <c r="O211" s="49"/>
      <c r="T211" s="50"/>
      <c r="U211" s="50"/>
      <c r="V211" s="2138"/>
      <c r="W211" s="1326"/>
      <c r="X211" s="1326"/>
      <c r="Y211" s="1326"/>
      <c r="Z211" s="794"/>
      <c r="AA211" s="1326"/>
      <c r="AB211" s="914"/>
      <c r="AC211" s="709"/>
      <c r="AD211" s="709"/>
      <c r="AE211" s="709"/>
      <c r="AF211" s="258" t="str">
        <f t="shared" si="52"/>
        <v/>
      </c>
      <c r="AG211" s="1326"/>
      <c r="DG211" s="555"/>
      <c r="DH211" s="175"/>
      <c r="DI211" s="1049"/>
      <c r="DJ211" s="1127"/>
    </row>
    <row r="212" spans="1:114" hidden="1" outlineLevel="1" x14ac:dyDescent="0.25">
      <c r="A212" s="442"/>
      <c r="C212" s="49"/>
      <c r="D212" s="2224"/>
      <c r="E212" s="2209"/>
      <c r="F212" s="2183" t="str">
        <f t="shared" si="50"/>
        <v>CAC-SEER20_ER1_SF</v>
      </c>
      <c r="G212" s="2183"/>
      <c r="H212" s="2183"/>
      <c r="I212" s="1326" t="str">
        <f t="shared" si="51"/>
        <v>351180_2024_12_</v>
      </c>
      <c r="J212" s="1604">
        <v>7.9987867945547162</v>
      </c>
      <c r="K212" s="53"/>
      <c r="L212" s="1593" t="s">
        <v>1035</v>
      </c>
      <c r="M212" s="49"/>
      <c r="N212" s="543"/>
      <c r="O212" s="49"/>
      <c r="T212" s="50"/>
      <c r="U212" s="50"/>
      <c r="V212" s="2138"/>
      <c r="W212" s="1326"/>
      <c r="X212" s="794"/>
      <c r="Y212" s="1326"/>
      <c r="Z212" s="794">
        <v>8.33</v>
      </c>
      <c r="AA212" s="1326">
        <v>8.33</v>
      </c>
      <c r="AB212" s="914">
        <v>8.33</v>
      </c>
      <c r="AC212" s="704">
        <v>8.3552367744076541</v>
      </c>
      <c r="AD212" s="898">
        <v>7.6176123405448148</v>
      </c>
      <c r="AE212" s="898">
        <v>7.8258652574658409</v>
      </c>
      <c r="AF212" s="258">
        <f t="shared" si="52"/>
        <v>7.9987867945547162</v>
      </c>
      <c r="AG212" s="1326"/>
      <c r="DG212" s="555"/>
      <c r="DH212" s="175"/>
      <c r="DI212" s="1049"/>
      <c r="DJ212" s="1127"/>
    </row>
    <row r="213" spans="1:114" hidden="1" outlineLevel="1" x14ac:dyDescent="0.25">
      <c r="A213" s="442"/>
      <c r="C213" s="49"/>
      <c r="D213" s="2224"/>
      <c r="E213" s="2209"/>
      <c r="F213" s="2183" t="str">
        <f t="shared" si="50"/>
        <v>CAC-SEER20_ER2_SF</v>
      </c>
      <c r="G213" s="2183"/>
      <c r="H213" s="2183"/>
      <c r="I213" s="1326" t="str">
        <f t="shared" si="51"/>
        <v>351180_2024_12_</v>
      </c>
      <c r="J213" s="1592"/>
      <c r="K213" s="53"/>
      <c r="L213" s="1577"/>
      <c r="M213" s="49"/>
      <c r="N213" s="543"/>
      <c r="O213" s="49"/>
      <c r="T213" s="50"/>
      <c r="U213" s="50"/>
      <c r="V213" s="2138"/>
      <c r="W213" s="1326"/>
      <c r="X213" s="1326"/>
      <c r="Y213" s="1326"/>
      <c r="Z213" s="794"/>
      <c r="AA213" s="1326"/>
      <c r="AB213" s="914"/>
      <c r="AC213" s="709"/>
      <c r="AD213" s="709"/>
      <c r="AE213" s="709"/>
      <c r="AF213" s="258" t="str">
        <f t="shared" si="52"/>
        <v/>
      </c>
      <c r="AG213" s="1326"/>
      <c r="DG213" s="555"/>
      <c r="DH213" s="175"/>
      <c r="DI213" s="1049"/>
      <c r="DJ213" s="1127"/>
    </row>
    <row r="214" spans="1:114" hidden="1" outlineLevel="1" x14ac:dyDescent="0.25">
      <c r="A214" s="442"/>
      <c r="C214" s="49"/>
      <c r="D214" s="2224"/>
      <c r="E214" s="2209"/>
      <c r="F214" s="2183" t="str">
        <f t="shared" si="50"/>
        <v>CAC-SEER20_ROF_SF</v>
      </c>
      <c r="G214" s="2183"/>
      <c r="H214" s="2183"/>
      <c r="I214" s="1326" t="str">
        <f t="shared" si="51"/>
        <v>351181_2024_12_</v>
      </c>
      <c r="J214" s="1592"/>
      <c r="K214" s="53"/>
      <c r="L214" s="1608"/>
      <c r="M214" s="49"/>
      <c r="N214" s="543"/>
      <c r="O214" s="49"/>
      <c r="T214" s="50"/>
      <c r="U214" s="50"/>
      <c r="V214" s="2138"/>
      <c r="W214" s="1326"/>
      <c r="X214" s="1326"/>
      <c r="Y214" s="1326"/>
      <c r="Z214" s="794"/>
      <c r="AA214" s="1326"/>
      <c r="AB214" s="914"/>
      <c r="AC214" s="709"/>
      <c r="AD214" s="709"/>
      <c r="AE214" s="709"/>
      <c r="AF214" s="258" t="str">
        <f t="shared" si="52"/>
        <v/>
      </c>
      <c r="AG214" s="1326"/>
      <c r="DG214" s="555"/>
      <c r="DH214" s="175"/>
      <c r="DI214" s="1049"/>
      <c r="DJ214" s="1127"/>
    </row>
    <row r="215" spans="1:114" hidden="1" outlineLevel="1" x14ac:dyDescent="0.25">
      <c r="A215" s="442"/>
      <c r="C215" s="49"/>
      <c r="D215" s="2224"/>
      <c r="E215" s="2209"/>
      <c r="F215" s="2183" t="str">
        <f t="shared" si="50"/>
        <v>CAC-SEER21+_ER1_SF</v>
      </c>
      <c r="G215" s="2183"/>
      <c r="H215" s="2183"/>
      <c r="I215" s="1326" t="str">
        <f t="shared" si="51"/>
        <v>351190_2024_12_</v>
      </c>
      <c r="J215" s="1604">
        <v>8.0285797341563221</v>
      </c>
      <c r="K215" s="53"/>
      <c r="L215" s="1593" t="s">
        <v>1035</v>
      </c>
      <c r="M215" s="49"/>
      <c r="N215" s="543"/>
      <c r="O215" s="49"/>
      <c r="T215" s="50"/>
      <c r="U215" s="50"/>
      <c r="V215" s="2138"/>
      <c r="W215" s="1326"/>
      <c r="X215" s="794"/>
      <c r="Y215" s="1326"/>
      <c r="Z215" s="794">
        <v>8.33</v>
      </c>
      <c r="AA215" s="1326">
        <v>8.33</v>
      </c>
      <c r="AB215" s="914">
        <v>8.33</v>
      </c>
      <c r="AC215" s="704">
        <v>8.45383975017978</v>
      </c>
      <c r="AD215" s="898">
        <v>7.6821918988181608</v>
      </c>
      <c r="AE215" s="898">
        <v>8.0110213856427208</v>
      </c>
      <c r="AF215" s="258">
        <f t="shared" si="52"/>
        <v>8.0285797341563221</v>
      </c>
      <c r="AG215" s="1326"/>
      <c r="DG215" s="555"/>
      <c r="DH215" s="175"/>
      <c r="DI215" s="1049"/>
      <c r="DJ215" s="1127"/>
    </row>
    <row r="216" spans="1:114" ht="14.65" hidden="1" customHeight="1" outlineLevel="1" x14ac:dyDescent="0.25">
      <c r="A216" s="442"/>
      <c r="C216" s="49"/>
      <c r="D216" s="2224"/>
      <c r="E216" s="2209"/>
      <c r="F216" s="2183" t="str">
        <f t="shared" si="50"/>
        <v>CAC-SEER21+_ER2_SF</v>
      </c>
      <c r="G216" s="2183"/>
      <c r="H216" s="2183"/>
      <c r="I216" s="1326" t="str">
        <f t="shared" si="51"/>
        <v>351190_2024_12_</v>
      </c>
      <c r="J216" s="1592"/>
      <c r="K216" s="53"/>
      <c r="L216" s="1577"/>
      <c r="M216" s="49"/>
      <c r="N216" s="543"/>
      <c r="O216" s="49"/>
      <c r="T216" s="50"/>
      <c r="U216" s="50"/>
      <c r="V216" s="2138"/>
      <c r="W216" s="1326"/>
      <c r="X216" s="1326"/>
      <c r="Y216" s="1326"/>
      <c r="Z216" s="794"/>
      <c r="AA216" s="1326"/>
      <c r="AB216" s="914"/>
      <c r="AC216" s="709"/>
      <c r="AD216" s="709"/>
      <c r="AE216" s="709"/>
      <c r="AF216" s="258" t="str">
        <f t="shared" si="52"/>
        <v/>
      </c>
      <c r="AG216" s="1326"/>
      <c r="DG216" s="555"/>
      <c r="DH216" s="175"/>
      <c r="DI216" s="1049"/>
      <c r="DJ216" s="1127"/>
    </row>
    <row r="217" spans="1:114" ht="14.65" hidden="1" customHeight="1" outlineLevel="1" x14ac:dyDescent="0.25">
      <c r="A217" s="442"/>
      <c r="C217" s="49"/>
      <c r="D217" s="2224"/>
      <c r="E217" s="2209"/>
      <c r="F217" s="2183" t="str">
        <f t="shared" si="50"/>
        <v>CAC-SEER21+_ROF_SF</v>
      </c>
      <c r="G217" s="2183"/>
      <c r="H217" s="2183"/>
      <c r="I217" s="1326" t="str">
        <f t="shared" si="51"/>
        <v>351191_2024_12_</v>
      </c>
      <c r="J217" s="1592"/>
      <c r="K217" s="53"/>
      <c r="L217" s="1608"/>
      <c r="M217" s="49"/>
      <c r="N217" s="543"/>
      <c r="O217" s="49"/>
      <c r="T217" s="50"/>
      <c r="U217" s="50"/>
      <c r="V217" s="2138"/>
      <c r="W217" s="1326"/>
      <c r="X217" s="1326"/>
      <c r="Y217" s="1326"/>
      <c r="Z217" s="794"/>
      <c r="AA217" s="1326"/>
      <c r="AB217" s="914"/>
      <c r="AC217" s="709"/>
      <c r="AD217" s="709"/>
      <c r="AE217" s="709"/>
      <c r="AF217" s="258" t="str">
        <f t="shared" si="52"/>
        <v/>
      </c>
      <c r="AG217" s="1326"/>
      <c r="DG217" s="555"/>
      <c r="DH217" s="175"/>
      <c r="DI217" s="1049"/>
      <c r="DJ217" s="1127"/>
    </row>
    <row r="218" spans="1:114" ht="14.65" hidden="1" customHeight="1" outlineLevel="1" x14ac:dyDescent="0.25">
      <c r="A218" s="442"/>
      <c r="C218" s="49"/>
      <c r="D218" s="2212" t="s">
        <v>722</v>
      </c>
      <c r="E218" s="2208" t="s">
        <v>1036</v>
      </c>
      <c r="F218" s="2183" t="str">
        <f t="shared" si="50"/>
        <v>CAC-SEER15_ER1_SF</v>
      </c>
      <c r="G218" s="2183"/>
      <c r="H218" s="2183"/>
      <c r="I218" s="887" t="str">
        <f t="shared" si="51"/>
        <v>350600_2024_12_</v>
      </c>
      <c r="J218" s="1612">
        <v>1</v>
      </c>
      <c r="K218" s="1371"/>
      <c r="L218" s="1371"/>
      <c r="M218" s="49"/>
      <c r="N218" s="543"/>
      <c r="O218" s="49"/>
      <c r="T218" s="50"/>
      <c r="U218" s="50"/>
      <c r="V218" s="2179"/>
      <c r="W218" s="200">
        <v>1</v>
      </c>
      <c r="X218" s="200">
        <f t="shared" ref="X218:X223" si="53">W218</f>
        <v>1</v>
      </c>
      <c r="Y218" s="200">
        <v>1</v>
      </c>
      <c r="Z218" s="200">
        <v>1</v>
      </c>
      <c r="AA218" s="200">
        <v>1</v>
      </c>
      <c r="AB218" s="200">
        <v>1</v>
      </c>
      <c r="AC218" s="200">
        <v>1</v>
      </c>
      <c r="AD218" s="200">
        <v>1</v>
      </c>
      <c r="AE218" s="200">
        <v>1</v>
      </c>
      <c r="AF218" s="258">
        <f t="shared" si="52"/>
        <v>1</v>
      </c>
      <c r="AG218" s="200"/>
      <c r="DG218" s="1051"/>
      <c r="DH218" s="175"/>
      <c r="DI218" s="1049"/>
      <c r="DJ218" s="1127"/>
    </row>
    <row r="219" spans="1:114" ht="14.65" hidden="1" customHeight="1" outlineLevel="1" x14ac:dyDescent="0.25">
      <c r="A219" s="442"/>
      <c r="C219" s="49"/>
      <c r="D219" s="2213"/>
      <c r="E219" s="2209"/>
      <c r="F219" s="2183" t="str">
        <f t="shared" si="50"/>
        <v>CAC-SEER15_ER2_SF</v>
      </c>
      <c r="G219" s="2183"/>
      <c r="H219" s="2183"/>
      <c r="I219" s="887" t="str">
        <f t="shared" si="51"/>
        <v>350600_2024_12_</v>
      </c>
      <c r="J219" s="1612">
        <v>1</v>
      </c>
      <c r="K219" s="1371"/>
      <c r="L219" s="1371"/>
      <c r="M219" s="49"/>
      <c r="N219" s="543"/>
      <c r="O219" s="49"/>
      <c r="T219" s="50"/>
      <c r="U219" s="50"/>
      <c r="V219" s="2179"/>
      <c r="W219" s="200">
        <v>1</v>
      </c>
      <c r="X219" s="200">
        <f t="shared" si="53"/>
        <v>1</v>
      </c>
      <c r="Y219" s="200">
        <v>1</v>
      </c>
      <c r="Z219" s="200">
        <v>1</v>
      </c>
      <c r="AA219" s="200">
        <v>1</v>
      </c>
      <c r="AB219" s="200">
        <v>1</v>
      </c>
      <c r="AC219" s="200">
        <v>1</v>
      </c>
      <c r="AD219" s="200">
        <v>1</v>
      </c>
      <c r="AE219" s="200">
        <v>1</v>
      </c>
      <c r="AF219" s="258">
        <f t="shared" si="52"/>
        <v>1</v>
      </c>
      <c r="AG219" s="200"/>
      <c r="DG219" s="1051"/>
      <c r="DH219" s="175"/>
      <c r="DI219" s="1049"/>
      <c r="DJ219" s="1127"/>
    </row>
    <row r="220" spans="1:114" ht="14.65" hidden="1" customHeight="1" outlineLevel="1" x14ac:dyDescent="0.25">
      <c r="A220" s="442"/>
      <c r="C220" s="49"/>
      <c r="D220" s="2213"/>
      <c r="E220" s="2209"/>
      <c r="F220" s="2183" t="str">
        <f t="shared" si="50"/>
        <v>CAC-SEER15_ROF_SF</v>
      </c>
      <c r="G220" s="2183"/>
      <c r="H220" s="2183"/>
      <c r="I220" s="887" t="str">
        <f t="shared" si="51"/>
        <v>350650_2024_12_</v>
      </c>
      <c r="J220" s="1612">
        <v>1</v>
      </c>
      <c r="K220" s="1371"/>
      <c r="L220" s="1371"/>
      <c r="M220" s="49"/>
      <c r="N220" s="543"/>
      <c r="O220" s="49"/>
      <c r="T220" s="50"/>
      <c r="U220" s="50"/>
      <c r="V220" s="2179"/>
      <c r="W220" s="200">
        <v>1</v>
      </c>
      <c r="X220" s="200">
        <f t="shared" si="53"/>
        <v>1</v>
      </c>
      <c r="Y220" s="200">
        <v>1</v>
      </c>
      <c r="Z220" s="200">
        <v>1</v>
      </c>
      <c r="AA220" s="200">
        <v>1</v>
      </c>
      <c r="AB220" s="200">
        <v>1</v>
      </c>
      <c r="AC220" s="200">
        <v>1</v>
      </c>
      <c r="AD220" s="200">
        <v>1</v>
      </c>
      <c r="AE220" s="200">
        <v>1</v>
      </c>
      <c r="AF220" s="258">
        <f t="shared" si="52"/>
        <v>1</v>
      </c>
      <c r="AG220" s="200"/>
      <c r="DG220" s="1051"/>
      <c r="DH220" s="175"/>
      <c r="DI220" s="1049"/>
      <c r="DJ220" s="1127"/>
    </row>
    <row r="221" spans="1:114" ht="14.65" hidden="1" customHeight="1" outlineLevel="1" x14ac:dyDescent="0.25">
      <c r="A221" s="442"/>
      <c r="C221" s="49"/>
      <c r="D221" s="2213"/>
      <c r="E221" s="2209"/>
      <c r="F221" s="2183" t="str">
        <f t="shared" si="50"/>
        <v>CAC-SEER16_ER1_SF</v>
      </c>
      <c r="G221" s="2183"/>
      <c r="H221" s="2183"/>
      <c r="I221" s="887" t="str">
        <f t="shared" si="51"/>
        <v>350800_2024_12_</v>
      </c>
      <c r="J221" s="1612">
        <v>1</v>
      </c>
      <c r="K221" s="1371"/>
      <c r="L221" s="1371"/>
      <c r="M221" s="49"/>
      <c r="N221" s="543"/>
      <c r="O221" s="49"/>
      <c r="T221" s="50"/>
      <c r="U221" s="50"/>
      <c r="V221" s="2179"/>
      <c r="W221" s="200">
        <v>1</v>
      </c>
      <c r="X221" s="200">
        <f t="shared" si="53"/>
        <v>1</v>
      </c>
      <c r="Y221" s="200">
        <v>1</v>
      </c>
      <c r="Z221" s="200">
        <v>1</v>
      </c>
      <c r="AA221" s="200">
        <v>1</v>
      </c>
      <c r="AB221" s="200">
        <v>1</v>
      </c>
      <c r="AC221" s="200">
        <v>1</v>
      </c>
      <c r="AD221" s="200">
        <v>1</v>
      </c>
      <c r="AE221" s="200">
        <v>1</v>
      </c>
      <c r="AF221" s="258">
        <f t="shared" si="52"/>
        <v>1</v>
      </c>
      <c r="AG221" s="200"/>
      <c r="DG221" s="1051"/>
      <c r="DH221" s="175"/>
      <c r="DI221" s="1049"/>
      <c r="DJ221" s="1127"/>
    </row>
    <row r="222" spans="1:114" ht="14.65" hidden="1" customHeight="1" outlineLevel="1" x14ac:dyDescent="0.25">
      <c r="A222" s="442"/>
      <c r="C222" s="49"/>
      <c r="D222" s="2213"/>
      <c r="E222" s="2209"/>
      <c r="F222" s="2183" t="str">
        <f t="shared" ref="F222:F240" si="54">F199</f>
        <v>CAC-SEER16_ER2_SF</v>
      </c>
      <c r="G222" s="2183"/>
      <c r="H222" s="2183"/>
      <c r="I222" s="887" t="str">
        <f t="shared" ref="I222:I240" si="55">I199</f>
        <v>350800_2024_12_</v>
      </c>
      <c r="J222" s="1612">
        <v>1</v>
      </c>
      <c r="K222" s="1371"/>
      <c r="L222" s="1371"/>
      <c r="M222" s="49"/>
      <c r="N222" s="543"/>
      <c r="O222" s="49"/>
      <c r="T222" s="50"/>
      <c r="U222" s="50"/>
      <c r="V222" s="2179"/>
      <c r="W222" s="200">
        <v>1</v>
      </c>
      <c r="X222" s="200">
        <f t="shared" si="53"/>
        <v>1</v>
      </c>
      <c r="Y222" s="200">
        <v>1</v>
      </c>
      <c r="Z222" s="200">
        <v>1</v>
      </c>
      <c r="AA222" s="200">
        <v>1</v>
      </c>
      <c r="AB222" s="200">
        <v>1</v>
      </c>
      <c r="AC222" s="200">
        <v>1</v>
      </c>
      <c r="AD222" s="200">
        <v>1</v>
      </c>
      <c r="AE222" s="200">
        <v>1</v>
      </c>
      <c r="AF222" s="258">
        <f t="shared" si="52"/>
        <v>1</v>
      </c>
      <c r="AG222" s="200"/>
      <c r="DG222" s="1051"/>
      <c r="DH222" s="175"/>
      <c r="DI222" s="1049"/>
      <c r="DJ222" s="1127"/>
    </row>
    <row r="223" spans="1:114" ht="14.65" hidden="1" customHeight="1" outlineLevel="1" x14ac:dyDescent="0.25">
      <c r="A223" s="442"/>
      <c r="C223" s="49"/>
      <c r="D223" s="2213"/>
      <c r="E223" s="2209"/>
      <c r="F223" s="2183" t="str">
        <f t="shared" si="54"/>
        <v>CAC-SEER16_ROF_SF</v>
      </c>
      <c r="G223" s="2183"/>
      <c r="H223" s="2183"/>
      <c r="I223" s="887" t="str">
        <f t="shared" si="55"/>
        <v>350850_2024_12_</v>
      </c>
      <c r="J223" s="1612">
        <v>1</v>
      </c>
      <c r="K223" s="1371"/>
      <c r="L223" s="1371"/>
      <c r="M223" s="49"/>
      <c r="N223" s="543"/>
      <c r="O223" s="49"/>
      <c r="T223" s="50"/>
      <c r="U223" s="50"/>
      <c r="V223" s="2179"/>
      <c r="W223" s="200">
        <v>1</v>
      </c>
      <c r="X223" s="200">
        <f t="shared" si="53"/>
        <v>1</v>
      </c>
      <c r="Y223" s="200">
        <v>1</v>
      </c>
      <c r="Z223" s="200">
        <v>1</v>
      </c>
      <c r="AA223" s="200">
        <v>1</v>
      </c>
      <c r="AB223" s="200">
        <v>1</v>
      </c>
      <c r="AC223" s="200">
        <v>1</v>
      </c>
      <c r="AD223" s="200">
        <v>1</v>
      </c>
      <c r="AE223" s="200">
        <v>1</v>
      </c>
      <c r="AF223" s="258">
        <f t="shared" si="52"/>
        <v>1</v>
      </c>
      <c r="AG223" s="200"/>
      <c r="DG223" s="1051"/>
      <c r="DH223" s="175"/>
      <c r="DI223" s="1049"/>
      <c r="DJ223" s="1127"/>
    </row>
    <row r="224" spans="1:114" ht="14.65" hidden="1" customHeight="1" outlineLevel="1" x14ac:dyDescent="0.25">
      <c r="A224" s="442"/>
      <c r="C224" s="49"/>
      <c r="D224" s="2213"/>
      <c r="E224" s="2209"/>
      <c r="F224" s="2183" t="str">
        <f t="shared" si="54"/>
        <v>CAC-SEER16_ER1_MF</v>
      </c>
      <c r="G224" s="2183"/>
      <c r="H224" s="2183"/>
      <c r="I224" s="887" t="str">
        <f t="shared" si="55"/>
        <v>350900_2024_12_</v>
      </c>
      <c r="J224" s="1612">
        <v>1</v>
      </c>
      <c r="K224" s="1371"/>
      <c r="L224" s="1371"/>
      <c r="M224" s="49"/>
      <c r="N224" s="543"/>
      <c r="O224" s="49"/>
      <c r="T224" s="50"/>
      <c r="U224" s="50"/>
      <c r="V224" s="2179"/>
      <c r="W224" s="200">
        <v>0.65</v>
      </c>
      <c r="X224" s="201">
        <v>1</v>
      </c>
      <c r="Y224" s="200">
        <v>1</v>
      </c>
      <c r="Z224" s="200">
        <v>1</v>
      </c>
      <c r="AA224" s="200">
        <v>1</v>
      </c>
      <c r="AB224" s="200">
        <v>1</v>
      </c>
      <c r="AC224" s="200">
        <v>1</v>
      </c>
      <c r="AD224" s="200">
        <v>1</v>
      </c>
      <c r="AE224" s="200">
        <v>1</v>
      </c>
      <c r="AF224" s="258">
        <f t="shared" si="52"/>
        <v>1</v>
      </c>
      <c r="AG224" s="200"/>
      <c r="DG224" s="1051"/>
      <c r="DH224" s="175"/>
      <c r="DI224" s="1049"/>
      <c r="DJ224" s="1127"/>
    </row>
    <row r="225" spans="1:114" ht="14.65" hidden="1" customHeight="1" outlineLevel="1" x14ac:dyDescent="0.25">
      <c r="A225" s="442"/>
      <c r="C225" s="49"/>
      <c r="D225" s="2213"/>
      <c r="E225" s="2209"/>
      <c r="F225" s="2183" t="str">
        <f t="shared" si="54"/>
        <v>CAC-SEER16_ER2_MF</v>
      </c>
      <c r="G225" s="2183"/>
      <c r="H225" s="2183"/>
      <c r="I225" s="887" t="str">
        <f t="shared" si="55"/>
        <v>350900_2024_12_</v>
      </c>
      <c r="J225" s="1612">
        <v>1</v>
      </c>
      <c r="K225" s="1371"/>
      <c r="L225" s="1371"/>
      <c r="M225" s="49"/>
      <c r="N225" s="543"/>
      <c r="O225" s="49"/>
      <c r="T225" s="50"/>
      <c r="U225" s="50"/>
      <c r="V225" s="2179"/>
      <c r="W225" s="200">
        <v>0.65</v>
      </c>
      <c r="X225" s="201">
        <v>1</v>
      </c>
      <c r="Y225" s="200">
        <v>1</v>
      </c>
      <c r="Z225" s="200">
        <v>1</v>
      </c>
      <c r="AA225" s="200">
        <v>1</v>
      </c>
      <c r="AB225" s="200">
        <v>1</v>
      </c>
      <c r="AC225" s="200">
        <v>1</v>
      </c>
      <c r="AD225" s="200">
        <v>1</v>
      </c>
      <c r="AE225" s="200">
        <v>1</v>
      </c>
      <c r="AF225" s="258">
        <f t="shared" si="52"/>
        <v>1</v>
      </c>
      <c r="AG225" s="200"/>
      <c r="DG225" s="1051"/>
      <c r="DH225" s="175"/>
      <c r="DI225" s="1049"/>
      <c r="DJ225" s="1127"/>
    </row>
    <row r="226" spans="1:114" ht="14.65" hidden="1" customHeight="1" outlineLevel="1" x14ac:dyDescent="0.25">
      <c r="A226" s="442"/>
      <c r="C226" s="49"/>
      <c r="D226" s="2213"/>
      <c r="E226" s="2209"/>
      <c r="F226" s="2183" t="str">
        <f t="shared" si="54"/>
        <v>CAC-SEER17_ER1_SF</v>
      </c>
      <c r="G226" s="2183"/>
      <c r="H226" s="2183"/>
      <c r="I226" s="887" t="str">
        <f t="shared" si="55"/>
        <v>351000_2024_12_</v>
      </c>
      <c r="J226" s="1612">
        <v>1</v>
      </c>
      <c r="K226" s="1371"/>
      <c r="L226" s="1371"/>
      <c r="M226" s="49"/>
      <c r="N226" s="543"/>
      <c r="O226" s="49"/>
      <c r="T226" s="50"/>
      <c r="U226" s="50"/>
      <c r="V226" s="2179"/>
      <c r="W226" s="200">
        <v>1</v>
      </c>
      <c r="X226" s="200">
        <f>W226</f>
        <v>1</v>
      </c>
      <c r="Y226" s="200">
        <v>1</v>
      </c>
      <c r="Z226" s="200">
        <v>1</v>
      </c>
      <c r="AA226" s="200">
        <v>1</v>
      </c>
      <c r="AB226" s="200">
        <v>1</v>
      </c>
      <c r="AC226" s="200">
        <v>1</v>
      </c>
      <c r="AD226" s="200">
        <v>1</v>
      </c>
      <c r="AE226" s="200">
        <v>1</v>
      </c>
      <c r="AF226" s="258">
        <f t="shared" ref="AF226:AF244" si="56">IF(J226&lt;&gt;"",J226,"")</f>
        <v>1</v>
      </c>
      <c r="AG226" s="200"/>
      <c r="DG226" s="1051"/>
      <c r="DH226" s="175"/>
      <c r="DI226" s="1049"/>
      <c r="DJ226" s="1127"/>
    </row>
    <row r="227" spans="1:114" ht="14.65" hidden="1" customHeight="1" outlineLevel="1" x14ac:dyDescent="0.25">
      <c r="A227" s="442"/>
      <c r="C227" s="49"/>
      <c r="D227" s="2213"/>
      <c r="E227" s="2209"/>
      <c r="F227" s="2183" t="str">
        <f t="shared" si="54"/>
        <v>CAC-SEER17_ER2_SF</v>
      </c>
      <c r="G227" s="2183"/>
      <c r="H227" s="2183"/>
      <c r="I227" s="887" t="str">
        <f t="shared" si="55"/>
        <v>351000_2024_12_</v>
      </c>
      <c r="J227" s="1612">
        <v>1</v>
      </c>
      <c r="K227" s="1371"/>
      <c r="L227" s="1371"/>
      <c r="M227" s="49"/>
      <c r="N227" s="543"/>
      <c r="O227" s="49"/>
      <c r="T227" s="50"/>
      <c r="U227" s="50"/>
      <c r="V227" s="2179"/>
      <c r="W227" s="200">
        <v>1</v>
      </c>
      <c r="X227" s="200">
        <f>W227</f>
        <v>1</v>
      </c>
      <c r="Y227" s="200">
        <v>1</v>
      </c>
      <c r="Z227" s="200">
        <v>1</v>
      </c>
      <c r="AA227" s="200">
        <v>1</v>
      </c>
      <c r="AB227" s="200">
        <v>1</v>
      </c>
      <c r="AC227" s="200">
        <v>1</v>
      </c>
      <c r="AD227" s="200">
        <v>1</v>
      </c>
      <c r="AE227" s="200">
        <v>1</v>
      </c>
      <c r="AF227" s="258">
        <f t="shared" si="56"/>
        <v>1</v>
      </c>
      <c r="AG227" s="200"/>
      <c r="DG227" s="1051"/>
      <c r="DH227" s="175"/>
      <c r="DI227" s="1049"/>
      <c r="DJ227" s="1127"/>
    </row>
    <row r="228" spans="1:114" ht="14.65" hidden="1" customHeight="1" outlineLevel="1" x14ac:dyDescent="0.25">
      <c r="A228" s="442"/>
      <c r="C228" s="49"/>
      <c r="D228" s="2213"/>
      <c r="E228" s="2209"/>
      <c r="F228" s="2183" t="str">
        <f t="shared" si="54"/>
        <v>CAC-SEER17_ROF_SF</v>
      </c>
      <c r="G228" s="2183"/>
      <c r="H228" s="2183"/>
      <c r="I228" s="887" t="str">
        <f t="shared" si="55"/>
        <v>351050_2024_12_</v>
      </c>
      <c r="J228" s="1612">
        <v>1</v>
      </c>
      <c r="K228" s="1371"/>
      <c r="L228" s="1371"/>
      <c r="M228" s="49"/>
      <c r="N228" s="543"/>
      <c r="O228" s="49"/>
      <c r="T228" s="50"/>
      <c r="U228" s="50"/>
      <c r="V228" s="2179"/>
      <c r="W228" s="200">
        <v>1</v>
      </c>
      <c r="X228" s="200">
        <f>W228</f>
        <v>1</v>
      </c>
      <c r="Y228" s="200">
        <v>1</v>
      </c>
      <c r="Z228" s="200">
        <v>1</v>
      </c>
      <c r="AA228" s="200">
        <v>1</v>
      </c>
      <c r="AB228" s="200">
        <v>1</v>
      </c>
      <c r="AC228" s="200">
        <v>1</v>
      </c>
      <c r="AD228" s="200">
        <v>1</v>
      </c>
      <c r="AE228" s="200">
        <v>1</v>
      </c>
      <c r="AF228" s="258">
        <f t="shared" si="56"/>
        <v>1</v>
      </c>
      <c r="AG228" s="200"/>
      <c r="DG228" s="1051"/>
      <c r="DH228" s="175"/>
      <c r="DI228" s="1049"/>
      <c r="DJ228" s="1127"/>
    </row>
    <row r="229" spans="1:114" ht="14.65" hidden="1" customHeight="1" outlineLevel="1" x14ac:dyDescent="0.25">
      <c r="A229" s="442"/>
      <c r="C229" s="49"/>
      <c r="D229" s="2213"/>
      <c r="E229" s="2209"/>
      <c r="F229" s="2183" t="str">
        <f t="shared" si="54"/>
        <v>CAC-SEER18_ER1_SF</v>
      </c>
      <c r="G229" s="2183"/>
      <c r="H229" s="2183"/>
      <c r="I229" s="887" t="str">
        <f t="shared" si="55"/>
        <v>351160_2024_12_</v>
      </c>
      <c r="J229" s="1612">
        <v>1</v>
      </c>
      <c r="K229" s="1371"/>
      <c r="L229" s="1371"/>
      <c r="M229" s="49"/>
      <c r="N229" s="543"/>
      <c r="O229" s="49"/>
      <c r="T229" s="50"/>
      <c r="U229" s="50"/>
      <c r="V229" s="2138"/>
      <c r="W229" s="200"/>
      <c r="X229" s="200"/>
      <c r="Y229" s="200"/>
      <c r="Z229" s="201">
        <v>1</v>
      </c>
      <c r="AA229" s="200">
        <v>1</v>
      </c>
      <c r="AB229" s="200">
        <v>1</v>
      </c>
      <c r="AC229" s="200">
        <v>1</v>
      </c>
      <c r="AD229" s="200">
        <v>1</v>
      </c>
      <c r="AE229" s="200">
        <v>1</v>
      </c>
      <c r="AF229" s="258">
        <f t="shared" si="56"/>
        <v>1</v>
      </c>
      <c r="AG229" s="200"/>
      <c r="DG229" s="1051"/>
      <c r="DH229" s="175"/>
      <c r="DI229" s="1049"/>
      <c r="DJ229" s="1127"/>
    </row>
    <row r="230" spans="1:114" ht="14.65" hidden="1" customHeight="1" outlineLevel="1" x14ac:dyDescent="0.25">
      <c r="A230" s="442"/>
      <c r="C230" s="49"/>
      <c r="D230" s="2213"/>
      <c r="E230" s="2209"/>
      <c r="F230" s="2183" t="str">
        <f t="shared" si="54"/>
        <v>CAC-SEER18_ER2_SF</v>
      </c>
      <c r="G230" s="2183"/>
      <c r="H230" s="2183"/>
      <c r="I230" s="887" t="str">
        <f t="shared" si="55"/>
        <v>351160_2024_12_</v>
      </c>
      <c r="J230" s="1612">
        <v>1</v>
      </c>
      <c r="K230" s="1371"/>
      <c r="L230" s="1371"/>
      <c r="M230" s="49"/>
      <c r="N230" s="543"/>
      <c r="O230" s="49"/>
      <c r="T230" s="50"/>
      <c r="U230" s="50"/>
      <c r="V230" s="2138"/>
      <c r="W230" s="200"/>
      <c r="X230" s="200"/>
      <c r="Y230" s="200"/>
      <c r="Z230" s="201">
        <v>1</v>
      </c>
      <c r="AA230" s="200">
        <v>1</v>
      </c>
      <c r="AB230" s="200">
        <v>1</v>
      </c>
      <c r="AC230" s="200">
        <v>1</v>
      </c>
      <c r="AD230" s="200">
        <v>1</v>
      </c>
      <c r="AE230" s="200">
        <v>1</v>
      </c>
      <c r="AF230" s="258">
        <f t="shared" si="56"/>
        <v>1</v>
      </c>
      <c r="AG230" s="200"/>
      <c r="DG230" s="1051"/>
      <c r="DH230" s="175"/>
      <c r="DI230" s="1049"/>
      <c r="DJ230" s="1127"/>
    </row>
    <row r="231" spans="1:114" ht="14.65" hidden="1" customHeight="1" outlineLevel="1" x14ac:dyDescent="0.25">
      <c r="A231" s="442"/>
      <c r="C231" s="49"/>
      <c r="D231" s="2213"/>
      <c r="E231" s="2209"/>
      <c r="F231" s="2183" t="str">
        <f t="shared" si="54"/>
        <v>CAC-SEER18_ROF_SF</v>
      </c>
      <c r="G231" s="2183"/>
      <c r="H231" s="2183"/>
      <c r="I231" s="887" t="str">
        <f t="shared" si="55"/>
        <v>351161_2024_12_</v>
      </c>
      <c r="J231" s="1612">
        <v>1</v>
      </c>
      <c r="K231" s="1371"/>
      <c r="L231" s="1371"/>
      <c r="M231" s="49"/>
      <c r="N231" s="543"/>
      <c r="O231" s="49"/>
      <c r="T231" s="50"/>
      <c r="U231" s="50"/>
      <c r="V231" s="2138"/>
      <c r="W231" s="200"/>
      <c r="X231" s="200"/>
      <c r="Y231" s="200"/>
      <c r="Z231" s="201">
        <v>1</v>
      </c>
      <c r="AA231" s="200">
        <v>1</v>
      </c>
      <c r="AB231" s="200">
        <v>1</v>
      </c>
      <c r="AC231" s="200">
        <v>1</v>
      </c>
      <c r="AD231" s="200">
        <v>1</v>
      </c>
      <c r="AE231" s="200">
        <v>1</v>
      </c>
      <c r="AF231" s="258">
        <f t="shared" si="56"/>
        <v>1</v>
      </c>
      <c r="AG231" s="200"/>
      <c r="DG231" s="1051"/>
      <c r="DH231" s="175"/>
      <c r="DI231" s="1049"/>
      <c r="DJ231" s="1127"/>
    </row>
    <row r="232" spans="1:114" ht="14.65" hidden="1" customHeight="1" outlineLevel="1" x14ac:dyDescent="0.25">
      <c r="A232" s="442"/>
      <c r="C232" s="49"/>
      <c r="D232" s="2213"/>
      <c r="E232" s="2209"/>
      <c r="F232" s="2183" t="str">
        <f t="shared" si="54"/>
        <v>CAC-SEER19_ER1_SF</v>
      </c>
      <c r="G232" s="2183"/>
      <c r="H232" s="2183"/>
      <c r="I232" s="887" t="str">
        <f t="shared" si="55"/>
        <v>351170_2024_12_</v>
      </c>
      <c r="J232" s="1612">
        <v>1</v>
      </c>
      <c r="K232" s="1371"/>
      <c r="L232" s="1371"/>
      <c r="M232" s="49"/>
      <c r="N232" s="543"/>
      <c r="O232" s="49"/>
      <c r="T232" s="50"/>
      <c r="U232" s="50"/>
      <c r="V232" s="2138"/>
      <c r="W232" s="200"/>
      <c r="X232" s="200"/>
      <c r="Y232" s="200"/>
      <c r="Z232" s="201">
        <v>1</v>
      </c>
      <c r="AA232" s="200">
        <v>1</v>
      </c>
      <c r="AB232" s="200">
        <v>1</v>
      </c>
      <c r="AC232" s="200">
        <v>1</v>
      </c>
      <c r="AD232" s="200">
        <v>1</v>
      </c>
      <c r="AE232" s="200">
        <v>1</v>
      </c>
      <c r="AF232" s="258">
        <f t="shared" si="56"/>
        <v>1</v>
      </c>
      <c r="AG232" s="200"/>
      <c r="DG232" s="1051"/>
      <c r="DH232" s="175"/>
      <c r="DI232" s="1049"/>
      <c r="DJ232" s="1127"/>
    </row>
    <row r="233" spans="1:114" ht="14.65" hidden="1" customHeight="1" outlineLevel="1" x14ac:dyDescent="0.25">
      <c r="A233" s="442"/>
      <c r="C233" s="49"/>
      <c r="D233" s="2213"/>
      <c r="E233" s="2209"/>
      <c r="F233" s="2183" t="str">
        <f t="shared" si="54"/>
        <v>CAC-SEER19_ER2_SF</v>
      </c>
      <c r="G233" s="2183"/>
      <c r="H233" s="2183"/>
      <c r="I233" s="887" t="str">
        <f t="shared" si="55"/>
        <v>351170_2024_12_</v>
      </c>
      <c r="J233" s="1612">
        <v>1</v>
      </c>
      <c r="K233" s="1371"/>
      <c r="L233" s="1371"/>
      <c r="M233" s="49"/>
      <c r="N233" s="543"/>
      <c r="O233" s="49"/>
      <c r="T233" s="50"/>
      <c r="U233" s="50"/>
      <c r="V233" s="2138"/>
      <c r="W233" s="200"/>
      <c r="X233" s="200"/>
      <c r="Y233" s="200"/>
      <c r="Z233" s="201">
        <v>1</v>
      </c>
      <c r="AA233" s="200">
        <v>1</v>
      </c>
      <c r="AB233" s="200">
        <v>1</v>
      </c>
      <c r="AC233" s="200">
        <v>1</v>
      </c>
      <c r="AD233" s="200">
        <v>1</v>
      </c>
      <c r="AE233" s="200">
        <v>1</v>
      </c>
      <c r="AF233" s="258">
        <f t="shared" si="56"/>
        <v>1</v>
      </c>
      <c r="AG233" s="200"/>
      <c r="DG233" s="1051"/>
      <c r="DH233" s="175"/>
      <c r="DI233" s="1049"/>
      <c r="DJ233" s="1127"/>
    </row>
    <row r="234" spans="1:114" ht="14.65" hidden="1" customHeight="1" outlineLevel="1" x14ac:dyDescent="0.25">
      <c r="A234" s="442"/>
      <c r="C234" s="49"/>
      <c r="D234" s="2213"/>
      <c r="E234" s="2209"/>
      <c r="F234" s="2183" t="str">
        <f t="shared" si="54"/>
        <v>CAC-SEER19_ROF_SF</v>
      </c>
      <c r="G234" s="2183"/>
      <c r="H234" s="2183"/>
      <c r="I234" s="887" t="str">
        <f t="shared" si="55"/>
        <v>351171_2024_12_</v>
      </c>
      <c r="J234" s="1612">
        <v>1</v>
      </c>
      <c r="K234" s="1371"/>
      <c r="L234" s="1371"/>
      <c r="M234" s="49"/>
      <c r="N234" s="543"/>
      <c r="O234" s="49"/>
      <c r="T234" s="50"/>
      <c r="U234" s="50"/>
      <c r="V234" s="2138"/>
      <c r="W234" s="200"/>
      <c r="X234" s="200"/>
      <c r="Y234" s="200"/>
      <c r="Z234" s="201">
        <v>1</v>
      </c>
      <c r="AA234" s="200">
        <v>1</v>
      </c>
      <c r="AB234" s="200">
        <v>1</v>
      </c>
      <c r="AC234" s="200">
        <v>1</v>
      </c>
      <c r="AD234" s="200">
        <v>1</v>
      </c>
      <c r="AE234" s="200">
        <v>1</v>
      </c>
      <c r="AF234" s="258">
        <f t="shared" si="56"/>
        <v>1</v>
      </c>
      <c r="AG234" s="200"/>
      <c r="DG234" s="1051"/>
      <c r="DH234" s="175"/>
      <c r="DI234" s="1049"/>
      <c r="DJ234" s="1127"/>
    </row>
    <row r="235" spans="1:114" ht="14.65" hidden="1" customHeight="1" outlineLevel="1" x14ac:dyDescent="0.25">
      <c r="A235" s="442"/>
      <c r="C235" s="49"/>
      <c r="D235" s="2213"/>
      <c r="E235" s="2209"/>
      <c r="F235" s="2183" t="str">
        <f t="shared" si="54"/>
        <v>CAC-SEER20_ER1_SF</v>
      </c>
      <c r="G235" s="2183"/>
      <c r="H235" s="2183"/>
      <c r="I235" s="887" t="str">
        <f t="shared" si="55"/>
        <v>351180_2024_12_</v>
      </c>
      <c r="J235" s="1612">
        <v>1</v>
      </c>
      <c r="K235" s="1371"/>
      <c r="L235" s="1371"/>
      <c r="M235" s="49"/>
      <c r="N235" s="543"/>
      <c r="O235" s="49"/>
      <c r="T235" s="50"/>
      <c r="U235" s="50"/>
      <c r="V235" s="2138"/>
      <c r="W235" s="200"/>
      <c r="X235" s="200"/>
      <c r="Y235" s="200"/>
      <c r="Z235" s="201">
        <v>1</v>
      </c>
      <c r="AA235" s="200">
        <v>1</v>
      </c>
      <c r="AB235" s="200">
        <v>1</v>
      </c>
      <c r="AC235" s="200">
        <v>1</v>
      </c>
      <c r="AD235" s="200">
        <v>1</v>
      </c>
      <c r="AE235" s="200">
        <v>1</v>
      </c>
      <c r="AF235" s="258">
        <f t="shared" si="56"/>
        <v>1</v>
      </c>
      <c r="AG235" s="200"/>
      <c r="DG235" s="1051"/>
      <c r="DH235" s="175"/>
      <c r="DI235" s="1049"/>
      <c r="DJ235" s="1127"/>
    </row>
    <row r="236" spans="1:114" ht="14.65" hidden="1" customHeight="1" outlineLevel="1" x14ac:dyDescent="0.25">
      <c r="A236" s="442"/>
      <c r="C236" s="49"/>
      <c r="D236" s="2213"/>
      <c r="E236" s="2209"/>
      <c r="F236" s="2183" t="str">
        <f t="shared" si="54"/>
        <v>CAC-SEER20_ER2_SF</v>
      </c>
      <c r="G236" s="2183"/>
      <c r="H236" s="2183"/>
      <c r="I236" s="887" t="str">
        <f t="shared" si="55"/>
        <v>351180_2024_12_</v>
      </c>
      <c r="J236" s="1612">
        <v>1</v>
      </c>
      <c r="K236" s="1371"/>
      <c r="L236" s="1371"/>
      <c r="M236" s="49"/>
      <c r="N236" s="543"/>
      <c r="O236" s="49"/>
      <c r="T236" s="50"/>
      <c r="U236" s="50"/>
      <c r="V236" s="2138"/>
      <c r="W236" s="200"/>
      <c r="X236" s="200"/>
      <c r="Y236" s="200"/>
      <c r="Z236" s="201">
        <v>1</v>
      </c>
      <c r="AA236" s="200">
        <v>1</v>
      </c>
      <c r="AB236" s="200">
        <v>1</v>
      </c>
      <c r="AC236" s="200">
        <v>1</v>
      </c>
      <c r="AD236" s="200">
        <v>1</v>
      </c>
      <c r="AE236" s="200">
        <v>1</v>
      </c>
      <c r="AF236" s="258">
        <f t="shared" si="56"/>
        <v>1</v>
      </c>
      <c r="AG236" s="200"/>
      <c r="DG236" s="1051"/>
      <c r="DH236" s="175"/>
      <c r="DI236" s="1049"/>
      <c r="DJ236" s="1127"/>
    </row>
    <row r="237" spans="1:114" ht="14.65" hidden="1" customHeight="1" outlineLevel="1" x14ac:dyDescent="0.25">
      <c r="A237" s="442"/>
      <c r="C237" s="49"/>
      <c r="D237" s="2213"/>
      <c r="E237" s="2209"/>
      <c r="F237" s="2183" t="str">
        <f t="shared" si="54"/>
        <v>CAC-SEER20_ROF_SF</v>
      </c>
      <c r="G237" s="2183"/>
      <c r="H237" s="2183"/>
      <c r="I237" s="887" t="str">
        <f t="shared" si="55"/>
        <v>351181_2024_12_</v>
      </c>
      <c r="J237" s="1612">
        <v>1</v>
      </c>
      <c r="K237" s="1371"/>
      <c r="L237" s="1371"/>
      <c r="M237" s="49"/>
      <c r="N237" s="543"/>
      <c r="O237" s="49"/>
      <c r="T237" s="50"/>
      <c r="U237" s="50"/>
      <c r="V237" s="2138"/>
      <c r="W237" s="200"/>
      <c r="X237" s="200"/>
      <c r="Y237" s="200"/>
      <c r="Z237" s="201">
        <v>1</v>
      </c>
      <c r="AA237" s="200">
        <v>1</v>
      </c>
      <c r="AB237" s="200">
        <v>1</v>
      </c>
      <c r="AC237" s="200">
        <v>1</v>
      </c>
      <c r="AD237" s="200">
        <v>1</v>
      </c>
      <c r="AE237" s="200">
        <v>1</v>
      </c>
      <c r="AF237" s="258">
        <f t="shared" si="56"/>
        <v>1</v>
      </c>
      <c r="AG237" s="200"/>
      <c r="DG237" s="1051"/>
      <c r="DH237" s="175"/>
      <c r="DI237" s="1049"/>
      <c r="DJ237" s="1127"/>
    </row>
    <row r="238" spans="1:114" ht="14.65" hidden="1" customHeight="1" outlineLevel="1" x14ac:dyDescent="0.25">
      <c r="A238" s="442"/>
      <c r="C238" s="49"/>
      <c r="D238" s="2213"/>
      <c r="E238" s="2209"/>
      <c r="F238" s="2183" t="str">
        <f t="shared" si="54"/>
        <v>CAC-SEER21+_ER1_SF</v>
      </c>
      <c r="G238" s="2183"/>
      <c r="H238" s="2183"/>
      <c r="I238" s="887" t="str">
        <f t="shared" si="55"/>
        <v>351190_2024_12_</v>
      </c>
      <c r="J238" s="1612">
        <v>1</v>
      </c>
      <c r="K238" s="1371"/>
      <c r="L238" s="1371"/>
      <c r="M238" s="49"/>
      <c r="N238" s="543"/>
      <c r="O238" s="49"/>
      <c r="T238" s="50"/>
      <c r="U238" s="50"/>
      <c r="V238" s="2138"/>
      <c r="W238" s="200"/>
      <c r="X238" s="200"/>
      <c r="Y238" s="200"/>
      <c r="Z238" s="201">
        <v>1</v>
      </c>
      <c r="AA238" s="200">
        <v>1</v>
      </c>
      <c r="AB238" s="200">
        <v>1</v>
      </c>
      <c r="AC238" s="200">
        <v>1</v>
      </c>
      <c r="AD238" s="200">
        <v>1</v>
      </c>
      <c r="AE238" s="200">
        <v>1</v>
      </c>
      <c r="AF238" s="258">
        <f t="shared" si="56"/>
        <v>1</v>
      </c>
      <c r="AG238" s="200"/>
      <c r="DG238" s="1051"/>
      <c r="DH238" s="175"/>
      <c r="DI238" s="1049"/>
      <c r="DJ238" s="1127"/>
    </row>
    <row r="239" spans="1:114" ht="14.65" hidden="1" customHeight="1" outlineLevel="1" x14ac:dyDescent="0.25">
      <c r="A239" s="442"/>
      <c r="C239" s="49"/>
      <c r="D239" s="2213"/>
      <c r="E239" s="2209"/>
      <c r="F239" s="2183" t="str">
        <f t="shared" si="54"/>
        <v>CAC-SEER21+_ER2_SF</v>
      </c>
      <c r="G239" s="2183"/>
      <c r="H239" s="2183"/>
      <c r="I239" s="887" t="str">
        <f t="shared" si="55"/>
        <v>351190_2024_12_</v>
      </c>
      <c r="J239" s="1612">
        <v>1</v>
      </c>
      <c r="K239" s="1371"/>
      <c r="L239" s="1371"/>
      <c r="M239" s="49"/>
      <c r="N239" s="543"/>
      <c r="O239" s="49"/>
      <c r="T239" s="50"/>
      <c r="U239" s="50"/>
      <c r="V239" s="2138"/>
      <c r="W239" s="200"/>
      <c r="X239" s="200"/>
      <c r="Y239" s="200"/>
      <c r="Z239" s="201">
        <v>1</v>
      </c>
      <c r="AA239" s="200">
        <v>1</v>
      </c>
      <c r="AB239" s="200">
        <v>1</v>
      </c>
      <c r="AC239" s="200">
        <v>1</v>
      </c>
      <c r="AD239" s="200">
        <v>1</v>
      </c>
      <c r="AE239" s="200">
        <v>1</v>
      </c>
      <c r="AF239" s="258">
        <f t="shared" si="56"/>
        <v>1</v>
      </c>
      <c r="AG239" s="200"/>
      <c r="DG239" s="1051"/>
      <c r="DH239" s="175"/>
      <c r="DI239" s="1049"/>
      <c r="DJ239" s="1127"/>
    </row>
    <row r="240" spans="1:114" ht="14.65" hidden="1" customHeight="1" outlineLevel="1" x14ac:dyDescent="0.25">
      <c r="A240" s="442"/>
      <c r="C240" s="49"/>
      <c r="D240" s="2213"/>
      <c r="E240" s="2209"/>
      <c r="F240" s="2183" t="str">
        <f t="shared" si="54"/>
        <v>CAC-SEER21+_ROF_SF</v>
      </c>
      <c r="G240" s="2183"/>
      <c r="H240" s="2183"/>
      <c r="I240" s="887" t="str">
        <f t="shared" si="55"/>
        <v>351191_2024_12_</v>
      </c>
      <c r="J240" s="1612">
        <v>1</v>
      </c>
      <c r="K240" s="1371"/>
      <c r="L240" s="1371"/>
      <c r="M240" s="49"/>
      <c r="N240" s="543"/>
      <c r="O240" s="49"/>
      <c r="T240" s="50"/>
      <c r="U240" s="50"/>
      <c r="V240" s="2138"/>
      <c r="W240" s="200"/>
      <c r="X240" s="200"/>
      <c r="Y240" s="200"/>
      <c r="Z240" s="201">
        <v>1</v>
      </c>
      <c r="AA240" s="200">
        <v>1</v>
      </c>
      <c r="AB240" s="200">
        <v>1</v>
      </c>
      <c r="AC240" s="200">
        <v>1</v>
      </c>
      <c r="AD240" s="200">
        <v>1</v>
      </c>
      <c r="AE240" s="200">
        <v>1</v>
      </c>
      <c r="AF240" s="258">
        <f t="shared" si="56"/>
        <v>1</v>
      </c>
      <c r="AG240" s="200"/>
      <c r="DG240" s="1051"/>
      <c r="DH240" s="175"/>
      <c r="DI240" s="1049"/>
      <c r="DJ240" s="1127"/>
    </row>
    <row r="241" spans="1:114" hidden="1" outlineLevel="1" x14ac:dyDescent="0.25">
      <c r="A241" s="442"/>
      <c r="C241" s="49"/>
      <c r="D241" s="1306" t="s">
        <v>104</v>
      </c>
      <c r="E241" s="1306" t="s">
        <v>951</v>
      </c>
      <c r="F241" s="2185" t="s">
        <v>734</v>
      </c>
      <c r="G241" s="2185"/>
      <c r="H241" s="2185"/>
      <c r="I241" s="1594" t="s">
        <v>734</v>
      </c>
      <c r="J241" s="1514">
        <v>0.998</v>
      </c>
      <c r="K241" s="1307"/>
      <c r="L241" s="1340" t="s">
        <v>1037</v>
      </c>
      <c r="M241" s="49"/>
      <c r="N241" s="543"/>
      <c r="O241" s="49"/>
      <c r="T241" s="50"/>
      <c r="U241" s="50"/>
      <c r="V241" s="1306" t="s">
        <v>104</v>
      </c>
      <c r="W241" s="200"/>
      <c r="X241" s="201"/>
      <c r="Y241" s="200"/>
      <c r="Z241" s="201"/>
      <c r="AA241" s="200"/>
      <c r="AB241" s="201">
        <v>1</v>
      </c>
      <c r="AC241" s="1657">
        <v>0.998</v>
      </c>
      <c r="AD241" s="1609">
        <v>0.998</v>
      </c>
      <c r="AE241" s="1609">
        <v>0.998</v>
      </c>
      <c r="AF241" s="258">
        <f t="shared" si="56"/>
        <v>0.998</v>
      </c>
      <c r="AG241" s="200"/>
      <c r="DG241" s="1051"/>
      <c r="DH241" s="175"/>
      <c r="DI241" s="1049"/>
      <c r="DJ241" s="1127"/>
    </row>
    <row r="242" spans="1:114" ht="14.65" hidden="1" customHeight="1" outlineLevel="1" x14ac:dyDescent="0.25">
      <c r="A242" s="442"/>
      <c r="C242" s="49"/>
      <c r="D242" s="2208" t="s">
        <v>49</v>
      </c>
      <c r="E242" s="2208" t="s">
        <v>49</v>
      </c>
      <c r="F242" s="2184" t="str">
        <f t="shared" ref="F242:F264" si="57">F218</f>
        <v>CAC-SEER15_ER1_SF</v>
      </c>
      <c r="G242" s="2184"/>
      <c r="H242" s="2184"/>
      <c r="I242" s="887" t="str">
        <f t="shared" ref="I242:I264" si="58">I218</f>
        <v>350600_2024_12_</v>
      </c>
      <c r="J242" s="1617">
        <v>6</v>
      </c>
      <c r="K242" s="1371"/>
      <c r="L242" s="2219" t="s">
        <v>1038</v>
      </c>
      <c r="M242" s="49"/>
      <c r="N242" s="543"/>
      <c r="O242" s="49"/>
      <c r="T242" s="50"/>
      <c r="U242" s="50"/>
      <c r="V242" s="2179"/>
      <c r="W242" s="203">
        <v>6</v>
      </c>
      <c r="X242" s="203">
        <v>6</v>
      </c>
      <c r="Y242" s="203">
        <v>6</v>
      </c>
      <c r="Z242" s="203">
        <v>6</v>
      </c>
      <c r="AA242" s="203">
        <v>6</v>
      </c>
      <c r="AB242" s="203">
        <v>6</v>
      </c>
      <c r="AC242" s="915">
        <v>6</v>
      </c>
      <c r="AD242" s="888">
        <v>6</v>
      </c>
      <c r="AE242" s="888">
        <v>6</v>
      </c>
      <c r="AF242" s="258">
        <f t="shared" si="56"/>
        <v>6</v>
      </c>
      <c r="AG242" s="203"/>
      <c r="DG242" s="1051"/>
      <c r="DH242" s="175"/>
      <c r="DI242" s="1049"/>
      <c r="DJ242" s="1127"/>
    </row>
    <row r="243" spans="1:114" ht="14.65" hidden="1" customHeight="1" outlineLevel="1" x14ac:dyDescent="0.25">
      <c r="A243" s="442"/>
      <c r="C243" s="49"/>
      <c r="D243" s="2209"/>
      <c r="E243" s="2209"/>
      <c r="F243" s="2184" t="str">
        <f t="shared" si="57"/>
        <v>CAC-SEER15_ER2_SF</v>
      </c>
      <c r="G243" s="2184"/>
      <c r="H243" s="2184"/>
      <c r="I243" s="887" t="str">
        <f t="shared" si="58"/>
        <v>350600_2024_12_</v>
      </c>
      <c r="J243" s="1617">
        <v>12</v>
      </c>
      <c r="K243" s="1371"/>
      <c r="L243" s="2219"/>
      <c r="M243" s="49"/>
      <c r="N243" s="543"/>
      <c r="O243" s="49"/>
      <c r="T243" s="50"/>
      <c r="U243" s="50"/>
      <c r="V243" s="2179"/>
      <c r="W243" s="203">
        <v>12</v>
      </c>
      <c r="X243" s="203">
        <v>12</v>
      </c>
      <c r="Y243" s="203">
        <v>12</v>
      </c>
      <c r="Z243" s="203">
        <v>12</v>
      </c>
      <c r="AA243" s="203">
        <v>12</v>
      </c>
      <c r="AB243" s="203">
        <v>12</v>
      </c>
      <c r="AC243" s="915">
        <v>12</v>
      </c>
      <c r="AD243" s="888">
        <v>12</v>
      </c>
      <c r="AE243" s="888">
        <v>12</v>
      </c>
      <c r="AF243" s="258">
        <f t="shared" si="56"/>
        <v>12</v>
      </c>
      <c r="AG243" s="203"/>
      <c r="DG243" s="1051"/>
      <c r="DH243" s="175"/>
      <c r="DI243" s="1049"/>
      <c r="DJ243" s="1127"/>
    </row>
    <row r="244" spans="1:114" ht="14.65" hidden="1" customHeight="1" outlineLevel="1" x14ac:dyDescent="0.25">
      <c r="A244" s="442"/>
      <c r="C244" s="49"/>
      <c r="D244" s="2209"/>
      <c r="E244" s="2209"/>
      <c r="F244" s="2184" t="str">
        <f t="shared" si="57"/>
        <v>CAC-SEER15_ROF_SF</v>
      </c>
      <c r="G244" s="2184"/>
      <c r="H244" s="2184"/>
      <c r="I244" s="887" t="str">
        <f t="shared" si="58"/>
        <v>350650_2024_12_</v>
      </c>
      <c r="J244" s="1617">
        <v>18</v>
      </c>
      <c r="K244" s="1371"/>
      <c r="L244" s="2219"/>
      <c r="M244" s="49"/>
      <c r="N244" s="543"/>
      <c r="O244" s="49"/>
      <c r="T244" s="50"/>
      <c r="U244" s="50"/>
      <c r="V244" s="2179"/>
      <c r="W244" s="203">
        <v>18</v>
      </c>
      <c r="X244" s="203">
        <v>18</v>
      </c>
      <c r="Y244" s="203">
        <v>18</v>
      </c>
      <c r="Z244" s="203">
        <v>18</v>
      </c>
      <c r="AA244" s="203">
        <v>18</v>
      </c>
      <c r="AB244" s="203">
        <v>18</v>
      </c>
      <c r="AC244" s="915">
        <v>18</v>
      </c>
      <c r="AD244" s="888">
        <v>18</v>
      </c>
      <c r="AE244" s="888">
        <v>18</v>
      </c>
      <c r="AF244" s="258">
        <f t="shared" si="56"/>
        <v>18</v>
      </c>
      <c r="AG244" s="203"/>
      <c r="DG244" s="1051"/>
      <c r="DH244" s="175"/>
      <c r="DI244" s="1049"/>
      <c r="DJ244" s="1127"/>
    </row>
    <row r="245" spans="1:114" ht="14.65" hidden="1" customHeight="1" outlineLevel="1" x14ac:dyDescent="0.25">
      <c r="A245" s="442"/>
      <c r="C245" s="49"/>
      <c r="D245" s="2209"/>
      <c r="E245" s="2209"/>
      <c r="F245" s="2184" t="str">
        <f t="shared" si="57"/>
        <v>CAC-SEER16_ER1_SF</v>
      </c>
      <c r="G245" s="2184"/>
      <c r="H245" s="2184"/>
      <c r="I245" s="887" t="str">
        <f t="shared" si="58"/>
        <v>350800_2024_12_</v>
      </c>
      <c r="J245" s="1617">
        <v>6</v>
      </c>
      <c r="K245" s="1371"/>
      <c r="L245" s="2219"/>
      <c r="M245" s="49"/>
      <c r="N245" s="543"/>
      <c r="O245" s="49"/>
      <c r="T245" s="50"/>
      <c r="U245" s="50"/>
      <c r="V245" s="2179"/>
      <c r="W245" s="203">
        <v>6</v>
      </c>
      <c r="X245" s="203">
        <v>6</v>
      </c>
      <c r="Y245" s="203">
        <v>6</v>
      </c>
      <c r="Z245" s="203">
        <v>6</v>
      </c>
      <c r="AA245" s="203">
        <v>6</v>
      </c>
      <c r="AB245" s="203">
        <v>6</v>
      </c>
      <c r="AC245" s="915">
        <v>6</v>
      </c>
      <c r="AD245" s="888">
        <v>6</v>
      </c>
      <c r="AE245" s="888">
        <v>6</v>
      </c>
      <c r="AF245" s="258">
        <f t="shared" ref="AF245:AF264" si="59">IF(J245&lt;&gt;"",J245,"")</f>
        <v>6</v>
      </c>
      <c r="AG245" s="203"/>
      <c r="DG245" s="1051"/>
      <c r="DH245" s="175"/>
      <c r="DI245" s="1049"/>
      <c r="DJ245" s="1127"/>
    </row>
    <row r="246" spans="1:114" ht="14.65" hidden="1" customHeight="1" outlineLevel="1" x14ac:dyDescent="0.25">
      <c r="A246" s="442"/>
      <c r="C246" s="49"/>
      <c r="D246" s="2209"/>
      <c r="E246" s="2209"/>
      <c r="F246" s="2184" t="str">
        <f t="shared" si="57"/>
        <v>CAC-SEER16_ER2_SF</v>
      </c>
      <c r="G246" s="2184"/>
      <c r="H246" s="2184"/>
      <c r="I246" s="887" t="str">
        <f t="shared" si="58"/>
        <v>350800_2024_12_</v>
      </c>
      <c r="J246" s="1617">
        <v>12</v>
      </c>
      <c r="K246" s="1371"/>
      <c r="L246" s="2219"/>
      <c r="M246" s="49"/>
      <c r="N246" s="543"/>
      <c r="O246" s="49"/>
      <c r="T246" s="50"/>
      <c r="U246" s="50"/>
      <c r="V246" s="2179"/>
      <c r="W246" s="203">
        <v>12</v>
      </c>
      <c r="X246" s="203">
        <v>12</v>
      </c>
      <c r="Y246" s="203">
        <v>12</v>
      </c>
      <c r="Z246" s="203">
        <v>12</v>
      </c>
      <c r="AA246" s="203">
        <v>12</v>
      </c>
      <c r="AB246" s="203">
        <v>12</v>
      </c>
      <c r="AC246" s="915">
        <v>12</v>
      </c>
      <c r="AD246" s="888">
        <v>12</v>
      </c>
      <c r="AE246" s="888">
        <v>12</v>
      </c>
      <c r="AF246" s="258">
        <f t="shared" si="59"/>
        <v>12</v>
      </c>
      <c r="AG246" s="203"/>
      <c r="DG246" s="1051"/>
      <c r="DH246" s="175"/>
      <c r="DI246" s="1049"/>
      <c r="DJ246" s="1127"/>
    </row>
    <row r="247" spans="1:114" ht="14.65" hidden="1" customHeight="1" outlineLevel="1" x14ac:dyDescent="0.25">
      <c r="A247" s="442"/>
      <c r="C247" s="49"/>
      <c r="D247" s="2209"/>
      <c r="E247" s="2209"/>
      <c r="F247" s="2184" t="str">
        <f t="shared" si="57"/>
        <v>CAC-SEER16_ROF_SF</v>
      </c>
      <c r="G247" s="2184"/>
      <c r="H247" s="2184"/>
      <c r="I247" s="887" t="str">
        <f t="shared" si="58"/>
        <v>350850_2024_12_</v>
      </c>
      <c r="J247" s="1617">
        <v>18</v>
      </c>
      <c r="K247" s="1371"/>
      <c r="L247" s="2219"/>
      <c r="M247" s="49"/>
      <c r="N247" s="543"/>
      <c r="O247" s="49"/>
      <c r="T247" s="50"/>
      <c r="U247" s="50"/>
      <c r="V247" s="2179"/>
      <c r="W247" s="203">
        <v>18</v>
      </c>
      <c r="X247" s="203">
        <v>18</v>
      </c>
      <c r="Y247" s="203">
        <v>18</v>
      </c>
      <c r="Z247" s="203">
        <v>18</v>
      </c>
      <c r="AA247" s="203">
        <v>18</v>
      </c>
      <c r="AB247" s="203">
        <v>18</v>
      </c>
      <c r="AC247" s="915">
        <v>18</v>
      </c>
      <c r="AD247" s="888">
        <v>18</v>
      </c>
      <c r="AE247" s="888">
        <v>18</v>
      </c>
      <c r="AF247" s="258">
        <f t="shared" si="59"/>
        <v>18</v>
      </c>
      <c r="AG247" s="203"/>
      <c r="DG247" s="1051"/>
      <c r="DH247" s="175"/>
      <c r="DI247" s="1049"/>
      <c r="DJ247" s="1127"/>
    </row>
    <row r="248" spans="1:114" ht="14.65" hidden="1" customHeight="1" outlineLevel="1" x14ac:dyDescent="0.25">
      <c r="A248" s="442"/>
      <c r="C248" s="49"/>
      <c r="D248" s="2209"/>
      <c r="E248" s="2209"/>
      <c r="F248" s="2184" t="str">
        <f t="shared" si="57"/>
        <v>CAC-SEER16_ER1_MF</v>
      </c>
      <c r="G248" s="2184"/>
      <c r="H248" s="2184"/>
      <c r="I248" s="887" t="str">
        <f t="shared" si="58"/>
        <v>350900_2024_12_</v>
      </c>
      <c r="J248" s="1617">
        <v>6</v>
      </c>
      <c r="K248" s="1371"/>
      <c r="L248" s="2219"/>
      <c r="M248" s="49"/>
      <c r="N248" s="543"/>
      <c r="O248" s="49"/>
      <c r="T248" s="50"/>
      <c r="U248" s="50"/>
      <c r="V248" s="2179"/>
      <c r="W248" s="203">
        <v>6</v>
      </c>
      <c r="X248" s="203">
        <v>6</v>
      </c>
      <c r="Y248" s="203">
        <v>6</v>
      </c>
      <c r="Z248" s="203">
        <v>6</v>
      </c>
      <c r="AA248" s="203">
        <v>6</v>
      </c>
      <c r="AB248" s="203">
        <v>6</v>
      </c>
      <c r="AC248" s="915">
        <v>6</v>
      </c>
      <c r="AD248" s="888">
        <v>6</v>
      </c>
      <c r="AE248" s="888">
        <v>6</v>
      </c>
      <c r="AF248" s="258">
        <f t="shared" si="59"/>
        <v>6</v>
      </c>
      <c r="AG248" s="203"/>
      <c r="DG248" s="1051"/>
      <c r="DH248" s="175"/>
      <c r="DI248" s="1049"/>
      <c r="DJ248" s="1127"/>
    </row>
    <row r="249" spans="1:114" ht="14.65" hidden="1" customHeight="1" outlineLevel="1" x14ac:dyDescent="0.25">
      <c r="A249" s="442"/>
      <c r="C249" s="49"/>
      <c r="D249" s="2209"/>
      <c r="E249" s="2209"/>
      <c r="F249" s="2184" t="str">
        <f t="shared" si="57"/>
        <v>CAC-SEER16_ER2_MF</v>
      </c>
      <c r="G249" s="2184"/>
      <c r="H249" s="2184"/>
      <c r="I249" s="887" t="str">
        <f t="shared" si="58"/>
        <v>350900_2024_12_</v>
      </c>
      <c r="J249" s="1617">
        <v>12</v>
      </c>
      <c r="K249" s="1371"/>
      <c r="L249" s="2219"/>
      <c r="M249" s="49"/>
      <c r="N249" s="543"/>
      <c r="O249" s="49"/>
      <c r="T249" s="50"/>
      <c r="U249" s="50"/>
      <c r="V249" s="2179"/>
      <c r="W249" s="203">
        <v>12</v>
      </c>
      <c r="X249" s="203">
        <v>12</v>
      </c>
      <c r="Y249" s="203">
        <v>12</v>
      </c>
      <c r="Z249" s="203">
        <v>12</v>
      </c>
      <c r="AA249" s="203">
        <v>12</v>
      </c>
      <c r="AB249" s="203">
        <v>12</v>
      </c>
      <c r="AC249" s="915">
        <v>12</v>
      </c>
      <c r="AD249" s="888">
        <v>12</v>
      </c>
      <c r="AE249" s="888">
        <v>12</v>
      </c>
      <c r="AF249" s="258">
        <f t="shared" si="59"/>
        <v>12</v>
      </c>
      <c r="AG249" s="203"/>
      <c r="DG249" s="1051"/>
      <c r="DH249" s="175"/>
      <c r="DI249" s="1049"/>
      <c r="DJ249" s="1127"/>
    </row>
    <row r="250" spans="1:114" ht="14.65" hidden="1" customHeight="1" outlineLevel="1" x14ac:dyDescent="0.25">
      <c r="A250" s="442"/>
      <c r="C250" s="49"/>
      <c r="D250" s="2209"/>
      <c r="E250" s="2209"/>
      <c r="F250" s="2184" t="str">
        <f t="shared" si="57"/>
        <v>CAC-SEER17_ER1_SF</v>
      </c>
      <c r="G250" s="2184"/>
      <c r="H250" s="2184"/>
      <c r="I250" s="887" t="str">
        <f t="shared" si="58"/>
        <v>351000_2024_12_</v>
      </c>
      <c r="J250" s="1617">
        <v>6</v>
      </c>
      <c r="K250" s="1371"/>
      <c r="L250" s="2219"/>
      <c r="M250" s="49"/>
      <c r="N250" s="543"/>
      <c r="O250" s="49"/>
      <c r="T250" s="50"/>
      <c r="U250" s="50"/>
      <c r="V250" s="2179"/>
      <c r="W250" s="203">
        <v>6</v>
      </c>
      <c r="X250" s="203">
        <v>6</v>
      </c>
      <c r="Y250" s="203">
        <v>6</v>
      </c>
      <c r="Z250" s="203">
        <v>6</v>
      </c>
      <c r="AA250" s="203">
        <v>6</v>
      </c>
      <c r="AB250" s="203">
        <v>6</v>
      </c>
      <c r="AC250" s="915">
        <v>6</v>
      </c>
      <c r="AD250" s="888">
        <v>6</v>
      </c>
      <c r="AE250" s="888">
        <v>6</v>
      </c>
      <c r="AF250" s="258">
        <f t="shared" si="59"/>
        <v>6</v>
      </c>
      <c r="AG250" s="203"/>
      <c r="DG250" s="1051"/>
      <c r="DH250" s="175"/>
      <c r="DI250" s="1049"/>
      <c r="DJ250" s="1127"/>
    </row>
    <row r="251" spans="1:114" ht="14.65" hidden="1" customHeight="1" outlineLevel="1" x14ac:dyDescent="0.25">
      <c r="A251" s="442"/>
      <c r="C251" s="49"/>
      <c r="D251" s="2209"/>
      <c r="E251" s="2209"/>
      <c r="F251" s="2184" t="str">
        <f t="shared" si="57"/>
        <v>CAC-SEER17_ER2_SF</v>
      </c>
      <c r="G251" s="2184"/>
      <c r="H251" s="2184"/>
      <c r="I251" s="887" t="str">
        <f t="shared" si="58"/>
        <v>351000_2024_12_</v>
      </c>
      <c r="J251" s="1617">
        <v>12</v>
      </c>
      <c r="K251" s="1371"/>
      <c r="L251" s="2219"/>
      <c r="M251" s="49"/>
      <c r="N251" s="543"/>
      <c r="O251" s="49"/>
      <c r="T251" s="50"/>
      <c r="U251" s="50"/>
      <c r="V251" s="2179"/>
      <c r="W251" s="203">
        <v>12</v>
      </c>
      <c r="X251" s="203">
        <v>12</v>
      </c>
      <c r="Y251" s="203">
        <v>12</v>
      </c>
      <c r="Z251" s="203">
        <v>12</v>
      </c>
      <c r="AA251" s="203">
        <v>12</v>
      </c>
      <c r="AB251" s="203">
        <v>12</v>
      </c>
      <c r="AC251" s="915">
        <v>12</v>
      </c>
      <c r="AD251" s="888">
        <v>12</v>
      </c>
      <c r="AE251" s="888">
        <v>12</v>
      </c>
      <c r="AF251" s="258">
        <f t="shared" si="59"/>
        <v>12</v>
      </c>
      <c r="AG251" s="203"/>
      <c r="DG251" s="1051"/>
      <c r="DH251" s="175"/>
      <c r="DI251" s="1049"/>
      <c r="DJ251" s="1127"/>
    </row>
    <row r="252" spans="1:114" ht="14.65" hidden="1" customHeight="1" outlineLevel="1" x14ac:dyDescent="0.25">
      <c r="A252" s="442"/>
      <c r="C252" s="49"/>
      <c r="D252" s="2209"/>
      <c r="E252" s="2209"/>
      <c r="F252" s="2184" t="str">
        <f t="shared" si="57"/>
        <v>CAC-SEER17_ROF_SF</v>
      </c>
      <c r="G252" s="2184"/>
      <c r="H252" s="2184"/>
      <c r="I252" s="887" t="str">
        <f t="shared" si="58"/>
        <v>351050_2024_12_</v>
      </c>
      <c r="J252" s="1617">
        <v>18</v>
      </c>
      <c r="K252" s="1371"/>
      <c r="L252" s="2219"/>
      <c r="M252" s="49"/>
      <c r="N252" s="543"/>
      <c r="O252" s="49"/>
      <c r="T252" s="50"/>
      <c r="U252" s="50"/>
      <c r="V252" s="2179"/>
      <c r="W252" s="203">
        <v>18</v>
      </c>
      <c r="X252" s="203">
        <v>18</v>
      </c>
      <c r="Y252" s="203">
        <v>18</v>
      </c>
      <c r="Z252" s="203">
        <v>18</v>
      </c>
      <c r="AA252" s="203">
        <v>18</v>
      </c>
      <c r="AB252" s="203">
        <v>18</v>
      </c>
      <c r="AC252" s="915">
        <v>18</v>
      </c>
      <c r="AD252" s="888">
        <v>18</v>
      </c>
      <c r="AE252" s="888">
        <v>18</v>
      </c>
      <c r="AF252" s="258">
        <f t="shared" si="59"/>
        <v>18</v>
      </c>
      <c r="AG252" s="203"/>
      <c r="DG252" s="1051"/>
      <c r="DH252" s="175"/>
      <c r="DI252" s="1049"/>
      <c r="DJ252" s="1127"/>
    </row>
    <row r="253" spans="1:114" ht="14.65" hidden="1" customHeight="1" outlineLevel="1" x14ac:dyDescent="0.25">
      <c r="A253" s="442"/>
      <c r="C253" s="49"/>
      <c r="D253" s="2209"/>
      <c r="E253" s="2209"/>
      <c r="F253" s="2184" t="str">
        <f t="shared" si="57"/>
        <v>CAC-SEER18_ER1_SF</v>
      </c>
      <c r="G253" s="2184"/>
      <c r="H253" s="2184"/>
      <c r="I253" s="887" t="str">
        <f t="shared" si="58"/>
        <v>351160_2024_12_</v>
      </c>
      <c r="J253" s="1617">
        <v>6</v>
      </c>
      <c r="K253" s="1371"/>
      <c r="L253" s="2219"/>
      <c r="M253" s="49"/>
      <c r="N253" s="543"/>
      <c r="O253" s="49"/>
      <c r="T253" s="50"/>
      <c r="U253" s="50"/>
      <c r="V253" s="2138"/>
      <c r="W253" s="203"/>
      <c r="X253" s="203"/>
      <c r="Y253" s="203"/>
      <c r="Z253" s="204">
        <v>6</v>
      </c>
      <c r="AA253" s="203">
        <v>6</v>
      </c>
      <c r="AB253" s="203">
        <v>6</v>
      </c>
      <c r="AC253" s="915">
        <v>6</v>
      </c>
      <c r="AD253" s="888">
        <v>6</v>
      </c>
      <c r="AE253" s="888">
        <v>6</v>
      </c>
      <c r="AF253" s="258">
        <f t="shared" si="59"/>
        <v>6</v>
      </c>
      <c r="AG253" s="203"/>
      <c r="DG253" s="1051"/>
      <c r="DH253" s="175"/>
      <c r="DI253" s="1049"/>
      <c r="DJ253" s="1127"/>
    </row>
    <row r="254" spans="1:114" ht="14.65" hidden="1" customHeight="1" outlineLevel="1" x14ac:dyDescent="0.25">
      <c r="A254" s="442"/>
      <c r="C254" s="49"/>
      <c r="D254" s="2209"/>
      <c r="E254" s="2209"/>
      <c r="F254" s="2184" t="str">
        <f t="shared" si="57"/>
        <v>CAC-SEER18_ER2_SF</v>
      </c>
      <c r="G254" s="2184"/>
      <c r="H254" s="2184"/>
      <c r="I254" s="887" t="str">
        <f t="shared" si="58"/>
        <v>351160_2024_12_</v>
      </c>
      <c r="J254" s="1617">
        <v>12</v>
      </c>
      <c r="K254" s="1371"/>
      <c r="L254" s="2219"/>
      <c r="M254" s="49"/>
      <c r="N254" s="543"/>
      <c r="O254" s="49"/>
      <c r="T254" s="50"/>
      <c r="U254" s="50"/>
      <c r="V254" s="2138"/>
      <c r="W254" s="203"/>
      <c r="X254" s="203"/>
      <c r="Y254" s="203"/>
      <c r="Z254" s="204">
        <v>12</v>
      </c>
      <c r="AA254" s="203">
        <v>12</v>
      </c>
      <c r="AB254" s="203">
        <v>12</v>
      </c>
      <c r="AC254" s="915">
        <v>12</v>
      </c>
      <c r="AD254" s="888">
        <v>12</v>
      </c>
      <c r="AE254" s="888">
        <v>12</v>
      </c>
      <c r="AF254" s="258">
        <f t="shared" si="59"/>
        <v>12</v>
      </c>
      <c r="AG254" s="203"/>
      <c r="DG254" s="1051"/>
      <c r="DH254" s="175"/>
      <c r="DI254" s="1049"/>
      <c r="DJ254" s="1127"/>
    </row>
    <row r="255" spans="1:114" ht="14.65" hidden="1" customHeight="1" outlineLevel="1" x14ac:dyDescent="0.25">
      <c r="A255" s="442"/>
      <c r="C255" s="49"/>
      <c r="D255" s="2209"/>
      <c r="E255" s="2209"/>
      <c r="F255" s="2184" t="str">
        <f t="shared" si="57"/>
        <v>CAC-SEER18_ROF_SF</v>
      </c>
      <c r="G255" s="2184"/>
      <c r="H255" s="2184"/>
      <c r="I255" s="887" t="str">
        <f t="shared" si="58"/>
        <v>351161_2024_12_</v>
      </c>
      <c r="J255" s="1617">
        <v>18</v>
      </c>
      <c r="K255" s="1371"/>
      <c r="L255" s="2219"/>
      <c r="M255" s="49"/>
      <c r="N255" s="543"/>
      <c r="O255" s="49"/>
      <c r="T255" s="50"/>
      <c r="U255" s="50"/>
      <c r="V255" s="2138"/>
      <c r="W255" s="203"/>
      <c r="X255" s="203"/>
      <c r="Y255" s="203"/>
      <c r="Z255" s="204">
        <v>18</v>
      </c>
      <c r="AA255" s="203">
        <v>18</v>
      </c>
      <c r="AB255" s="203">
        <v>18</v>
      </c>
      <c r="AC255" s="915">
        <v>18</v>
      </c>
      <c r="AD255" s="888">
        <v>18</v>
      </c>
      <c r="AE255" s="888">
        <v>18</v>
      </c>
      <c r="AF255" s="258">
        <f t="shared" si="59"/>
        <v>18</v>
      </c>
      <c r="AG255" s="203"/>
      <c r="DG255" s="1051"/>
      <c r="DH255" s="175"/>
      <c r="DI255" s="1049"/>
      <c r="DJ255" s="1127"/>
    </row>
    <row r="256" spans="1:114" ht="14.65" hidden="1" customHeight="1" outlineLevel="1" x14ac:dyDescent="0.25">
      <c r="A256" s="442"/>
      <c r="C256" s="49"/>
      <c r="D256" s="2209"/>
      <c r="E256" s="2209"/>
      <c r="F256" s="2184" t="str">
        <f t="shared" si="57"/>
        <v>CAC-SEER19_ER1_SF</v>
      </c>
      <c r="G256" s="2184"/>
      <c r="H256" s="2184"/>
      <c r="I256" s="887" t="str">
        <f t="shared" si="58"/>
        <v>351170_2024_12_</v>
      </c>
      <c r="J256" s="1617">
        <v>6</v>
      </c>
      <c r="K256" s="1371"/>
      <c r="L256" s="2219"/>
      <c r="M256" s="49"/>
      <c r="N256" s="543"/>
      <c r="O256" s="49"/>
      <c r="T256" s="50"/>
      <c r="U256" s="50"/>
      <c r="V256" s="2138"/>
      <c r="W256" s="203"/>
      <c r="X256" s="203"/>
      <c r="Y256" s="203"/>
      <c r="Z256" s="204">
        <v>6</v>
      </c>
      <c r="AA256" s="203">
        <v>6</v>
      </c>
      <c r="AB256" s="203">
        <v>6</v>
      </c>
      <c r="AC256" s="915">
        <v>6</v>
      </c>
      <c r="AD256" s="888">
        <v>6</v>
      </c>
      <c r="AE256" s="888">
        <v>6</v>
      </c>
      <c r="AF256" s="258">
        <f t="shared" si="59"/>
        <v>6</v>
      </c>
      <c r="AG256" s="203"/>
      <c r="DG256" s="1051"/>
      <c r="DH256" s="175"/>
      <c r="DI256" s="1049"/>
      <c r="DJ256" s="1127"/>
    </row>
    <row r="257" spans="1:114" ht="14.65" hidden="1" customHeight="1" outlineLevel="1" x14ac:dyDescent="0.25">
      <c r="A257" s="442"/>
      <c r="C257" s="49"/>
      <c r="D257" s="2209"/>
      <c r="E257" s="2209"/>
      <c r="F257" s="2184" t="str">
        <f t="shared" si="57"/>
        <v>CAC-SEER19_ER2_SF</v>
      </c>
      <c r="G257" s="2184"/>
      <c r="H257" s="2184"/>
      <c r="I257" s="887" t="str">
        <f t="shared" si="58"/>
        <v>351170_2024_12_</v>
      </c>
      <c r="J257" s="1617">
        <v>12</v>
      </c>
      <c r="K257" s="1371"/>
      <c r="L257" s="2219"/>
      <c r="M257" s="49"/>
      <c r="N257" s="543"/>
      <c r="O257" s="49"/>
      <c r="T257" s="50"/>
      <c r="U257" s="50"/>
      <c r="V257" s="2138"/>
      <c r="W257" s="203"/>
      <c r="X257" s="203"/>
      <c r="Y257" s="203"/>
      <c r="Z257" s="204">
        <v>12</v>
      </c>
      <c r="AA257" s="203">
        <v>12</v>
      </c>
      <c r="AB257" s="203">
        <v>12</v>
      </c>
      <c r="AC257" s="915">
        <v>12</v>
      </c>
      <c r="AD257" s="888">
        <v>12</v>
      </c>
      <c r="AE257" s="888">
        <v>12</v>
      </c>
      <c r="AF257" s="258">
        <f t="shared" si="59"/>
        <v>12</v>
      </c>
      <c r="AG257" s="203"/>
      <c r="DG257" s="1051"/>
      <c r="DH257" s="175"/>
      <c r="DI257" s="1049"/>
      <c r="DJ257" s="1127"/>
    </row>
    <row r="258" spans="1:114" ht="14.65" hidden="1" customHeight="1" outlineLevel="1" x14ac:dyDescent="0.25">
      <c r="A258" s="442"/>
      <c r="C258" s="49"/>
      <c r="D258" s="2209"/>
      <c r="E258" s="2209"/>
      <c r="F258" s="2184" t="str">
        <f t="shared" si="57"/>
        <v>CAC-SEER19_ROF_SF</v>
      </c>
      <c r="G258" s="2184"/>
      <c r="H258" s="2184"/>
      <c r="I258" s="887" t="str">
        <f t="shared" si="58"/>
        <v>351171_2024_12_</v>
      </c>
      <c r="J258" s="1617">
        <v>18</v>
      </c>
      <c r="K258" s="1371"/>
      <c r="L258" s="2219"/>
      <c r="M258" s="49"/>
      <c r="N258" s="543"/>
      <c r="O258" s="49"/>
      <c r="T258" s="50"/>
      <c r="U258" s="50"/>
      <c r="V258" s="2138"/>
      <c r="W258" s="203"/>
      <c r="X258" s="203"/>
      <c r="Y258" s="203"/>
      <c r="Z258" s="204">
        <v>18</v>
      </c>
      <c r="AA258" s="203">
        <v>18</v>
      </c>
      <c r="AB258" s="203">
        <v>18</v>
      </c>
      <c r="AC258" s="915">
        <v>18</v>
      </c>
      <c r="AD258" s="888">
        <v>18</v>
      </c>
      <c r="AE258" s="888">
        <v>18</v>
      </c>
      <c r="AF258" s="258">
        <f t="shared" si="59"/>
        <v>18</v>
      </c>
      <c r="AG258" s="203"/>
      <c r="DG258" s="1051"/>
      <c r="DH258" s="175"/>
      <c r="DI258" s="1049"/>
      <c r="DJ258" s="1127"/>
    </row>
    <row r="259" spans="1:114" ht="14.65" hidden="1" customHeight="1" outlineLevel="1" x14ac:dyDescent="0.25">
      <c r="A259" s="442"/>
      <c r="C259" s="49"/>
      <c r="D259" s="2209"/>
      <c r="E259" s="2209"/>
      <c r="F259" s="2184" t="str">
        <f t="shared" si="57"/>
        <v>CAC-SEER20_ER1_SF</v>
      </c>
      <c r="G259" s="2184"/>
      <c r="H259" s="2184"/>
      <c r="I259" s="887" t="str">
        <f t="shared" si="58"/>
        <v>351180_2024_12_</v>
      </c>
      <c r="J259" s="1617">
        <v>6</v>
      </c>
      <c r="K259" s="1371"/>
      <c r="L259" s="2219"/>
      <c r="M259" s="49"/>
      <c r="N259" s="543"/>
      <c r="O259" s="49"/>
      <c r="T259" s="50"/>
      <c r="U259" s="50"/>
      <c r="V259" s="2138"/>
      <c r="W259" s="203"/>
      <c r="X259" s="203"/>
      <c r="Y259" s="203"/>
      <c r="Z259" s="204">
        <v>6</v>
      </c>
      <c r="AA259" s="203">
        <v>6</v>
      </c>
      <c r="AB259" s="203">
        <v>6</v>
      </c>
      <c r="AC259" s="915">
        <v>6</v>
      </c>
      <c r="AD259" s="888">
        <v>6</v>
      </c>
      <c r="AE259" s="888">
        <v>6</v>
      </c>
      <c r="AF259" s="258">
        <f t="shared" si="59"/>
        <v>6</v>
      </c>
      <c r="AG259" s="203"/>
      <c r="DG259" s="1051"/>
      <c r="DH259" s="175"/>
      <c r="DI259" s="1049"/>
      <c r="DJ259" s="1127"/>
    </row>
    <row r="260" spans="1:114" ht="14.65" hidden="1" customHeight="1" outlineLevel="1" x14ac:dyDescent="0.25">
      <c r="A260" s="442"/>
      <c r="C260" s="49"/>
      <c r="D260" s="2209"/>
      <c r="E260" s="2209"/>
      <c r="F260" s="2184" t="str">
        <f t="shared" si="57"/>
        <v>CAC-SEER20_ER2_SF</v>
      </c>
      <c r="G260" s="2184"/>
      <c r="H260" s="2184"/>
      <c r="I260" s="887" t="str">
        <f t="shared" si="58"/>
        <v>351180_2024_12_</v>
      </c>
      <c r="J260" s="1617">
        <v>12</v>
      </c>
      <c r="K260" s="1371"/>
      <c r="L260" s="2219"/>
      <c r="M260" s="49"/>
      <c r="N260" s="543"/>
      <c r="O260" s="49"/>
      <c r="T260" s="50"/>
      <c r="U260" s="50"/>
      <c r="V260" s="2138"/>
      <c r="W260" s="203"/>
      <c r="X260" s="203"/>
      <c r="Y260" s="203"/>
      <c r="Z260" s="204">
        <v>12</v>
      </c>
      <c r="AA260" s="203">
        <v>12</v>
      </c>
      <c r="AB260" s="203">
        <v>12</v>
      </c>
      <c r="AC260" s="915">
        <v>12</v>
      </c>
      <c r="AD260" s="888">
        <v>12</v>
      </c>
      <c r="AE260" s="888">
        <v>12</v>
      </c>
      <c r="AF260" s="258">
        <f t="shared" si="59"/>
        <v>12</v>
      </c>
      <c r="AG260" s="203"/>
      <c r="DG260" s="1051"/>
      <c r="DH260" s="175"/>
      <c r="DI260" s="1049"/>
      <c r="DJ260" s="1127"/>
    </row>
    <row r="261" spans="1:114" ht="14.65" hidden="1" customHeight="1" outlineLevel="1" x14ac:dyDescent="0.25">
      <c r="A261" s="442"/>
      <c r="C261" s="49"/>
      <c r="D261" s="2209"/>
      <c r="E261" s="2209"/>
      <c r="F261" s="2184" t="str">
        <f t="shared" si="57"/>
        <v>CAC-SEER20_ROF_SF</v>
      </c>
      <c r="G261" s="2184"/>
      <c r="H261" s="2184"/>
      <c r="I261" s="887" t="str">
        <f t="shared" si="58"/>
        <v>351181_2024_12_</v>
      </c>
      <c r="J261" s="1617">
        <v>18</v>
      </c>
      <c r="K261" s="1371"/>
      <c r="L261" s="2219"/>
      <c r="M261" s="49"/>
      <c r="N261" s="543"/>
      <c r="O261" s="49"/>
      <c r="T261" s="50"/>
      <c r="U261" s="50"/>
      <c r="V261" s="2138"/>
      <c r="W261" s="203"/>
      <c r="X261" s="203"/>
      <c r="Y261" s="203"/>
      <c r="Z261" s="204">
        <v>18</v>
      </c>
      <c r="AA261" s="203">
        <v>18</v>
      </c>
      <c r="AB261" s="203">
        <v>18</v>
      </c>
      <c r="AC261" s="915">
        <v>18</v>
      </c>
      <c r="AD261" s="888">
        <v>18</v>
      </c>
      <c r="AE261" s="888">
        <v>18</v>
      </c>
      <c r="AF261" s="258">
        <f t="shared" si="59"/>
        <v>18</v>
      </c>
      <c r="AG261" s="203"/>
      <c r="DG261" s="1051"/>
      <c r="DH261" s="175"/>
      <c r="DI261" s="1049"/>
      <c r="DJ261" s="1127"/>
    </row>
    <row r="262" spans="1:114" ht="14.65" hidden="1" customHeight="1" outlineLevel="1" x14ac:dyDescent="0.25">
      <c r="A262" s="442"/>
      <c r="C262" s="49"/>
      <c r="D262" s="2209"/>
      <c r="E262" s="2209"/>
      <c r="F262" s="2184" t="str">
        <f t="shared" si="57"/>
        <v>CAC-SEER21+_ER1_SF</v>
      </c>
      <c r="G262" s="2184"/>
      <c r="H262" s="2184"/>
      <c r="I262" s="887" t="str">
        <f t="shared" si="58"/>
        <v>351190_2024_12_</v>
      </c>
      <c r="J262" s="1617">
        <v>6</v>
      </c>
      <c r="K262" s="1371"/>
      <c r="L262" s="2219"/>
      <c r="M262" s="49"/>
      <c r="N262" s="543"/>
      <c r="O262" s="49"/>
      <c r="T262" s="50"/>
      <c r="U262" s="50"/>
      <c r="V262" s="2138"/>
      <c r="W262" s="203"/>
      <c r="X262" s="203"/>
      <c r="Y262" s="203"/>
      <c r="Z262" s="204">
        <v>6</v>
      </c>
      <c r="AA262" s="203">
        <v>6</v>
      </c>
      <c r="AB262" s="203">
        <v>6</v>
      </c>
      <c r="AC262" s="915">
        <v>6</v>
      </c>
      <c r="AD262" s="888">
        <v>6</v>
      </c>
      <c r="AE262" s="888">
        <v>6</v>
      </c>
      <c r="AF262" s="258">
        <f t="shared" si="59"/>
        <v>6</v>
      </c>
      <c r="AG262" s="203"/>
      <c r="DG262" s="1051"/>
      <c r="DH262" s="175"/>
      <c r="DI262" s="1049"/>
      <c r="DJ262" s="1127"/>
    </row>
    <row r="263" spans="1:114" ht="14.65" hidden="1" customHeight="1" outlineLevel="1" x14ac:dyDescent="0.25">
      <c r="A263" s="442"/>
      <c r="C263" s="49"/>
      <c r="D263" s="2209"/>
      <c r="E263" s="2209"/>
      <c r="F263" s="2184" t="str">
        <f t="shared" si="57"/>
        <v>CAC-SEER21+_ER2_SF</v>
      </c>
      <c r="G263" s="2184"/>
      <c r="H263" s="2184"/>
      <c r="I263" s="887" t="str">
        <f t="shared" si="58"/>
        <v>351190_2024_12_</v>
      </c>
      <c r="J263" s="1617">
        <v>12</v>
      </c>
      <c r="K263" s="1371"/>
      <c r="L263" s="2219"/>
      <c r="M263" s="49"/>
      <c r="N263" s="543"/>
      <c r="O263" s="49"/>
      <c r="T263" s="50"/>
      <c r="U263" s="50"/>
      <c r="V263" s="2138"/>
      <c r="W263" s="203"/>
      <c r="X263" s="203"/>
      <c r="Y263" s="203"/>
      <c r="Z263" s="204">
        <v>12</v>
      </c>
      <c r="AA263" s="203">
        <v>12</v>
      </c>
      <c r="AB263" s="203">
        <v>12</v>
      </c>
      <c r="AC263" s="915">
        <v>12</v>
      </c>
      <c r="AD263" s="888">
        <v>12</v>
      </c>
      <c r="AE263" s="888">
        <v>12</v>
      </c>
      <c r="AF263" s="258">
        <f t="shared" si="59"/>
        <v>12</v>
      </c>
      <c r="AG263" s="203"/>
      <c r="DG263" s="1051"/>
      <c r="DH263" s="175"/>
      <c r="DI263" s="1049"/>
      <c r="DJ263" s="1127"/>
    </row>
    <row r="264" spans="1:114" ht="14.65" hidden="1" customHeight="1" outlineLevel="1" x14ac:dyDescent="0.25">
      <c r="A264" s="442"/>
      <c r="C264" s="49"/>
      <c r="D264" s="2209"/>
      <c r="E264" s="2209"/>
      <c r="F264" s="2184" t="str">
        <f t="shared" si="57"/>
        <v>CAC-SEER21+_ROF_SF</v>
      </c>
      <c r="G264" s="2184"/>
      <c r="H264" s="2184"/>
      <c r="I264" s="887" t="str">
        <f t="shared" si="58"/>
        <v>351191_2024_12_</v>
      </c>
      <c r="J264" s="1617">
        <v>18</v>
      </c>
      <c r="K264" s="1371"/>
      <c r="L264" s="2219"/>
      <c r="M264" s="49"/>
      <c r="N264" s="543"/>
      <c r="O264" s="49"/>
      <c r="T264" s="50"/>
      <c r="U264" s="50"/>
      <c r="V264" s="2138"/>
      <c r="W264" s="203"/>
      <c r="X264" s="203"/>
      <c r="Y264" s="203"/>
      <c r="Z264" s="204">
        <v>18</v>
      </c>
      <c r="AA264" s="203">
        <v>18</v>
      </c>
      <c r="AB264" s="203">
        <v>18</v>
      </c>
      <c r="AC264" s="915">
        <v>18</v>
      </c>
      <c r="AD264" s="888">
        <v>18</v>
      </c>
      <c r="AE264" s="888">
        <v>18</v>
      </c>
      <c r="AF264" s="258">
        <f t="shared" si="59"/>
        <v>18</v>
      </c>
      <c r="AG264" s="203"/>
      <c r="DG264" s="1051"/>
      <c r="DH264" s="175"/>
      <c r="DI264" s="1049"/>
      <c r="DJ264" s="1127"/>
    </row>
    <row r="265" spans="1:114" ht="14.65" hidden="1" customHeight="1" outlineLevel="1" x14ac:dyDescent="0.25">
      <c r="A265" s="442"/>
      <c r="C265" s="49"/>
      <c r="D265" s="2208" t="s">
        <v>50</v>
      </c>
      <c r="E265" s="2208" t="s">
        <v>682</v>
      </c>
      <c r="F265" s="2184" t="str">
        <f t="shared" ref="F265:F287" si="60">F242</f>
        <v>CAC-SEER15_ER1_SF</v>
      </c>
      <c r="G265" s="2184"/>
      <c r="H265" s="2184"/>
      <c r="I265" s="887" t="str">
        <f t="shared" ref="I265:I287" si="61">I242</f>
        <v>350600_2024_12_</v>
      </c>
      <c r="J265" s="1546">
        <f>IF(ISNUMBER(SEARCH("_ER",F265)),VLOOKUP(_xlfn.MAXIFS(Q$104:Q$113,Q$104:Q$113,"&lt;"&amp;L265),Q$104:T$113,4,FALSE),VLOOKUP(_xlfn.MAXIFS(Q$104:Q$113,Q$104:Q$113,"&lt;"&amp;L265),Q$104:T$113,2,FALSE))</f>
        <v>526.97397959163982</v>
      </c>
      <c r="K265" s="20">
        <f t="shared" ref="K265:K287" si="62">K126*J218</f>
        <v>3.1148319327731095</v>
      </c>
      <c r="L265" s="1176">
        <f>VLOOKUP(I265,$I$172:$J$194,2,FALSE)</f>
        <v>15.10681605975719</v>
      </c>
      <c r="M265" s="49"/>
      <c r="N265" s="543"/>
      <c r="O265" s="49"/>
      <c r="T265" s="50"/>
      <c r="U265" s="50"/>
      <c r="V265" s="2179"/>
      <c r="W265" s="187">
        <v>1057.263580001641</v>
      </c>
      <c r="X265" s="206">
        <v>1910.9631874190195</v>
      </c>
      <c r="Y265" s="206">
        <v>742.81331762821719</v>
      </c>
      <c r="Z265" s="638">
        <v>595.29397502709662</v>
      </c>
      <c r="AA265" s="187">
        <v>595.29397502709662</v>
      </c>
      <c r="AB265" s="129">
        <v>595.29397502709662</v>
      </c>
      <c r="AC265" s="193">
        <v>574.35262787904776</v>
      </c>
      <c r="AD265" s="129">
        <v>108</v>
      </c>
      <c r="AE265" s="193">
        <v>646.39382730832676</v>
      </c>
      <c r="AF265" s="258">
        <f t="shared" ref="AF265:AF287" si="63">IF(J265&lt;&gt;"",J265,"")</f>
        <v>526.97397959163982</v>
      </c>
      <c r="AG265" s="187"/>
      <c r="DG265" s="1051"/>
      <c r="DH265" s="175"/>
      <c r="DI265" s="1049"/>
      <c r="DJ265" s="1127"/>
    </row>
    <row r="266" spans="1:114" ht="14.65" hidden="1" customHeight="1" outlineLevel="1" x14ac:dyDescent="0.25">
      <c r="A266" s="442"/>
      <c r="C266" s="49"/>
      <c r="D266" s="2209"/>
      <c r="E266" s="2209"/>
      <c r="F266" s="2184" t="str">
        <f t="shared" si="60"/>
        <v>CAC-SEER15_ER2_SF</v>
      </c>
      <c r="G266" s="2184"/>
      <c r="H266" s="2184"/>
      <c r="I266" s="887" t="str">
        <f t="shared" si="61"/>
        <v>350600_2024_12_</v>
      </c>
      <c r="J266" s="129"/>
      <c r="K266" s="20">
        <f t="shared" si="62"/>
        <v>3.1148319327731095</v>
      </c>
      <c r="L266" s="1371"/>
      <c r="M266" s="49"/>
      <c r="N266" s="543"/>
      <c r="O266" s="49"/>
      <c r="T266" s="50"/>
      <c r="U266" s="50"/>
      <c r="V266" s="2179"/>
      <c r="W266" s="187"/>
      <c r="X266" s="205"/>
      <c r="Y266" s="206"/>
      <c r="Z266" s="638"/>
      <c r="AA266" s="187"/>
      <c r="AB266" s="129"/>
      <c r="AC266" s="285"/>
      <c r="AD266" s="129"/>
      <c r="AE266" s="129"/>
      <c r="AF266" s="258" t="str">
        <f t="shared" si="63"/>
        <v/>
      </c>
      <c r="AG266" s="187"/>
      <c r="DG266" s="1051"/>
      <c r="DH266" s="175"/>
      <c r="DI266" s="1049"/>
      <c r="DJ266" s="1127"/>
    </row>
    <row r="267" spans="1:114" ht="14.65" hidden="1" customHeight="1" outlineLevel="1" x14ac:dyDescent="0.25">
      <c r="A267" s="442"/>
      <c r="C267" s="49"/>
      <c r="D267" s="2209"/>
      <c r="E267" s="2209"/>
      <c r="F267" s="2184" t="str">
        <f t="shared" si="60"/>
        <v>CAC-SEER15_ROF_SF</v>
      </c>
      <c r="G267" s="2184"/>
      <c r="H267" s="2184"/>
      <c r="I267" s="887" t="str">
        <f t="shared" si="61"/>
        <v>350650_2024_12_</v>
      </c>
      <c r="J267" s="1546">
        <f>IF(ISNUMBER(SEARCH("_ER",F267)),VLOOKUP(_xlfn.MAXIFS(Q$104:Q$113,Q$104:Q$113,"&lt;"&amp;L267),Q$104:T$113,4,FALSE),VLOOKUP(_xlfn.MAXIFS(Q$104:Q$113,Q$104:Q$113,"&lt;"&amp;L267),Q$104:T$113,2,FALSE))</f>
        <v>453.02753789283406</v>
      </c>
      <c r="K267" s="20">
        <f t="shared" si="62"/>
        <v>2.9891966173361513</v>
      </c>
      <c r="L267" s="1176">
        <f>VLOOKUP(I267,$I$172:$J$194,2,FALSE)</f>
        <v>15.111256544502622</v>
      </c>
      <c r="M267" s="49"/>
      <c r="N267" s="543"/>
      <c r="O267" s="49"/>
      <c r="T267" s="50"/>
      <c r="U267" s="50"/>
      <c r="V267" s="2179"/>
      <c r="W267" s="187">
        <v>324</v>
      </c>
      <c r="X267" s="206">
        <v>216</v>
      </c>
      <c r="Y267" s="206">
        <v>108</v>
      </c>
      <c r="Z267" s="638">
        <v>108</v>
      </c>
      <c r="AA267" s="187">
        <v>108</v>
      </c>
      <c r="AB267" s="129">
        <v>108</v>
      </c>
      <c r="AC267" s="285">
        <v>108</v>
      </c>
      <c r="AD267" s="129">
        <v>108</v>
      </c>
      <c r="AE267" s="129">
        <v>108</v>
      </c>
      <c r="AF267" s="258">
        <f t="shared" si="63"/>
        <v>453.02753789283406</v>
      </c>
      <c r="AG267" s="187"/>
      <c r="DG267" s="1051"/>
      <c r="DH267" s="175"/>
      <c r="DI267" s="1049"/>
      <c r="DJ267" s="1127"/>
    </row>
    <row r="268" spans="1:114" ht="14.65" hidden="1" customHeight="1" outlineLevel="1" x14ac:dyDescent="0.25">
      <c r="A268" s="442"/>
      <c r="C268" s="49"/>
      <c r="D268" s="2209"/>
      <c r="E268" s="2209"/>
      <c r="F268" s="2184" t="str">
        <f t="shared" si="60"/>
        <v>CAC-SEER16_ER1_SF</v>
      </c>
      <c r="G268" s="2184"/>
      <c r="H268" s="2184"/>
      <c r="I268" s="887" t="str">
        <f t="shared" si="61"/>
        <v>350800_2024_12_</v>
      </c>
      <c r="J268" s="1546">
        <f>IF(ISNUMBER(SEARCH("_ER",F268)),VLOOKUP(_xlfn.MAXIFS(Q$104:Q$113,Q$104:Q$113,"&lt;"&amp;L268),Q$104:T$113,4,FALSE),VLOOKUP(_xlfn.MAXIFS(Q$104:Q$113,Q$104:Q$113,"&lt;"&amp;L268),Q$104:T$113,2,FALSE))</f>
        <v>708.92766284367963</v>
      </c>
      <c r="K268" s="20">
        <f t="shared" si="62"/>
        <v>2.8756478324403312</v>
      </c>
      <c r="L268" s="1176">
        <f>VLOOKUP(I268,$I$172:$J$194,2,FALSE)</f>
        <v>16.032257819617371</v>
      </c>
      <c r="M268" s="49"/>
      <c r="N268" s="543"/>
      <c r="O268" s="49"/>
      <c r="T268" s="50"/>
      <c r="U268" s="50"/>
      <c r="V268" s="2179"/>
      <c r="W268" s="187">
        <v>1343.486999395481</v>
      </c>
      <c r="X268" s="206">
        <v>2255.6131874190196</v>
      </c>
      <c r="Y268" s="206">
        <v>815.0454898906255</v>
      </c>
      <c r="Z268" s="638">
        <v>676.9998665391181</v>
      </c>
      <c r="AA268" s="187">
        <v>676.9998665391181</v>
      </c>
      <c r="AB268" s="129">
        <v>676.9998665391181</v>
      </c>
      <c r="AC268" s="193">
        <v>661.30099318631073</v>
      </c>
      <c r="AD268" s="129">
        <v>221</v>
      </c>
      <c r="AE268" s="193">
        <v>726.65804711558667</v>
      </c>
      <c r="AF268" s="258">
        <f t="shared" si="63"/>
        <v>708.92766284367963</v>
      </c>
      <c r="AG268" s="187"/>
      <c r="DG268" s="1051"/>
      <c r="DH268" s="175"/>
      <c r="DI268" s="1049"/>
      <c r="DJ268" s="1127"/>
    </row>
    <row r="269" spans="1:114" ht="14.65" hidden="1" customHeight="1" outlineLevel="1" x14ac:dyDescent="0.25">
      <c r="A269" s="442"/>
      <c r="C269" s="49"/>
      <c r="D269" s="2209"/>
      <c r="E269" s="2209"/>
      <c r="F269" s="2184" t="str">
        <f t="shared" si="60"/>
        <v>CAC-SEER16_ER2_SF</v>
      </c>
      <c r="G269" s="2184"/>
      <c r="H269" s="2184"/>
      <c r="I269" s="887" t="str">
        <f t="shared" si="61"/>
        <v>350800_2024_12_</v>
      </c>
      <c r="J269" s="129"/>
      <c r="K269" s="20">
        <f t="shared" si="62"/>
        <v>2.8756478324403312</v>
      </c>
      <c r="L269" s="1371"/>
      <c r="M269" s="49"/>
      <c r="N269" s="543"/>
      <c r="O269" s="49"/>
      <c r="T269" s="50"/>
      <c r="U269" s="50"/>
      <c r="V269" s="2179"/>
      <c r="W269" s="187"/>
      <c r="X269" s="205"/>
      <c r="Y269" s="206"/>
      <c r="Z269" s="638"/>
      <c r="AA269" s="187"/>
      <c r="AB269" s="129"/>
      <c r="AC269" s="285"/>
      <c r="AD269" s="129"/>
      <c r="AE269" s="129"/>
      <c r="AF269" s="258" t="str">
        <f t="shared" si="63"/>
        <v/>
      </c>
      <c r="AG269" s="187"/>
      <c r="DG269" s="1051"/>
      <c r="DH269" s="175"/>
      <c r="DI269" s="1049"/>
      <c r="DJ269" s="1127"/>
    </row>
    <row r="270" spans="1:114" ht="14.65" hidden="1" customHeight="1" outlineLevel="1" x14ac:dyDescent="0.25">
      <c r="A270" s="442"/>
      <c r="C270" s="49"/>
      <c r="D270" s="2209"/>
      <c r="E270" s="2209"/>
      <c r="F270" s="2184" t="str">
        <f t="shared" si="60"/>
        <v>CAC-SEER16_ROF_SF</v>
      </c>
      <c r="G270" s="2184"/>
      <c r="H270" s="2184"/>
      <c r="I270" s="887" t="str">
        <f t="shared" si="61"/>
        <v>350850_2024_12_</v>
      </c>
      <c r="J270" s="1546">
        <f>IF(ISNUMBER(SEARCH("_ER",F270)),VLOOKUP(_xlfn.MAXIFS(Q$104:Q$113,Q$104:Q$113,"&lt;"&amp;L270),Q$104:T$113,4,FALSE),VLOOKUP(_xlfn.MAXIFS(Q$104:Q$113,Q$104:Q$113,"&lt;"&amp;L270),Q$104:T$113,2,FALSE))</f>
        <v>634.98122114487387</v>
      </c>
      <c r="K270" s="20">
        <f t="shared" si="62"/>
        <v>2.8453773584905662</v>
      </c>
      <c r="L270" s="1176">
        <f>VLOOKUP(I270,$I$172:$J$194,2,FALSE)</f>
        <v>16.037510692899918</v>
      </c>
      <c r="M270" s="49"/>
      <c r="N270" s="543"/>
      <c r="O270" s="49"/>
      <c r="T270" s="50"/>
      <c r="U270" s="50"/>
      <c r="V270" s="2179"/>
      <c r="W270" s="129">
        <v>640.9</v>
      </c>
      <c r="X270" s="206">
        <v>674.05</v>
      </c>
      <c r="Y270" s="206">
        <v>221</v>
      </c>
      <c r="Z270" s="193">
        <v>221</v>
      </c>
      <c r="AA270" s="129">
        <v>221</v>
      </c>
      <c r="AB270" s="129">
        <v>221</v>
      </c>
      <c r="AC270" s="285">
        <v>221</v>
      </c>
      <c r="AD270" s="129">
        <v>221</v>
      </c>
      <c r="AE270" s="129">
        <v>221</v>
      </c>
      <c r="AF270" s="258">
        <f t="shared" si="63"/>
        <v>634.98122114487387</v>
      </c>
      <c r="AG270" s="129"/>
      <c r="DG270" s="1051"/>
      <c r="DH270" s="175"/>
      <c r="DI270" s="1049"/>
      <c r="DJ270" s="1127"/>
    </row>
    <row r="271" spans="1:114" ht="14.65" hidden="1" customHeight="1" outlineLevel="1" x14ac:dyDescent="0.25">
      <c r="A271" s="442"/>
      <c r="C271" s="49"/>
      <c r="D271" s="2209"/>
      <c r="E271" s="2209"/>
      <c r="F271" s="2184" t="str">
        <f t="shared" si="60"/>
        <v>CAC-SEER16_ER1_MF</v>
      </c>
      <c r="G271" s="2184"/>
      <c r="H271" s="2184"/>
      <c r="I271" s="887" t="str">
        <f t="shared" si="61"/>
        <v>350900_2024_12_</v>
      </c>
      <c r="J271" s="1546">
        <f>IF(ISNUMBER(SEARCH("_ER",F271)),VLOOKUP(_xlfn.MAXIFS(Q$104:Q$113,Q$104:Q$113,"&lt;"&amp;L271),Q$104:T$113,4,FALSE),VLOOKUP(_xlfn.MAXIFS(Q$104:Q$113,Q$104:Q$113,"&lt;"&amp;L271),Q$104:T$113,2,FALSE))</f>
        <v>708.92766284367963</v>
      </c>
      <c r="K271" s="20">
        <f t="shared" si="62"/>
        <v>2.5384615384615383</v>
      </c>
      <c r="L271" s="1176">
        <f>VLOOKUP(I271,$I$172:$J$194,2,FALSE)</f>
        <v>16.035714285714285</v>
      </c>
      <c r="M271" s="49"/>
      <c r="N271" s="543"/>
      <c r="O271" s="49"/>
      <c r="T271" s="50"/>
      <c r="U271" s="50"/>
      <c r="V271" s="2179"/>
      <c r="W271" s="187">
        <v>1343.486999395481</v>
      </c>
      <c r="X271" s="206">
        <v>1507.501480258378</v>
      </c>
      <c r="Y271" s="206">
        <v>609.26502607230441</v>
      </c>
      <c r="Z271" s="638">
        <v>519.03912845694003</v>
      </c>
      <c r="AA271" s="187">
        <v>519.03912845694003</v>
      </c>
      <c r="AB271" s="129">
        <v>519.03912845694003</v>
      </c>
      <c r="AC271" s="193">
        <v>596.24203522590619</v>
      </c>
      <c r="AD271" s="129">
        <v>221</v>
      </c>
      <c r="AE271" s="193">
        <v>657.23652840597492</v>
      </c>
      <c r="AF271" s="258">
        <f t="shared" si="63"/>
        <v>708.92766284367963</v>
      </c>
      <c r="AG271" s="187"/>
      <c r="DG271" s="1051"/>
      <c r="DH271" s="175"/>
      <c r="DI271" s="1049"/>
      <c r="DJ271" s="1127"/>
    </row>
    <row r="272" spans="1:114" ht="14.65" hidden="1" customHeight="1" outlineLevel="1" x14ac:dyDescent="0.25">
      <c r="A272" s="442"/>
      <c r="C272" s="49"/>
      <c r="D272" s="2209"/>
      <c r="E272" s="2209"/>
      <c r="F272" s="2184" t="str">
        <f t="shared" si="60"/>
        <v>CAC-SEER16_ER2_MF</v>
      </c>
      <c r="G272" s="2184"/>
      <c r="H272" s="2184"/>
      <c r="I272" s="887" t="str">
        <f t="shared" si="61"/>
        <v>350900_2024_12_</v>
      </c>
      <c r="J272" s="129"/>
      <c r="K272" s="20">
        <f t="shared" si="62"/>
        <v>2.5384615384615383</v>
      </c>
      <c r="L272" s="1371"/>
      <c r="M272" s="49"/>
      <c r="N272" s="543"/>
      <c r="O272" s="49"/>
      <c r="T272" s="50"/>
      <c r="U272" s="50"/>
      <c r="V272" s="2179"/>
      <c r="W272" s="187"/>
      <c r="X272" s="205"/>
      <c r="Y272" s="206"/>
      <c r="Z272" s="638"/>
      <c r="AA272" s="187"/>
      <c r="AB272" s="129"/>
      <c r="AC272" s="285"/>
      <c r="AD272" s="129"/>
      <c r="AE272" s="129"/>
      <c r="AF272" s="258" t="str">
        <f t="shared" si="63"/>
        <v/>
      </c>
      <c r="AG272" s="187"/>
      <c r="DG272" s="1051"/>
      <c r="DH272" s="175"/>
      <c r="DI272" s="1049"/>
      <c r="DJ272" s="1127"/>
    </row>
    <row r="273" spans="1:114" ht="14.65" hidden="1" customHeight="1" outlineLevel="1" x14ac:dyDescent="0.25">
      <c r="A273" s="442"/>
      <c r="C273" s="49"/>
      <c r="D273" s="2209"/>
      <c r="E273" s="2209"/>
      <c r="F273" s="2184" t="str">
        <f t="shared" si="60"/>
        <v>CAC-SEER17_ER1_SF</v>
      </c>
      <c r="G273" s="2184"/>
      <c r="H273" s="2184"/>
      <c r="I273" s="887" t="str">
        <f t="shared" si="61"/>
        <v>351000_2024_12_</v>
      </c>
      <c r="J273" s="1546">
        <f>IF(ISNUMBER(SEARCH("_ER",F273)),VLOOKUP(_xlfn.MAXIFS(Q$104:Q$113,Q$104:Q$113,"&lt;"&amp;L273),Q$104:T$113,4,FALSE),VLOOKUP(_xlfn.MAXIFS(Q$104:Q$113,Q$104:Q$113,"&lt;"&amp;L273),Q$104:T$113,2,FALSE))</f>
        <v>965.14815558634655</v>
      </c>
      <c r="K273" s="20">
        <f t="shared" si="62"/>
        <v>3.1718995290423861</v>
      </c>
      <c r="L273" s="1176">
        <f>VLOOKUP(I273,$I$172:$J$194,2,FALSE)</f>
        <v>17.076594157862026</v>
      </c>
      <c r="M273" s="49"/>
      <c r="N273" s="543"/>
      <c r="O273" s="49"/>
      <c r="T273" s="50"/>
      <c r="U273" s="50"/>
      <c r="V273" s="2179"/>
      <c r="W273" s="187">
        <v>1910.786999395481</v>
      </c>
      <c r="X273" s="206">
        <v>3529.4904527865447</v>
      </c>
      <c r="Y273" s="206">
        <v>998.0454898906255</v>
      </c>
      <c r="Z273" s="638">
        <v>1075.9998665391181</v>
      </c>
      <c r="AA273" s="187">
        <v>1075.9998665391181</v>
      </c>
      <c r="AB273" s="129">
        <v>1075.9998665391181</v>
      </c>
      <c r="AC273" s="193">
        <v>1055.0097130498366</v>
      </c>
      <c r="AD273" s="129">
        <v>620</v>
      </c>
      <c r="AE273" s="193">
        <v>1128.8769672507378</v>
      </c>
      <c r="AF273" s="258">
        <f t="shared" si="63"/>
        <v>965.14815558634655</v>
      </c>
      <c r="AG273" s="187"/>
      <c r="DG273" s="1051"/>
      <c r="DH273" s="175"/>
      <c r="DI273" s="1049"/>
      <c r="DJ273" s="1127"/>
    </row>
    <row r="274" spans="1:114" ht="14.65" hidden="1" customHeight="1" outlineLevel="1" x14ac:dyDescent="0.25">
      <c r="A274" s="442"/>
      <c r="C274" s="49"/>
      <c r="D274" s="2209"/>
      <c r="E274" s="2209"/>
      <c r="F274" s="2184" t="str">
        <f t="shared" si="60"/>
        <v>CAC-SEER17_ER2_SF</v>
      </c>
      <c r="G274" s="2184"/>
      <c r="H274" s="2184"/>
      <c r="I274" s="887" t="str">
        <f t="shared" si="61"/>
        <v>351000_2024_12_</v>
      </c>
      <c r="J274" s="129"/>
      <c r="K274" s="20">
        <f t="shared" si="62"/>
        <v>3.1718995290423861</v>
      </c>
      <c r="L274" s="1371"/>
      <c r="M274" s="49"/>
      <c r="N274" s="543"/>
      <c r="O274" s="49"/>
      <c r="T274" s="50"/>
      <c r="U274" s="50"/>
      <c r="V274" s="2179"/>
      <c r="W274" s="187"/>
      <c r="X274" s="205"/>
      <c r="Y274" s="206"/>
      <c r="Z274" s="638"/>
      <c r="AA274" s="187"/>
      <c r="AB274" s="129"/>
      <c r="AC274" s="285"/>
      <c r="AD274" s="129"/>
      <c r="AE274" s="129"/>
      <c r="AF274" s="258" t="str">
        <f t="shared" si="63"/>
        <v/>
      </c>
      <c r="AG274" s="187"/>
      <c r="DG274" s="1051"/>
      <c r="DH274" s="175"/>
      <c r="DI274" s="1049"/>
      <c r="DJ274" s="1127"/>
    </row>
    <row r="275" spans="1:114" ht="14.65" hidden="1" customHeight="1" outlineLevel="1" x14ac:dyDescent="0.25">
      <c r="A275" s="442"/>
      <c r="C275" s="49"/>
      <c r="D275" s="2209"/>
      <c r="E275" s="2209"/>
      <c r="F275" s="2184" t="str">
        <f t="shared" si="60"/>
        <v>CAC-SEER17_ROF_SF</v>
      </c>
      <c r="G275" s="2184"/>
      <c r="H275" s="2184"/>
      <c r="I275" s="887" t="str">
        <f t="shared" si="61"/>
        <v>351050_2024_12_</v>
      </c>
      <c r="J275" s="1546">
        <f>IF(ISNUMBER(SEARCH("_ER",F275)),VLOOKUP(_xlfn.MAXIFS(Q$104:Q$113,Q$104:Q$113,"&lt;"&amp;L275),Q$104:T$113,4,FALSE),VLOOKUP(_xlfn.MAXIFS(Q$104:Q$113,Q$104:Q$113,"&lt;"&amp;L275),Q$104:T$113,2,FALSE))</f>
        <v>891.20171388754079</v>
      </c>
      <c r="K275" s="20">
        <f t="shared" si="62"/>
        <v>3.3001127819548874</v>
      </c>
      <c r="L275" s="1176">
        <f>VLOOKUP(I275,$I$172:$J$194,2,FALSE)</f>
        <v>17.056686930091182</v>
      </c>
      <c r="M275" s="49"/>
      <c r="N275" s="543"/>
      <c r="O275" s="49"/>
      <c r="T275" s="50"/>
      <c r="U275" s="50"/>
      <c r="V275" s="2179"/>
      <c r="W275" s="187">
        <v>1171.5999999999999</v>
      </c>
      <c r="X275" s="206">
        <v>1798</v>
      </c>
      <c r="Y275" s="206">
        <v>404</v>
      </c>
      <c r="Z275" s="638">
        <v>620</v>
      </c>
      <c r="AA275" s="187">
        <v>620</v>
      </c>
      <c r="AB275" s="129">
        <v>620</v>
      </c>
      <c r="AC275" s="285">
        <v>620</v>
      </c>
      <c r="AD275" s="129">
        <v>620</v>
      </c>
      <c r="AE275" s="129">
        <v>620</v>
      </c>
      <c r="AF275" s="258">
        <f t="shared" si="63"/>
        <v>891.20171388754079</v>
      </c>
      <c r="AG275" s="187"/>
      <c r="DG275" s="1051"/>
      <c r="DH275" s="175"/>
      <c r="DI275" s="1049"/>
      <c r="DJ275" s="1127"/>
    </row>
    <row r="276" spans="1:114" ht="14.65" hidden="1" customHeight="1" outlineLevel="1" x14ac:dyDescent="0.25">
      <c r="A276" s="442"/>
      <c r="C276" s="49"/>
      <c r="D276" s="2209"/>
      <c r="E276" s="2209"/>
      <c r="F276" s="2184" t="str">
        <f t="shared" si="60"/>
        <v>CAC-SEER18_ER1_SF</v>
      </c>
      <c r="G276" s="2184"/>
      <c r="H276" s="2184"/>
      <c r="I276" s="887" t="str">
        <f t="shared" si="61"/>
        <v>351160_2024_12_</v>
      </c>
      <c r="J276" s="1546">
        <f>IF(ISNUMBER(SEARCH("_ER",F276)),VLOOKUP(_xlfn.MAXIFS(Q$104:Q$113,Q$104:Q$113,"&lt;"&amp;L276),Q$104:T$113,4,FALSE),VLOOKUP(_xlfn.MAXIFS(Q$104:Q$113,Q$104:Q$113,"&lt;"&amp;L276),Q$104:T$113,2,FALSE))</f>
        <v>994.85487938259848</v>
      </c>
      <c r="K276" s="20">
        <f t="shared" si="62"/>
        <v>3.3330761421319792</v>
      </c>
      <c r="L276" s="1176">
        <f>VLOOKUP(I276,$I$172:$J$194,2,FALSE)</f>
        <v>18.005837563451777</v>
      </c>
      <c r="M276" s="49"/>
      <c r="N276" s="543"/>
      <c r="O276" s="49"/>
      <c r="T276" s="50"/>
      <c r="U276" s="50"/>
      <c r="V276" s="2138"/>
      <c r="W276" s="187"/>
      <c r="X276" s="206"/>
      <c r="Y276" s="206"/>
      <c r="Z276" s="193">
        <v>1273.7253593520768</v>
      </c>
      <c r="AA276" s="129">
        <v>1273.7253593520768</v>
      </c>
      <c r="AB276" s="129">
        <v>1273.7253593520768</v>
      </c>
      <c r="AC276" s="193">
        <v>1309.7244675645725</v>
      </c>
      <c r="AD276" s="129">
        <v>826.66666666666708</v>
      </c>
      <c r="AE276" s="193">
        <v>1402.7836641814806</v>
      </c>
      <c r="AF276" s="258">
        <f t="shared" si="63"/>
        <v>994.85487938259848</v>
      </c>
      <c r="AG276" s="187"/>
      <c r="DG276" s="1051"/>
      <c r="DH276" s="175"/>
      <c r="DI276" s="1049"/>
      <c r="DJ276" s="1127"/>
    </row>
    <row r="277" spans="1:114" ht="14.65" hidden="1" customHeight="1" outlineLevel="1" x14ac:dyDescent="0.25">
      <c r="A277" s="442"/>
      <c r="C277" s="49"/>
      <c r="D277" s="2209"/>
      <c r="E277" s="2209"/>
      <c r="F277" s="2184" t="str">
        <f t="shared" si="60"/>
        <v>CAC-SEER18_ER2_SF</v>
      </c>
      <c r="G277" s="2184"/>
      <c r="H277" s="2184"/>
      <c r="I277" s="887" t="str">
        <f t="shared" si="61"/>
        <v>351160_2024_12_</v>
      </c>
      <c r="J277" s="1610"/>
      <c r="K277" s="20">
        <f t="shared" si="62"/>
        <v>3.3330761421319792</v>
      </c>
      <c r="L277" s="1371"/>
      <c r="M277" s="49"/>
      <c r="N277" s="543"/>
      <c r="O277" s="49"/>
      <c r="T277" s="50"/>
      <c r="U277" s="50"/>
      <c r="V277" s="2138"/>
      <c r="W277" s="187"/>
      <c r="X277" s="205"/>
      <c r="Y277" s="206"/>
      <c r="Z277" s="1659"/>
      <c r="AA277" s="1610"/>
      <c r="AB277" s="1610"/>
      <c r="AC277" s="1658"/>
      <c r="AD277" s="1610"/>
      <c r="AE277" s="1610"/>
      <c r="AF277" s="258" t="str">
        <f t="shared" si="63"/>
        <v/>
      </c>
      <c r="AG277" s="187"/>
      <c r="DG277" s="1051"/>
      <c r="DH277" s="175"/>
      <c r="DI277" s="1049"/>
      <c r="DJ277" s="1127"/>
    </row>
    <row r="278" spans="1:114" ht="14.65" hidden="1" customHeight="1" outlineLevel="1" x14ac:dyDescent="0.25">
      <c r="A278" s="442"/>
      <c r="C278" s="49"/>
      <c r="D278" s="2209"/>
      <c r="E278" s="2209"/>
      <c r="F278" s="2184" t="str">
        <f t="shared" si="60"/>
        <v>CAC-SEER18_ROF_SF</v>
      </c>
      <c r="G278" s="2184"/>
      <c r="H278" s="2184"/>
      <c r="I278" s="887" t="str">
        <f t="shared" si="61"/>
        <v>351161_2024_12_</v>
      </c>
      <c r="J278" s="1546">
        <f>IF(ISNUMBER(SEARCH("_ER",F278)),VLOOKUP(_xlfn.MAXIFS(Q$104:Q$113,Q$104:Q$113,"&lt;"&amp;L278),Q$104:T$113,4,FALSE),VLOOKUP(_xlfn.MAXIFS(Q$104:Q$113,Q$104:Q$113,"&lt;"&amp;L278),Q$104:T$113,2,FALSE))</f>
        <v>920.90843768379273</v>
      </c>
      <c r="K278" s="20">
        <f t="shared" si="62"/>
        <v>3.3284552845487805</v>
      </c>
      <c r="L278" s="1176">
        <f>VLOOKUP(I278,$I$172:$J$194,2,FALSE)</f>
        <v>18</v>
      </c>
      <c r="M278" s="49"/>
      <c r="N278" s="543"/>
      <c r="O278" s="49"/>
      <c r="T278" s="50"/>
      <c r="U278" s="50"/>
      <c r="V278" s="2138"/>
      <c r="W278" s="187"/>
      <c r="X278" s="205"/>
      <c r="Y278" s="206"/>
      <c r="Z278" s="193">
        <v>826.66666666666708</v>
      </c>
      <c r="AA278" s="129">
        <v>826.66666666666708</v>
      </c>
      <c r="AB278" s="129">
        <v>826.66666666666708</v>
      </c>
      <c r="AC278" s="285">
        <v>826.66666666666708</v>
      </c>
      <c r="AD278" s="129">
        <v>826.66666666666708</v>
      </c>
      <c r="AE278" s="129">
        <v>826.66666666666708</v>
      </c>
      <c r="AF278" s="258">
        <f t="shared" si="63"/>
        <v>920.90843768379273</v>
      </c>
      <c r="AG278" s="187"/>
      <c r="DG278" s="1051"/>
      <c r="DH278" s="175"/>
      <c r="DI278" s="1049"/>
      <c r="DJ278" s="1127"/>
    </row>
    <row r="279" spans="1:114" ht="14.65" hidden="1" customHeight="1" outlineLevel="1" x14ac:dyDescent="0.25">
      <c r="A279" s="442"/>
      <c r="C279" s="49"/>
      <c r="D279" s="2209"/>
      <c r="E279" s="2209"/>
      <c r="F279" s="2184" t="str">
        <f t="shared" si="60"/>
        <v>CAC-SEER19_ER1_SF</v>
      </c>
      <c r="G279" s="2184"/>
      <c r="H279" s="2184"/>
      <c r="I279" s="887" t="str">
        <f t="shared" si="61"/>
        <v>351170_2024_12_</v>
      </c>
      <c r="J279" s="1546">
        <f>IF(ISNUMBER(SEARCH("_ER",F279)),VLOOKUP(_xlfn.MAXIFS(Q$104:Q$113,Q$104:Q$113,"&lt;"&amp;L279),Q$104:T$113,4,FALSE),VLOOKUP(_xlfn.MAXIFS(Q$104:Q$113,Q$104:Q$113,"&lt;"&amp;L279),Q$104:T$113,2,FALSE))</f>
        <v>994.85487938259848</v>
      </c>
      <c r="K279" s="20">
        <f t="shared" si="62"/>
        <v>4.3031428571428565</v>
      </c>
      <c r="L279" s="1176">
        <f>VLOOKUP(I279,$I$172:$J$194,2,FALSE)</f>
        <v>19.138095238095239</v>
      </c>
      <c r="M279" s="49"/>
      <c r="N279" s="543"/>
      <c r="O279" s="49"/>
      <c r="T279" s="50"/>
      <c r="U279" s="50"/>
      <c r="V279" s="2138"/>
      <c r="W279" s="187"/>
      <c r="X279" s="206"/>
      <c r="Y279" s="206"/>
      <c r="Z279" s="193">
        <v>1480.3920260187429</v>
      </c>
      <c r="AA279" s="129">
        <v>1480.3920260187429</v>
      </c>
      <c r="AB279" s="129">
        <v>1480.3920260187429</v>
      </c>
      <c r="AC279" s="193">
        <v>1664.4750171244996</v>
      </c>
      <c r="AD279" s="129">
        <v>1033.3333333333328</v>
      </c>
      <c r="AE279" s="193">
        <v>1777.1248451434149</v>
      </c>
      <c r="AF279" s="258">
        <f t="shared" si="63"/>
        <v>994.85487938259848</v>
      </c>
      <c r="AG279" s="187"/>
      <c r="DG279" s="1051"/>
      <c r="DH279" s="175"/>
      <c r="DI279" s="1049"/>
      <c r="DJ279" s="1127"/>
    </row>
    <row r="280" spans="1:114" ht="14.65" hidden="1" customHeight="1" outlineLevel="1" x14ac:dyDescent="0.25">
      <c r="A280" s="442"/>
      <c r="C280" s="49"/>
      <c r="D280" s="2209"/>
      <c r="E280" s="2209"/>
      <c r="F280" s="2184" t="str">
        <f t="shared" si="60"/>
        <v>CAC-SEER19_ER2_SF</v>
      </c>
      <c r="G280" s="2184"/>
      <c r="H280" s="2184"/>
      <c r="I280" s="887" t="str">
        <f t="shared" si="61"/>
        <v>351170_2024_12_</v>
      </c>
      <c r="J280" s="129"/>
      <c r="K280" s="20">
        <f t="shared" si="62"/>
        <v>4.3031428571428565</v>
      </c>
      <c r="L280" s="1371"/>
      <c r="M280" s="49"/>
      <c r="N280" s="543"/>
      <c r="O280" s="49"/>
      <c r="T280" s="50"/>
      <c r="U280" s="50"/>
      <c r="V280" s="2138"/>
      <c r="W280" s="187"/>
      <c r="X280" s="205"/>
      <c r="Y280" s="206"/>
      <c r="Z280" s="193"/>
      <c r="AA280" s="129"/>
      <c r="AB280" s="129"/>
      <c r="AC280" s="285"/>
      <c r="AD280" s="129"/>
      <c r="AE280" s="129"/>
      <c r="AF280" s="258" t="str">
        <f t="shared" si="63"/>
        <v/>
      </c>
      <c r="AG280" s="187"/>
      <c r="DG280" s="1051"/>
      <c r="DH280" s="175"/>
      <c r="DI280" s="1049"/>
      <c r="DJ280" s="1127"/>
    </row>
    <row r="281" spans="1:114" ht="14.65" hidden="1" customHeight="1" outlineLevel="1" x14ac:dyDescent="0.25">
      <c r="A281" s="442"/>
      <c r="C281" s="49"/>
      <c r="D281" s="2209"/>
      <c r="E281" s="2209"/>
      <c r="F281" s="2184" t="str">
        <f t="shared" si="60"/>
        <v>CAC-SEER19_ROF_SF</v>
      </c>
      <c r="G281" s="2184"/>
      <c r="H281" s="2184"/>
      <c r="I281" s="887" t="str">
        <f t="shared" si="61"/>
        <v>351171_2024_12_</v>
      </c>
      <c r="J281" s="1546">
        <f>IF(ISNUMBER(SEARCH("_ER",F281)),VLOOKUP(_xlfn.MAXIFS(Q$104:Q$113,Q$104:Q$113,"&lt;"&amp;L281),Q$104:T$113,4,FALSE),VLOOKUP(_xlfn.MAXIFS(Q$104:Q$113,Q$104:Q$113,"&lt;"&amp;L281),Q$104:T$113,2,FALSE))</f>
        <v>920.90843768379273</v>
      </c>
      <c r="K281" s="20">
        <f t="shared" si="62"/>
        <v>4.4285714285714288</v>
      </c>
      <c r="L281" s="1176">
        <f>VLOOKUP(I281,$I$172:$J$194,2,FALSE)</f>
        <v>19.1875</v>
      </c>
      <c r="M281" s="49"/>
      <c r="N281" s="543"/>
      <c r="O281" s="49"/>
      <c r="T281" s="50"/>
      <c r="U281" s="50"/>
      <c r="V281" s="2138"/>
      <c r="W281" s="187"/>
      <c r="X281" s="206"/>
      <c r="Y281" s="206"/>
      <c r="Z281" s="193">
        <v>1033.3333333333328</v>
      </c>
      <c r="AA281" s="129">
        <v>1033.3333333333328</v>
      </c>
      <c r="AB281" s="129">
        <v>1033.3333333333328</v>
      </c>
      <c r="AC281" s="285">
        <v>1033.3333333333328</v>
      </c>
      <c r="AD281" s="129">
        <v>1033.3333333333328</v>
      </c>
      <c r="AE281" s="129">
        <v>1033.3333333333328</v>
      </c>
      <c r="AF281" s="258">
        <f t="shared" si="63"/>
        <v>920.90843768379273</v>
      </c>
      <c r="AG281" s="187"/>
      <c r="DG281" s="1051"/>
      <c r="DH281" s="175"/>
      <c r="DI281" s="1049"/>
      <c r="DJ281" s="1127"/>
    </row>
    <row r="282" spans="1:114" ht="14.65" hidden="1" customHeight="1" outlineLevel="1" x14ac:dyDescent="0.25">
      <c r="A282" s="442"/>
      <c r="C282" s="49"/>
      <c r="D282" s="2209"/>
      <c r="E282" s="2209"/>
      <c r="F282" s="2184" t="str">
        <f t="shared" si="60"/>
        <v>CAC-SEER20_ER1_SF</v>
      </c>
      <c r="G282" s="2184"/>
      <c r="H282" s="2184"/>
      <c r="I282" s="887" t="str">
        <f t="shared" si="61"/>
        <v>351180_2024_12_</v>
      </c>
      <c r="J282" s="1546">
        <f>IF(ISNUMBER(SEARCH("_ER",F282)),VLOOKUP(_xlfn.MAXIFS(Q$104:Q$113,Q$104:Q$113,"&lt;"&amp;L282),Q$104:T$113,4,FALSE),VLOOKUP(_xlfn.MAXIFS(Q$104:Q$113,Q$104:Q$113,"&lt;"&amp;L282),Q$104:T$113,2,FALSE))</f>
        <v>1080.2617102968206</v>
      </c>
      <c r="K282" s="20">
        <f t="shared" si="62"/>
        <v>3.6090823970000003</v>
      </c>
      <c r="L282" s="1176">
        <f>VLOOKUP(I282,$I$172:$J$194,2,FALSE)</f>
        <v>20.110619469026549</v>
      </c>
      <c r="M282" s="49"/>
      <c r="N282" s="543"/>
      <c r="O282" s="49"/>
      <c r="T282" s="50"/>
      <c r="U282" s="50"/>
      <c r="V282" s="2138"/>
      <c r="W282" s="187"/>
      <c r="X282" s="206"/>
      <c r="Y282" s="206"/>
      <c r="Z282" s="193">
        <v>1687.0586926854098</v>
      </c>
      <c r="AA282" s="129">
        <v>1687.0586926854098</v>
      </c>
      <c r="AB282" s="129">
        <v>1687.0586926854098</v>
      </c>
      <c r="AC282" s="193">
        <v>1749.8037723605553</v>
      </c>
      <c r="AD282" s="129">
        <v>1239.9999999999995</v>
      </c>
      <c r="AE282" s="193">
        <v>1825.0843069662697</v>
      </c>
      <c r="AF282" s="258">
        <f t="shared" si="63"/>
        <v>1080.2617102968206</v>
      </c>
      <c r="AG282" s="187"/>
      <c r="DG282" s="1051"/>
      <c r="DH282" s="175"/>
      <c r="DI282" s="1049"/>
      <c r="DJ282" s="1127"/>
    </row>
    <row r="283" spans="1:114" ht="14.65" hidden="1" customHeight="1" outlineLevel="1" x14ac:dyDescent="0.25">
      <c r="A283" s="442"/>
      <c r="C283" s="49"/>
      <c r="D283" s="2209"/>
      <c r="E283" s="2209"/>
      <c r="F283" s="2184" t="str">
        <f t="shared" si="60"/>
        <v>CAC-SEER20_ER2_SF</v>
      </c>
      <c r="G283" s="2184"/>
      <c r="H283" s="2184"/>
      <c r="I283" s="887" t="str">
        <f t="shared" si="61"/>
        <v>351180_2024_12_</v>
      </c>
      <c r="J283" s="129"/>
      <c r="K283" s="20">
        <f t="shared" si="62"/>
        <v>3.6090823970000003</v>
      </c>
      <c r="L283" s="1371"/>
      <c r="M283" s="49"/>
      <c r="N283" s="543"/>
      <c r="O283" s="49"/>
      <c r="T283" s="50"/>
      <c r="U283" s="50"/>
      <c r="V283" s="2138"/>
      <c r="W283" s="187"/>
      <c r="X283" s="205"/>
      <c r="Y283" s="206"/>
      <c r="Z283" s="193"/>
      <c r="AA283" s="129"/>
      <c r="AB283" s="129"/>
      <c r="AC283" s="285"/>
      <c r="AD283" s="129"/>
      <c r="AE283" s="129"/>
      <c r="AF283" s="258" t="str">
        <f t="shared" si="63"/>
        <v/>
      </c>
      <c r="AG283" s="187"/>
      <c r="DG283" s="1051"/>
      <c r="DH283" s="175"/>
      <c r="DI283" s="1049"/>
      <c r="DJ283" s="1127"/>
    </row>
    <row r="284" spans="1:114" ht="14.65" hidden="1" customHeight="1" outlineLevel="1" x14ac:dyDescent="0.25">
      <c r="A284" s="442"/>
      <c r="C284" s="49"/>
      <c r="D284" s="2209"/>
      <c r="E284" s="2209"/>
      <c r="F284" s="2184" t="str">
        <f t="shared" si="60"/>
        <v>CAC-SEER20_ROF_SF</v>
      </c>
      <c r="G284" s="2184"/>
      <c r="H284" s="2184"/>
      <c r="I284" s="887" t="str">
        <f t="shared" si="61"/>
        <v>351181_2024_12_</v>
      </c>
      <c r="J284" s="1546">
        <f>IF(ISNUMBER(SEARCH("_ER",F284)),VLOOKUP(_xlfn.MAXIFS(Q$104:Q$113,Q$104:Q$113,"&lt;"&amp;L284),Q$104:T$113,4,FALSE),VLOOKUP(_xlfn.MAXIFS(Q$104:Q$113,Q$104:Q$113,"&lt;"&amp;L284),Q$104:T$113,2,FALSE))</f>
        <v>1006.3152685980149</v>
      </c>
      <c r="K284" s="20">
        <f t="shared" si="62"/>
        <v>3.7737500000000002</v>
      </c>
      <c r="L284" s="1176">
        <f>VLOOKUP(I284,$I$172:$J$194,2,FALSE)</f>
        <v>20.015625</v>
      </c>
      <c r="M284" s="49"/>
      <c r="N284" s="543"/>
      <c r="O284" s="49"/>
      <c r="T284" s="50"/>
      <c r="U284" s="50"/>
      <c r="V284" s="2138"/>
      <c r="W284" s="129"/>
      <c r="X284" s="206"/>
      <c r="Y284" s="206"/>
      <c r="Z284" s="193">
        <v>1239.9999999999995</v>
      </c>
      <c r="AA284" s="129">
        <v>1239.9999999999995</v>
      </c>
      <c r="AB284" s="129">
        <v>1239.9999999999995</v>
      </c>
      <c r="AC284" s="285">
        <v>1239.9999999999995</v>
      </c>
      <c r="AD284" s="129">
        <v>1239.9999999999995</v>
      </c>
      <c r="AE284" s="129">
        <v>1239.9999999999995</v>
      </c>
      <c r="AF284" s="258">
        <f t="shared" si="63"/>
        <v>1006.3152685980149</v>
      </c>
      <c r="AG284" s="129"/>
      <c r="DG284" s="1051"/>
      <c r="DH284" s="175"/>
      <c r="DI284" s="1049"/>
      <c r="DJ284" s="1127"/>
    </row>
    <row r="285" spans="1:114" ht="14.65" hidden="1" customHeight="1" outlineLevel="1" x14ac:dyDescent="0.25">
      <c r="A285" s="442"/>
      <c r="C285" s="49"/>
      <c r="D285" s="2209"/>
      <c r="E285" s="2209"/>
      <c r="F285" s="2184" t="str">
        <f t="shared" si="60"/>
        <v>CAC-SEER21+_ER1_SF</v>
      </c>
      <c r="G285" s="2184"/>
      <c r="H285" s="2184"/>
      <c r="I285" s="887" t="str">
        <f t="shared" si="61"/>
        <v>351190_2024_12_</v>
      </c>
      <c r="J285" s="1546">
        <f>IF(ISNUMBER(SEARCH("_ER",F285)),VLOOKUP(_xlfn.MAXIFS(Q$104:Q$113,Q$104:Q$113,"&lt;"&amp;L285),Q$104:T$113,4,FALSE),VLOOKUP(_xlfn.MAXIFS(Q$104:Q$113,Q$104:Q$113,"&lt;"&amp;L285),Q$104:T$113,2,FALSE))</f>
        <v>1193.5185947700302</v>
      </c>
      <c r="K285" s="20">
        <f t="shared" si="62"/>
        <v>3.297874149663266</v>
      </c>
      <c r="L285" s="1176">
        <f>VLOOKUP(I285,$I$172:$J$194,2,FALSE)</f>
        <v>22.131818181818183</v>
      </c>
      <c r="M285" s="49"/>
      <c r="N285" s="543"/>
      <c r="O285" s="49"/>
      <c r="T285" s="50"/>
      <c r="U285" s="50"/>
      <c r="V285" s="2138"/>
      <c r="W285" s="187"/>
      <c r="X285" s="206"/>
      <c r="Y285" s="206"/>
      <c r="Z285" s="193">
        <v>1893.7253593520759</v>
      </c>
      <c r="AA285" s="129">
        <v>1893.7253593520759</v>
      </c>
      <c r="AB285" s="129">
        <v>1893.7253593520759</v>
      </c>
      <c r="AC285" s="193">
        <v>1943.075994258907</v>
      </c>
      <c r="AD285" s="129">
        <v>1446.6666666666663</v>
      </c>
      <c r="AE285" s="193">
        <v>2003.7100347143987</v>
      </c>
      <c r="AF285" s="258">
        <f t="shared" si="63"/>
        <v>1193.5185947700302</v>
      </c>
      <c r="AG285" s="187"/>
      <c r="DG285" s="1051"/>
      <c r="DH285" s="175"/>
      <c r="DI285" s="1049"/>
      <c r="DJ285" s="1127"/>
    </row>
    <row r="286" spans="1:114" ht="14.65" hidden="1" customHeight="1" outlineLevel="1" x14ac:dyDescent="0.25">
      <c r="A286" s="442"/>
      <c r="C286" s="49"/>
      <c r="D286" s="2209"/>
      <c r="E286" s="2209"/>
      <c r="F286" s="2184" t="str">
        <f t="shared" si="60"/>
        <v>CAC-SEER21+_ER2_SF</v>
      </c>
      <c r="G286" s="2184"/>
      <c r="H286" s="2184"/>
      <c r="I286" s="887" t="str">
        <f t="shared" si="61"/>
        <v>351190_2024_12_</v>
      </c>
      <c r="J286" s="129"/>
      <c r="K286" s="20">
        <f t="shared" si="62"/>
        <v>3.297874149663266</v>
      </c>
      <c r="L286" s="1371"/>
      <c r="M286" s="49"/>
      <c r="N286" s="543"/>
      <c r="O286" s="49"/>
      <c r="T286" s="50"/>
      <c r="U286" s="50"/>
      <c r="V286" s="2138"/>
      <c r="W286" s="187"/>
      <c r="X286" s="205"/>
      <c r="Y286" s="206"/>
      <c r="Z286" s="193"/>
      <c r="AA286" s="129"/>
      <c r="AB286" s="129"/>
      <c r="AC286" s="285"/>
      <c r="AD286" s="129"/>
      <c r="AE286" s="129"/>
      <c r="AF286" s="258" t="str">
        <f t="shared" si="63"/>
        <v/>
      </c>
      <c r="AG286" s="187"/>
      <c r="DG286" s="1051"/>
      <c r="DH286" s="175"/>
      <c r="DI286" s="1049"/>
      <c r="DJ286" s="1127"/>
    </row>
    <row r="287" spans="1:114" ht="14.65" hidden="1" customHeight="1" outlineLevel="1" x14ac:dyDescent="0.25">
      <c r="A287" s="442"/>
      <c r="C287" s="49"/>
      <c r="D287" s="2209"/>
      <c r="E287" s="2209"/>
      <c r="F287" s="2184" t="str">
        <f t="shared" si="60"/>
        <v>CAC-SEER21+_ROF_SF</v>
      </c>
      <c r="G287" s="2184"/>
      <c r="H287" s="2184"/>
      <c r="I287" s="887" t="str">
        <f t="shared" si="61"/>
        <v>351191_2024_12_</v>
      </c>
      <c r="J287" s="1546">
        <f>IF(ISNUMBER(SEARCH("_ER",F287)),VLOOKUP(_xlfn.MAXIFS(Q$104:Q$113,Q$104:Q$113,"&lt;"&amp;L287),Q$104:T$113,4,FALSE),VLOOKUP(_xlfn.MAXIFS(Q$104:Q$113,Q$104:Q$113,"&lt;"&amp;L287),Q$104:T$113,2,FALSE))</f>
        <v>1240.2557184934958</v>
      </c>
      <c r="K287" s="20">
        <f t="shared" si="62"/>
        <v>3.376689189189189</v>
      </c>
      <c r="L287" s="1176">
        <f>VLOOKUP(I287,$I$172:$J$194,2,FALSE)</f>
        <v>22.6</v>
      </c>
      <c r="M287" s="49"/>
      <c r="N287" s="543"/>
      <c r="O287" s="49"/>
      <c r="T287" s="50"/>
      <c r="U287" s="50"/>
      <c r="V287" s="2138"/>
      <c r="W287" s="187"/>
      <c r="X287" s="206"/>
      <c r="Y287" s="206"/>
      <c r="Z287" s="193">
        <v>1446.6666666666663</v>
      </c>
      <c r="AA287" s="129">
        <v>1446.6666666666663</v>
      </c>
      <c r="AB287" s="129">
        <v>1446.6666666666663</v>
      </c>
      <c r="AC287" s="285">
        <v>1446.6666666666663</v>
      </c>
      <c r="AD287" s="129">
        <v>1446.6666666666663</v>
      </c>
      <c r="AE287" s="129">
        <v>1446.6666666666663</v>
      </c>
      <c r="AF287" s="258">
        <f t="shared" si="63"/>
        <v>1240.2557184934958</v>
      </c>
      <c r="AG287" s="187"/>
      <c r="DG287" s="1051"/>
      <c r="DH287" s="175"/>
      <c r="DI287" s="1049"/>
      <c r="DJ287" s="1127"/>
    </row>
    <row r="288" spans="1:114" collapsed="1" x14ac:dyDescent="0.25">
      <c r="A288" s="442"/>
      <c r="C288" s="49"/>
      <c r="D288" s="100"/>
      <c r="E288" s="100"/>
      <c r="G288" s="100"/>
      <c r="L288" s="49"/>
      <c r="M288" s="49"/>
      <c r="N288" s="49"/>
      <c r="O288" s="49"/>
      <c r="P288" s="49"/>
      <c r="Q288" s="49"/>
      <c r="T288" s="50"/>
      <c r="U288" s="50"/>
      <c r="V288" s="50"/>
      <c r="DG288" s="555"/>
      <c r="DH288" s="175"/>
      <c r="DI288" s="1049"/>
      <c r="DJ288" s="1127"/>
    </row>
    <row r="289" spans="1:115" x14ac:dyDescent="0.25">
      <c r="A289" s="442"/>
      <c r="C289" s="49"/>
      <c r="D289" s="100"/>
      <c r="E289" s="100"/>
      <c r="G289" s="100"/>
      <c r="H289" s="49"/>
      <c r="I289" s="49"/>
      <c r="J289" s="49"/>
      <c r="K289" s="49"/>
      <c r="L289" s="49"/>
      <c r="M289" s="49"/>
      <c r="T289" s="50"/>
      <c r="U289" s="50"/>
      <c r="V289" s="50"/>
      <c r="DG289" s="555"/>
      <c r="DH289" s="175"/>
      <c r="DI289" s="1049"/>
      <c r="DJ289" s="1127"/>
    </row>
    <row r="290" spans="1:115" x14ac:dyDescent="0.25">
      <c r="A290" s="442"/>
      <c r="B290" s="1292" t="s">
        <v>1039</v>
      </c>
      <c r="C290" s="207"/>
      <c r="D290" s="1293"/>
      <c r="E290" s="1293"/>
      <c r="F290" s="1293"/>
      <c r="G290" s="1293"/>
      <c r="H290" s="1293"/>
      <c r="I290" s="1293"/>
      <c r="J290" s="1293"/>
      <c r="K290" s="1293"/>
      <c r="L290" s="1293"/>
      <c r="M290" s="1293"/>
      <c r="N290" s="1287"/>
      <c r="O290" s="1287"/>
      <c r="P290" s="1287"/>
      <c r="Q290" s="1288"/>
      <c r="T290" s="50"/>
      <c r="U290" s="50"/>
      <c r="V290" s="2103" t="str">
        <f>B290</f>
        <v>Mini/Multi-Split Heat Pumps and Air Conditioners</v>
      </c>
      <c r="W290" s="2104"/>
      <c r="X290" s="2104"/>
      <c r="Y290" s="2104"/>
      <c r="Z290" s="2104"/>
      <c r="AA290" s="2104"/>
      <c r="AB290" s="2104"/>
      <c r="AC290" s="2106"/>
      <c r="AD290" s="2106"/>
      <c r="AE290" s="2106"/>
      <c r="AF290" s="2106"/>
      <c r="AG290" s="2106"/>
      <c r="AH290" s="2107"/>
      <c r="DG290" s="555"/>
      <c r="DH290" s="175"/>
      <c r="DI290" s="1049"/>
      <c r="DJ290" s="1127"/>
    </row>
    <row r="291" spans="1:115" x14ac:dyDescent="0.25">
      <c r="A291" s="442"/>
      <c r="C291" s="49"/>
      <c r="D291" s="100"/>
      <c r="E291" s="100"/>
      <c r="G291" s="100"/>
      <c r="H291" s="49"/>
      <c r="I291" s="49"/>
      <c r="J291" s="49"/>
      <c r="K291" s="49"/>
      <c r="L291" s="49"/>
      <c r="M291" s="49"/>
      <c r="T291" s="50"/>
      <c r="U291" s="50"/>
      <c r="V291" s="50"/>
      <c r="DG291" s="555"/>
      <c r="DH291" s="175"/>
      <c r="DI291" s="1049"/>
      <c r="DJ291" s="1127"/>
    </row>
    <row r="292" spans="1:115" ht="30" x14ac:dyDescent="0.25">
      <c r="A292" s="442"/>
      <c r="C292" s="1328" t="s">
        <v>42</v>
      </c>
      <c r="D292" s="1328" t="s">
        <v>594</v>
      </c>
      <c r="E292" s="1328" t="s">
        <v>44</v>
      </c>
      <c r="F292" s="1328" t="s">
        <v>45</v>
      </c>
      <c r="G292" s="1328" t="s">
        <v>46</v>
      </c>
      <c r="H292" s="1328" t="s">
        <v>47</v>
      </c>
      <c r="I292" s="1328" t="s">
        <v>48</v>
      </c>
      <c r="J292" s="1354" t="s">
        <v>49</v>
      </c>
      <c r="K292" s="1328" t="s">
        <v>50</v>
      </c>
      <c r="L292" s="1328" t="s">
        <v>957</v>
      </c>
      <c r="T292" s="50"/>
      <c r="U292" s="50"/>
      <c r="V292" s="165" t="s">
        <v>52</v>
      </c>
      <c r="W292" s="649" t="e">
        <f>#REF!</f>
        <v>#REF!</v>
      </c>
      <c r="X292" s="649" t="e">
        <f>#REF!</f>
        <v>#REF!</v>
      </c>
      <c r="Y292" s="649" t="e">
        <f>#REF!</f>
        <v>#REF!</v>
      </c>
      <c r="Z292" s="649" t="e">
        <f>#REF!</f>
        <v>#REF!</v>
      </c>
      <c r="AA292" s="649" t="e">
        <f>#REF!</f>
        <v>#REF!</v>
      </c>
      <c r="AB292" s="649" t="e">
        <f>#REF!</f>
        <v>#REF!</v>
      </c>
      <c r="AC292" s="649" t="e">
        <f>#REF!</f>
        <v>#REF!</v>
      </c>
      <c r="AD292" s="649" t="e">
        <f>#REF!</f>
        <v>#REF!</v>
      </c>
      <c r="AE292" s="649" t="e">
        <f>#REF!</f>
        <v>#REF!</v>
      </c>
      <c r="AF292" s="649" t="e">
        <f>#REF!</f>
        <v>#REF!</v>
      </c>
      <c r="AG292" s="649" t="e">
        <f>#REF!</f>
        <v>#REF!</v>
      </c>
      <c r="DG292" s="776" t="e">
        <f>#REF!</f>
        <v>#REF!</v>
      </c>
      <c r="DH292" s="776" t="e">
        <f>#REF!</f>
        <v>#REF!</v>
      </c>
      <c r="DI292" s="1034" t="e">
        <f>#REF!</f>
        <v>#REF!</v>
      </c>
      <c r="DJ292" s="1060" t="e">
        <f>#REF!</f>
        <v>#REF!</v>
      </c>
    </row>
    <row r="293" spans="1:115" x14ac:dyDescent="0.25">
      <c r="A293" s="442"/>
      <c r="B293" s="1384">
        <f t="shared" ref="B293:B317" si="64">VALUE(LEFT(C293,6))</f>
        <v>351200</v>
      </c>
      <c r="C293" s="18" t="s">
        <v>1040</v>
      </c>
      <c r="D293" s="134" t="s">
        <v>857</v>
      </c>
      <c r="E293" s="1298" t="s">
        <v>1041</v>
      </c>
      <c r="F293" s="694">
        <f>ROUND((($J$377*$J$387*(1/$J$407-1/$J$417))/1000)*$J$427*$J$452,2)</f>
        <v>1227.25</v>
      </c>
      <c r="G293" s="537" t="s">
        <v>688</v>
      </c>
      <c r="H293" s="66">
        <f>VLOOKUP(G293,'CP FACTORS'!$A$3:$B$38, 2, FALSE)</f>
        <v>9.4741810000000004E-4</v>
      </c>
      <c r="I293" s="43">
        <f>ROUND(F293*H293,6)</f>
        <v>1.1627190000000001</v>
      </c>
      <c r="J293" s="44">
        <f t="shared" ref="J293:J313" si="65">J453</f>
        <v>6</v>
      </c>
      <c r="K293" s="129">
        <f t="shared" ref="K293:K315" si="66">J478</f>
        <v>683.91788099116957</v>
      </c>
      <c r="L293" s="679">
        <f>K377</f>
        <v>1.75</v>
      </c>
      <c r="M293" s="542"/>
      <c r="R293" s="521"/>
      <c r="T293" s="50"/>
      <c r="U293" s="50"/>
      <c r="V293" s="1307" t="s">
        <v>45</v>
      </c>
      <c r="W293" s="916">
        <v>2022.4940476190473</v>
      </c>
      <c r="X293" s="188">
        <v>1807.7600345274061</v>
      </c>
      <c r="Y293" s="208">
        <v>1320.98</v>
      </c>
      <c r="Z293" s="698">
        <v>1320.98</v>
      </c>
      <c r="AA293" s="698">
        <v>1320.98</v>
      </c>
      <c r="AB293" s="905">
        <v>1320.98</v>
      </c>
      <c r="AC293" s="658">
        <v>696.9</v>
      </c>
      <c r="AD293" s="791">
        <v>1227.25</v>
      </c>
      <c r="AE293" s="694">
        <v>1227.25</v>
      </c>
      <c r="AF293" s="258">
        <f t="shared" ref="AF293:AF317" si="67">IF(F293&lt;&gt;"",F293,"")</f>
        <v>1227.25</v>
      </c>
      <c r="AG293" s="342"/>
      <c r="AH293" s="115"/>
      <c r="AI293" s="115"/>
      <c r="DG293" s="952">
        <f>(DI293+DI294)/(DJ293+DJ294)</f>
        <v>2.397703376394094</v>
      </c>
      <c r="DH293" s="1298" t="str">
        <f t="shared" ref="DH293:DH317" si="68">CONCATENATE(G293," ",J293," Year EUL")</f>
        <v>Cooling RES 6 Year EUL</v>
      </c>
      <c r="DI293" s="1045">
        <f>(INDEX('Avoided Cost Benefits'!$B$4:$B$866,MATCH(DH293,'Avoided Cost Benefits'!$A$4:$A$866,0)))*F293</f>
        <v>1222.1545774409906</v>
      </c>
      <c r="DJ293" s="1951">
        <f t="shared" ref="DJ293:DJ317" si="69">IFERROR(K293/((1+DiscountRate)^(CurrentYear-DiscountYear)),0)</f>
        <v>683.91788099116957</v>
      </c>
    </row>
    <row r="294" spans="1:115" x14ac:dyDescent="0.25">
      <c r="A294" s="442"/>
      <c r="B294" s="1384">
        <f t="shared" si="64"/>
        <v>351200</v>
      </c>
      <c r="C294" s="18" t="s">
        <v>1040</v>
      </c>
      <c r="D294" s="134" t="s">
        <v>857</v>
      </c>
      <c r="E294" s="1299" t="s">
        <v>1042</v>
      </c>
      <c r="F294" s="694">
        <f>ROUND((($J$377*$J$387*(1/$J$397-1/$J$417))/1000)*$J$428*$J$452,2)</f>
        <v>322.8</v>
      </c>
      <c r="G294" s="537" t="s">
        <v>961</v>
      </c>
      <c r="H294" s="66">
        <f>VLOOKUP(G294,'CP FACTORS'!$A$3:$B$38, 2, FALSE)</f>
        <v>9.4741810000000004E-4</v>
      </c>
      <c r="I294" s="43">
        <f t="shared" ref="I294:I317" si="70">ROUND(F294*H294,6)</f>
        <v>0.30582700000000002</v>
      </c>
      <c r="J294" s="44">
        <f t="shared" si="65"/>
        <v>12</v>
      </c>
      <c r="K294" s="129">
        <f t="shared" si="66"/>
        <v>0</v>
      </c>
      <c r="L294" s="190"/>
      <c r="M294" s="542"/>
      <c r="R294" s="521"/>
      <c r="T294" s="50"/>
      <c r="U294" s="50"/>
      <c r="V294" s="1307" t="s">
        <v>45</v>
      </c>
      <c r="W294" s="916">
        <v>572.25082417582416</v>
      </c>
      <c r="X294" s="188">
        <v>528.13366090103261</v>
      </c>
      <c r="Y294" s="208">
        <v>385.92</v>
      </c>
      <c r="Z294" s="698">
        <v>385.92</v>
      </c>
      <c r="AA294" s="698">
        <v>385.92</v>
      </c>
      <c r="AB294" s="905">
        <v>385.92</v>
      </c>
      <c r="AC294" s="658">
        <v>269.27</v>
      </c>
      <c r="AD294" s="791">
        <v>353.42</v>
      </c>
      <c r="AE294" s="125">
        <v>280.14999999999998</v>
      </c>
      <c r="AF294" s="258">
        <f t="shared" si="67"/>
        <v>322.8</v>
      </c>
      <c r="AG294" s="342"/>
      <c r="AH294" s="115"/>
      <c r="AI294" s="115"/>
      <c r="DG294" s="1050"/>
      <c r="DH294" s="1299" t="str">
        <f t="shared" si="68"/>
        <v>Cooling RES ER2 12 Year EUL</v>
      </c>
      <c r="DI294" s="1049">
        <f>(INDEX('Avoided Cost Benefits'!$B$4:$B$866,MATCH(DH294,'Avoided Cost Benefits'!$A$4:$A$866,0)))*F294</f>
        <v>417.6776349878308</v>
      </c>
      <c r="DJ294" s="1952">
        <f t="shared" si="69"/>
        <v>0</v>
      </c>
    </row>
    <row r="295" spans="1:115" x14ac:dyDescent="0.25">
      <c r="A295" s="442"/>
      <c r="B295" s="1384">
        <f t="shared" si="64"/>
        <v>351250</v>
      </c>
      <c r="C295" s="18" t="s">
        <v>1043</v>
      </c>
      <c r="D295" s="134" t="s">
        <v>857</v>
      </c>
      <c r="E295" s="1297" t="s">
        <v>1044</v>
      </c>
      <c r="F295" s="694">
        <f>ROUND((($J$378*$J$388*(1/$J$398-1/$J$418))/1000)*$J$429*$J$452,2)</f>
        <v>240.28</v>
      </c>
      <c r="G295" s="98" t="s">
        <v>688</v>
      </c>
      <c r="H295" s="66">
        <f>VLOOKUP(G295,'CP FACTORS'!$A$3:$B$38, 2, FALSE)</f>
        <v>9.4741810000000004E-4</v>
      </c>
      <c r="I295" s="43">
        <f t="shared" si="70"/>
        <v>0.22764599999999999</v>
      </c>
      <c r="J295" s="44">
        <f t="shared" si="65"/>
        <v>18</v>
      </c>
      <c r="K295" s="129">
        <f t="shared" si="66"/>
        <v>543.7067546700647</v>
      </c>
      <c r="L295" s="190">
        <f>K378</f>
        <v>1.0555555555555556</v>
      </c>
      <c r="M295" s="542"/>
      <c r="R295" s="521"/>
      <c r="T295" s="50"/>
      <c r="U295" s="50"/>
      <c r="V295" s="1307" t="s">
        <v>45</v>
      </c>
      <c r="W295" s="916">
        <v>1875.936507936508</v>
      </c>
      <c r="X295" s="188">
        <v>1807.7600345274061</v>
      </c>
      <c r="Y295" s="208">
        <v>1320.98</v>
      </c>
      <c r="Z295" s="698">
        <v>1320.98</v>
      </c>
      <c r="AA295" s="698">
        <v>1320.98</v>
      </c>
      <c r="AB295" s="639">
        <v>332.95</v>
      </c>
      <c r="AC295" s="658">
        <v>329.12</v>
      </c>
      <c r="AD295" s="791">
        <v>258.75</v>
      </c>
      <c r="AE295" s="125">
        <v>214.55</v>
      </c>
      <c r="AF295" s="258">
        <f t="shared" si="67"/>
        <v>240.28</v>
      </c>
      <c r="AG295" s="342"/>
      <c r="AH295" s="115"/>
      <c r="AI295" s="115"/>
      <c r="DG295" s="641">
        <f>(DI295)/(DJ295)</f>
        <v>1.0119161965158152</v>
      </c>
      <c r="DH295" s="1297" t="str">
        <f t="shared" si="68"/>
        <v>Cooling RES 18 Year EUL</v>
      </c>
      <c r="DI295" s="1049">
        <f>(INDEX('Avoided Cost Benefits'!$B$4:$B$866,MATCH(DH295,'Avoided Cost Benefits'!$A$4:$A$866,0)))*F295</f>
        <v>550.18567120568935</v>
      </c>
      <c r="DJ295" s="1952">
        <f t="shared" si="69"/>
        <v>543.7067546700647</v>
      </c>
    </row>
    <row r="296" spans="1:115" x14ac:dyDescent="0.25">
      <c r="A296" s="442"/>
      <c r="B296" s="1384">
        <f t="shared" si="64"/>
        <v>351300</v>
      </c>
      <c r="C296" s="18" t="s">
        <v>1045</v>
      </c>
      <c r="D296" s="134" t="s">
        <v>857</v>
      </c>
      <c r="E296" s="1298" t="s">
        <v>1046</v>
      </c>
      <c r="F296" s="694">
        <f>ROUND((($J$379*$J$389*(1/$J$399-1/$J$419))/1000)*$J$430*$J$452,2)</f>
        <v>251.78</v>
      </c>
      <c r="G296" s="98" t="s">
        <v>688</v>
      </c>
      <c r="H296" s="66">
        <f>VLOOKUP(G296,'CP FACTORS'!$A$3:$B$38, 2, FALSE)</f>
        <v>9.4741810000000004E-4</v>
      </c>
      <c r="I296" s="43">
        <f t="shared" si="70"/>
        <v>0.238541</v>
      </c>
      <c r="J296" s="44">
        <f t="shared" si="65"/>
        <v>18</v>
      </c>
      <c r="K296" s="129">
        <f t="shared" si="66"/>
        <v>543.7067546700647</v>
      </c>
      <c r="L296" s="190">
        <f>K379</f>
        <v>1.3282828282828283</v>
      </c>
      <c r="M296" s="542"/>
      <c r="R296" s="521"/>
      <c r="T296" s="50"/>
      <c r="U296" s="50"/>
      <c r="V296" s="1307" t="s">
        <v>45</v>
      </c>
      <c r="W296" s="916">
        <v>548.43293798712307</v>
      </c>
      <c r="X296" s="188">
        <v>528.13366090103261</v>
      </c>
      <c r="Y296" s="209">
        <v>214.85</v>
      </c>
      <c r="Z296" s="699">
        <v>214.85</v>
      </c>
      <c r="AA296" s="699">
        <v>214.85</v>
      </c>
      <c r="AB296" s="905">
        <v>214.85</v>
      </c>
      <c r="AC296" s="658">
        <v>305.98</v>
      </c>
      <c r="AD296" s="791">
        <v>307.27999999999997</v>
      </c>
      <c r="AE296" s="125">
        <v>242.16</v>
      </c>
      <c r="AF296" s="258">
        <f t="shared" si="67"/>
        <v>251.78</v>
      </c>
      <c r="AG296" s="342"/>
      <c r="AH296" s="115"/>
      <c r="AI296" s="115"/>
      <c r="DG296" s="1048">
        <f>(DI296+DI297)/(DJ296+DJ297)</f>
        <v>2.0823125947678669</v>
      </c>
      <c r="DH296" s="1298" t="str">
        <f t="shared" si="68"/>
        <v>Cooling RES 18 Year EUL</v>
      </c>
      <c r="DI296" s="1049">
        <f>(INDEX('Avoided Cost Benefits'!$B$4:$B$866,MATCH(DH296,'Avoided Cost Benefits'!$A$4:$A$866,0)))*F296</f>
        <v>576.5180135515584</v>
      </c>
      <c r="DJ296" s="1952">
        <f t="shared" si="69"/>
        <v>543.7067546700647</v>
      </c>
    </row>
    <row r="297" spans="1:115" x14ac:dyDescent="0.25">
      <c r="A297" s="442"/>
      <c r="B297" s="1384">
        <f t="shared" si="64"/>
        <v>351300</v>
      </c>
      <c r="C297" s="18" t="s">
        <v>1045</v>
      </c>
      <c r="D297" s="134" t="s">
        <v>857</v>
      </c>
      <c r="E297" s="1299" t="s">
        <v>1046</v>
      </c>
      <c r="F297" s="694">
        <f>ROUND((($J$329*$J$339*(1/$J$349-1/$J$369))/1000)*$J$431*$J$452,2)</f>
        <v>916.8</v>
      </c>
      <c r="G297" s="98" t="s">
        <v>689</v>
      </c>
      <c r="H297" s="66">
        <f>VLOOKUP(G297,'CP FACTORS'!$A$3:$B$38, 2, FALSE)</f>
        <v>0</v>
      </c>
      <c r="I297" s="43">
        <f t="shared" si="70"/>
        <v>0</v>
      </c>
      <c r="J297" s="44">
        <f t="shared" si="65"/>
        <v>18</v>
      </c>
      <c r="K297" s="129">
        <f t="shared" si="66"/>
        <v>0</v>
      </c>
      <c r="L297" s="190"/>
      <c r="M297" s="542"/>
      <c r="R297" s="521"/>
      <c r="T297" s="50"/>
      <c r="U297" s="50"/>
      <c r="V297" s="1307" t="s">
        <v>45</v>
      </c>
      <c r="W297" s="916">
        <v>1059.3684210526314</v>
      </c>
      <c r="X297" s="188">
        <v>905.10385245195232</v>
      </c>
      <c r="Y297" s="209">
        <v>513.91</v>
      </c>
      <c r="Z297" s="699">
        <v>513.91</v>
      </c>
      <c r="AA297" s="699">
        <v>513.91</v>
      </c>
      <c r="AB297" s="905">
        <v>513.91</v>
      </c>
      <c r="AC297" s="658">
        <v>632.35</v>
      </c>
      <c r="AD297" s="791">
        <v>694.54</v>
      </c>
      <c r="AE297" s="125">
        <v>572.32000000000005</v>
      </c>
      <c r="AF297" s="258">
        <f t="shared" si="67"/>
        <v>916.8</v>
      </c>
      <c r="AG297" s="342"/>
      <c r="AH297" s="115"/>
      <c r="AI297" s="115"/>
      <c r="DG297" s="1050"/>
      <c r="DH297" s="1299" t="str">
        <f t="shared" si="68"/>
        <v>Heating RES 18 Year EUL</v>
      </c>
      <c r="DI297" s="1049">
        <f>(INDEX('Avoided Cost Benefits'!$B$4:$B$866,MATCH(DH297,'Avoided Cost Benefits'!$A$4:$A$866,0)))*F297</f>
        <v>555.64940955828001</v>
      </c>
      <c r="DJ297" s="1952">
        <f t="shared" si="69"/>
        <v>0</v>
      </c>
    </row>
    <row r="298" spans="1:115" x14ac:dyDescent="0.25">
      <c r="A298" s="442"/>
      <c r="B298" s="1384">
        <f t="shared" si="64"/>
        <v>351350</v>
      </c>
      <c r="C298" s="18" t="s">
        <v>1047</v>
      </c>
      <c r="D298" s="134" t="s">
        <v>857</v>
      </c>
      <c r="E298" s="1298" t="s">
        <v>1048</v>
      </c>
      <c r="F298" s="694">
        <f>ROUND((($J$380*$J$390*(1/$J$400-1/$J$420))/1000)*$J$432*$J$452,2)</f>
        <v>251.78</v>
      </c>
      <c r="G298" s="98" t="s">
        <v>688</v>
      </c>
      <c r="H298" s="66">
        <f>VLOOKUP(G298,'CP FACTORS'!$A$3:$B$38, 2, FALSE)</f>
        <v>9.4741810000000004E-4</v>
      </c>
      <c r="I298" s="43">
        <f t="shared" si="70"/>
        <v>0.238541</v>
      </c>
      <c r="J298" s="44">
        <f t="shared" si="65"/>
        <v>18</v>
      </c>
      <c r="K298" s="129">
        <f t="shared" si="66"/>
        <v>543.7067546700647</v>
      </c>
      <c r="L298" s="190">
        <f>K380</f>
        <v>1.3282828282828283</v>
      </c>
      <c r="M298" s="542"/>
      <c r="R298" s="521"/>
      <c r="T298" s="50"/>
      <c r="U298" s="50"/>
      <c r="V298" s="1307" t="s">
        <v>45</v>
      </c>
      <c r="W298" s="916">
        <v>548.43293798712307</v>
      </c>
      <c r="X298" s="188">
        <v>528.13366090103261</v>
      </c>
      <c r="Y298" s="209">
        <v>214.85</v>
      </c>
      <c r="Z298" s="699">
        <v>214.85</v>
      </c>
      <c r="AA298" s="699">
        <v>214.85</v>
      </c>
      <c r="AB298" s="639">
        <v>312.66000000000003</v>
      </c>
      <c r="AC298" s="658">
        <v>296.29000000000002</v>
      </c>
      <c r="AD298" s="791">
        <v>307.27999999999997</v>
      </c>
      <c r="AE298" s="125">
        <v>242.16</v>
      </c>
      <c r="AF298" s="258">
        <f t="shared" si="67"/>
        <v>251.78</v>
      </c>
      <c r="AG298" s="342"/>
      <c r="AH298" s="115"/>
      <c r="AI298" s="115"/>
      <c r="DG298" s="1048">
        <f>(DI298+DI299)/(DJ298+DJ299)</f>
        <v>2.0823125947678669</v>
      </c>
      <c r="DH298" s="1298" t="str">
        <f t="shared" si="68"/>
        <v>Cooling RES 18 Year EUL</v>
      </c>
      <c r="DI298" s="1049">
        <f>(INDEX('Avoided Cost Benefits'!$B$4:$B$866,MATCH(DH298,'Avoided Cost Benefits'!$A$4:$A$866,0)))*F298</f>
        <v>576.5180135515584</v>
      </c>
      <c r="DJ298" s="1952">
        <f t="shared" si="69"/>
        <v>543.7067546700647</v>
      </c>
    </row>
    <row r="299" spans="1:115" x14ac:dyDescent="0.25">
      <c r="A299" s="442"/>
      <c r="B299" s="1384">
        <f t="shared" si="64"/>
        <v>351350</v>
      </c>
      <c r="C299" s="18" t="s">
        <v>1047</v>
      </c>
      <c r="D299" s="134" t="s">
        <v>857</v>
      </c>
      <c r="E299" s="1299" t="s">
        <v>1048</v>
      </c>
      <c r="F299" s="694">
        <f>ROUND((($J$330*$J$340*(1/$J$350-1/$J$370))/1000)*$J$433*$J$452,2)</f>
        <v>916.8</v>
      </c>
      <c r="G299" s="98" t="s">
        <v>689</v>
      </c>
      <c r="H299" s="66">
        <f>VLOOKUP(G299,'CP FACTORS'!$A$3:$B$38, 2, FALSE)</f>
        <v>0</v>
      </c>
      <c r="I299" s="43">
        <f t="shared" si="70"/>
        <v>0</v>
      </c>
      <c r="J299" s="44">
        <f t="shared" si="65"/>
        <v>18</v>
      </c>
      <c r="K299" s="129">
        <f t="shared" si="66"/>
        <v>0</v>
      </c>
      <c r="L299" s="190"/>
      <c r="M299" s="542"/>
      <c r="R299" s="521"/>
      <c r="T299" s="50"/>
      <c r="U299" s="50"/>
      <c r="V299" s="1307" t="s">
        <v>45</v>
      </c>
      <c r="W299" s="916">
        <v>1059.3684210526314</v>
      </c>
      <c r="X299" s="188">
        <v>905.10385245195232</v>
      </c>
      <c r="Y299" s="209">
        <v>513.91</v>
      </c>
      <c r="Z299" s="699">
        <v>513.91</v>
      </c>
      <c r="AA299" s="699">
        <v>513.91</v>
      </c>
      <c r="AB299" s="639">
        <v>585.46</v>
      </c>
      <c r="AC299" s="658">
        <v>639.13</v>
      </c>
      <c r="AD299" s="791">
        <v>694.54</v>
      </c>
      <c r="AE299" s="125">
        <v>572.32000000000005</v>
      </c>
      <c r="AF299" s="258">
        <f t="shared" si="67"/>
        <v>916.8</v>
      </c>
      <c r="AG299" s="342"/>
      <c r="AH299" s="115"/>
      <c r="AI299" s="115"/>
      <c r="DG299" s="1050"/>
      <c r="DH299" s="1299" t="str">
        <f t="shared" si="68"/>
        <v>Heating RES 18 Year EUL</v>
      </c>
      <c r="DI299" s="1049">
        <f>(INDEX('Avoided Cost Benefits'!$B$4:$B$866,MATCH(DH299,'Avoided Cost Benefits'!$A$4:$A$866,0)))*F299</f>
        <v>555.64940955828001</v>
      </c>
      <c r="DJ299" s="1952">
        <f t="shared" si="69"/>
        <v>0</v>
      </c>
    </row>
    <row r="300" spans="1:115" x14ac:dyDescent="0.25">
      <c r="A300" s="442"/>
      <c r="B300" s="1384">
        <f t="shared" si="64"/>
        <v>351400</v>
      </c>
      <c r="C300" s="18" t="s">
        <v>1049</v>
      </c>
      <c r="D300" s="134" t="s">
        <v>857</v>
      </c>
      <c r="E300" s="1298" t="s">
        <v>1050</v>
      </c>
      <c r="F300" s="694">
        <f>ROUND((($J$381*$J$391*(1/$J$411-1/$J$421))/1000)*$J$434*$J$452,2)</f>
        <v>1157.8399999999999</v>
      </c>
      <c r="G300" s="98" t="s">
        <v>688</v>
      </c>
      <c r="H300" s="66">
        <f>VLOOKUP(G300,'CP FACTORS'!$A$3:$B$38, 2, FALSE)</f>
        <v>9.4741810000000004E-4</v>
      </c>
      <c r="I300" s="43">
        <f t="shared" si="70"/>
        <v>1.096959</v>
      </c>
      <c r="J300" s="44">
        <f t="shared" si="65"/>
        <v>6</v>
      </c>
      <c r="K300" s="129">
        <f t="shared" si="66"/>
        <v>626.5030303030303</v>
      </c>
      <c r="L300" s="190">
        <f>K381</f>
        <v>1.9242424242424243</v>
      </c>
      <c r="M300" s="542"/>
      <c r="R300" s="521"/>
      <c r="T300" s="50"/>
      <c r="U300" s="50"/>
      <c r="V300" s="1307" t="s">
        <v>45</v>
      </c>
      <c r="W300" s="916">
        <v>1495.1911764705883</v>
      </c>
      <c r="X300" s="188">
        <v>1625.1970093173225</v>
      </c>
      <c r="Y300" s="209">
        <v>1175.8</v>
      </c>
      <c r="Z300" s="699">
        <v>1175.8</v>
      </c>
      <c r="AA300" s="699">
        <v>1175.8</v>
      </c>
      <c r="AB300" s="639">
        <v>1039.47</v>
      </c>
      <c r="AC300" s="658">
        <v>884.18</v>
      </c>
      <c r="AD300" s="791">
        <v>1085.77</v>
      </c>
      <c r="AE300" s="125">
        <v>971.64</v>
      </c>
      <c r="AF300" s="258">
        <f t="shared" si="67"/>
        <v>1157.8399999999999</v>
      </c>
      <c r="AG300" s="342"/>
      <c r="AH300" s="115"/>
      <c r="AI300" s="115"/>
      <c r="DG300" s="1048">
        <f>(DI300+DI301+DI302+DI303)/(DJ300+DJ301+DJ302+DJ303)</f>
        <v>7.3143219896259657</v>
      </c>
      <c r="DH300" s="1298" t="str">
        <f t="shared" si="68"/>
        <v>Cooling RES 6 Year EUL</v>
      </c>
      <c r="DI300" s="1049">
        <f>(INDEX('Avoided Cost Benefits'!$B$4:$B$866,MATCH(DH300,'Avoided Cost Benefits'!$A$4:$A$866,0)))*F300</f>
        <v>1153.0327610057254</v>
      </c>
      <c r="DJ300" s="1952">
        <f t="shared" si="69"/>
        <v>626.5030303030303</v>
      </c>
    </row>
    <row r="301" spans="1:115" x14ac:dyDescent="0.25">
      <c r="A301" s="442"/>
      <c r="B301" s="1384">
        <f t="shared" si="64"/>
        <v>351400</v>
      </c>
      <c r="C301" s="18" t="s">
        <v>1049</v>
      </c>
      <c r="D301" s="134" t="s">
        <v>857</v>
      </c>
      <c r="E301" s="1323" t="s">
        <v>1050</v>
      </c>
      <c r="F301" s="694">
        <f>ROUND((($J$331*$J$341*(1/$J$361-1/$J$371))/1000)*$J$435*$J$452,2)</f>
        <v>4740.51</v>
      </c>
      <c r="G301" s="98" t="s">
        <v>689</v>
      </c>
      <c r="H301" s="66">
        <f>VLOOKUP(G301,'CP FACTORS'!$A$3:$B$38, 2, FALSE)</f>
        <v>0</v>
      </c>
      <c r="I301" s="43">
        <f t="shared" si="70"/>
        <v>0</v>
      </c>
      <c r="J301" s="44">
        <f t="shared" si="65"/>
        <v>6</v>
      </c>
      <c r="K301" s="129">
        <f t="shared" si="66"/>
        <v>0</v>
      </c>
      <c r="L301" s="190"/>
      <c r="M301" s="542"/>
      <c r="R301" s="521"/>
      <c r="T301" s="50"/>
      <c r="U301" s="50"/>
      <c r="V301" s="1307" t="s">
        <v>45</v>
      </c>
      <c r="W301" s="916">
        <v>5217.8997805633207</v>
      </c>
      <c r="X301" s="188">
        <v>5513.3467827124387</v>
      </c>
      <c r="Y301" s="209">
        <v>3822.23</v>
      </c>
      <c r="Z301" s="699">
        <v>3822.23</v>
      </c>
      <c r="AA301" s="699">
        <v>3822.23</v>
      </c>
      <c r="AB301" s="639">
        <v>3646.53</v>
      </c>
      <c r="AC301" s="658">
        <v>3895.33</v>
      </c>
      <c r="AD301" s="791">
        <v>4719</v>
      </c>
      <c r="AE301" s="125">
        <v>4740.51</v>
      </c>
      <c r="AF301" s="258">
        <f t="shared" si="67"/>
        <v>4740.51</v>
      </c>
      <c r="AG301" s="342"/>
      <c r="AH301" s="115"/>
      <c r="AI301" s="115"/>
      <c r="DG301" s="1052"/>
      <c r="DH301" s="1323" t="str">
        <f t="shared" si="68"/>
        <v>Heating RES 6 Year EUL</v>
      </c>
      <c r="DI301" s="1049">
        <f>(INDEX('Avoided Cost Benefits'!$B$4:$B$866,MATCH(DH301,'Avoided Cost Benefits'!$A$4:$A$866,0)))*F301</f>
        <v>1271.3043336180642</v>
      </c>
      <c r="DJ301" s="1952">
        <f t="shared" si="69"/>
        <v>0</v>
      </c>
    </row>
    <row r="302" spans="1:115" x14ac:dyDescent="0.25">
      <c r="A302" s="442"/>
      <c r="B302" s="1384">
        <f t="shared" si="64"/>
        <v>351400</v>
      </c>
      <c r="C302" s="18" t="s">
        <v>1049</v>
      </c>
      <c r="D302" s="134" t="s">
        <v>857</v>
      </c>
      <c r="E302" s="1323" t="s">
        <v>1051</v>
      </c>
      <c r="F302" s="694">
        <f>ROUND(((J$381*J$391*(1/J$401-1/J$421))/1000)*J$436*$J$452,2)</f>
        <v>429.94</v>
      </c>
      <c r="G302" s="537" t="s">
        <v>961</v>
      </c>
      <c r="H302" s="66">
        <f>VLOOKUP(G302,'CP FACTORS'!$A$3:$B$38, 2, FALSE)</f>
        <v>9.4741810000000004E-4</v>
      </c>
      <c r="I302" s="43">
        <f t="shared" si="70"/>
        <v>0.407333</v>
      </c>
      <c r="J302" s="44">
        <f t="shared" si="65"/>
        <v>12</v>
      </c>
      <c r="K302" s="129">
        <f t="shared" si="66"/>
        <v>0</v>
      </c>
      <c r="L302" s="190"/>
      <c r="M302" s="542"/>
      <c r="R302" s="521"/>
      <c r="T302" s="50"/>
      <c r="U302" s="50"/>
      <c r="V302" s="1307" t="s">
        <v>45</v>
      </c>
      <c r="W302" s="916">
        <v>471.26538461538468</v>
      </c>
      <c r="X302" s="188">
        <v>528.13366090103261</v>
      </c>
      <c r="Y302" s="209">
        <v>374.15</v>
      </c>
      <c r="Z302" s="699">
        <v>374.15</v>
      </c>
      <c r="AA302" s="699">
        <v>374.15</v>
      </c>
      <c r="AB302" s="639">
        <v>386.88</v>
      </c>
      <c r="AC302" s="658">
        <v>362.75</v>
      </c>
      <c r="AD302" s="791">
        <v>413.89</v>
      </c>
      <c r="AE302" s="125">
        <v>308.55</v>
      </c>
      <c r="AF302" s="258">
        <f t="shared" si="67"/>
        <v>429.94</v>
      </c>
      <c r="AG302" s="342"/>
      <c r="AH302" s="115"/>
      <c r="AI302" s="115"/>
      <c r="DG302" s="1052"/>
      <c r="DH302" s="1323" t="str">
        <f t="shared" si="68"/>
        <v>Cooling RES ER2 12 Year EUL</v>
      </c>
      <c r="DI302" s="1049">
        <f>(INDEX('Avoided Cost Benefits'!$B$4:$B$866,MATCH(DH302,'Avoided Cost Benefits'!$A$4:$A$866,0)))*F302</f>
        <v>556.30830974804201</v>
      </c>
      <c r="DJ302" s="1952">
        <f t="shared" si="69"/>
        <v>0</v>
      </c>
    </row>
    <row r="303" spans="1:115" x14ac:dyDescent="0.25">
      <c r="A303" s="442"/>
      <c r="B303" s="1384">
        <f t="shared" si="64"/>
        <v>351400</v>
      </c>
      <c r="C303" s="18" t="s">
        <v>1049</v>
      </c>
      <c r="D303" s="134" t="s">
        <v>857</v>
      </c>
      <c r="E303" s="1299" t="s">
        <v>1051</v>
      </c>
      <c r="F303" s="694">
        <f>ROUND((($J$331*$J$341*(1/$J$351-1/$J$371))/1000)*$J$437*$J$452,2)</f>
        <v>4740.51</v>
      </c>
      <c r="G303" s="36" t="s">
        <v>1052</v>
      </c>
      <c r="H303" s="66">
        <f>VLOOKUP(G303,'CP FACTORS'!$A$3:$B$38, 2, FALSE)</f>
        <v>0</v>
      </c>
      <c r="I303" s="43">
        <f t="shared" si="70"/>
        <v>0</v>
      </c>
      <c r="J303" s="44">
        <f t="shared" si="65"/>
        <v>12</v>
      </c>
      <c r="K303" s="129">
        <f t="shared" si="66"/>
        <v>0</v>
      </c>
      <c r="L303" s="190"/>
      <c r="M303" s="542"/>
      <c r="R303" s="521"/>
      <c r="T303" s="50"/>
      <c r="U303" s="50"/>
      <c r="V303" s="1307" t="s">
        <v>45</v>
      </c>
      <c r="W303" s="916">
        <v>1115.8974358974356</v>
      </c>
      <c r="X303" s="188">
        <v>5517.9756069759478</v>
      </c>
      <c r="Y303" s="209">
        <v>3822.23</v>
      </c>
      <c r="Z303" s="699">
        <v>3822.23</v>
      </c>
      <c r="AA303" s="699">
        <v>3822.23</v>
      </c>
      <c r="AB303" s="639">
        <v>3646.53</v>
      </c>
      <c r="AC303" s="658">
        <v>3895.33</v>
      </c>
      <c r="AD303" s="791">
        <v>4719</v>
      </c>
      <c r="AE303" s="125">
        <v>4740.51</v>
      </c>
      <c r="AF303" s="258">
        <f t="shared" si="67"/>
        <v>4740.51</v>
      </c>
      <c r="AG303" s="342"/>
      <c r="AH303" s="115"/>
      <c r="AI303" s="115"/>
      <c r="DG303" s="1052"/>
      <c r="DH303" s="1299" t="str">
        <f t="shared" si="68"/>
        <v>Heating RES ER2 12 Year EUL</v>
      </c>
      <c r="DI303" s="1049">
        <f>(INDEX('Avoided Cost Benefits'!$B$4:$B$866,MATCH(DH303,'Avoided Cost Benefits'!$A$4:$A$866,0)))*F303</f>
        <v>1601.7994867409254</v>
      </c>
      <c r="DJ303" s="1952">
        <f t="shared" si="69"/>
        <v>0</v>
      </c>
    </row>
    <row r="304" spans="1:115" x14ac:dyDescent="0.25">
      <c r="A304" s="442"/>
      <c r="B304" s="1384">
        <f t="shared" si="64"/>
        <v>351401</v>
      </c>
      <c r="C304" s="18" t="s">
        <v>1053</v>
      </c>
      <c r="D304" s="134" t="s">
        <v>857</v>
      </c>
      <c r="E304" s="1298" t="s">
        <v>1054</v>
      </c>
      <c r="F304" s="694">
        <f>ROUND((($J$383*$J$393*(1/$J$413-1/$J$423))/1000)*$J$438*$J$452,2)</f>
        <v>1157.8399999999999</v>
      </c>
      <c r="G304" s="98" t="s">
        <v>688</v>
      </c>
      <c r="H304" s="66">
        <f>VLOOKUP(G304,'CP FACTORS'!$A$3:$B$38, 2, FALSE)</f>
        <v>9.4741810000000004E-4</v>
      </c>
      <c r="I304" s="43">
        <f>ROUND(F304*H304,6)</f>
        <v>1.096959</v>
      </c>
      <c r="J304" s="44">
        <f t="shared" si="65"/>
        <v>6</v>
      </c>
      <c r="K304" s="710">
        <f t="shared" si="66"/>
        <v>89.869631889142951</v>
      </c>
      <c r="L304" s="190">
        <f>K383</f>
        <v>1.924242424242425</v>
      </c>
      <c r="M304" s="542"/>
      <c r="R304" s="521"/>
      <c r="T304" s="39"/>
      <c r="U304" s="39"/>
      <c r="V304" s="1307" t="s">
        <v>45</v>
      </c>
      <c r="W304" s="900"/>
      <c r="X304" s="188"/>
      <c r="Y304" s="209"/>
      <c r="Z304" s="209"/>
      <c r="AA304" s="209"/>
      <c r="AB304" s="639"/>
      <c r="AC304" s="658"/>
      <c r="AD304" s="791">
        <v>1085.77</v>
      </c>
      <c r="AE304" s="125">
        <v>971.64</v>
      </c>
      <c r="AF304" s="258">
        <f t="shared" si="67"/>
        <v>1157.8399999999999</v>
      </c>
      <c r="AG304" s="656"/>
      <c r="AH304" s="696"/>
      <c r="AI304" s="696"/>
      <c r="AJ304" s="39"/>
      <c r="AK304" s="39"/>
      <c r="AL304" s="39"/>
      <c r="AM304" s="39"/>
      <c r="AN304" s="39"/>
      <c r="AO304" s="39"/>
      <c r="AP304" s="39"/>
      <c r="AQ304" s="39"/>
      <c r="AR304" s="39"/>
      <c r="AS304" s="39"/>
      <c r="AT304" s="39"/>
      <c r="AU304" s="39"/>
      <c r="AV304" s="39"/>
      <c r="AW304" s="39"/>
      <c r="AX304" s="39"/>
      <c r="AY304" s="39"/>
      <c r="AZ304" s="39"/>
      <c r="BA304" s="39"/>
      <c r="BB304" s="39"/>
      <c r="BC304" s="39"/>
      <c r="BD304" s="39"/>
      <c r="BE304" s="39"/>
      <c r="BF304" s="39"/>
      <c r="BG304" s="39"/>
      <c r="BH304" s="39"/>
      <c r="BI304" s="39"/>
      <c r="BJ304" s="39"/>
      <c r="BK304" s="39"/>
      <c r="BL304" s="39"/>
      <c r="BM304" s="39"/>
      <c r="BN304" s="39"/>
      <c r="BO304" s="39"/>
      <c r="BP304" s="39"/>
      <c r="BQ304" s="39"/>
      <c r="BR304" s="39"/>
      <c r="BS304" s="39"/>
      <c r="BT304" s="39"/>
      <c r="BU304" s="39"/>
      <c r="BV304" s="39"/>
      <c r="BW304" s="39"/>
      <c r="BX304" s="39"/>
      <c r="BY304" s="39"/>
      <c r="BZ304" s="39"/>
      <c r="CA304" s="39"/>
      <c r="CB304" s="39"/>
      <c r="CC304" s="39"/>
      <c r="CD304" s="39"/>
      <c r="CE304" s="39"/>
      <c r="CF304" s="39"/>
      <c r="CG304" s="39"/>
      <c r="CH304" s="39"/>
      <c r="CI304" s="39"/>
      <c r="CJ304" s="39"/>
      <c r="CK304" s="39"/>
      <c r="CL304" s="39"/>
      <c r="CM304" s="39"/>
      <c r="CN304" s="39"/>
      <c r="CO304" s="39"/>
      <c r="CP304" s="39"/>
      <c r="CQ304" s="39"/>
      <c r="CR304" s="39"/>
      <c r="CS304" s="39"/>
      <c r="CT304" s="39"/>
      <c r="CU304" s="39"/>
      <c r="CV304" s="39"/>
      <c r="CW304" s="39"/>
      <c r="CX304" s="39"/>
      <c r="CY304" s="39"/>
      <c r="CZ304" s="39"/>
      <c r="DA304" s="39"/>
      <c r="DB304" s="39"/>
      <c r="DC304" s="39"/>
      <c r="DD304" s="39"/>
      <c r="DE304" s="39"/>
      <c r="DF304" s="39"/>
      <c r="DG304" s="1048">
        <f>(DI304+DI305+DI306+DI307)/(DJ304+DJ305+DJ306+DJ307)</f>
        <v>19.020230024557058</v>
      </c>
      <c r="DH304" s="1298" t="str">
        <f>CONCATENATE(G304," ",J304," Year EUL")</f>
        <v>Cooling RES 6 Year EUL</v>
      </c>
      <c r="DI304" s="1049">
        <f>(INDEX('Avoided Cost Benefits'!$B$4:$B$866,MATCH(DH304,'Avoided Cost Benefits'!$A$4:$A$866,0)))*F304</f>
        <v>1153.0327610057254</v>
      </c>
      <c r="DJ304" s="1952">
        <f t="shared" si="69"/>
        <v>89.869631889142951</v>
      </c>
      <c r="DK304" s="39"/>
    </row>
    <row r="305" spans="1:115" x14ac:dyDescent="0.25">
      <c r="A305" s="442"/>
      <c r="B305" s="1384">
        <f t="shared" si="64"/>
        <v>351401</v>
      </c>
      <c r="C305" s="18" t="s">
        <v>1053</v>
      </c>
      <c r="D305" s="134" t="s">
        <v>857</v>
      </c>
      <c r="E305" s="1323" t="s">
        <v>1054</v>
      </c>
      <c r="F305" s="694">
        <f>0</f>
        <v>0</v>
      </c>
      <c r="G305" s="98" t="s">
        <v>689</v>
      </c>
      <c r="H305" s="66">
        <f>VLOOKUP(G305,'CP FACTORS'!$A$3:$B$38, 2, FALSE)</f>
        <v>0</v>
      </c>
      <c r="I305" s="43">
        <f>ROUND(F305*H305,6)</f>
        <v>0</v>
      </c>
      <c r="J305" s="44">
        <f t="shared" si="65"/>
        <v>6</v>
      </c>
      <c r="K305" s="710">
        <f t="shared" si="66"/>
        <v>0</v>
      </c>
      <c r="L305" s="190"/>
      <c r="M305" s="542"/>
      <c r="R305" s="521"/>
      <c r="T305" s="39"/>
      <c r="U305" s="39"/>
      <c r="V305" s="1307" t="s">
        <v>45</v>
      </c>
      <c r="W305" s="900"/>
      <c r="X305" s="188"/>
      <c r="Y305" s="209"/>
      <c r="Z305" s="209"/>
      <c r="AA305" s="209"/>
      <c r="AB305" s="639"/>
      <c r="AC305" s="658"/>
      <c r="AD305" s="791">
        <v>0</v>
      </c>
      <c r="AE305" s="694">
        <v>0</v>
      </c>
      <c r="AF305" s="258">
        <f t="shared" si="67"/>
        <v>0</v>
      </c>
      <c r="AG305" s="656"/>
      <c r="AH305" s="696"/>
      <c r="AI305" s="696"/>
      <c r="AJ305" s="39"/>
      <c r="AK305" s="39"/>
      <c r="AL305" s="39"/>
      <c r="AM305" s="39"/>
      <c r="AN305" s="39"/>
      <c r="AO305" s="39"/>
      <c r="AP305" s="39"/>
      <c r="AQ305" s="39"/>
      <c r="AR305" s="39"/>
      <c r="AS305" s="39"/>
      <c r="AT305" s="39"/>
      <c r="AU305" s="39"/>
      <c r="AV305" s="39"/>
      <c r="AW305" s="39"/>
      <c r="AX305" s="39"/>
      <c r="AY305" s="39"/>
      <c r="AZ305" s="39"/>
      <c r="BA305" s="39"/>
      <c r="BB305" s="39"/>
      <c r="BC305" s="39"/>
      <c r="BD305" s="39"/>
      <c r="BE305" s="39"/>
      <c r="BF305" s="39"/>
      <c r="BG305" s="39"/>
      <c r="BH305" s="39"/>
      <c r="BI305" s="39"/>
      <c r="BJ305" s="39"/>
      <c r="BK305" s="39"/>
      <c r="BL305" s="39"/>
      <c r="BM305" s="39"/>
      <c r="BN305" s="39"/>
      <c r="BO305" s="39"/>
      <c r="BP305" s="39"/>
      <c r="BQ305" s="39"/>
      <c r="BR305" s="39"/>
      <c r="BS305" s="39"/>
      <c r="BT305" s="39"/>
      <c r="BU305" s="39"/>
      <c r="BV305" s="39"/>
      <c r="BW305" s="39"/>
      <c r="BX305" s="39"/>
      <c r="BY305" s="39"/>
      <c r="BZ305" s="39"/>
      <c r="CA305" s="39"/>
      <c r="CB305" s="39"/>
      <c r="CC305" s="39"/>
      <c r="CD305" s="39"/>
      <c r="CE305" s="39"/>
      <c r="CF305" s="39"/>
      <c r="CG305" s="39"/>
      <c r="CH305" s="39"/>
      <c r="CI305" s="39"/>
      <c r="CJ305" s="39"/>
      <c r="CK305" s="39"/>
      <c r="CL305" s="39"/>
      <c r="CM305" s="39"/>
      <c r="CN305" s="39"/>
      <c r="CO305" s="39"/>
      <c r="CP305" s="39"/>
      <c r="CQ305" s="39"/>
      <c r="CR305" s="39"/>
      <c r="CS305" s="39"/>
      <c r="CT305" s="39"/>
      <c r="CU305" s="39"/>
      <c r="CV305" s="39"/>
      <c r="CW305" s="39"/>
      <c r="CX305" s="39"/>
      <c r="CY305" s="39"/>
      <c r="CZ305" s="39"/>
      <c r="DA305" s="39"/>
      <c r="DB305" s="39"/>
      <c r="DC305" s="39"/>
      <c r="DD305" s="39"/>
      <c r="DE305" s="39"/>
      <c r="DF305" s="39"/>
      <c r="DG305" s="1052"/>
      <c r="DH305" s="1323" t="str">
        <f>CONCATENATE(G305," ",J305," Year EUL")</f>
        <v>Heating RES 6 Year EUL</v>
      </c>
      <c r="DI305" s="1049">
        <f>(INDEX('Avoided Cost Benefits'!$B$4:$B$866,MATCH(DH305,'Avoided Cost Benefits'!$A$4:$A$866,0)))*F305</f>
        <v>0</v>
      </c>
      <c r="DJ305" s="1952">
        <f t="shared" si="69"/>
        <v>0</v>
      </c>
      <c r="DK305" s="39"/>
    </row>
    <row r="306" spans="1:115" x14ac:dyDescent="0.25">
      <c r="A306" s="442"/>
      <c r="B306" s="1384">
        <f t="shared" si="64"/>
        <v>351401</v>
      </c>
      <c r="C306" s="18" t="s">
        <v>1053</v>
      </c>
      <c r="D306" s="134" t="s">
        <v>857</v>
      </c>
      <c r="E306" s="1323" t="s">
        <v>1055</v>
      </c>
      <c r="F306" s="694">
        <f>ROUND(((J$383*J$393*(1/J$403-1/J$423))/1000)*J$440*$J$452,2)</f>
        <v>429.94</v>
      </c>
      <c r="G306" s="537" t="s">
        <v>961</v>
      </c>
      <c r="H306" s="66">
        <f>VLOOKUP(G306,'CP FACTORS'!$A$3:$B$38, 2, FALSE)</f>
        <v>9.4741810000000004E-4</v>
      </c>
      <c r="I306" s="43">
        <f>ROUND(F306*H306,6)</f>
        <v>0.407333</v>
      </c>
      <c r="J306" s="44">
        <f t="shared" si="65"/>
        <v>12</v>
      </c>
      <c r="K306" s="710">
        <f t="shared" si="66"/>
        <v>0</v>
      </c>
      <c r="L306" s="190"/>
      <c r="M306" s="542"/>
      <c r="R306" s="521"/>
      <c r="T306" s="39"/>
      <c r="U306" s="39"/>
      <c r="V306" s="1307" t="s">
        <v>45</v>
      </c>
      <c r="W306" s="900"/>
      <c r="X306" s="188"/>
      <c r="Y306" s="209"/>
      <c r="Z306" s="209"/>
      <c r="AA306" s="209"/>
      <c r="AB306" s="639"/>
      <c r="AC306" s="658"/>
      <c r="AD306" s="791">
        <v>413.89</v>
      </c>
      <c r="AE306" s="125">
        <v>308.55</v>
      </c>
      <c r="AF306" s="258">
        <f t="shared" si="67"/>
        <v>429.94</v>
      </c>
      <c r="AG306" s="656"/>
      <c r="AH306" s="696"/>
      <c r="AI306" s="696"/>
      <c r="AJ306" s="39"/>
      <c r="AK306" s="39"/>
      <c r="AL306" s="39"/>
      <c r="AM306" s="39"/>
      <c r="AN306" s="39"/>
      <c r="AO306" s="39"/>
      <c r="AP306" s="39"/>
      <c r="AQ306" s="39"/>
      <c r="AR306" s="39"/>
      <c r="AS306" s="39"/>
      <c r="AT306" s="39"/>
      <c r="AU306" s="39"/>
      <c r="AV306" s="39"/>
      <c r="AW306" s="39"/>
      <c r="AX306" s="39"/>
      <c r="AY306" s="39"/>
      <c r="AZ306" s="39"/>
      <c r="BA306" s="39"/>
      <c r="BB306" s="39"/>
      <c r="BC306" s="39"/>
      <c r="BD306" s="39"/>
      <c r="BE306" s="39"/>
      <c r="BF306" s="39"/>
      <c r="BG306" s="39"/>
      <c r="BH306" s="39"/>
      <c r="BI306" s="39"/>
      <c r="BJ306" s="39"/>
      <c r="BK306" s="39"/>
      <c r="BL306" s="39"/>
      <c r="BM306" s="39"/>
      <c r="BN306" s="39"/>
      <c r="BO306" s="39"/>
      <c r="BP306" s="39"/>
      <c r="BQ306" s="39"/>
      <c r="BR306" s="39"/>
      <c r="BS306" s="39"/>
      <c r="BT306" s="39"/>
      <c r="BU306" s="39"/>
      <c r="BV306" s="39"/>
      <c r="BW306" s="39"/>
      <c r="BX306" s="39"/>
      <c r="BY306" s="39"/>
      <c r="BZ306" s="39"/>
      <c r="CA306" s="39"/>
      <c r="CB306" s="39"/>
      <c r="CC306" s="39"/>
      <c r="CD306" s="39"/>
      <c r="CE306" s="39"/>
      <c r="CF306" s="39"/>
      <c r="CG306" s="39"/>
      <c r="CH306" s="39"/>
      <c r="CI306" s="39"/>
      <c r="CJ306" s="39"/>
      <c r="CK306" s="39"/>
      <c r="CL306" s="39"/>
      <c r="CM306" s="39"/>
      <c r="CN306" s="39"/>
      <c r="CO306" s="39"/>
      <c r="CP306" s="39"/>
      <c r="CQ306" s="39"/>
      <c r="CR306" s="39"/>
      <c r="CS306" s="39"/>
      <c r="CT306" s="39"/>
      <c r="CU306" s="39"/>
      <c r="CV306" s="39"/>
      <c r="CW306" s="39"/>
      <c r="CX306" s="39"/>
      <c r="CY306" s="39"/>
      <c r="CZ306" s="39"/>
      <c r="DA306" s="39"/>
      <c r="DB306" s="39"/>
      <c r="DC306" s="39"/>
      <c r="DD306" s="39"/>
      <c r="DE306" s="39"/>
      <c r="DF306" s="39"/>
      <c r="DG306" s="1052"/>
      <c r="DH306" s="1323" t="str">
        <f>CONCATENATE(G306," ",J306," Year EUL")</f>
        <v>Cooling RES ER2 12 Year EUL</v>
      </c>
      <c r="DI306" s="1049">
        <f>(INDEX('Avoided Cost Benefits'!$B$4:$B$866,MATCH(DH306,'Avoided Cost Benefits'!$A$4:$A$866,0)))*F306</f>
        <v>556.30830974804201</v>
      </c>
      <c r="DJ306" s="1952">
        <f t="shared" si="69"/>
        <v>0</v>
      </c>
      <c r="DK306" s="39"/>
    </row>
    <row r="307" spans="1:115" x14ac:dyDescent="0.25">
      <c r="A307" s="442"/>
      <c r="B307" s="1384">
        <f t="shared" si="64"/>
        <v>351401</v>
      </c>
      <c r="C307" s="18" t="s">
        <v>1053</v>
      </c>
      <c r="D307" s="134" t="s">
        <v>857</v>
      </c>
      <c r="E307" s="1299" t="s">
        <v>1055</v>
      </c>
      <c r="F307" s="694">
        <f>0</f>
        <v>0</v>
      </c>
      <c r="G307" s="36" t="s">
        <v>1052</v>
      </c>
      <c r="H307" s="66">
        <f>VLOOKUP(G307,'CP FACTORS'!$A$3:$B$38, 2, FALSE)</f>
        <v>0</v>
      </c>
      <c r="I307" s="43">
        <f>ROUND(F307*H307,6)</f>
        <v>0</v>
      </c>
      <c r="J307" s="44">
        <f t="shared" si="65"/>
        <v>12</v>
      </c>
      <c r="K307" s="710">
        <f t="shared" si="66"/>
        <v>0</v>
      </c>
      <c r="L307" s="190"/>
      <c r="M307" s="542"/>
      <c r="R307" s="521"/>
      <c r="T307" s="39"/>
      <c r="U307" s="39"/>
      <c r="V307" s="1307" t="s">
        <v>45</v>
      </c>
      <c r="W307" s="900"/>
      <c r="X307" s="188"/>
      <c r="Y307" s="209"/>
      <c r="Z307" s="209"/>
      <c r="AA307" s="209"/>
      <c r="AB307" s="639"/>
      <c r="AC307" s="658"/>
      <c r="AD307" s="791">
        <v>0</v>
      </c>
      <c r="AE307" s="694">
        <v>0</v>
      </c>
      <c r="AF307" s="258">
        <f t="shared" si="67"/>
        <v>0</v>
      </c>
      <c r="AG307" s="656"/>
      <c r="AH307" s="696"/>
      <c r="AI307" s="696"/>
      <c r="AJ307" s="39"/>
      <c r="AK307" s="39"/>
      <c r="AL307" s="39"/>
      <c r="AM307" s="39"/>
      <c r="AN307" s="39"/>
      <c r="AO307" s="39"/>
      <c r="AP307" s="39"/>
      <c r="AQ307" s="39"/>
      <c r="AR307" s="39"/>
      <c r="AS307" s="39"/>
      <c r="AT307" s="39"/>
      <c r="AU307" s="39"/>
      <c r="AV307" s="39"/>
      <c r="AW307" s="39"/>
      <c r="AX307" s="39"/>
      <c r="AY307" s="39"/>
      <c r="AZ307" s="39"/>
      <c r="BA307" s="39"/>
      <c r="BB307" s="39"/>
      <c r="BC307" s="39"/>
      <c r="BD307" s="39"/>
      <c r="BE307" s="39"/>
      <c r="BF307" s="39"/>
      <c r="BG307" s="39"/>
      <c r="BH307" s="39"/>
      <c r="BI307" s="39"/>
      <c r="BJ307" s="39"/>
      <c r="BK307" s="39"/>
      <c r="BL307" s="39"/>
      <c r="BM307" s="39"/>
      <c r="BN307" s="39"/>
      <c r="BO307" s="39"/>
      <c r="BP307" s="39"/>
      <c r="BQ307" s="39"/>
      <c r="BR307" s="39"/>
      <c r="BS307" s="39"/>
      <c r="BT307" s="39"/>
      <c r="BU307" s="39"/>
      <c r="BV307" s="39"/>
      <c r="BW307" s="39"/>
      <c r="BX307" s="39"/>
      <c r="BY307" s="39"/>
      <c r="BZ307" s="39"/>
      <c r="CA307" s="39"/>
      <c r="CB307" s="39"/>
      <c r="CC307" s="39"/>
      <c r="CD307" s="39"/>
      <c r="CE307" s="39"/>
      <c r="CF307" s="39"/>
      <c r="CG307" s="39"/>
      <c r="CH307" s="39"/>
      <c r="CI307" s="39"/>
      <c r="CJ307" s="39"/>
      <c r="CK307" s="39"/>
      <c r="CL307" s="39"/>
      <c r="CM307" s="39"/>
      <c r="CN307" s="39"/>
      <c r="CO307" s="39"/>
      <c r="CP307" s="39"/>
      <c r="CQ307" s="39"/>
      <c r="CR307" s="39"/>
      <c r="CS307" s="39"/>
      <c r="CT307" s="39"/>
      <c r="CU307" s="39"/>
      <c r="CV307" s="39"/>
      <c r="CW307" s="39"/>
      <c r="CX307" s="39"/>
      <c r="CY307" s="39"/>
      <c r="CZ307" s="39"/>
      <c r="DA307" s="39"/>
      <c r="DB307" s="39"/>
      <c r="DC307" s="39"/>
      <c r="DD307" s="39"/>
      <c r="DE307" s="39"/>
      <c r="DF307" s="39"/>
      <c r="DG307" s="1052"/>
      <c r="DH307" s="1299" t="str">
        <f>CONCATENATE(G307," ",J307," Year EUL")</f>
        <v>Heating RES ER2 12 Year EUL</v>
      </c>
      <c r="DI307" s="1049">
        <f>(INDEX('Avoided Cost Benefits'!$B$4:$B$866,MATCH(DH307,'Avoided Cost Benefits'!$A$4:$A$866,0)))*F307</f>
        <v>0</v>
      </c>
      <c r="DJ307" s="1952">
        <f t="shared" si="69"/>
        <v>0</v>
      </c>
      <c r="DK307" s="39"/>
    </row>
    <row r="308" spans="1:115" x14ac:dyDescent="0.25">
      <c r="A308" s="442"/>
      <c r="B308" s="1384">
        <f t="shared" si="64"/>
        <v>351450</v>
      </c>
      <c r="C308" s="18" t="s">
        <v>1056</v>
      </c>
      <c r="D308" s="134" t="s">
        <v>857</v>
      </c>
      <c r="E308" s="1298" t="s">
        <v>1057</v>
      </c>
      <c r="F308" s="694">
        <f>ROUND((($J$382*$J$392*(1/$J$402-1/$J$422))/1000)*$J$442*$J$452,2)</f>
        <v>299.32</v>
      </c>
      <c r="G308" s="98" t="s">
        <v>688</v>
      </c>
      <c r="H308" s="66">
        <f>VLOOKUP(G308,'CP FACTORS'!$A$3:$B$38, 2, FALSE)</f>
        <v>9.4741810000000004E-4</v>
      </c>
      <c r="I308" s="43">
        <f t="shared" si="70"/>
        <v>0.28358100000000003</v>
      </c>
      <c r="J308" s="44">
        <f t="shared" si="65"/>
        <v>18</v>
      </c>
      <c r="K308" s="129">
        <f t="shared" si="66"/>
        <v>543.7067546700647</v>
      </c>
      <c r="L308" s="190">
        <f>K382</f>
        <v>1.3282828282828283</v>
      </c>
      <c r="M308" s="542"/>
      <c r="R308" s="521"/>
      <c r="T308" s="50"/>
      <c r="U308" s="50"/>
      <c r="V308" s="1307" t="s">
        <v>45</v>
      </c>
      <c r="W308" s="916">
        <v>447.12649572649582</v>
      </c>
      <c r="X308" s="188">
        <v>528.13366090103261</v>
      </c>
      <c r="Y308" s="209">
        <v>335.42</v>
      </c>
      <c r="Z308" s="699">
        <v>335.42</v>
      </c>
      <c r="AA308" s="699">
        <v>335.42</v>
      </c>
      <c r="AB308" s="639">
        <v>345.19</v>
      </c>
      <c r="AC308" s="658">
        <v>346.51</v>
      </c>
      <c r="AD308" s="791">
        <v>307.27999999999997</v>
      </c>
      <c r="AE308" s="125">
        <v>295.52</v>
      </c>
      <c r="AF308" s="258">
        <f t="shared" si="67"/>
        <v>299.32</v>
      </c>
      <c r="AG308" s="342"/>
      <c r="AH308" s="115"/>
      <c r="AI308" s="115"/>
      <c r="DG308" s="1048">
        <f>(DI308+DI309)/(DJ308+DJ309)</f>
        <v>5.8793655640780518</v>
      </c>
      <c r="DH308" s="1298" t="str">
        <f t="shared" si="68"/>
        <v>Cooling RES 18 Year EUL</v>
      </c>
      <c r="DI308" s="1049">
        <f>(INDEX('Avoided Cost Benefits'!$B$4:$B$866,MATCH(DH308,'Avoided Cost Benefits'!$A$4:$A$866,0)))*F308</f>
        <v>685.37362704048167</v>
      </c>
      <c r="DJ308" s="1952">
        <f t="shared" si="69"/>
        <v>543.7067546700647</v>
      </c>
    </row>
    <row r="309" spans="1:115" x14ac:dyDescent="0.25">
      <c r="A309" s="442"/>
      <c r="B309" s="1384">
        <f t="shared" si="64"/>
        <v>351450</v>
      </c>
      <c r="C309" s="18" t="s">
        <v>1056</v>
      </c>
      <c r="D309" s="134" t="s">
        <v>857</v>
      </c>
      <c r="E309" s="1299" t="s">
        <v>1057</v>
      </c>
      <c r="F309" s="694">
        <f xml:space="preserve"> ROUND((($J$332*$J$342*(1/$J$352-1/$J$372))/1000)*$J$443*$J$452,2)</f>
        <v>4143.51</v>
      </c>
      <c r="G309" s="98" t="s">
        <v>689</v>
      </c>
      <c r="H309" s="66">
        <f>VLOOKUP(G309,'CP FACTORS'!$A$3:$B$38, 2, FALSE)</f>
        <v>0</v>
      </c>
      <c r="I309" s="43">
        <f t="shared" si="70"/>
        <v>0</v>
      </c>
      <c r="J309" s="44">
        <f t="shared" si="65"/>
        <v>18</v>
      </c>
      <c r="K309" s="129">
        <f t="shared" si="66"/>
        <v>0</v>
      </c>
      <c r="L309" s="679"/>
      <c r="M309" s="542"/>
      <c r="R309" s="521"/>
      <c r="T309" s="50"/>
      <c r="U309" s="50"/>
      <c r="V309" s="1307" t="s">
        <v>45</v>
      </c>
      <c r="W309" s="916">
        <v>1070.7301587301586</v>
      </c>
      <c r="X309" s="188">
        <v>5517.9756069759478</v>
      </c>
      <c r="Y309" s="209">
        <v>4077.05</v>
      </c>
      <c r="Z309" s="699">
        <v>4077.05</v>
      </c>
      <c r="AA309" s="699">
        <v>4077.05</v>
      </c>
      <c r="AB309" s="639">
        <v>4050.16</v>
      </c>
      <c r="AC309" s="658">
        <v>4359.3599999999997</v>
      </c>
      <c r="AD309" s="791">
        <v>4151.16</v>
      </c>
      <c r="AE309" s="125">
        <v>4143.51</v>
      </c>
      <c r="AF309" s="258">
        <f t="shared" si="67"/>
        <v>4143.51</v>
      </c>
      <c r="AG309" s="342"/>
      <c r="AH309" s="115"/>
      <c r="AI309" s="115"/>
      <c r="DG309" s="1050"/>
      <c r="DH309" s="1299" t="str">
        <f t="shared" si="68"/>
        <v>Heating RES 18 Year EUL</v>
      </c>
      <c r="DI309" s="1049">
        <f>(INDEX('Avoided Cost Benefits'!$B$4:$B$866,MATCH(DH309,'Avoided Cost Benefits'!$A$4:$A$866,0)))*F309</f>
        <v>2511.2771433233302</v>
      </c>
      <c r="DJ309" s="1952">
        <f t="shared" si="69"/>
        <v>0</v>
      </c>
    </row>
    <row r="310" spans="1:115" x14ac:dyDescent="0.25">
      <c r="A310" s="442"/>
      <c r="B310" s="1384">
        <f t="shared" si="64"/>
        <v>351451</v>
      </c>
      <c r="C310" s="18" t="s">
        <v>1058</v>
      </c>
      <c r="D310" s="134" t="s">
        <v>857</v>
      </c>
      <c r="E310" s="1298" t="s">
        <v>1059</v>
      </c>
      <c r="F310" s="694">
        <f>ROUND((($J$384*$J$394*(1/$J$404-1/$J$424))/1000)*$J$444*$J$452,2)</f>
        <v>299.32</v>
      </c>
      <c r="G310" s="98" t="s">
        <v>688</v>
      </c>
      <c r="H310" s="66">
        <f>VLOOKUP(G310,'CP FACTORS'!$A$3:$B$38, 2, FALSE)</f>
        <v>9.4741810000000004E-4</v>
      </c>
      <c r="I310" s="43">
        <f>ROUND(F310*H310,6)</f>
        <v>0.28358100000000003</v>
      </c>
      <c r="J310" s="44">
        <f t="shared" si="65"/>
        <v>18</v>
      </c>
      <c r="K310" s="129">
        <f t="shared" si="66"/>
        <v>36.630324772238367</v>
      </c>
      <c r="L310" s="679">
        <f>K384</f>
        <v>1.3282828282828283</v>
      </c>
      <c r="M310" s="542"/>
      <c r="R310" s="521"/>
      <c r="T310" s="39"/>
      <c r="U310" s="39"/>
      <c r="V310" s="1307" t="s">
        <v>45</v>
      </c>
      <c r="W310" s="900"/>
      <c r="X310" s="188"/>
      <c r="Y310" s="209"/>
      <c r="Z310" s="209"/>
      <c r="AA310" s="209"/>
      <c r="AB310" s="639"/>
      <c r="AC310" s="658"/>
      <c r="AD310" s="791">
        <v>307.27999999999997</v>
      </c>
      <c r="AE310" s="125">
        <v>295.52</v>
      </c>
      <c r="AF310" s="258">
        <f t="shared" si="67"/>
        <v>299.32</v>
      </c>
      <c r="AG310" s="656"/>
      <c r="AH310" s="696"/>
      <c r="AI310" s="696"/>
      <c r="AJ310" s="39"/>
      <c r="AK310" s="39"/>
      <c r="AL310" s="39"/>
      <c r="AM310" s="39"/>
      <c r="AN310" s="39"/>
      <c r="AO310" s="39"/>
      <c r="AP310" s="39"/>
      <c r="AQ310" s="39"/>
      <c r="AR310" s="39"/>
      <c r="AS310" s="39"/>
      <c r="AT310" s="39"/>
      <c r="AU310" s="39"/>
      <c r="AV310" s="39"/>
      <c r="AW310" s="39"/>
      <c r="AX310" s="39"/>
      <c r="AY310" s="39"/>
      <c r="AZ310" s="39"/>
      <c r="BA310" s="39"/>
      <c r="BB310" s="39"/>
      <c r="BC310" s="39"/>
      <c r="BD310" s="39"/>
      <c r="BE310" s="39"/>
      <c r="BF310" s="39"/>
      <c r="BG310" s="39"/>
      <c r="BH310" s="39"/>
      <c r="BI310" s="39"/>
      <c r="BJ310" s="39"/>
      <c r="BK310" s="39"/>
      <c r="BL310" s="39"/>
      <c r="BM310" s="39"/>
      <c r="BN310" s="39"/>
      <c r="BO310" s="39"/>
      <c r="BP310" s="39"/>
      <c r="BQ310" s="39"/>
      <c r="BR310" s="39"/>
      <c r="BS310" s="39"/>
      <c r="BT310" s="39"/>
      <c r="BU310" s="39"/>
      <c r="BV310" s="39"/>
      <c r="BW310" s="39"/>
      <c r="BX310" s="39"/>
      <c r="BY310" s="39"/>
      <c r="BZ310" s="39"/>
      <c r="CA310" s="39"/>
      <c r="CB310" s="39"/>
      <c r="CC310" s="39"/>
      <c r="CD310" s="39"/>
      <c r="CE310" s="39"/>
      <c r="CF310" s="39"/>
      <c r="CG310" s="39"/>
      <c r="CH310" s="39"/>
      <c r="CI310" s="39"/>
      <c r="CJ310" s="39"/>
      <c r="CK310" s="39"/>
      <c r="CL310" s="39"/>
      <c r="CM310" s="39"/>
      <c r="CN310" s="39"/>
      <c r="CO310" s="39"/>
      <c r="CP310" s="39"/>
      <c r="CQ310" s="39"/>
      <c r="CR310" s="39"/>
      <c r="CS310" s="39"/>
      <c r="CT310" s="39"/>
      <c r="CU310" s="39"/>
      <c r="CV310" s="39"/>
      <c r="CW310" s="39"/>
      <c r="CX310" s="39"/>
      <c r="CY310" s="39"/>
      <c r="CZ310" s="39"/>
      <c r="DA310" s="39"/>
      <c r="DB310" s="39"/>
      <c r="DC310" s="39"/>
      <c r="DD310" s="39"/>
      <c r="DE310" s="39"/>
      <c r="DF310" s="39"/>
      <c r="DG310" s="1048">
        <f>(DI310+DI311)/(DJ310+DJ311)</f>
        <v>18.710552835718158</v>
      </c>
      <c r="DH310" s="1298" t="str">
        <f>CONCATENATE(G310," ",J310," Year EUL")</f>
        <v>Cooling RES 18 Year EUL</v>
      </c>
      <c r="DI310" s="1049">
        <f>(INDEX('Avoided Cost Benefits'!$B$4:$B$866,MATCH(DH310,'Avoided Cost Benefits'!$A$4:$A$866,0)))*F310</f>
        <v>685.37362704048167</v>
      </c>
      <c r="DJ310" s="1952">
        <f t="shared" si="69"/>
        <v>36.630324772238367</v>
      </c>
      <c r="DK310" s="39"/>
    </row>
    <row r="311" spans="1:115" x14ac:dyDescent="0.25">
      <c r="A311" s="442"/>
      <c r="B311" s="1384">
        <f t="shared" si="64"/>
        <v>351451</v>
      </c>
      <c r="C311" s="18" t="s">
        <v>1058</v>
      </c>
      <c r="D311" s="134" t="s">
        <v>857</v>
      </c>
      <c r="E311" s="1323" t="s">
        <v>1059</v>
      </c>
      <c r="F311" s="694">
        <f>0</f>
        <v>0</v>
      </c>
      <c r="G311" s="98" t="s">
        <v>689</v>
      </c>
      <c r="H311" s="66">
        <f>VLOOKUP(G311,'CP FACTORS'!$A$3:$B$38, 2, FALSE)</f>
        <v>0</v>
      </c>
      <c r="I311" s="43">
        <f>ROUND(F311*H311,6)</f>
        <v>0</v>
      </c>
      <c r="J311" s="44">
        <f t="shared" si="65"/>
        <v>18</v>
      </c>
      <c r="K311" s="129">
        <f t="shared" si="66"/>
        <v>0</v>
      </c>
      <c r="L311" s="679"/>
      <c r="M311" s="542"/>
      <c r="R311" s="521"/>
      <c r="T311" s="39"/>
      <c r="U311" s="39"/>
      <c r="V311" s="1307" t="s">
        <v>45</v>
      </c>
      <c r="W311" s="900"/>
      <c r="X311" s="188"/>
      <c r="Y311" s="209"/>
      <c r="Z311" s="209"/>
      <c r="AA311" s="209"/>
      <c r="AB311" s="639"/>
      <c r="AC311" s="658"/>
      <c r="AD311" s="791">
        <v>0</v>
      </c>
      <c r="AE311" s="694">
        <v>0</v>
      </c>
      <c r="AF311" s="258">
        <f t="shared" si="67"/>
        <v>0</v>
      </c>
      <c r="AG311" s="656"/>
      <c r="AH311" s="696"/>
      <c r="AI311" s="696"/>
      <c r="AJ311" s="39"/>
      <c r="AK311" s="39"/>
      <c r="AL311" s="39"/>
      <c r="AM311" s="39"/>
      <c r="AN311" s="39"/>
      <c r="AO311" s="39"/>
      <c r="AP311" s="39"/>
      <c r="AQ311" s="39"/>
      <c r="AR311" s="39"/>
      <c r="AS311" s="39"/>
      <c r="AT311" s="39"/>
      <c r="AU311" s="39"/>
      <c r="AV311" s="39"/>
      <c r="AW311" s="39"/>
      <c r="AX311" s="39"/>
      <c r="AY311" s="39"/>
      <c r="AZ311" s="39"/>
      <c r="BA311" s="39"/>
      <c r="BB311" s="39"/>
      <c r="BC311" s="39"/>
      <c r="BD311" s="39"/>
      <c r="BE311" s="39"/>
      <c r="BF311" s="39"/>
      <c r="BG311" s="39"/>
      <c r="BH311" s="39"/>
      <c r="BI311" s="39"/>
      <c r="BJ311" s="39"/>
      <c r="BK311" s="39"/>
      <c r="BL311" s="39"/>
      <c r="BM311" s="39"/>
      <c r="BN311" s="39"/>
      <c r="BO311" s="39"/>
      <c r="BP311" s="39"/>
      <c r="BQ311" s="39"/>
      <c r="BR311" s="39"/>
      <c r="BS311" s="39"/>
      <c r="BT311" s="39"/>
      <c r="BU311" s="39"/>
      <c r="BV311" s="39"/>
      <c r="BW311" s="39"/>
      <c r="BX311" s="39"/>
      <c r="BY311" s="39"/>
      <c r="BZ311" s="39"/>
      <c r="CA311" s="39"/>
      <c r="CB311" s="39"/>
      <c r="CC311" s="39"/>
      <c r="CD311" s="39"/>
      <c r="CE311" s="39"/>
      <c r="CF311" s="39"/>
      <c r="CG311" s="39"/>
      <c r="CH311" s="39"/>
      <c r="CI311" s="39"/>
      <c r="CJ311" s="39"/>
      <c r="CK311" s="39"/>
      <c r="CL311" s="39"/>
      <c r="CM311" s="39"/>
      <c r="CN311" s="39"/>
      <c r="CO311" s="39"/>
      <c r="CP311" s="39"/>
      <c r="CQ311" s="39"/>
      <c r="CR311" s="39"/>
      <c r="CS311" s="39"/>
      <c r="CT311" s="39"/>
      <c r="CU311" s="39"/>
      <c r="CV311" s="39"/>
      <c r="CW311" s="39"/>
      <c r="CX311" s="39"/>
      <c r="CY311" s="39"/>
      <c r="CZ311" s="39"/>
      <c r="DA311" s="39"/>
      <c r="DB311" s="39"/>
      <c r="DC311" s="39"/>
      <c r="DD311" s="39"/>
      <c r="DE311" s="39"/>
      <c r="DF311" s="39"/>
      <c r="DG311" s="1050"/>
      <c r="DH311" s="1299" t="str">
        <f>CONCATENATE(G311," ",J311," Year EUL")</f>
        <v>Heating RES 18 Year EUL</v>
      </c>
      <c r="DI311" s="1049">
        <f>(INDEX('Avoided Cost Benefits'!$B$4:$B$866,MATCH(DH311,'Avoided Cost Benefits'!$A$4:$A$866,0)))*F311</f>
        <v>0</v>
      </c>
      <c r="DJ311" s="1952">
        <f t="shared" si="69"/>
        <v>0</v>
      </c>
      <c r="DK311" s="39"/>
    </row>
    <row r="312" spans="1:115" x14ac:dyDescent="0.25">
      <c r="A312" s="442"/>
      <c r="B312" s="1384">
        <f t="shared" si="64"/>
        <v>351500</v>
      </c>
      <c r="C312" s="18" t="s">
        <v>1060</v>
      </c>
      <c r="D312" s="134" t="s">
        <v>857</v>
      </c>
      <c r="E312" s="1298" t="s">
        <v>1061</v>
      </c>
      <c r="F312" s="1899">
        <f>ROUND((($J$385*$J$395*(1/$J$415-1/$J$425))/1000)*$J$446*$J$452,2)</f>
        <v>1157.8399999999999</v>
      </c>
      <c r="G312" s="98" t="s">
        <v>688</v>
      </c>
      <c r="H312" s="66">
        <f>VLOOKUP(G312,'CP FACTORS'!$A$3:$B$38, 2, FALSE)</f>
        <v>9.4741810000000004E-4</v>
      </c>
      <c r="I312" s="43">
        <f t="shared" si="70"/>
        <v>1.096959</v>
      </c>
      <c r="J312" s="44">
        <f t="shared" si="65"/>
        <v>6</v>
      </c>
      <c r="K312" s="129">
        <f t="shared" si="66"/>
        <v>683.91788099116957</v>
      </c>
      <c r="L312" s="190">
        <f>K385</f>
        <v>1.9242424242424243</v>
      </c>
      <c r="M312" s="542"/>
      <c r="R312" s="521"/>
      <c r="T312" s="50"/>
      <c r="U312" s="50"/>
      <c r="V312" s="1307" t="s">
        <v>45</v>
      </c>
      <c r="W312" s="916">
        <v>1625.9591194968555</v>
      </c>
      <c r="X312" s="188">
        <v>1497.4028916702637</v>
      </c>
      <c r="Y312" s="209">
        <v>1164.32</v>
      </c>
      <c r="Z312" s="699">
        <v>1164.32</v>
      </c>
      <c r="AA312" s="699">
        <v>1164.32</v>
      </c>
      <c r="AB312" s="639">
        <v>779.12</v>
      </c>
      <c r="AC312" s="658">
        <v>843.09</v>
      </c>
      <c r="AD312" s="791">
        <v>1085.77</v>
      </c>
      <c r="AE312" s="1113">
        <v>971.64</v>
      </c>
      <c r="AF312" s="258">
        <f t="shared" si="67"/>
        <v>1157.8399999999999</v>
      </c>
      <c r="AG312" s="342"/>
      <c r="AH312" s="115"/>
      <c r="AI312" s="115"/>
      <c r="DG312" s="1048">
        <f>(DI312+DI313+DI314+DI315)/(DJ312+DJ313+DJ314+DJ315)</f>
        <v>3.4452351798525354</v>
      </c>
      <c r="DH312" s="1298" t="str">
        <f t="shared" si="68"/>
        <v>Cooling RES 6 Year EUL</v>
      </c>
      <c r="DI312" s="1049">
        <f>(INDEX('Avoided Cost Benefits'!$B$4:$B$866,MATCH(DH312,'Avoided Cost Benefits'!$A$4:$A$866,0)))*F312</f>
        <v>1153.0327610057254</v>
      </c>
      <c r="DJ312" s="1952">
        <f t="shared" si="69"/>
        <v>683.91788099116957</v>
      </c>
    </row>
    <row r="313" spans="1:115" x14ac:dyDescent="0.25">
      <c r="A313" s="442"/>
      <c r="B313" s="1384">
        <f t="shared" si="64"/>
        <v>351500</v>
      </c>
      <c r="C313" s="18" t="s">
        <v>1060</v>
      </c>
      <c r="D313" s="134" t="s">
        <v>857</v>
      </c>
      <c r="E313" s="1323" t="s">
        <v>1061</v>
      </c>
      <c r="F313" s="694">
        <f xml:space="preserve"> ROUND((($J$335*$J$345*(1/$J$365-1/$J$375))/1000)*$J$447*$J$452,2)</f>
        <v>1456.32</v>
      </c>
      <c r="G313" s="98" t="s">
        <v>689</v>
      </c>
      <c r="H313" s="66">
        <f>VLOOKUP(G313,'CP FACTORS'!$A$3:$B$38, 2, FALSE)</f>
        <v>0</v>
      </c>
      <c r="I313" s="43">
        <f t="shared" si="70"/>
        <v>0</v>
      </c>
      <c r="J313" s="44">
        <f t="shared" si="65"/>
        <v>6</v>
      </c>
      <c r="K313" s="129">
        <f t="shared" si="66"/>
        <v>0</v>
      </c>
      <c r="L313" s="190"/>
      <c r="M313" s="542"/>
      <c r="R313" s="521"/>
      <c r="T313" s="50"/>
      <c r="U313" s="50"/>
      <c r="V313" s="1307" t="s">
        <v>45</v>
      </c>
      <c r="W313" s="916">
        <v>2932.947368421052</v>
      </c>
      <c r="X313" s="188">
        <v>2571.2014134275614</v>
      </c>
      <c r="Y313" s="209">
        <v>1944.18</v>
      </c>
      <c r="Z313" s="699">
        <v>1944.18</v>
      </c>
      <c r="AA313" s="699">
        <v>1944.18</v>
      </c>
      <c r="AB313" s="639">
        <v>1021.3</v>
      </c>
      <c r="AC313" s="658">
        <v>1692.45</v>
      </c>
      <c r="AD313" s="791">
        <v>2176.0500000000002</v>
      </c>
      <c r="AE313" s="1113">
        <v>2197.56</v>
      </c>
      <c r="AF313" s="258">
        <f t="shared" si="67"/>
        <v>1456.32</v>
      </c>
      <c r="AG313" s="342"/>
      <c r="AH313" s="115"/>
      <c r="AI313" s="115"/>
      <c r="DG313" s="1052"/>
      <c r="DH313" s="1323" t="str">
        <f t="shared" si="68"/>
        <v>Heating RES 6 Year EUL</v>
      </c>
      <c r="DI313" s="1049">
        <f>(INDEX('Avoided Cost Benefits'!$B$4:$B$866,MATCH(DH313,'Avoided Cost Benefits'!$A$4:$A$866,0)))*F313</f>
        <v>390.55416550849151</v>
      </c>
      <c r="DJ313" s="1952">
        <f t="shared" si="69"/>
        <v>0</v>
      </c>
    </row>
    <row r="314" spans="1:115" x14ac:dyDescent="0.25">
      <c r="A314" s="442"/>
      <c r="B314" s="1384">
        <f t="shared" si="64"/>
        <v>351500</v>
      </c>
      <c r="C314" s="1900" t="s">
        <v>1060</v>
      </c>
      <c r="D314" s="134" t="s">
        <v>857</v>
      </c>
      <c r="E314" s="1323" t="s">
        <v>1062</v>
      </c>
      <c r="F314" s="1901">
        <f>ROUND((($J$385*$J$395*(1/$J$405-1/$J$425))/1000)*$J$448*$J$452,2)</f>
        <v>361.07</v>
      </c>
      <c r="G314" s="547" t="s">
        <v>961</v>
      </c>
      <c r="H314" s="938">
        <f>VLOOKUP(G314,'CP FACTORS'!$A$3:$B$38, 2, FALSE)</f>
        <v>9.4741810000000004E-4</v>
      </c>
      <c r="I314" s="1902">
        <f t="shared" si="70"/>
        <v>0.342084</v>
      </c>
      <c r="J314" s="210">
        <f>J474</f>
        <v>12</v>
      </c>
      <c r="K314" s="211">
        <f t="shared" si="66"/>
        <v>0</v>
      </c>
      <c r="L314" s="1112"/>
      <c r="M314" s="542"/>
      <c r="R314" s="521"/>
      <c r="T314" s="50"/>
      <c r="U314" s="50"/>
      <c r="V314" s="1307" t="s">
        <v>45</v>
      </c>
      <c r="W314" s="916">
        <v>527.45399129172722</v>
      </c>
      <c r="X314" s="188">
        <v>528.13366090103261</v>
      </c>
      <c r="Y314" s="209">
        <v>456.05</v>
      </c>
      <c r="Z314" s="699">
        <v>456.05</v>
      </c>
      <c r="AA314" s="699">
        <v>456.05</v>
      </c>
      <c r="AB314" s="639">
        <v>312.22000000000003</v>
      </c>
      <c r="AC314" s="658">
        <v>352.11</v>
      </c>
      <c r="AD314" s="791">
        <v>413.89</v>
      </c>
      <c r="AE314" s="1114">
        <v>252.31</v>
      </c>
      <c r="AF314" s="258">
        <f t="shared" si="67"/>
        <v>361.07</v>
      </c>
      <c r="AG314" s="342"/>
      <c r="AH314" s="115"/>
      <c r="AI314" s="115"/>
      <c r="DG314" s="1052"/>
      <c r="DH314" s="1323" t="str">
        <f t="shared" si="68"/>
        <v>Cooling RES ER2 12 Year EUL</v>
      </c>
      <c r="DI314" s="1049">
        <f>(INDEX('Avoided Cost Benefits'!$B$4:$B$866,MATCH(DH314,'Avoided Cost Benefits'!$A$4:$A$866,0)))*F314</f>
        <v>467.1959840924909</v>
      </c>
      <c r="DJ314" s="1952">
        <f t="shared" si="69"/>
        <v>0</v>
      </c>
    </row>
    <row r="315" spans="1:115" x14ac:dyDescent="0.25">
      <c r="A315" s="442"/>
      <c r="B315" s="1384">
        <f t="shared" si="64"/>
        <v>351500</v>
      </c>
      <c r="C315" s="18" t="s">
        <v>1060</v>
      </c>
      <c r="D315" s="134" t="s">
        <v>857</v>
      </c>
      <c r="E315" s="1299" t="s">
        <v>1062</v>
      </c>
      <c r="F315" s="694">
        <f>ROUND((($J$335*$J$345*(1/$J$355-1/$J$375))/1000)*$J$449*$J$452,2)</f>
        <v>1022.43</v>
      </c>
      <c r="G315" s="36" t="s">
        <v>1052</v>
      </c>
      <c r="H315" s="66">
        <f>VLOOKUP(G315,'CP FACTORS'!$A$3:$B$38, 2, FALSE)</f>
        <v>0</v>
      </c>
      <c r="I315" s="43">
        <f t="shared" si="70"/>
        <v>0</v>
      </c>
      <c r="J315" s="44">
        <f>J475</f>
        <v>12</v>
      </c>
      <c r="K315" s="129">
        <f t="shared" si="66"/>
        <v>0</v>
      </c>
      <c r="L315" s="190"/>
      <c r="M315" s="542"/>
      <c r="R315" s="521"/>
      <c r="T315" s="50"/>
      <c r="U315" s="50"/>
      <c r="V315" s="1307" t="s">
        <v>45</v>
      </c>
      <c r="W315" s="916">
        <v>1286.375939849624</v>
      </c>
      <c r="X315" s="188">
        <v>1713.6026292330328</v>
      </c>
      <c r="Y315" s="209">
        <v>1351.43</v>
      </c>
      <c r="Z315" s="699">
        <v>1351.43</v>
      </c>
      <c r="AA315" s="699">
        <v>1351.43</v>
      </c>
      <c r="AB315" s="639">
        <v>515</v>
      </c>
      <c r="AC315" s="658">
        <v>1108.68</v>
      </c>
      <c r="AD315" s="791">
        <v>1434.81</v>
      </c>
      <c r="AE315" s="1113">
        <v>1456.32</v>
      </c>
      <c r="AF315" s="258">
        <f t="shared" si="67"/>
        <v>1022.43</v>
      </c>
      <c r="AG315" s="342"/>
      <c r="AH315" s="115"/>
      <c r="AI315" s="115"/>
      <c r="DG315" s="1052"/>
      <c r="DH315" s="1299" t="str">
        <f t="shared" si="68"/>
        <v>Heating RES ER2 12 Year EUL</v>
      </c>
      <c r="DI315" s="1049">
        <f>(INDEX('Avoided Cost Benefits'!$B$4:$B$866,MATCH(DH315,'Avoided Cost Benefits'!$A$4:$A$866,0)))*F315</f>
        <v>345.47503311426919</v>
      </c>
      <c r="DJ315" s="1952">
        <f t="shared" si="69"/>
        <v>0</v>
      </c>
    </row>
    <row r="316" spans="1:115" x14ac:dyDescent="0.25">
      <c r="A316" s="442"/>
      <c r="B316" s="1384">
        <f t="shared" si="64"/>
        <v>351550</v>
      </c>
      <c r="C316" s="18" t="s">
        <v>1063</v>
      </c>
      <c r="D316" s="537" t="s">
        <v>600</v>
      </c>
      <c r="E316" s="1298" t="s">
        <v>1064</v>
      </c>
      <c r="F316" s="694">
        <f>ROUND((($J$386*$J$396*(1/$J$416-1/$J$426))/1000)*$J$450*$J$452,2)</f>
        <v>1402.57</v>
      </c>
      <c r="G316" s="537" t="s">
        <v>688</v>
      </c>
      <c r="H316" s="66">
        <f>VLOOKUP(G316,'CP FACTORS'!$A$3:$B$38, 2, FALSE)</f>
        <v>9.4741810000000004E-4</v>
      </c>
      <c r="I316" s="43">
        <f t="shared" si="70"/>
        <v>1.3288199999999999</v>
      </c>
      <c r="J316" s="44">
        <f>J476</f>
        <v>6</v>
      </c>
      <c r="K316" s="129" t="e">
        <f>J501</f>
        <v>#N/A</v>
      </c>
      <c r="L316" s="190">
        <f>K377</f>
        <v>1.75</v>
      </c>
      <c r="M316" s="542"/>
      <c r="R316" s="548"/>
      <c r="T316" s="61"/>
      <c r="U316" s="61"/>
      <c r="V316" s="53" t="s">
        <v>45</v>
      </c>
      <c r="W316" s="917">
        <v>1314.6211309523808</v>
      </c>
      <c r="X316" s="213">
        <v>1175.0440224428139</v>
      </c>
      <c r="Y316" s="46">
        <v>1320.98</v>
      </c>
      <c r="Z316" s="45">
        <v>1320.98</v>
      </c>
      <c r="AA316" s="45">
        <v>1320.98</v>
      </c>
      <c r="AB316" s="905">
        <v>1320.98</v>
      </c>
      <c r="AC316" s="658">
        <v>696.9</v>
      </c>
      <c r="AD316" s="791">
        <v>1402.57</v>
      </c>
      <c r="AE316" s="694">
        <v>1402.57</v>
      </c>
      <c r="AF316" s="258">
        <f t="shared" si="67"/>
        <v>1402.57</v>
      </c>
      <c r="AG316" s="906"/>
      <c r="AH316" s="918"/>
      <c r="AI316" s="918"/>
      <c r="AJ316" s="919"/>
      <c r="AK316" s="919"/>
      <c r="AL316" s="919"/>
      <c r="AM316" s="919"/>
      <c r="AN316" s="919"/>
      <c r="AO316" s="919"/>
      <c r="DG316" s="1048" t="e">
        <f>(DI316+DI317)/(DJ316+DJ317)</f>
        <v>#DIV/0!</v>
      </c>
      <c r="DH316" s="1298" t="str">
        <f t="shared" si="68"/>
        <v>Cooling RES 6 Year EUL</v>
      </c>
      <c r="DI316" s="1049">
        <f>(INDEX('Avoided Cost Benefits'!$B$4:$B$866,MATCH(DH316,'Avoided Cost Benefits'!$A$4:$A$866,0)))*F316</f>
        <v>1396.7466658638502</v>
      </c>
      <c r="DJ316" s="1952">
        <f t="shared" si="69"/>
        <v>0</v>
      </c>
    </row>
    <row r="317" spans="1:115" x14ac:dyDescent="0.25">
      <c r="A317" s="442"/>
      <c r="B317" s="1384">
        <f t="shared" si="64"/>
        <v>351550</v>
      </c>
      <c r="C317" s="18" t="s">
        <v>1063</v>
      </c>
      <c r="D317" s="537" t="s">
        <v>600</v>
      </c>
      <c r="E317" s="1299" t="s">
        <v>1065</v>
      </c>
      <c r="F317" s="694">
        <f>ROUND((($J$386*$J$396*(1/$J$406-1/$J$426))/1000)*$J$451*$J$452,2)</f>
        <v>368.91</v>
      </c>
      <c r="G317" s="537" t="s">
        <v>961</v>
      </c>
      <c r="H317" s="66">
        <f>VLOOKUP(G317,'CP FACTORS'!$A$3:$B$38, 2, FALSE)</f>
        <v>9.4741810000000004E-4</v>
      </c>
      <c r="I317" s="43">
        <f t="shared" si="70"/>
        <v>0.34951199999999999</v>
      </c>
      <c r="J317" s="44">
        <f>J477</f>
        <v>12</v>
      </c>
      <c r="K317" s="129">
        <f>J502</f>
        <v>0</v>
      </c>
      <c r="L317" s="190"/>
      <c r="M317" s="542"/>
      <c r="R317" s="548"/>
      <c r="T317" s="61"/>
      <c r="U317" s="61"/>
      <c r="V317" s="53" t="s">
        <v>45</v>
      </c>
      <c r="W317" s="917">
        <v>371.9630357142857</v>
      </c>
      <c r="X317" s="213">
        <v>343.28687958567122</v>
      </c>
      <c r="Y317" s="46">
        <v>385.92</v>
      </c>
      <c r="Z317" s="45">
        <v>385.92</v>
      </c>
      <c r="AA317" s="45">
        <v>385.92</v>
      </c>
      <c r="AB317" s="905">
        <v>385.92</v>
      </c>
      <c r="AC317" s="658">
        <v>269.27</v>
      </c>
      <c r="AD317" s="791">
        <v>403.9</v>
      </c>
      <c r="AE317" s="125">
        <v>320.17</v>
      </c>
      <c r="AF317" s="258">
        <f t="shared" si="67"/>
        <v>368.91</v>
      </c>
      <c r="AG317" s="906"/>
      <c r="AH317" s="918"/>
      <c r="AI317" s="918"/>
      <c r="AJ317" s="919"/>
      <c r="AK317" s="919"/>
      <c r="AL317" s="919"/>
      <c r="AM317" s="919"/>
      <c r="AN317" s="919"/>
      <c r="AO317" s="919"/>
      <c r="DG317" s="1050"/>
      <c r="DH317" s="1299" t="str">
        <f t="shared" si="68"/>
        <v>Cooling RES ER2 12 Year EUL</v>
      </c>
      <c r="DI317" s="1049">
        <f>(INDEX('Avoided Cost Benefits'!$B$4:$B$866,MATCH(DH317,'Avoided Cost Benefits'!$A$4:$A$866,0)))*F317</f>
        <v>477.34032318265389</v>
      </c>
      <c r="DJ317" s="1952">
        <f t="shared" si="69"/>
        <v>0</v>
      </c>
    </row>
    <row r="318" spans="1:115" hidden="1" outlineLevel="1" x14ac:dyDescent="0.25">
      <c r="A318" s="442"/>
      <c r="C318" s="49"/>
      <c r="D318" s="74" t="s">
        <v>94</v>
      </c>
      <c r="E318" s="50" t="s">
        <v>1066</v>
      </c>
      <c r="F318" s="100"/>
      <c r="T318" s="50"/>
      <c r="U318" s="50"/>
      <c r="V318" s="50"/>
      <c r="DG318" s="555"/>
      <c r="DH318" s="175"/>
      <c r="DI318" s="1049"/>
    </row>
    <row r="319" spans="1:115" hidden="1" outlineLevel="1" x14ac:dyDescent="0.25">
      <c r="A319" s="442"/>
      <c r="C319" s="49"/>
      <c r="D319" s="71" t="s">
        <v>604</v>
      </c>
      <c r="E319" s="50" t="s">
        <v>1067</v>
      </c>
      <c r="T319" s="50"/>
      <c r="U319" s="50"/>
      <c r="V319" s="50"/>
      <c r="DG319" s="555"/>
      <c r="DH319" s="151"/>
      <c r="DI319" s="1049"/>
    </row>
    <row r="320" spans="1:115" hidden="1" outlineLevel="1" x14ac:dyDescent="0.25">
      <c r="A320" s="442"/>
      <c r="C320" s="49"/>
      <c r="D320" s="71"/>
      <c r="E320" s="50" t="s">
        <v>1068</v>
      </c>
      <c r="T320" s="50"/>
      <c r="U320" s="50"/>
      <c r="V320" s="50"/>
      <c r="DG320" s="555"/>
      <c r="DH320" s="151"/>
      <c r="DI320" s="1049"/>
    </row>
    <row r="321" spans="1:113" hidden="1" outlineLevel="1" x14ac:dyDescent="0.25">
      <c r="A321" s="442"/>
      <c r="C321" s="49"/>
      <c r="D321" s="100"/>
      <c r="E321" s="50" t="s">
        <v>1069</v>
      </c>
      <c r="T321" s="50"/>
      <c r="U321" s="50"/>
      <c r="V321" s="50"/>
      <c r="DG321" s="555"/>
      <c r="DH321" s="151"/>
      <c r="DI321" s="1049"/>
    </row>
    <row r="322" spans="1:113" hidden="1" outlineLevel="1" x14ac:dyDescent="0.25">
      <c r="A322" s="442"/>
      <c r="C322" s="49"/>
      <c r="D322" s="100"/>
      <c r="E322" s="50" t="s">
        <v>1070</v>
      </c>
      <c r="N322" s="546"/>
      <c r="T322" s="50"/>
      <c r="U322" s="50"/>
      <c r="V322" s="50"/>
      <c r="DG322" s="555"/>
      <c r="DH322" s="151"/>
      <c r="DI322" s="1049"/>
    </row>
    <row r="323" spans="1:113" hidden="1" outlineLevel="1" x14ac:dyDescent="0.25">
      <c r="A323" s="442"/>
      <c r="C323" s="49"/>
      <c r="D323" s="100"/>
      <c r="E323" s="50" t="s">
        <v>1071</v>
      </c>
      <c r="N323" s="546"/>
      <c r="T323" s="50"/>
      <c r="U323" s="50"/>
      <c r="V323" s="50"/>
      <c r="DG323" s="555"/>
      <c r="DH323" s="151"/>
      <c r="DI323" s="1049"/>
    </row>
    <row r="324" spans="1:113" hidden="1" outlineLevel="1" x14ac:dyDescent="0.25">
      <c r="A324" s="442"/>
      <c r="C324" s="49"/>
      <c r="D324" s="100"/>
      <c r="E324" s="50" t="s">
        <v>709</v>
      </c>
      <c r="N324" s="546"/>
      <c r="Q324" s="1663" t="str">
        <f>B290</f>
        <v>Mini/Multi-Split Heat Pumps and Air Conditioners</v>
      </c>
      <c r="T324" s="50"/>
      <c r="U324" s="50"/>
      <c r="V324" s="50"/>
      <c r="DG324" s="555"/>
      <c r="DH324" s="151"/>
      <c r="DI324" s="1049"/>
    </row>
    <row r="325" spans="1:113" hidden="1" outlineLevel="1" x14ac:dyDescent="0.25">
      <c r="A325" s="442"/>
      <c r="C325" s="49"/>
      <c r="D325" s="100"/>
      <c r="J325" s="100"/>
      <c r="N325" s="546"/>
      <c r="T325" s="50"/>
      <c r="U325" s="50"/>
      <c r="V325" s="50"/>
      <c r="DG325" s="555"/>
      <c r="DH325" s="151"/>
      <c r="DI325" s="1049"/>
    </row>
    <row r="326" spans="1:113" ht="30" hidden="1" outlineLevel="1" x14ac:dyDescent="0.25">
      <c r="A326" s="442"/>
      <c r="C326" s="49"/>
      <c r="D326" s="1373" t="s">
        <v>712</v>
      </c>
      <c r="E326" s="1373" t="s">
        <v>608</v>
      </c>
      <c r="F326" s="2108" t="s">
        <v>609</v>
      </c>
      <c r="G326" s="2108"/>
      <c r="H326" s="2108"/>
      <c r="I326" s="1300" t="s">
        <v>42</v>
      </c>
      <c r="J326" s="1300" t="s">
        <v>610</v>
      </c>
      <c r="K326" s="1300" t="s">
        <v>1004</v>
      </c>
      <c r="L326" s="1300" t="s">
        <v>1005</v>
      </c>
      <c r="S326" s="2175" t="s">
        <v>1072</v>
      </c>
      <c r="T326" s="2175"/>
      <c r="U326" s="50"/>
      <c r="V326" s="165" t="s">
        <v>52</v>
      </c>
      <c r="W326" s="649">
        <v>43252</v>
      </c>
      <c r="X326" s="649" t="e">
        <f>#REF!</f>
        <v>#REF!</v>
      </c>
      <c r="Y326" s="649" t="e">
        <f>#REF!</f>
        <v>#REF!</v>
      </c>
      <c r="Z326" s="649" t="e">
        <f>#REF!</f>
        <v>#REF!</v>
      </c>
      <c r="AA326" s="649" t="e">
        <f>#REF!</f>
        <v>#REF!</v>
      </c>
      <c r="AB326" s="649" t="e">
        <f>#REF!</f>
        <v>#REF!</v>
      </c>
      <c r="AC326" s="649" t="e">
        <f>#REF!</f>
        <v>#REF!</v>
      </c>
      <c r="AD326" s="649" t="e">
        <f>#REF!</f>
        <v>#REF!</v>
      </c>
      <c r="AE326" s="649" t="e">
        <f>#REF!</f>
        <v>#REF!</v>
      </c>
      <c r="AF326" s="649" t="e">
        <f>#REF!</f>
        <v>#REF!</v>
      </c>
      <c r="AG326" s="649" t="e">
        <f>#REF!</f>
        <v>#REF!</v>
      </c>
      <c r="DG326" s="555"/>
      <c r="DH326" s="151"/>
      <c r="DI326" s="1049"/>
    </row>
    <row r="327" spans="1:113" hidden="1" outlineLevel="1" x14ac:dyDescent="0.25">
      <c r="A327" s="442"/>
      <c r="C327" s="49"/>
      <c r="D327" s="2179" t="s">
        <v>1073</v>
      </c>
      <c r="E327" s="2179" t="s">
        <v>1074</v>
      </c>
      <c r="F327" s="2186" t="str">
        <f>E293</f>
        <v>Mini/MultiSplitAC_ER1_SF</v>
      </c>
      <c r="G327" s="2186"/>
      <c r="H327" s="2186"/>
      <c r="I327" s="889" t="str">
        <f>C293</f>
        <v>351200_2024_12_</v>
      </c>
      <c r="J327" s="1602">
        <v>0</v>
      </c>
      <c r="K327" s="875">
        <f>J327/12000</f>
        <v>0</v>
      </c>
      <c r="L327" s="889" t="s">
        <v>1075</v>
      </c>
      <c r="Q327" s="1897" t="s">
        <v>1076</v>
      </c>
      <c r="R327" s="1897" t="s">
        <v>1077</v>
      </c>
      <c r="S327" s="1897" t="s">
        <v>1078</v>
      </c>
      <c r="T327" s="1499" t="s">
        <v>1079</v>
      </c>
      <c r="U327" s="50"/>
      <c r="V327" s="2179" t="s">
        <v>1073</v>
      </c>
      <c r="W327" s="1326">
        <v>0</v>
      </c>
      <c r="X327" s="1326">
        <v>0</v>
      </c>
      <c r="Y327" s="1326">
        <v>0</v>
      </c>
      <c r="Z327" s="1326">
        <v>0</v>
      </c>
      <c r="AA327" s="1326">
        <v>0</v>
      </c>
      <c r="AB327" s="1326">
        <v>0</v>
      </c>
      <c r="AC327" s="1326">
        <v>0</v>
      </c>
      <c r="AD327" s="1326">
        <v>0</v>
      </c>
      <c r="AE327" s="1334">
        <v>0</v>
      </c>
      <c r="AF327" s="258">
        <f t="shared" ref="AF327:AF356" si="71">IF(J327&lt;&gt;"",J327,"")</f>
        <v>0</v>
      </c>
      <c r="AG327" s="1326"/>
      <c r="DG327" s="555"/>
      <c r="DH327" s="151"/>
      <c r="DI327" s="1049"/>
    </row>
    <row r="328" spans="1:113" hidden="1" outlineLevel="1" x14ac:dyDescent="0.25">
      <c r="A328" s="442"/>
      <c r="C328" s="49"/>
      <c r="D328" s="2179"/>
      <c r="E328" s="2179"/>
      <c r="F328" s="2186" t="str">
        <f>E295</f>
        <v>Mini/MultiSplitAC_ROF_SF</v>
      </c>
      <c r="G328" s="2186"/>
      <c r="H328" s="2186"/>
      <c r="I328" s="889" t="str">
        <f>C295</f>
        <v>351250_2024_12_</v>
      </c>
      <c r="J328" s="1602">
        <v>0</v>
      </c>
      <c r="K328" s="875">
        <f>J328/12000</f>
        <v>0</v>
      </c>
      <c r="L328" s="889" t="s">
        <v>1075</v>
      </c>
      <c r="Q328" s="1896">
        <v>8.1</v>
      </c>
      <c r="R328" s="1896">
        <v>8.9</v>
      </c>
      <c r="S328" s="1307">
        <v>1443</v>
      </c>
      <c r="T328" s="68">
        <v>62</v>
      </c>
      <c r="U328" s="50"/>
      <c r="V328" s="2179"/>
      <c r="W328" s="1326">
        <v>0</v>
      </c>
      <c r="X328" s="1326">
        <v>0</v>
      </c>
      <c r="Y328" s="1326">
        <v>0</v>
      </c>
      <c r="Z328" s="1326">
        <v>0</v>
      </c>
      <c r="AA328" s="1326">
        <v>0</v>
      </c>
      <c r="AB328" s="1326">
        <v>0</v>
      </c>
      <c r="AC328" s="1326">
        <v>0</v>
      </c>
      <c r="AD328" s="1326">
        <v>0</v>
      </c>
      <c r="AE328" s="1334">
        <v>0</v>
      </c>
      <c r="AF328" s="258">
        <f t="shared" si="71"/>
        <v>0</v>
      </c>
      <c r="AG328" s="1326"/>
      <c r="DG328" s="555"/>
      <c r="DH328" s="151"/>
      <c r="DI328" s="1049"/>
    </row>
    <row r="329" spans="1:113" hidden="1" outlineLevel="1" x14ac:dyDescent="0.25">
      <c r="A329" s="442"/>
      <c r="C329" s="49"/>
      <c r="D329" s="2179"/>
      <c r="E329" s="2179"/>
      <c r="F329" s="2186" t="str">
        <f>E296</f>
        <v>Mini/MultiSplitASHP_ROF_SF_NC</v>
      </c>
      <c r="G329" s="2186"/>
      <c r="H329" s="2186"/>
      <c r="I329" s="889" t="str">
        <f>C296</f>
        <v>351300_2024_12_</v>
      </c>
      <c r="J329" s="1589">
        <v>19534.374419283762</v>
      </c>
      <c r="K329" s="875">
        <f t="shared" ref="K329:K335" si="72">J329/12000</f>
        <v>1.6278645349403136</v>
      </c>
      <c r="L329" s="1593" t="s">
        <v>1026</v>
      </c>
      <c r="Q329" s="1896">
        <f>R328</f>
        <v>8.9</v>
      </c>
      <c r="R329" s="1896">
        <v>9.8000000000000007</v>
      </c>
      <c r="S329" s="1307">
        <v>1605</v>
      </c>
      <c r="T329" s="68">
        <v>224</v>
      </c>
      <c r="U329" s="50"/>
      <c r="V329" s="2179"/>
      <c r="W329" s="1326">
        <v>16800</v>
      </c>
      <c r="X329" s="794">
        <f>1.5*12000</f>
        <v>18000</v>
      </c>
      <c r="Y329" s="1326">
        <v>18000</v>
      </c>
      <c r="Z329" s="1326">
        <v>18000</v>
      </c>
      <c r="AA329" s="1326">
        <v>18000</v>
      </c>
      <c r="AB329" s="1326">
        <v>18000</v>
      </c>
      <c r="AC329" s="790">
        <v>18101.694915254237</v>
      </c>
      <c r="AD329" s="928">
        <v>19534.374419283762</v>
      </c>
      <c r="AE329" s="1002">
        <v>19534.374419283762</v>
      </c>
      <c r="AF329" s="258">
        <f t="shared" si="71"/>
        <v>19534.374419283762</v>
      </c>
      <c r="AG329" s="1326"/>
      <c r="DG329" s="555"/>
      <c r="DH329" s="151"/>
      <c r="DI329" s="1049"/>
    </row>
    <row r="330" spans="1:113" hidden="1" outlineLevel="1" x14ac:dyDescent="0.25">
      <c r="A330" s="442"/>
      <c r="C330" s="49"/>
      <c r="D330" s="2179"/>
      <c r="E330" s="2179"/>
      <c r="F330" s="2186" t="str">
        <f>E298</f>
        <v>Mini/MultiSplitASHP_ROF_SF</v>
      </c>
      <c r="G330" s="2186"/>
      <c r="H330" s="2186"/>
      <c r="I330" s="889" t="str">
        <f>C298</f>
        <v>351350_2024_12_</v>
      </c>
      <c r="J330" s="1589">
        <v>19534.374419283762</v>
      </c>
      <c r="K330" s="875">
        <f t="shared" si="72"/>
        <v>1.6278645349403136</v>
      </c>
      <c r="L330" s="1593" t="s">
        <v>1026</v>
      </c>
      <c r="Q330" s="1896">
        <f>R329</f>
        <v>9.8000000000000007</v>
      </c>
      <c r="R330" s="1896">
        <v>11.6</v>
      </c>
      <c r="S330" s="1307">
        <v>1715</v>
      </c>
      <c r="T330" s="68">
        <v>334</v>
      </c>
      <c r="U330" s="50"/>
      <c r="V330" s="2179"/>
      <c r="W330" s="1326">
        <v>16800</v>
      </c>
      <c r="X330" s="794">
        <f>1.5*12000</f>
        <v>18000</v>
      </c>
      <c r="Y330" s="1326">
        <v>18000</v>
      </c>
      <c r="Z330" s="1326">
        <v>18000</v>
      </c>
      <c r="AA330" s="1326">
        <v>18000</v>
      </c>
      <c r="AB330" s="703">
        <v>18221.05263157895</v>
      </c>
      <c r="AC330" s="703">
        <v>16500</v>
      </c>
      <c r="AD330" s="1066">
        <v>19534.374419283762</v>
      </c>
      <c r="AE330" s="1002">
        <v>19534.374419283762</v>
      </c>
      <c r="AF330" s="258">
        <f t="shared" si="71"/>
        <v>19534.374419283762</v>
      </c>
      <c r="AG330" s="1326"/>
      <c r="DG330" s="555"/>
      <c r="DH330" s="151"/>
      <c r="DI330" s="1049"/>
    </row>
    <row r="331" spans="1:113" hidden="1" outlineLevel="1" x14ac:dyDescent="0.25">
      <c r="A331" s="442"/>
      <c r="C331" s="49"/>
      <c r="D331" s="2179"/>
      <c r="E331" s="2179"/>
      <c r="F331" s="2186" t="str">
        <f>E300</f>
        <v>Mini/MultiSplitASHP-Replace_CAC_ElectricHeat_ER1_SF</v>
      </c>
      <c r="G331" s="2186"/>
      <c r="H331" s="2186"/>
      <c r="I331" s="889" t="str">
        <f>C300</f>
        <v>351400_2024_12_</v>
      </c>
      <c r="J331" s="1589">
        <v>22509.090909090908</v>
      </c>
      <c r="K331" s="875">
        <f t="shared" si="72"/>
        <v>1.8757575757575757</v>
      </c>
      <c r="L331" s="1593" t="s">
        <v>1026</v>
      </c>
      <c r="Q331" s="1896">
        <f>R330</f>
        <v>11.6</v>
      </c>
      <c r="R331" s="1896">
        <v>100</v>
      </c>
      <c r="S331" s="1307">
        <v>2041</v>
      </c>
      <c r="T331" s="68">
        <v>660</v>
      </c>
      <c r="U331" s="50"/>
      <c r="V331" s="2179"/>
      <c r="W331" s="1326">
        <v>16800</v>
      </c>
      <c r="X331" s="794">
        <f>1.5*12000</f>
        <v>18000</v>
      </c>
      <c r="Y331" s="1326">
        <v>18000</v>
      </c>
      <c r="Z331" s="1326">
        <v>18000</v>
      </c>
      <c r="AA331" s="1326">
        <v>18000</v>
      </c>
      <c r="AB331" s="703">
        <v>18840</v>
      </c>
      <c r="AC331" s="703">
        <v>18837.20930232558</v>
      </c>
      <c r="AD331" s="1066">
        <v>22509.090909090908</v>
      </c>
      <c r="AE331" s="1002">
        <v>22509.090909090908</v>
      </c>
      <c r="AF331" s="258">
        <f t="shared" si="71"/>
        <v>22509.090909090908</v>
      </c>
      <c r="AG331" s="1326"/>
      <c r="DG331" s="555"/>
      <c r="DH331" s="151"/>
      <c r="DI331" s="1049"/>
    </row>
    <row r="332" spans="1:113" hidden="1" outlineLevel="1" x14ac:dyDescent="0.25">
      <c r="A332" s="442"/>
      <c r="C332" s="49"/>
      <c r="D332" s="2179"/>
      <c r="E332" s="2179"/>
      <c r="F332" s="2186" t="str">
        <f>E308</f>
        <v>Mini/MultiSplitASHP-Replace_CAC_ElectricHeat_ROF_SF</v>
      </c>
      <c r="G332" s="2186"/>
      <c r="H332" s="2186"/>
      <c r="I332" s="889" t="str">
        <f>C308</f>
        <v>351450_2024_12_</v>
      </c>
      <c r="J332" s="1589">
        <v>19534.374419283762</v>
      </c>
      <c r="K332" s="875">
        <f t="shared" si="72"/>
        <v>1.6278645349403136</v>
      </c>
      <c r="L332" s="1593" t="s">
        <v>1026</v>
      </c>
      <c r="T332" s="50"/>
      <c r="U332" s="50"/>
      <c r="V332" s="2179"/>
      <c r="W332" s="1326">
        <v>19200</v>
      </c>
      <c r="X332" s="794">
        <f>1.5*12000</f>
        <v>18000</v>
      </c>
      <c r="Y332" s="794">
        <v>19200</v>
      </c>
      <c r="Z332" s="1326">
        <v>19200</v>
      </c>
      <c r="AA332" s="1326">
        <v>19200</v>
      </c>
      <c r="AB332" s="703">
        <v>19200</v>
      </c>
      <c r="AC332" s="703">
        <v>20769.23076923077</v>
      </c>
      <c r="AD332" s="1066">
        <v>19534.374419283762</v>
      </c>
      <c r="AE332" s="1002">
        <v>19534.374419283762</v>
      </c>
      <c r="AF332" s="258">
        <f t="shared" si="71"/>
        <v>19534.374419283762</v>
      </c>
      <c r="AG332" s="1326"/>
      <c r="DG332" s="555"/>
      <c r="DH332" s="151"/>
      <c r="DI332" s="1049"/>
    </row>
    <row r="333" spans="1:113" hidden="1" outlineLevel="1" x14ac:dyDescent="0.25">
      <c r="A333" s="442"/>
      <c r="C333" s="49"/>
      <c r="D333" s="2179"/>
      <c r="E333" s="2179"/>
      <c r="F333" s="2186" t="str">
        <f>E304</f>
        <v>Mini/MultiSplitASHP-Replace_CAC_NonElectricHeat_ER1_SF</v>
      </c>
      <c r="G333" s="2186"/>
      <c r="H333" s="2186"/>
      <c r="I333" s="889" t="str">
        <f>C304</f>
        <v>351401_2024_12_</v>
      </c>
      <c r="J333" s="1589">
        <v>22509.090909090908</v>
      </c>
      <c r="K333" s="875">
        <f t="shared" si="72"/>
        <v>1.8757575757575757</v>
      </c>
      <c r="L333" s="1593" t="s">
        <v>1026</v>
      </c>
      <c r="T333" s="50"/>
      <c r="U333" s="50"/>
      <c r="V333" s="2179"/>
      <c r="W333" s="1326"/>
      <c r="X333" s="794"/>
      <c r="Y333" s="794"/>
      <c r="Z333" s="1326"/>
      <c r="AA333" s="1326"/>
      <c r="AB333" s="703"/>
      <c r="AC333" s="703"/>
      <c r="AD333" s="1066">
        <v>22509.090909090908</v>
      </c>
      <c r="AE333" s="1002">
        <v>22509.090909090908</v>
      </c>
      <c r="AF333" s="258">
        <f t="shared" si="71"/>
        <v>22509.090909090908</v>
      </c>
      <c r="AG333" s="1326"/>
      <c r="DG333" s="555"/>
      <c r="DH333" s="151"/>
      <c r="DI333" s="1049"/>
    </row>
    <row r="334" spans="1:113" hidden="1" outlineLevel="1" x14ac:dyDescent="0.25">
      <c r="A334" s="442"/>
      <c r="C334" s="49"/>
      <c r="D334" s="2179"/>
      <c r="E334" s="2179"/>
      <c r="F334" s="2186" t="str">
        <f>E310</f>
        <v>Mini/MultiSplitASHP-Replace_CAC_NonElectricHeat_ROF_SF</v>
      </c>
      <c r="G334" s="2186"/>
      <c r="H334" s="2186"/>
      <c r="I334" s="889" t="str">
        <f>C310</f>
        <v>351451_2024_12_</v>
      </c>
      <c r="J334" s="1589">
        <v>19534.374419283762</v>
      </c>
      <c r="K334" s="875">
        <f t="shared" si="72"/>
        <v>1.6278645349403136</v>
      </c>
      <c r="L334" s="1593" t="s">
        <v>1026</v>
      </c>
      <c r="S334" s="2175" t="s">
        <v>1080</v>
      </c>
      <c r="T334" s="2175"/>
      <c r="U334" s="50"/>
      <c r="V334" s="2179"/>
      <c r="W334" s="1326"/>
      <c r="X334" s="794"/>
      <c r="Y334" s="794"/>
      <c r="Z334" s="1326"/>
      <c r="AA334" s="1326"/>
      <c r="AB334" s="703"/>
      <c r="AC334" s="703"/>
      <c r="AD334" s="1066">
        <v>19534.374419283762</v>
      </c>
      <c r="AE334" s="1002">
        <v>19534.374419283762</v>
      </c>
      <c r="AF334" s="258">
        <f t="shared" si="71"/>
        <v>19534.374419283762</v>
      </c>
      <c r="AG334" s="1326"/>
      <c r="DG334" s="555"/>
      <c r="DH334" s="151"/>
      <c r="DI334" s="1049"/>
    </row>
    <row r="335" spans="1:113" hidden="1" outlineLevel="1" x14ac:dyDescent="0.25">
      <c r="A335" s="442"/>
      <c r="C335" s="49"/>
      <c r="D335" s="2179"/>
      <c r="E335" s="2179"/>
      <c r="F335" s="2186" t="str">
        <f>E312</f>
        <v>Mini/MultiSplitASHP_ER1_SF</v>
      </c>
      <c r="G335" s="2186"/>
      <c r="H335" s="2186"/>
      <c r="I335" s="889" t="str">
        <f>C312</f>
        <v>351500_2024_12_</v>
      </c>
      <c r="J335" s="1589">
        <v>22509.090909090908</v>
      </c>
      <c r="K335" s="875">
        <f t="shared" si="72"/>
        <v>1.8757575757575757</v>
      </c>
      <c r="L335" s="1593" t="s">
        <v>1026</v>
      </c>
      <c r="Q335" s="1897" t="s">
        <v>1081</v>
      </c>
      <c r="R335" s="1897" t="s">
        <v>1082</v>
      </c>
      <c r="S335" s="1897" t="s">
        <v>1083</v>
      </c>
      <c r="T335" s="1499" t="s">
        <v>1084</v>
      </c>
      <c r="U335" s="50"/>
      <c r="V335" s="2179"/>
      <c r="W335" s="1326">
        <v>20400</v>
      </c>
      <c r="X335" s="794">
        <f>1.5*12000</f>
        <v>18000</v>
      </c>
      <c r="Y335" s="1326">
        <v>18000</v>
      </c>
      <c r="Z335" s="1326">
        <v>18000</v>
      </c>
      <c r="AA335" s="1326">
        <v>18000</v>
      </c>
      <c r="AB335" s="703">
        <v>15375</v>
      </c>
      <c r="AC335" s="703">
        <v>17727.272727272728</v>
      </c>
      <c r="AD335" s="1066">
        <v>22509.090909090908</v>
      </c>
      <c r="AE335" s="1002">
        <v>22509.090909090908</v>
      </c>
      <c r="AF335" s="258">
        <f t="shared" si="71"/>
        <v>22509.090909090908</v>
      </c>
      <c r="AG335" s="1326"/>
      <c r="DG335" s="555"/>
      <c r="DH335" s="151"/>
      <c r="DI335" s="1049"/>
    </row>
    <row r="336" spans="1:113" hidden="1" outlineLevel="1" x14ac:dyDescent="0.25">
      <c r="A336" s="442"/>
      <c r="C336" s="49"/>
      <c r="D336" s="2179"/>
      <c r="E336" s="2179"/>
      <c r="F336" s="2186" t="str">
        <f>E316</f>
        <v>Mini/MultiSplitAC_ER1_MF</v>
      </c>
      <c r="G336" s="2186"/>
      <c r="H336" s="2186"/>
      <c r="I336" s="889" t="str">
        <f>C316</f>
        <v>351550_2024_12_</v>
      </c>
      <c r="J336" s="1602">
        <f>J327</f>
        <v>0</v>
      </c>
      <c r="K336" s="875">
        <f t="shared" ref="K336" si="73">J336/12000</f>
        <v>0</v>
      </c>
      <c r="L336" s="1594" t="s">
        <v>1075</v>
      </c>
      <c r="Q336" s="1307" t="s">
        <v>1085</v>
      </c>
      <c r="R336" s="1307" t="s">
        <v>1085</v>
      </c>
      <c r="S336" s="1307">
        <v>3338</v>
      </c>
      <c r="T336" s="68">
        <v>0</v>
      </c>
      <c r="U336" s="50"/>
      <c r="V336" s="2179"/>
      <c r="W336" s="1326"/>
      <c r="X336" s="1326"/>
      <c r="Y336" s="794">
        <v>0</v>
      </c>
      <c r="Z336" s="1326">
        <v>0</v>
      </c>
      <c r="AA336" s="1326">
        <v>0</v>
      </c>
      <c r="AB336" s="1334">
        <v>0</v>
      </c>
      <c r="AC336" s="1334">
        <v>0</v>
      </c>
      <c r="AD336" s="1334">
        <v>0</v>
      </c>
      <c r="AE336" s="1334">
        <v>0</v>
      </c>
      <c r="AF336" s="258">
        <f t="shared" si="71"/>
        <v>0</v>
      </c>
      <c r="AG336" s="1326"/>
      <c r="DG336" s="555"/>
      <c r="DH336" s="151"/>
      <c r="DI336" s="1049"/>
    </row>
    <row r="337" spans="1:113" ht="15" hidden="1" customHeight="1" outlineLevel="1" x14ac:dyDescent="0.25">
      <c r="A337" s="442"/>
      <c r="C337" s="49"/>
      <c r="D337" s="2179" t="s">
        <v>1086</v>
      </c>
      <c r="E337" s="2179" t="s">
        <v>1087</v>
      </c>
      <c r="F337" s="2186" t="str">
        <f t="shared" ref="F337:F368" si="74">F327</f>
        <v>Mini/MultiSplitAC_ER1_SF</v>
      </c>
      <c r="G337" s="2186"/>
      <c r="H337" s="2186"/>
      <c r="I337" s="889" t="str">
        <f t="shared" ref="I337:I368" si="75">I327</f>
        <v>351200_2024_12_</v>
      </c>
      <c r="J337" s="1618">
        <v>0</v>
      </c>
      <c r="K337" s="12"/>
      <c r="L337" s="2214" t="s">
        <v>1088</v>
      </c>
      <c r="Q337" s="1307" t="s">
        <v>1089</v>
      </c>
      <c r="R337" s="1307" t="s">
        <v>1089</v>
      </c>
      <c r="S337" s="1307">
        <f>2011+3338</f>
        <v>5349</v>
      </c>
      <c r="T337" s="68">
        <v>0</v>
      </c>
      <c r="U337" s="50"/>
      <c r="V337" s="2179" t="s">
        <v>1086</v>
      </c>
      <c r="W337" s="1326">
        <v>0</v>
      </c>
      <c r="X337" s="1326">
        <v>0</v>
      </c>
      <c r="Y337" s="1326">
        <v>0</v>
      </c>
      <c r="Z337" s="1326">
        <v>0</v>
      </c>
      <c r="AA337" s="1326">
        <v>0</v>
      </c>
      <c r="AB337" s="1326">
        <v>0</v>
      </c>
      <c r="AC337" s="1326">
        <v>0</v>
      </c>
      <c r="AD337" s="1326">
        <v>0</v>
      </c>
      <c r="AE337" s="1334">
        <v>0</v>
      </c>
      <c r="AF337" s="258">
        <f t="shared" si="71"/>
        <v>0</v>
      </c>
      <c r="AG337" s="1326"/>
      <c r="DG337" s="555"/>
      <c r="DH337" s="151"/>
      <c r="DI337" s="1049"/>
    </row>
    <row r="338" spans="1:113" hidden="1" outlineLevel="1" x14ac:dyDescent="0.25">
      <c r="A338" s="442"/>
      <c r="C338" s="49"/>
      <c r="D338" s="2179"/>
      <c r="E338" s="2179"/>
      <c r="F338" s="2186" t="str">
        <f t="shared" si="74"/>
        <v>Mini/MultiSplitAC_ROF_SF</v>
      </c>
      <c r="G338" s="2186"/>
      <c r="H338" s="2186"/>
      <c r="I338" s="889" t="str">
        <f t="shared" si="75"/>
        <v>351250_2024_12_</v>
      </c>
      <c r="J338" s="1618">
        <v>0</v>
      </c>
      <c r="K338" s="1595"/>
      <c r="L338" s="2214"/>
      <c r="Q338" s="1307" t="s">
        <v>1090</v>
      </c>
      <c r="R338" s="1307" t="s">
        <v>1090</v>
      </c>
      <c r="S338" s="1307">
        <v>0</v>
      </c>
      <c r="T338" s="68">
        <v>1518</v>
      </c>
      <c r="U338" s="50"/>
      <c r="V338" s="2179"/>
      <c r="W338" s="1326">
        <v>0</v>
      </c>
      <c r="X338" s="1326">
        <v>0</v>
      </c>
      <c r="Y338" s="1326">
        <v>0</v>
      </c>
      <c r="Z338" s="1326">
        <v>0</v>
      </c>
      <c r="AA338" s="1326">
        <v>0</v>
      </c>
      <c r="AB338" s="1326">
        <v>0</v>
      </c>
      <c r="AC338" s="1326">
        <v>0</v>
      </c>
      <c r="AD338" s="1326">
        <v>0</v>
      </c>
      <c r="AE338" s="1334">
        <v>0</v>
      </c>
      <c r="AF338" s="258">
        <f t="shared" si="71"/>
        <v>0</v>
      </c>
      <c r="AG338" s="1326"/>
      <c r="DG338" s="555"/>
      <c r="DH338" s="151"/>
      <c r="DI338" s="1049"/>
    </row>
    <row r="339" spans="1:113" hidden="1" outlineLevel="1" x14ac:dyDescent="0.25">
      <c r="A339" s="442"/>
      <c r="C339" s="49"/>
      <c r="D339" s="2179"/>
      <c r="E339" s="2179"/>
      <c r="F339" s="2186" t="str">
        <f t="shared" si="74"/>
        <v>Mini/MultiSplitASHP_ROF_SF_NC</v>
      </c>
      <c r="G339" s="2186"/>
      <c r="H339" s="2186"/>
      <c r="I339" s="889" t="str">
        <f t="shared" si="75"/>
        <v>351300_2024_12_</v>
      </c>
      <c r="J339" s="1618">
        <v>1034</v>
      </c>
      <c r="K339" s="1595"/>
      <c r="L339" s="2214"/>
      <c r="Q339" s="1307" t="s">
        <v>1091</v>
      </c>
      <c r="R339" s="1307" t="s">
        <v>1091</v>
      </c>
      <c r="S339" s="1307">
        <v>3670</v>
      </c>
      <c r="T339" s="68">
        <v>0</v>
      </c>
      <c r="U339" s="50"/>
      <c r="V339" s="2179"/>
      <c r="W339" s="1326">
        <v>1496</v>
      </c>
      <c r="X339" s="1326">
        <v>1496</v>
      </c>
      <c r="Y339" s="794">
        <v>1034</v>
      </c>
      <c r="Z339" s="1326">
        <v>1034</v>
      </c>
      <c r="AA339" s="1326">
        <v>1034</v>
      </c>
      <c r="AB339" s="1326">
        <v>1034</v>
      </c>
      <c r="AC339" s="1326">
        <v>1034</v>
      </c>
      <c r="AD339" s="1326">
        <v>1034</v>
      </c>
      <c r="AE339" s="1334">
        <v>1034</v>
      </c>
      <c r="AF339" s="258">
        <f t="shared" si="71"/>
        <v>1034</v>
      </c>
      <c r="AG339" s="1326"/>
      <c r="DG339" s="555"/>
      <c r="DH339" s="151"/>
      <c r="DI339" s="1049"/>
    </row>
    <row r="340" spans="1:113" hidden="1" outlineLevel="1" x14ac:dyDescent="0.25">
      <c r="A340" s="442"/>
      <c r="C340" s="49"/>
      <c r="D340" s="2179"/>
      <c r="E340" s="2179"/>
      <c r="F340" s="2186" t="str">
        <f t="shared" si="74"/>
        <v>Mini/MultiSplitASHP_ROF_SF</v>
      </c>
      <c r="G340" s="2186"/>
      <c r="H340" s="2186"/>
      <c r="I340" s="889" t="str">
        <f t="shared" si="75"/>
        <v>351350_2024_12_</v>
      </c>
      <c r="J340" s="1618">
        <v>1034</v>
      </c>
      <c r="K340" s="1595"/>
      <c r="L340" s="2214"/>
      <c r="N340" s="546"/>
      <c r="Q340" s="1307" t="s">
        <v>1092</v>
      </c>
      <c r="R340" s="1307" t="s">
        <v>1092</v>
      </c>
      <c r="S340" s="1307">
        <f>2296+3670</f>
        <v>5966</v>
      </c>
      <c r="T340" s="68">
        <v>0</v>
      </c>
      <c r="U340" s="50"/>
      <c r="V340" s="2179"/>
      <c r="W340" s="1326">
        <v>1496</v>
      </c>
      <c r="X340" s="1326">
        <v>1496</v>
      </c>
      <c r="Y340" s="794">
        <v>1034</v>
      </c>
      <c r="Z340" s="1326">
        <v>1034</v>
      </c>
      <c r="AA340" s="1326">
        <v>1034</v>
      </c>
      <c r="AB340" s="1326">
        <v>1034</v>
      </c>
      <c r="AC340" s="1326">
        <v>1034</v>
      </c>
      <c r="AD340" s="1326">
        <v>1034</v>
      </c>
      <c r="AE340" s="1334">
        <v>1034</v>
      </c>
      <c r="AF340" s="258">
        <f t="shared" si="71"/>
        <v>1034</v>
      </c>
      <c r="AG340" s="1326"/>
      <c r="DG340" s="555"/>
      <c r="DH340" s="151"/>
      <c r="DI340" s="1049"/>
    </row>
    <row r="341" spans="1:113" hidden="1" outlineLevel="1" x14ac:dyDescent="0.25">
      <c r="A341" s="442"/>
      <c r="C341" s="49"/>
      <c r="D341" s="2179"/>
      <c r="E341" s="2179"/>
      <c r="F341" s="2186" t="str">
        <f t="shared" si="74"/>
        <v>Mini/MultiSplitASHP-Replace_CAC_ElectricHeat_ER1_SF</v>
      </c>
      <c r="G341" s="2186"/>
      <c r="H341" s="2186"/>
      <c r="I341" s="889" t="str">
        <f t="shared" si="75"/>
        <v>351400_2024_12_</v>
      </c>
      <c r="J341" s="1618">
        <v>1034</v>
      </c>
      <c r="K341" s="1595"/>
      <c r="L341" s="2214"/>
      <c r="N341" s="546"/>
      <c r="U341" s="50"/>
      <c r="V341" s="2179"/>
      <c r="W341" s="1326">
        <v>1496</v>
      </c>
      <c r="X341" s="1326">
        <v>1496</v>
      </c>
      <c r="Y341" s="794">
        <v>1034</v>
      </c>
      <c r="Z341" s="1326">
        <v>1034</v>
      </c>
      <c r="AA341" s="1326">
        <v>1034</v>
      </c>
      <c r="AB341" s="1326">
        <v>1034</v>
      </c>
      <c r="AC341" s="1326">
        <v>1034</v>
      </c>
      <c r="AD341" s="1326">
        <v>1034</v>
      </c>
      <c r="AE341" s="1334">
        <v>1034</v>
      </c>
      <c r="AF341" s="258">
        <f t="shared" si="71"/>
        <v>1034</v>
      </c>
      <c r="AG341" s="1326"/>
      <c r="DG341" s="555"/>
      <c r="DH341" s="151"/>
      <c r="DI341" s="1049"/>
    </row>
    <row r="342" spans="1:113" hidden="1" outlineLevel="1" x14ac:dyDescent="0.25">
      <c r="A342" s="442"/>
      <c r="C342" s="49"/>
      <c r="D342" s="2179"/>
      <c r="E342" s="2179"/>
      <c r="F342" s="2186" t="str">
        <f t="shared" si="74"/>
        <v>Mini/MultiSplitASHP-Replace_CAC_ElectricHeat_ROF_SF</v>
      </c>
      <c r="G342" s="2186"/>
      <c r="H342" s="2186"/>
      <c r="I342" s="889" t="str">
        <f t="shared" si="75"/>
        <v>351450_2024_12_</v>
      </c>
      <c r="J342" s="1618">
        <v>1034</v>
      </c>
      <c r="K342" s="1595"/>
      <c r="L342" s="2214"/>
      <c r="N342" s="546"/>
      <c r="U342" s="50"/>
      <c r="V342" s="2179"/>
      <c r="W342" s="1326">
        <v>1496</v>
      </c>
      <c r="X342" s="1326">
        <v>1496</v>
      </c>
      <c r="Y342" s="794">
        <v>1034</v>
      </c>
      <c r="Z342" s="1326">
        <v>1034</v>
      </c>
      <c r="AA342" s="1326">
        <v>1034</v>
      </c>
      <c r="AB342" s="1326">
        <v>1034</v>
      </c>
      <c r="AC342" s="1326">
        <v>1034</v>
      </c>
      <c r="AD342" s="1326">
        <v>1034</v>
      </c>
      <c r="AE342" s="1334">
        <v>1034</v>
      </c>
      <c r="AF342" s="258">
        <f t="shared" si="71"/>
        <v>1034</v>
      </c>
      <c r="AG342" s="1326"/>
      <c r="DG342" s="555"/>
      <c r="DH342" s="151"/>
      <c r="DI342" s="1049"/>
    </row>
    <row r="343" spans="1:113" hidden="1" outlineLevel="1" x14ac:dyDescent="0.25">
      <c r="A343" s="442"/>
      <c r="C343" s="49"/>
      <c r="D343" s="2179"/>
      <c r="E343" s="2179"/>
      <c r="F343" s="2186" t="str">
        <f t="shared" si="74"/>
        <v>Mini/MultiSplitASHP-Replace_CAC_NonElectricHeat_ER1_SF</v>
      </c>
      <c r="G343" s="2186"/>
      <c r="H343" s="2186"/>
      <c r="I343" s="889" t="str">
        <f t="shared" si="75"/>
        <v>351401_2024_12_</v>
      </c>
      <c r="J343" s="1618">
        <v>1034</v>
      </c>
      <c r="K343" s="1595"/>
      <c r="L343" s="2214"/>
      <c r="N343" s="546"/>
      <c r="U343" s="50"/>
      <c r="V343" s="2179"/>
      <c r="W343" s="1326"/>
      <c r="X343" s="1326"/>
      <c r="Y343" s="794"/>
      <c r="Z343" s="1326"/>
      <c r="AA343" s="1326"/>
      <c r="AB343" s="1326"/>
      <c r="AC343" s="1326"/>
      <c r="AD343" s="794">
        <v>1034</v>
      </c>
      <c r="AE343" s="1334">
        <v>1034</v>
      </c>
      <c r="AF343" s="258">
        <f t="shared" si="71"/>
        <v>1034</v>
      </c>
      <c r="AG343" s="1326"/>
      <c r="DG343" s="555"/>
      <c r="DH343" s="151"/>
      <c r="DI343" s="1049"/>
    </row>
    <row r="344" spans="1:113" hidden="1" outlineLevel="1" x14ac:dyDescent="0.25">
      <c r="A344" s="442"/>
      <c r="C344" s="49"/>
      <c r="D344" s="2179"/>
      <c r="E344" s="2179"/>
      <c r="F344" s="2186" t="str">
        <f t="shared" si="74"/>
        <v>Mini/MultiSplitASHP-Replace_CAC_NonElectricHeat_ROF_SF</v>
      </c>
      <c r="G344" s="2186"/>
      <c r="H344" s="2186"/>
      <c r="I344" s="889" t="str">
        <f t="shared" si="75"/>
        <v>351451_2024_12_</v>
      </c>
      <c r="J344" s="1618">
        <v>1034</v>
      </c>
      <c r="K344" s="1595"/>
      <c r="L344" s="2214"/>
      <c r="N344" s="546"/>
      <c r="U344" s="50"/>
      <c r="V344" s="2179"/>
      <c r="W344" s="1326"/>
      <c r="X344" s="1326"/>
      <c r="Y344" s="794"/>
      <c r="Z344" s="1326"/>
      <c r="AA344" s="1326"/>
      <c r="AB344" s="1326"/>
      <c r="AC344" s="1326"/>
      <c r="AD344" s="794">
        <v>1034</v>
      </c>
      <c r="AE344" s="1334">
        <v>1034</v>
      </c>
      <c r="AF344" s="258">
        <f t="shared" si="71"/>
        <v>1034</v>
      </c>
      <c r="AG344" s="1326"/>
      <c r="DG344" s="555"/>
      <c r="DH344" s="151"/>
      <c r="DI344" s="1049"/>
    </row>
    <row r="345" spans="1:113" hidden="1" outlineLevel="1" x14ac:dyDescent="0.25">
      <c r="A345" s="442"/>
      <c r="C345" s="49"/>
      <c r="D345" s="2179"/>
      <c r="E345" s="2179"/>
      <c r="F345" s="2186" t="str">
        <f t="shared" si="74"/>
        <v>Mini/MultiSplitASHP_ER1_SF</v>
      </c>
      <c r="G345" s="2186"/>
      <c r="H345" s="2186"/>
      <c r="I345" s="889" t="str">
        <f t="shared" si="75"/>
        <v>351500_2024_12_</v>
      </c>
      <c r="J345" s="1618">
        <v>1034</v>
      </c>
      <c r="K345" s="1595"/>
      <c r="L345" s="2214"/>
      <c r="N345" s="546"/>
      <c r="R345" s="1897" t="s">
        <v>1015</v>
      </c>
      <c r="S345" s="1897" t="s">
        <v>610</v>
      </c>
      <c r="T345" s="1499" t="s">
        <v>611</v>
      </c>
      <c r="U345" s="50"/>
      <c r="V345" s="2179"/>
      <c r="W345" s="1326">
        <v>1496</v>
      </c>
      <c r="X345" s="1326">
        <v>1496</v>
      </c>
      <c r="Y345" s="794">
        <v>1034</v>
      </c>
      <c r="Z345" s="1326">
        <v>1034</v>
      </c>
      <c r="AA345" s="1326">
        <v>1034</v>
      </c>
      <c r="AB345" s="1326">
        <v>1034</v>
      </c>
      <c r="AC345" s="1326">
        <v>1034</v>
      </c>
      <c r="AD345" s="1326">
        <v>1034</v>
      </c>
      <c r="AE345" s="1334">
        <v>1034</v>
      </c>
      <c r="AF345" s="258">
        <f t="shared" si="71"/>
        <v>1034</v>
      </c>
      <c r="AG345" s="1326"/>
      <c r="DG345" s="555"/>
      <c r="DH345" s="151"/>
      <c r="DI345" s="1049"/>
    </row>
    <row r="346" spans="1:113" hidden="1" outlineLevel="1" x14ac:dyDescent="0.25">
      <c r="A346" s="442"/>
      <c r="C346" s="49"/>
      <c r="D346" s="2179"/>
      <c r="E346" s="2179"/>
      <c r="F346" s="2186" t="str">
        <f t="shared" si="74"/>
        <v>Mini/MultiSplitAC_ER1_MF</v>
      </c>
      <c r="G346" s="2186"/>
      <c r="H346" s="2186"/>
      <c r="I346" s="889" t="str">
        <f t="shared" si="75"/>
        <v>351550_2024_12_</v>
      </c>
      <c r="J346" s="1618">
        <v>0</v>
      </c>
      <c r="K346" s="1595"/>
      <c r="L346" s="2214"/>
      <c r="N346" s="546"/>
      <c r="R346" s="1307" t="s">
        <v>1016</v>
      </c>
      <c r="S346" s="247">
        <v>2.3128228708516586E-2</v>
      </c>
      <c r="T346" s="68" t="s">
        <v>1017</v>
      </c>
      <c r="U346" s="50"/>
      <c r="V346" s="2179"/>
      <c r="W346" s="1326"/>
      <c r="X346" s="1326"/>
      <c r="Y346" s="794">
        <v>0</v>
      </c>
      <c r="Z346" s="1326">
        <v>0</v>
      </c>
      <c r="AA346" s="1326">
        <v>0</v>
      </c>
      <c r="AB346" s="1326">
        <v>0</v>
      </c>
      <c r="AC346" s="1326">
        <v>0</v>
      </c>
      <c r="AD346" s="1326">
        <v>0</v>
      </c>
      <c r="AE346" s="1334">
        <v>0</v>
      </c>
      <c r="AF346" s="258">
        <f t="shared" si="71"/>
        <v>0</v>
      </c>
      <c r="AG346" s="1326"/>
      <c r="DG346" s="555"/>
      <c r="DH346" s="151"/>
      <c r="DI346" s="1049"/>
    </row>
    <row r="347" spans="1:113" hidden="1" outlineLevel="1" x14ac:dyDescent="0.25">
      <c r="A347" s="442"/>
      <c r="C347" s="49"/>
      <c r="D347" s="2179" t="s">
        <v>1093</v>
      </c>
      <c r="E347" s="2179" t="s">
        <v>1094</v>
      </c>
      <c r="F347" s="2186" t="str">
        <f t="shared" si="74"/>
        <v>Mini/MultiSplitAC_ER1_SF</v>
      </c>
      <c r="G347" s="2186"/>
      <c r="H347" s="2186"/>
      <c r="I347" s="889" t="str">
        <f t="shared" si="75"/>
        <v>351200_2024_12_</v>
      </c>
      <c r="J347" s="1616">
        <v>0</v>
      </c>
      <c r="K347" s="12"/>
      <c r="L347" s="889"/>
      <c r="N347" s="546"/>
      <c r="R347" s="1307" t="s">
        <v>1018</v>
      </c>
      <c r="S347" s="1307">
        <v>6</v>
      </c>
      <c r="T347" s="68" t="s">
        <v>1019</v>
      </c>
      <c r="U347" s="50"/>
      <c r="V347" s="2179" t="s">
        <v>1095</v>
      </c>
      <c r="W347" s="1326">
        <v>0</v>
      </c>
      <c r="X347" s="794">
        <v>0</v>
      </c>
      <c r="Y347" s="1326">
        <v>0</v>
      </c>
      <c r="Z347" s="1326">
        <v>0</v>
      </c>
      <c r="AA347" s="1326">
        <v>0</v>
      </c>
      <c r="AB347" s="1326">
        <v>0</v>
      </c>
      <c r="AC347" s="1326">
        <v>0</v>
      </c>
      <c r="AD347" s="1326">
        <v>0</v>
      </c>
      <c r="AE347" s="1334">
        <v>0</v>
      </c>
      <c r="AF347" s="258">
        <f t="shared" si="71"/>
        <v>0</v>
      </c>
      <c r="AG347" s="1326"/>
      <c r="DG347" s="555"/>
      <c r="DH347" s="151"/>
      <c r="DI347" s="1049"/>
    </row>
    <row r="348" spans="1:113" hidden="1" outlineLevel="1" x14ac:dyDescent="0.25">
      <c r="A348" s="442"/>
      <c r="C348" s="49"/>
      <c r="D348" s="2179"/>
      <c r="E348" s="2179"/>
      <c r="F348" s="2186" t="str">
        <f t="shared" si="74"/>
        <v>Mini/MultiSplitAC_ROF_SF</v>
      </c>
      <c r="G348" s="2186"/>
      <c r="H348" s="2186"/>
      <c r="I348" s="889" t="str">
        <f t="shared" si="75"/>
        <v>351250_2024_12_</v>
      </c>
      <c r="J348" s="1616">
        <v>0</v>
      </c>
      <c r="K348" s="1595"/>
      <c r="L348" s="889"/>
      <c r="N348" s="546"/>
      <c r="R348" s="1307" t="s">
        <v>1020</v>
      </c>
      <c r="S348" s="189">
        <f>(1-S346)^(S347-1)</f>
        <v>0.88958571378558426</v>
      </c>
      <c r="T348" s="68" t="s">
        <v>1021</v>
      </c>
      <c r="U348" s="50"/>
      <c r="V348" s="2179"/>
      <c r="W348" s="1326">
        <v>0</v>
      </c>
      <c r="X348" s="794">
        <v>0</v>
      </c>
      <c r="Y348" s="1326">
        <v>0</v>
      </c>
      <c r="Z348" s="1326">
        <v>0</v>
      </c>
      <c r="AA348" s="1326">
        <v>0</v>
      </c>
      <c r="AB348" s="1326">
        <v>0</v>
      </c>
      <c r="AC348" s="1326">
        <v>0</v>
      </c>
      <c r="AD348" s="1326">
        <v>0</v>
      </c>
      <c r="AE348" s="1334">
        <v>0</v>
      </c>
      <c r="AF348" s="258">
        <f t="shared" si="71"/>
        <v>0</v>
      </c>
      <c r="AG348" s="1326"/>
      <c r="DG348" s="555"/>
      <c r="DH348" s="151"/>
      <c r="DI348" s="1049"/>
    </row>
    <row r="349" spans="1:113" ht="15" hidden="1" customHeight="1" outlineLevel="1" x14ac:dyDescent="0.25">
      <c r="A349" s="442"/>
      <c r="C349" s="49"/>
      <c r="D349" s="2179"/>
      <c r="E349" s="2179"/>
      <c r="F349" s="2186" t="str">
        <f t="shared" si="74"/>
        <v>Mini/MultiSplitASHP_ROF_SF_NC</v>
      </c>
      <c r="G349" s="2186"/>
      <c r="H349" s="2186"/>
      <c r="I349" s="889" t="str">
        <f t="shared" si="75"/>
        <v>351300_2024_12_</v>
      </c>
      <c r="J349" s="1616">
        <v>7.5</v>
      </c>
      <c r="K349" s="1595"/>
      <c r="L349" s="2215" t="s">
        <v>1029</v>
      </c>
      <c r="N349" s="546"/>
      <c r="T349" s="50"/>
      <c r="U349" s="50"/>
      <c r="V349" s="2179"/>
      <c r="W349" s="1326">
        <v>7.7</v>
      </c>
      <c r="X349" s="794">
        <v>8.1999999999999993</v>
      </c>
      <c r="Y349" s="1326">
        <v>8.1999999999999993</v>
      </c>
      <c r="Z349" s="1326">
        <v>8.1999999999999993</v>
      </c>
      <c r="AA349" s="1326">
        <v>8.1999999999999993</v>
      </c>
      <c r="AB349" s="1326">
        <v>8.1999999999999993</v>
      </c>
      <c r="AC349" s="1326">
        <v>8.1999999999999993</v>
      </c>
      <c r="AD349" s="1326">
        <v>8.1999999999999993</v>
      </c>
      <c r="AE349" s="926">
        <v>8.6</v>
      </c>
      <c r="AF349" s="258">
        <f t="shared" si="71"/>
        <v>7.5</v>
      </c>
      <c r="AG349" s="1326"/>
      <c r="DG349" s="555"/>
      <c r="DH349" s="151"/>
      <c r="DI349" s="1049"/>
    </row>
    <row r="350" spans="1:113" hidden="1" outlineLevel="1" x14ac:dyDescent="0.25">
      <c r="A350" s="442"/>
      <c r="C350" s="49"/>
      <c r="D350" s="2179"/>
      <c r="E350" s="2179"/>
      <c r="F350" s="2186" t="str">
        <f t="shared" si="74"/>
        <v>Mini/MultiSplitASHP_ROF_SF</v>
      </c>
      <c r="G350" s="2186"/>
      <c r="H350" s="2186"/>
      <c r="I350" s="889" t="str">
        <f t="shared" si="75"/>
        <v>351350_2024_12_</v>
      </c>
      <c r="J350" s="1616">
        <v>7.5</v>
      </c>
      <c r="K350" s="1595"/>
      <c r="L350" s="2215"/>
      <c r="N350" s="546"/>
      <c r="T350" s="50"/>
      <c r="U350" s="50"/>
      <c r="V350" s="2179"/>
      <c r="W350" s="1326">
        <v>7.7</v>
      </c>
      <c r="X350" s="794">
        <v>8.1999999999999993</v>
      </c>
      <c r="Y350" s="1326">
        <v>8.1999999999999993</v>
      </c>
      <c r="Z350" s="1326">
        <v>8.1999999999999993</v>
      </c>
      <c r="AA350" s="1326">
        <v>8.1999999999999993</v>
      </c>
      <c r="AB350" s="1326">
        <v>8.1999999999999993</v>
      </c>
      <c r="AC350" s="1326">
        <v>8.1999999999999993</v>
      </c>
      <c r="AD350" s="1326">
        <v>8.1999999999999993</v>
      </c>
      <c r="AE350" s="926">
        <v>8.6</v>
      </c>
      <c r="AF350" s="258">
        <f t="shared" si="71"/>
        <v>7.5</v>
      </c>
      <c r="AG350" s="1326"/>
      <c r="DG350" s="555"/>
      <c r="DH350" s="151"/>
      <c r="DI350" s="1049"/>
    </row>
    <row r="351" spans="1:113" ht="15" hidden="1" customHeight="1" outlineLevel="1" x14ac:dyDescent="0.25">
      <c r="A351" s="442"/>
      <c r="C351" s="49"/>
      <c r="D351" s="2179"/>
      <c r="E351" s="2179"/>
      <c r="F351" s="2186" t="str">
        <f t="shared" si="74"/>
        <v>Mini/MultiSplitASHP-Replace_CAC_ElectricHeat_ER1_SF</v>
      </c>
      <c r="G351" s="2186"/>
      <c r="H351" s="2186"/>
      <c r="I351" s="889" t="str">
        <f t="shared" si="75"/>
        <v>351400_2024_12_</v>
      </c>
      <c r="J351" s="1616">
        <v>3.4119999999999999</v>
      </c>
      <c r="K351" s="1595"/>
      <c r="L351" s="889"/>
      <c r="N351" s="546"/>
      <c r="T351" s="50"/>
      <c r="U351" s="50"/>
      <c r="V351" s="2179"/>
      <c r="W351" s="1326">
        <v>7.7</v>
      </c>
      <c r="X351" s="794">
        <v>3.41</v>
      </c>
      <c r="Y351" s="1326">
        <v>3.4119999999999999</v>
      </c>
      <c r="Z351" s="1326">
        <v>3.4119999999999999</v>
      </c>
      <c r="AA351" s="1326">
        <v>3.4119999999999999</v>
      </c>
      <c r="AB351" s="1326">
        <v>3.4119999999999999</v>
      </c>
      <c r="AC351" s="1326">
        <v>3.4119999999999999</v>
      </c>
      <c r="AD351" s="1326">
        <v>3.4119999999999999</v>
      </c>
      <c r="AE351" s="1334">
        <v>3.4119999999999999</v>
      </c>
      <c r="AF351" s="258">
        <f t="shared" si="71"/>
        <v>3.4119999999999999</v>
      </c>
      <c r="AG351" s="1326"/>
      <c r="DG351" s="555"/>
      <c r="DH351" s="151"/>
      <c r="DI351" s="1049"/>
    </row>
    <row r="352" spans="1:113" hidden="1" outlineLevel="1" x14ac:dyDescent="0.25">
      <c r="A352" s="442"/>
      <c r="C352" s="49"/>
      <c r="D352" s="2179"/>
      <c r="E352" s="2179"/>
      <c r="F352" s="2186" t="str">
        <f t="shared" si="74"/>
        <v>Mini/MultiSplitASHP-Replace_CAC_ElectricHeat_ROF_SF</v>
      </c>
      <c r="G352" s="2186"/>
      <c r="H352" s="2186"/>
      <c r="I352" s="889" t="str">
        <f t="shared" si="75"/>
        <v>351450_2024_12_</v>
      </c>
      <c r="J352" s="1616">
        <v>3.4119999999999999</v>
      </c>
      <c r="K352" s="1595"/>
      <c r="L352" s="889"/>
      <c r="N352" s="546"/>
      <c r="T352" s="50"/>
      <c r="U352" s="50"/>
      <c r="V352" s="2179"/>
      <c r="W352" s="1326">
        <v>7.7</v>
      </c>
      <c r="X352" s="794">
        <v>3.41</v>
      </c>
      <c r="Y352" s="1326">
        <v>3.4119999999999999</v>
      </c>
      <c r="Z352" s="1326">
        <v>3.4119999999999999</v>
      </c>
      <c r="AA352" s="1326">
        <v>3.4119999999999999</v>
      </c>
      <c r="AB352" s="1326">
        <v>3.4119999999999999</v>
      </c>
      <c r="AC352" s="1326">
        <v>3.4119999999999999</v>
      </c>
      <c r="AD352" s="1326">
        <v>3.4119999999999999</v>
      </c>
      <c r="AE352" s="1334">
        <v>3.4119999999999999</v>
      </c>
      <c r="AF352" s="258">
        <f t="shared" si="71"/>
        <v>3.4119999999999999</v>
      </c>
      <c r="AG352" s="1326"/>
      <c r="DG352" s="555"/>
      <c r="DH352" s="151"/>
      <c r="DI352" s="1049"/>
    </row>
    <row r="353" spans="1:113" hidden="1" outlineLevel="1" x14ac:dyDescent="0.25">
      <c r="A353" s="442"/>
      <c r="C353" s="49"/>
      <c r="D353" s="2179"/>
      <c r="E353" s="2179"/>
      <c r="F353" s="2186" t="str">
        <f t="shared" si="74"/>
        <v>Mini/MultiSplitASHP-Replace_CAC_NonElectricHeat_ER1_SF</v>
      </c>
      <c r="G353" s="2186"/>
      <c r="H353" s="2186"/>
      <c r="I353" s="889" t="str">
        <f t="shared" si="75"/>
        <v>351401_2024_12_</v>
      </c>
      <c r="J353" s="1616">
        <v>0</v>
      </c>
      <c r="K353" s="1595"/>
      <c r="L353" s="889"/>
      <c r="N353" s="546"/>
      <c r="T353" s="50"/>
      <c r="U353" s="50"/>
      <c r="V353" s="2179"/>
      <c r="W353" s="1326"/>
      <c r="X353" s="794"/>
      <c r="Y353" s="1326"/>
      <c r="Z353" s="1326"/>
      <c r="AA353" s="1326"/>
      <c r="AB353" s="1326"/>
      <c r="AC353" s="1326"/>
      <c r="AD353" s="794">
        <v>3.4119999999999999</v>
      </c>
      <c r="AE353" s="926">
        <v>0</v>
      </c>
      <c r="AF353" s="258">
        <f t="shared" si="71"/>
        <v>0</v>
      </c>
      <c r="AG353" s="1326"/>
      <c r="DG353" s="555"/>
      <c r="DH353" s="151"/>
      <c r="DI353" s="1049"/>
    </row>
    <row r="354" spans="1:113" hidden="1" outlineLevel="1" x14ac:dyDescent="0.25">
      <c r="A354" s="442"/>
      <c r="C354" s="49"/>
      <c r="D354" s="2179"/>
      <c r="E354" s="2179"/>
      <c r="F354" s="2186" t="str">
        <f t="shared" si="74"/>
        <v>Mini/MultiSplitASHP-Replace_CAC_NonElectricHeat_ROF_SF</v>
      </c>
      <c r="G354" s="2186"/>
      <c r="H354" s="2186"/>
      <c r="I354" s="889" t="str">
        <f t="shared" si="75"/>
        <v>351451_2024_12_</v>
      </c>
      <c r="J354" s="1616">
        <v>0</v>
      </c>
      <c r="K354" s="1595"/>
      <c r="L354" s="889"/>
      <c r="N354" s="546"/>
      <c r="T354" s="50"/>
      <c r="U354" s="50"/>
      <c r="V354" s="2179"/>
      <c r="W354" s="1326"/>
      <c r="X354" s="794"/>
      <c r="Y354" s="1326"/>
      <c r="Z354" s="1326"/>
      <c r="AA354" s="1326"/>
      <c r="AB354" s="1326"/>
      <c r="AC354" s="1326"/>
      <c r="AD354" s="794">
        <v>3.4119999999999999</v>
      </c>
      <c r="AE354" s="926">
        <v>0</v>
      </c>
      <c r="AF354" s="258">
        <f t="shared" si="71"/>
        <v>0</v>
      </c>
      <c r="AG354" s="1326"/>
      <c r="DG354" s="555"/>
      <c r="DH354" s="151"/>
      <c r="DI354" s="1049"/>
    </row>
    <row r="355" spans="1:113" hidden="1" outlineLevel="1" x14ac:dyDescent="0.25">
      <c r="A355" s="442"/>
      <c r="C355" s="49"/>
      <c r="D355" s="2179"/>
      <c r="E355" s="2179"/>
      <c r="F355" s="2186" t="str">
        <f t="shared" si="74"/>
        <v>Mini/MultiSplitASHP_ER1_SF</v>
      </c>
      <c r="G355" s="2186"/>
      <c r="H355" s="2186"/>
      <c r="I355" s="889" t="str">
        <f t="shared" si="75"/>
        <v>351500_2024_12_</v>
      </c>
      <c r="J355" s="1616">
        <v>7.5</v>
      </c>
      <c r="K355" s="1595"/>
      <c r="L355" s="889" t="s">
        <v>1029</v>
      </c>
      <c r="N355" s="546"/>
      <c r="T355" s="50"/>
      <c r="U355" s="50"/>
      <c r="V355" s="2179"/>
      <c r="W355" s="1326">
        <v>7.7</v>
      </c>
      <c r="X355" s="794">
        <v>6.58</v>
      </c>
      <c r="Y355" s="1326">
        <v>6.58</v>
      </c>
      <c r="Z355" s="1326">
        <v>6.58</v>
      </c>
      <c r="AA355" s="1326">
        <v>6.58</v>
      </c>
      <c r="AB355" s="1326">
        <v>6.58</v>
      </c>
      <c r="AC355" s="1326">
        <v>6.58</v>
      </c>
      <c r="AD355" s="1326">
        <v>6.58</v>
      </c>
      <c r="AE355" s="1334">
        <v>6.58</v>
      </c>
      <c r="AF355" s="258">
        <f t="shared" si="71"/>
        <v>7.5</v>
      </c>
      <c r="AG355" s="1326"/>
      <c r="DG355" s="555"/>
      <c r="DH355" s="151"/>
      <c r="DI355" s="1049"/>
    </row>
    <row r="356" spans="1:113" hidden="1" outlineLevel="1" x14ac:dyDescent="0.25">
      <c r="A356" s="442"/>
      <c r="C356" s="49"/>
      <c r="D356" s="2179"/>
      <c r="E356" s="2179"/>
      <c r="F356" s="2186" t="str">
        <f t="shared" si="74"/>
        <v>Mini/MultiSplitAC_ER1_MF</v>
      </c>
      <c r="G356" s="2186"/>
      <c r="H356" s="2186"/>
      <c r="I356" s="889" t="str">
        <f t="shared" si="75"/>
        <v>351550_2024_12_</v>
      </c>
      <c r="J356" s="1616">
        <f t="shared" ref="J356" si="76">J347</f>
        <v>0</v>
      </c>
      <c r="K356" s="1595"/>
      <c r="L356" s="889"/>
      <c r="N356" s="546"/>
      <c r="T356" s="50"/>
      <c r="U356" s="50"/>
      <c r="V356" s="2179"/>
      <c r="W356" s="1326"/>
      <c r="X356" s="794"/>
      <c r="Y356" s="794">
        <v>0</v>
      </c>
      <c r="Z356" s="1326">
        <v>0</v>
      </c>
      <c r="AA356" s="1326">
        <v>0</v>
      </c>
      <c r="AB356" s="1326">
        <v>0</v>
      </c>
      <c r="AC356" s="1326">
        <v>0</v>
      </c>
      <c r="AD356" s="1326">
        <v>0</v>
      </c>
      <c r="AE356" s="1334">
        <v>0</v>
      </c>
      <c r="AF356" s="258">
        <f t="shared" si="71"/>
        <v>0</v>
      </c>
      <c r="AG356" s="1326"/>
      <c r="DG356" s="555"/>
      <c r="DH356" s="151"/>
      <c r="DI356" s="1049"/>
    </row>
    <row r="357" spans="1:113" hidden="1" outlineLevel="1" x14ac:dyDescent="0.25">
      <c r="A357" s="442"/>
      <c r="C357" s="49"/>
      <c r="D357" s="2179" t="s">
        <v>1096</v>
      </c>
      <c r="E357" s="2179" t="s">
        <v>1097</v>
      </c>
      <c r="F357" s="2186" t="str">
        <f t="shared" si="74"/>
        <v>Mini/MultiSplitAC_ER1_SF</v>
      </c>
      <c r="G357" s="2186"/>
      <c r="H357" s="2186"/>
      <c r="I357" s="889" t="str">
        <f t="shared" si="75"/>
        <v>351200_2024_12_</v>
      </c>
      <c r="J357" s="1616">
        <v>0</v>
      </c>
      <c r="K357" s="12"/>
      <c r="L357" s="889"/>
      <c r="N357" s="546"/>
      <c r="T357" s="50"/>
      <c r="U357" s="50"/>
      <c r="V357" s="2179" t="s">
        <v>1098</v>
      </c>
      <c r="W357" s="1326">
        <v>0</v>
      </c>
      <c r="X357" s="1326">
        <v>0</v>
      </c>
      <c r="Y357" s="1326">
        <v>0</v>
      </c>
      <c r="Z357" s="1326">
        <v>0</v>
      </c>
      <c r="AA357" s="1326">
        <v>0</v>
      </c>
      <c r="AB357" s="1326">
        <v>0</v>
      </c>
      <c r="AC357" s="1326">
        <v>0</v>
      </c>
      <c r="AD357" s="1326">
        <v>0</v>
      </c>
      <c r="AE357" s="1334">
        <v>0</v>
      </c>
      <c r="AF357" s="258">
        <f t="shared" ref="AF357:AF376" si="77">IF(J357&lt;&gt;"",J357,"")</f>
        <v>0</v>
      </c>
      <c r="AG357" s="1326"/>
      <c r="DG357" s="555"/>
      <c r="DH357" s="151"/>
      <c r="DI357" s="1049"/>
    </row>
    <row r="358" spans="1:113" hidden="1" outlineLevel="1" x14ac:dyDescent="0.25">
      <c r="A358" s="442"/>
      <c r="C358" s="49"/>
      <c r="D358" s="2179"/>
      <c r="E358" s="2179"/>
      <c r="F358" s="2186" t="str">
        <f t="shared" si="74"/>
        <v>Mini/MultiSplitAC_ROF_SF</v>
      </c>
      <c r="G358" s="2186"/>
      <c r="H358" s="2186"/>
      <c r="I358" s="889" t="str">
        <f t="shared" si="75"/>
        <v>351250_2024_12_</v>
      </c>
      <c r="J358" s="1616">
        <v>0</v>
      </c>
      <c r="K358" s="1595"/>
      <c r="L358" s="889"/>
      <c r="N358" s="546"/>
      <c r="T358" s="50"/>
      <c r="U358" s="50"/>
      <c r="V358" s="2179"/>
      <c r="W358" s="1326">
        <v>0</v>
      </c>
      <c r="X358" s="1326">
        <v>0</v>
      </c>
      <c r="Y358" s="1326">
        <v>0</v>
      </c>
      <c r="Z358" s="1326">
        <v>0</v>
      </c>
      <c r="AA358" s="1326">
        <v>0</v>
      </c>
      <c r="AB358" s="1326">
        <v>0</v>
      </c>
      <c r="AC358" s="1326">
        <v>0</v>
      </c>
      <c r="AD358" s="1326">
        <v>0</v>
      </c>
      <c r="AE358" s="1334">
        <v>0</v>
      </c>
      <c r="AF358" s="258">
        <f t="shared" si="77"/>
        <v>0</v>
      </c>
      <c r="AG358" s="1326"/>
      <c r="DG358" s="555"/>
      <c r="DH358" s="151"/>
      <c r="DI358" s="1049"/>
    </row>
    <row r="359" spans="1:113" hidden="1" outlineLevel="1" x14ac:dyDescent="0.25">
      <c r="A359" s="442"/>
      <c r="C359" s="49"/>
      <c r="D359" s="2179"/>
      <c r="E359" s="2179"/>
      <c r="F359" s="2186" t="str">
        <f t="shared" si="74"/>
        <v>Mini/MultiSplitASHP_ROF_SF_NC</v>
      </c>
      <c r="G359" s="2186"/>
      <c r="H359" s="2186"/>
      <c r="I359" s="889" t="str">
        <f t="shared" si="75"/>
        <v>351300_2024_12_</v>
      </c>
      <c r="J359" s="1616">
        <v>6.58</v>
      </c>
      <c r="K359" s="1595"/>
      <c r="L359" s="889" t="s">
        <v>1099</v>
      </c>
      <c r="N359" s="546"/>
      <c r="T359" s="50"/>
      <c r="U359" s="50"/>
      <c r="V359" s="2179"/>
      <c r="W359" s="1326">
        <v>5.44</v>
      </c>
      <c r="X359" s="1326">
        <v>5.44</v>
      </c>
      <c r="Y359" s="1326">
        <v>5.44</v>
      </c>
      <c r="Z359" s="1326">
        <v>5.44</v>
      </c>
      <c r="AA359" s="1326">
        <v>5.44</v>
      </c>
      <c r="AB359" s="1326">
        <v>5.44</v>
      </c>
      <c r="AC359" s="1326">
        <v>5.44</v>
      </c>
      <c r="AD359" s="1326">
        <v>5.44</v>
      </c>
      <c r="AE359" s="1334">
        <v>5.44</v>
      </c>
      <c r="AF359" s="258">
        <f t="shared" si="77"/>
        <v>6.58</v>
      </c>
      <c r="AG359" s="1326"/>
      <c r="DG359" s="555"/>
      <c r="DH359" s="151"/>
      <c r="DI359" s="1049"/>
    </row>
    <row r="360" spans="1:113" hidden="1" outlineLevel="1" x14ac:dyDescent="0.25">
      <c r="A360" s="442"/>
      <c r="C360" s="49"/>
      <c r="D360" s="2179"/>
      <c r="E360" s="2179"/>
      <c r="F360" s="2186" t="str">
        <f t="shared" si="74"/>
        <v>Mini/MultiSplitASHP_ROF_SF</v>
      </c>
      <c r="G360" s="2186"/>
      <c r="H360" s="2186"/>
      <c r="I360" s="889" t="str">
        <f t="shared" si="75"/>
        <v>351350_2024_12_</v>
      </c>
      <c r="J360" s="1616">
        <v>6.58</v>
      </c>
      <c r="K360" s="1595"/>
      <c r="L360" s="889" t="s">
        <v>1099</v>
      </c>
      <c r="N360" s="546"/>
      <c r="T360" s="50"/>
      <c r="U360" s="50"/>
      <c r="V360" s="2179"/>
      <c r="W360" s="1326">
        <v>5.44</v>
      </c>
      <c r="X360" s="1326">
        <v>5.44</v>
      </c>
      <c r="Y360" s="1326">
        <v>5.44</v>
      </c>
      <c r="Z360" s="1326">
        <v>5.44</v>
      </c>
      <c r="AA360" s="1326">
        <v>5.44</v>
      </c>
      <c r="AB360" s="1326">
        <v>5.44</v>
      </c>
      <c r="AC360" s="1326">
        <v>5.44</v>
      </c>
      <c r="AD360" s="1326">
        <v>5.44</v>
      </c>
      <c r="AE360" s="1334">
        <v>5.44</v>
      </c>
      <c r="AF360" s="258">
        <f t="shared" si="77"/>
        <v>6.58</v>
      </c>
      <c r="AG360" s="1326"/>
      <c r="DG360" s="555"/>
      <c r="DH360" s="151"/>
      <c r="DI360" s="1049"/>
    </row>
    <row r="361" spans="1:113" hidden="1" outlineLevel="1" x14ac:dyDescent="0.25">
      <c r="A361" s="442"/>
      <c r="C361" s="49"/>
      <c r="D361" s="2179"/>
      <c r="E361" s="2179"/>
      <c r="F361" s="2186" t="str">
        <f t="shared" si="74"/>
        <v>Mini/MultiSplitASHP-Replace_CAC_ElectricHeat_ER1_SF</v>
      </c>
      <c r="G361" s="2186"/>
      <c r="H361" s="2186"/>
      <c r="I361" s="889" t="str">
        <f t="shared" si="75"/>
        <v>351400_2024_12_</v>
      </c>
      <c r="J361" s="1616">
        <v>3.4119999999999999</v>
      </c>
      <c r="K361" s="1595"/>
      <c r="L361" s="53"/>
      <c r="N361" s="546"/>
      <c r="T361" s="50"/>
      <c r="U361" s="50"/>
      <c r="V361" s="2179"/>
      <c r="W361" s="1326">
        <v>3.4119999999999999</v>
      </c>
      <c r="X361" s="1326">
        <v>3.4119999999999999</v>
      </c>
      <c r="Y361" s="1326">
        <v>3.4119999999999999</v>
      </c>
      <c r="Z361" s="1326">
        <v>3.4119999999999999</v>
      </c>
      <c r="AA361" s="1326">
        <v>3.4119999999999999</v>
      </c>
      <c r="AB361" s="1326">
        <v>3.4119999999999999</v>
      </c>
      <c r="AC361" s="1326">
        <v>3.4119999999999999</v>
      </c>
      <c r="AD361" s="1326">
        <v>3.4119999999999999</v>
      </c>
      <c r="AE361" s="1334">
        <v>3.4119999999999999</v>
      </c>
      <c r="AF361" s="258">
        <f t="shared" si="77"/>
        <v>3.4119999999999999</v>
      </c>
      <c r="AG361" s="1326"/>
      <c r="DG361" s="555"/>
      <c r="DH361" s="151"/>
      <c r="DI361" s="1049"/>
    </row>
    <row r="362" spans="1:113" hidden="1" outlineLevel="1" x14ac:dyDescent="0.25">
      <c r="A362" s="442"/>
      <c r="C362" s="49"/>
      <c r="D362" s="2179"/>
      <c r="E362" s="2179"/>
      <c r="F362" s="2186" t="str">
        <f t="shared" si="74"/>
        <v>Mini/MultiSplitASHP-Replace_CAC_ElectricHeat_ROF_SF</v>
      </c>
      <c r="G362" s="2186"/>
      <c r="H362" s="2186"/>
      <c r="I362" s="889" t="str">
        <f t="shared" si="75"/>
        <v>351450_2024_12_</v>
      </c>
      <c r="J362" s="1616">
        <v>3.4119999999999999</v>
      </c>
      <c r="K362" s="1595"/>
      <c r="L362" s="53"/>
      <c r="N362" s="546"/>
      <c r="T362" s="50"/>
      <c r="U362" s="50"/>
      <c r="V362" s="2179"/>
      <c r="W362" s="1326">
        <v>3.4119999999999999</v>
      </c>
      <c r="X362" s="1326">
        <v>3.4119999999999999</v>
      </c>
      <c r="Y362" s="1326">
        <v>3.4119999999999999</v>
      </c>
      <c r="Z362" s="1326">
        <v>3.4119999999999999</v>
      </c>
      <c r="AA362" s="1326">
        <v>3.4119999999999999</v>
      </c>
      <c r="AB362" s="1326">
        <v>3.4119999999999999</v>
      </c>
      <c r="AC362" s="1326">
        <v>3.4119999999999999</v>
      </c>
      <c r="AD362" s="1326">
        <v>3.4119999999999999</v>
      </c>
      <c r="AE362" s="1334">
        <v>3.4119999999999999</v>
      </c>
      <c r="AF362" s="258">
        <f t="shared" si="77"/>
        <v>3.4119999999999999</v>
      </c>
      <c r="AG362" s="1326"/>
      <c r="DG362" s="555"/>
      <c r="DH362" s="151"/>
      <c r="DI362" s="1049"/>
    </row>
    <row r="363" spans="1:113" hidden="1" outlineLevel="1" x14ac:dyDescent="0.25">
      <c r="A363" s="442"/>
      <c r="C363" s="49"/>
      <c r="D363" s="2179"/>
      <c r="E363" s="2179"/>
      <c r="F363" s="2186" t="str">
        <f t="shared" si="74"/>
        <v>Mini/MultiSplitASHP-Replace_CAC_NonElectricHeat_ER1_SF</v>
      </c>
      <c r="G363" s="2186"/>
      <c r="H363" s="2186"/>
      <c r="I363" s="889" t="str">
        <f t="shared" si="75"/>
        <v>351401_2024_12_</v>
      </c>
      <c r="J363" s="1616">
        <v>3.4119999999999999</v>
      </c>
      <c r="K363" s="1595"/>
      <c r="L363" s="53"/>
      <c r="N363" s="546"/>
      <c r="T363" s="50"/>
      <c r="U363" s="50"/>
      <c r="V363" s="2179"/>
      <c r="W363" s="1326"/>
      <c r="X363" s="1326"/>
      <c r="Y363" s="1326"/>
      <c r="Z363" s="1326"/>
      <c r="AA363" s="1326"/>
      <c r="AB363" s="1326"/>
      <c r="AC363" s="1326"/>
      <c r="AD363" s="794">
        <v>3.4119999999999999</v>
      </c>
      <c r="AE363" s="1334">
        <v>3.4119999999999999</v>
      </c>
      <c r="AF363" s="258">
        <f t="shared" si="77"/>
        <v>3.4119999999999999</v>
      </c>
      <c r="AG363" s="1326"/>
      <c r="DG363" s="555"/>
      <c r="DH363" s="151"/>
      <c r="DI363" s="1049"/>
    </row>
    <row r="364" spans="1:113" hidden="1" outlineLevel="1" x14ac:dyDescent="0.25">
      <c r="A364" s="442"/>
      <c r="C364" s="49"/>
      <c r="D364" s="2179"/>
      <c r="E364" s="2179"/>
      <c r="F364" s="2186" t="str">
        <f t="shared" si="74"/>
        <v>Mini/MultiSplitASHP-Replace_CAC_NonElectricHeat_ROF_SF</v>
      </c>
      <c r="G364" s="2186"/>
      <c r="H364" s="2186"/>
      <c r="I364" s="889" t="str">
        <f t="shared" si="75"/>
        <v>351451_2024_12_</v>
      </c>
      <c r="J364" s="1616">
        <v>3.4119999999999999</v>
      </c>
      <c r="K364" s="1595"/>
      <c r="L364" s="53"/>
      <c r="N364" s="546"/>
      <c r="T364" s="50"/>
      <c r="U364" s="50"/>
      <c r="V364" s="2179"/>
      <c r="W364" s="1326"/>
      <c r="X364" s="1326"/>
      <c r="Y364" s="1326"/>
      <c r="Z364" s="1326"/>
      <c r="AA364" s="1326"/>
      <c r="AB364" s="1326"/>
      <c r="AC364" s="1326"/>
      <c r="AD364" s="794">
        <v>3.4119999999999999</v>
      </c>
      <c r="AE364" s="1334">
        <v>3.4119999999999999</v>
      </c>
      <c r="AF364" s="258">
        <f t="shared" si="77"/>
        <v>3.4119999999999999</v>
      </c>
      <c r="AG364" s="1326"/>
      <c r="DG364" s="555"/>
      <c r="DH364" s="151"/>
      <c r="DI364" s="1049"/>
    </row>
    <row r="365" spans="1:113" hidden="1" outlineLevel="1" x14ac:dyDescent="0.25">
      <c r="A365" s="442"/>
      <c r="C365" s="49"/>
      <c r="D365" s="2179"/>
      <c r="E365" s="2179"/>
      <c r="F365" s="2186" t="str">
        <f t="shared" si="74"/>
        <v>Mini/MultiSplitASHP_ER1_SF</v>
      </c>
      <c r="G365" s="2186"/>
      <c r="H365" s="2186"/>
      <c r="I365" s="889" t="str">
        <f t="shared" si="75"/>
        <v>351500_2024_12_</v>
      </c>
      <c r="J365" s="1616">
        <v>6.58</v>
      </c>
      <c r="K365" s="1595"/>
      <c r="L365" s="889" t="s">
        <v>1099</v>
      </c>
      <c r="N365" s="546"/>
      <c r="T365" s="50"/>
      <c r="U365" s="50"/>
      <c r="V365" s="2179"/>
      <c r="W365" s="1326">
        <v>5.44</v>
      </c>
      <c r="X365" s="1326">
        <v>5.44</v>
      </c>
      <c r="Y365" s="1326">
        <v>5.44</v>
      </c>
      <c r="Z365" s="1326">
        <v>5.44</v>
      </c>
      <c r="AA365" s="1326">
        <v>5.44</v>
      </c>
      <c r="AB365" s="1326">
        <v>5.44</v>
      </c>
      <c r="AC365" s="1326">
        <v>5.44</v>
      </c>
      <c r="AD365" s="1326">
        <v>5.44</v>
      </c>
      <c r="AE365" s="1334">
        <v>5.44</v>
      </c>
      <c r="AF365" s="258">
        <f t="shared" si="77"/>
        <v>6.58</v>
      </c>
      <c r="AG365" s="1326"/>
      <c r="DG365" s="555"/>
      <c r="DH365" s="151"/>
      <c r="DI365" s="1049"/>
    </row>
    <row r="366" spans="1:113" hidden="1" outlineLevel="1" x14ac:dyDescent="0.25">
      <c r="A366" s="442"/>
      <c r="C366" s="49"/>
      <c r="D366" s="2179"/>
      <c r="E366" s="2179"/>
      <c r="F366" s="2186" t="str">
        <f t="shared" si="74"/>
        <v>Mini/MultiSplitAC_ER1_MF</v>
      </c>
      <c r="G366" s="2186"/>
      <c r="H366" s="2186"/>
      <c r="I366" s="889" t="str">
        <f t="shared" si="75"/>
        <v>351550_2024_12_</v>
      </c>
      <c r="J366" s="1616">
        <f t="shared" ref="J366" si="78">J357</f>
        <v>0</v>
      </c>
      <c r="K366" s="1595"/>
      <c r="L366" s="889"/>
      <c r="N366" s="546"/>
      <c r="T366" s="50"/>
      <c r="U366" s="50"/>
      <c r="V366" s="2179"/>
      <c r="W366" s="1326"/>
      <c r="X366" s="794"/>
      <c r="Y366" s="794">
        <v>0</v>
      </c>
      <c r="Z366" s="1326">
        <v>0</v>
      </c>
      <c r="AA366" s="1326">
        <v>0</v>
      </c>
      <c r="AB366" s="1326">
        <v>0</v>
      </c>
      <c r="AC366" s="1326">
        <v>0</v>
      </c>
      <c r="AD366" s="1326">
        <v>0</v>
      </c>
      <c r="AE366" s="1334">
        <v>0</v>
      </c>
      <c r="AF366" s="258">
        <f t="shared" si="77"/>
        <v>0</v>
      </c>
      <c r="AG366" s="1326"/>
      <c r="DG366" s="555"/>
      <c r="DH366" s="151"/>
      <c r="DI366" s="1049"/>
    </row>
    <row r="367" spans="1:113" hidden="1" outlineLevel="1" x14ac:dyDescent="0.25">
      <c r="A367" s="442"/>
      <c r="C367" s="49"/>
      <c r="D367" s="2179" t="s">
        <v>1100</v>
      </c>
      <c r="E367" s="2179" t="s">
        <v>1101</v>
      </c>
      <c r="F367" s="2186" t="str">
        <f t="shared" si="74"/>
        <v>Mini/MultiSplitAC_ER1_SF</v>
      </c>
      <c r="G367" s="2186"/>
      <c r="H367" s="2186"/>
      <c r="I367" s="889" t="str">
        <f t="shared" si="75"/>
        <v>351200_2024_12_</v>
      </c>
      <c r="J367" s="1604">
        <v>0</v>
      </c>
      <c r="K367" s="12"/>
      <c r="L367" s="889" t="s">
        <v>1075</v>
      </c>
      <c r="N367" s="546"/>
      <c r="O367" s="903"/>
      <c r="T367" s="50"/>
      <c r="U367" s="50"/>
      <c r="V367" s="2179" t="s">
        <v>454</v>
      </c>
      <c r="W367" s="1326">
        <v>0</v>
      </c>
      <c r="X367" s="1326">
        <v>0</v>
      </c>
      <c r="Y367" s="794">
        <v>0</v>
      </c>
      <c r="Z367" s="1326">
        <v>0</v>
      </c>
      <c r="AA367" s="1326">
        <v>0</v>
      </c>
      <c r="AB367" s="1334">
        <v>0</v>
      </c>
      <c r="AC367" s="709">
        <v>0</v>
      </c>
      <c r="AD367" s="709">
        <v>0</v>
      </c>
      <c r="AE367" s="999">
        <v>0</v>
      </c>
      <c r="AF367" s="258">
        <f t="shared" si="77"/>
        <v>0</v>
      </c>
      <c r="AG367" s="1326"/>
      <c r="DG367" s="555"/>
      <c r="DH367" s="151"/>
      <c r="DI367" s="1049"/>
    </row>
    <row r="368" spans="1:113" hidden="1" outlineLevel="1" x14ac:dyDescent="0.25">
      <c r="A368" s="442"/>
      <c r="C368" s="49"/>
      <c r="D368" s="2179"/>
      <c r="E368" s="2179"/>
      <c r="F368" s="2186" t="str">
        <f t="shared" si="74"/>
        <v>Mini/MultiSplitAC_ROF_SF</v>
      </c>
      <c r="G368" s="2186"/>
      <c r="H368" s="2186"/>
      <c r="I368" s="889" t="str">
        <f t="shared" si="75"/>
        <v>351250_2024_12_</v>
      </c>
      <c r="J368" s="1604">
        <v>0</v>
      </c>
      <c r="K368" s="1595"/>
      <c r="L368" s="1594" t="s">
        <v>1075</v>
      </c>
      <c r="N368" s="546"/>
      <c r="O368" s="903"/>
      <c r="T368" s="50"/>
      <c r="U368" s="50"/>
      <c r="V368" s="2179"/>
      <c r="W368" s="1326">
        <v>0</v>
      </c>
      <c r="X368" s="1326">
        <v>0</v>
      </c>
      <c r="Y368" s="794">
        <v>0</v>
      </c>
      <c r="Z368" s="1326">
        <v>0</v>
      </c>
      <c r="AA368" s="1326">
        <v>0</v>
      </c>
      <c r="AB368" s="1334">
        <v>0</v>
      </c>
      <c r="AC368" s="709">
        <v>0</v>
      </c>
      <c r="AD368" s="709">
        <v>0</v>
      </c>
      <c r="AE368" s="999">
        <v>0</v>
      </c>
      <c r="AF368" s="258">
        <f t="shared" si="77"/>
        <v>0</v>
      </c>
      <c r="AG368" s="1326"/>
      <c r="DG368" s="555"/>
      <c r="DH368" s="151"/>
      <c r="DI368" s="1049"/>
    </row>
    <row r="369" spans="1:113" hidden="1" outlineLevel="1" x14ac:dyDescent="0.25">
      <c r="A369" s="442"/>
      <c r="C369" s="49"/>
      <c r="D369" s="2179"/>
      <c r="E369" s="2179"/>
      <c r="F369" s="2186" t="str">
        <f t="shared" ref="F369:F400" si="79">F359</f>
        <v>Mini/MultiSplitASHP_ROF_SF_NC</v>
      </c>
      <c r="G369" s="2186"/>
      <c r="H369" s="2186"/>
      <c r="I369" s="889" t="str">
        <f t="shared" ref="I369:I400" si="80">I359</f>
        <v>351300_2024_12_</v>
      </c>
      <c r="J369" s="1604">
        <v>11.370854271356771</v>
      </c>
      <c r="K369" s="1595"/>
      <c r="L369" s="1593" t="s">
        <v>1024</v>
      </c>
      <c r="N369" s="546"/>
      <c r="O369" s="903"/>
      <c r="T369" s="50"/>
      <c r="U369" s="50"/>
      <c r="V369" s="2179"/>
      <c r="W369" s="1326">
        <v>11.4</v>
      </c>
      <c r="X369" s="794">
        <v>11.32</v>
      </c>
      <c r="Y369" s="794">
        <v>10.6</v>
      </c>
      <c r="Z369" s="1326">
        <v>10.6</v>
      </c>
      <c r="AA369" s="1326">
        <v>10.6</v>
      </c>
      <c r="AB369" s="1334">
        <v>10.6</v>
      </c>
      <c r="AC369" s="704">
        <v>11.342156862745099</v>
      </c>
      <c r="AD369" s="898">
        <v>11.420000000000002</v>
      </c>
      <c r="AE369" s="898">
        <v>11.370854271356771</v>
      </c>
      <c r="AF369" s="258">
        <f t="shared" si="77"/>
        <v>11.370854271356771</v>
      </c>
      <c r="AG369" s="1326"/>
      <c r="DG369" s="555"/>
      <c r="DH369" s="151"/>
      <c r="DI369" s="1049"/>
    </row>
    <row r="370" spans="1:113" hidden="1" outlineLevel="1" x14ac:dyDescent="0.25">
      <c r="A370" s="442"/>
      <c r="C370" s="49"/>
      <c r="D370" s="2179"/>
      <c r="E370" s="2179"/>
      <c r="F370" s="2186" t="str">
        <f t="shared" si="79"/>
        <v>Mini/MultiSplitASHP_ROF_SF</v>
      </c>
      <c r="G370" s="2186"/>
      <c r="H370" s="2186"/>
      <c r="I370" s="889" t="str">
        <f t="shared" si="80"/>
        <v>351350_2024_12_</v>
      </c>
      <c r="J370" s="1604">
        <v>11.370854271356771</v>
      </c>
      <c r="K370" s="1595"/>
      <c r="L370" s="1593" t="s">
        <v>1024</v>
      </c>
      <c r="N370" s="546"/>
      <c r="O370" s="903"/>
      <c r="T370" s="50"/>
      <c r="U370" s="50"/>
      <c r="V370" s="2179"/>
      <c r="W370" s="1326">
        <v>11.4</v>
      </c>
      <c r="X370" s="794">
        <v>11.32</v>
      </c>
      <c r="Y370" s="794">
        <v>10.6</v>
      </c>
      <c r="Z370" s="1326">
        <v>10.6</v>
      </c>
      <c r="AA370" s="1326">
        <v>10.6</v>
      </c>
      <c r="AB370" s="704">
        <v>11.003896103896107</v>
      </c>
      <c r="AC370" s="704">
        <v>11.835714285714287</v>
      </c>
      <c r="AD370" s="898">
        <v>11.420000000000002</v>
      </c>
      <c r="AE370" s="898">
        <v>11.370854271356771</v>
      </c>
      <c r="AF370" s="258">
        <f t="shared" si="77"/>
        <v>11.370854271356771</v>
      </c>
      <c r="AG370" s="1326"/>
      <c r="DG370" s="555"/>
      <c r="DH370" s="151"/>
      <c r="DI370" s="1049"/>
    </row>
    <row r="371" spans="1:113" hidden="1" outlineLevel="1" x14ac:dyDescent="0.25">
      <c r="A371" s="442"/>
      <c r="C371" s="49"/>
      <c r="D371" s="2179"/>
      <c r="E371" s="2179"/>
      <c r="F371" s="2186" t="str">
        <f t="shared" si="79"/>
        <v>Mini/MultiSplitASHP-Replace_CAC_ElectricHeat_ER1_SF</v>
      </c>
      <c r="G371" s="2186"/>
      <c r="H371" s="2186"/>
      <c r="I371" s="889" t="str">
        <f t="shared" si="80"/>
        <v>351400_2024_12_</v>
      </c>
      <c r="J371" s="1604">
        <v>11.185185185185182</v>
      </c>
      <c r="K371" s="1595"/>
      <c r="L371" s="1593" t="s">
        <v>1024</v>
      </c>
      <c r="N371" s="546"/>
      <c r="O371" s="903"/>
      <c r="T371" s="50"/>
      <c r="U371" s="50"/>
      <c r="V371" s="2179"/>
      <c r="W371" s="1326">
        <v>11.7</v>
      </c>
      <c r="X371" s="794">
        <v>11.32</v>
      </c>
      <c r="Y371" s="794">
        <v>11.4</v>
      </c>
      <c r="Z371" s="1326">
        <v>11.4</v>
      </c>
      <c r="AA371" s="1326">
        <v>11.4</v>
      </c>
      <c r="AB371" s="704">
        <v>9.4433000000000007</v>
      </c>
      <c r="AC371" s="704">
        <v>10.741860465116279</v>
      </c>
      <c r="AD371" s="898">
        <v>11.070754716981131</v>
      </c>
      <c r="AE371" s="898">
        <v>11.185185185185182</v>
      </c>
      <c r="AF371" s="258">
        <f t="shared" si="77"/>
        <v>11.185185185185182</v>
      </c>
      <c r="AG371" s="1326"/>
      <c r="DG371" s="555"/>
      <c r="DH371" s="151"/>
      <c r="DI371" s="1049"/>
    </row>
    <row r="372" spans="1:113" hidden="1" outlineLevel="1" x14ac:dyDescent="0.25">
      <c r="A372" s="442"/>
      <c r="C372" s="49"/>
      <c r="D372" s="2179"/>
      <c r="E372" s="2179"/>
      <c r="F372" s="2186" t="str">
        <f t="shared" si="79"/>
        <v>Mini/MultiSplitASHP-Replace_CAC_ElectricHeat_ROF_SF</v>
      </c>
      <c r="G372" s="2186"/>
      <c r="H372" s="2186"/>
      <c r="I372" s="889" t="str">
        <f t="shared" si="80"/>
        <v>351450_2024_12_</v>
      </c>
      <c r="J372" s="1604">
        <v>11.370854271356771</v>
      </c>
      <c r="K372" s="1595"/>
      <c r="L372" s="1593" t="s">
        <v>1024</v>
      </c>
      <c r="N372" s="546"/>
      <c r="O372" s="903"/>
      <c r="T372" s="50"/>
      <c r="U372" s="50"/>
      <c r="V372" s="2179"/>
      <c r="W372" s="1326">
        <v>10.8</v>
      </c>
      <c r="X372" s="794">
        <v>11.32</v>
      </c>
      <c r="Y372" s="794">
        <v>11.4</v>
      </c>
      <c r="Z372" s="1326">
        <v>11.4</v>
      </c>
      <c r="AA372" s="1326">
        <v>11.4</v>
      </c>
      <c r="AB372" s="704">
        <v>11.226666666666667</v>
      </c>
      <c r="AC372" s="704">
        <v>11.1</v>
      </c>
      <c r="AD372" s="898">
        <v>11.420000000000002</v>
      </c>
      <c r="AE372" s="898">
        <v>11.370854271356771</v>
      </c>
      <c r="AF372" s="258">
        <f t="shared" si="77"/>
        <v>11.370854271356771</v>
      </c>
      <c r="AG372" s="1326"/>
      <c r="DG372" s="555"/>
      <c r="DH372" s="151"/>
      <c r="DI372" s="1049"/>
    </row>
    <row r="373" spans="1:113" hidden="1" outlineLevel="1" x14ac:dyDescent="0.25">
      <c r="A373" s="442"/>
      <c r="C373" s="49"/>
      <c r="D373" s="2179"/>
      <c r="E373" s="2179"/>
      <c r="F373" s="2186" t="str">
        <f t="shared" si="79"/>
        <v>Mini/MultiSplitASHP-Replace_CAC_NonElectricHeat_ER1_SF</v>
      </c>
      <c r="G373" s="2186"/>
      <c r="H373" s="2186"/>
      <c r="I373" s="889" t="str">
        <f t="shared" si="80"/>
        <v>351401_2024_12_</v>
      </c>
      <c r="J373" s="1604">
        <v>11.185185185185182</v>
      </c>
      <c r="K373" s="1595"/>
      <c r="L373" s="1593" t="s">
        <v>1024</v>
      </c>
      <c r="N373" s="546"/>
      <c r="O373" s="903"/>
      <c r="T373" s="50"/>
      <c r="U373" s="50"/>
      <c r="V373" s="2179"/>
      <c r="W373" s="1326"/>
      <c r="X373" s="794"/>
      <c r="Y373" s="794"/>
      <c r="Z373" s="1326"/>
      <c r="AA373" s="1326"/>
      <c r="AB373" s="704"/>
      <c r="AC373" s="704"/>
      <c r="AD373" s="898">
        <v>11.070754716981131</v>
      </c>
      <c r="AE373" s="898">
        <v>11.185185185185182</v>
      </c>
      <c r="AF373" s="258">
        <f t="shared" si="77"/>
        <v>11.185185185185182</v>
      </c>
      <c r="AG373" s="1326"/>
      <c r="DG373" s="555"/>
      <c r="DH373" s="151"/>
      <c r="DI373" s="1049"/>
    </row>
    <row r="374" spans="1:113" hidden="1" outlineLevel="1" x14ac:dyDescent="0.25">
      <c r="A374" s="442"/>
      <c r="C374" s="49"/>
      <c r="D374" s="2179"/>
      <c r="E374" s="2179"/>
      <c r="F374" s="2186" t="str">
        <f t="shared" si="79"/>
        <v>Mini/MultiSplitASHP-Replace_CAC_NonElectricHeat_ROF_SF</v>
      </c>
      <c r="G374" s="2186"/>
      <c r="H374" s="2186"/>
      <c r="I374" s="889" t="str">
        <f t="shared" si="80"/>
        <v>351451_2024_12_</v>
      </c>
      <c r="J374" s="1604">
        <v>11.370854271356771</v>
      </c>
      <c r="K374" s="1595"/>
      <c r="L374" s="1593" t="s">
        <v>1024</v>
      </c>
      <c r="N374" s="546"/>
      <c r="O374" s="903"/>
      <c r="T374" s="50"/>
      <c r="U374" s="50"/>
      <c r="V374" s="2179"/>
      <c r="W374" s="1326"/>
      <c r="X374" s="794"/>
      <c r="Y374" s="794"/>
      <c r="Z374" s="1326"/>
      <c r="AA374" s="1326"/>
      <c r="AB374" s="704"/>
      <c r="AC374" s="704"/>
      <c r="AD374" s="898">
        <v>11.420000000000002</v>
      </c>
      <c r="AE374" s="898">
        <v>11.370854271356771</v>
      </c>
      <c r="AF374" s="258">
        <f t="shared" si="77"/>
        <v>11.370854271356771</v>
      </c>
      <c r="AG374" s="1326"/>
      <c r="DG374" s="555"/>
      <c r="DH374" s="151"/>
      <c r="DI374" s="1049"/>
    </row>
    <row r="375" spans="1:113" hidden="1" outlineLevel="1" x14ac:dyDescent="0.25">
      <c r="A375" s="442"/>
      <c r="C375" s="49"/>
      <c r="D375" s="2179"/>
      <c r="E375" s="2179"/>
      <c r="F375" s="2186" t="str">
        <f t="shared" si="79"/>
        <v>Mini/MultiSplitASHP_ER1_SF</v>
      </c>
      <c r="G375" s="2186"/>
      <c r="H375" s="2186"/>
      <c r="I375" s="889" t="str">
        <f t="shared" si="80"/>
        <v>351500_2024_12_</v>
      </c>
      <c r="J375" s="1604">
        <v>11.185185185185182</v>
      </c>
      <c r="K375" s="1595"/>
      <c r="L375" s="1593" t="s">
        <v>1024</v>
      </c>
      <c r="N375" s="546"/>
      <c r="O375" s="903"/>
      <c r="T375" s="50"/>
      <c r="U375" s="50"/>
      <c r="V375" s="2179"/>
      <c r="W375" s="1326">
        <v>11.4</v>
      </c>
      <c r="X375" s="794">
        <v>11.32</v>
      </c>
      <c r="Y375" s="794">
        <v>12.6</v>
      </c>
      <c r="Z375" s="1326">
        <v>12.6</v>
      </c>
      <c r="AA375" s="1326">
        <v>12.6</v>
      </c>
      <c r="AB375" s="704">
        <v>8.3625000000000007</v>
      </c>
      <c r="AC375" s="704">
        <v>10.93</v>
      </c>
      <c r="AD375" s="898">
        <v>11.070754716981131</v>
      </c>
      <c r="AE375" s="898">
        <v>11.185185185185182</v>
      </c>
      <c r="AF375" s="258">
        <f t="shared" si="77"/>
        <v>11.185185185185182</v>
      </c>
      <c r="AG375" s="1326"/>
      <c r="DG375" s="555"/>
      <c r="DH375" s="151"/>
      <c r="DI375" s="1049"/>
    </row>
    <row r="376" spans="1:113" hidden="1" outlineLevel="1" x14ac:dyDescent="0.25">
      <c r="A376" s="442"/>
      <c r="C376" s="49"/>
      <c r="D376" s="2179"/>
      <c r="E376" s="2179"/>
      <c r="F376" s="2186" t="str">
        <f t="shared" si="79"/>
        <v>Mini/MultiSplitAC_ER1_MF</v>
      </c>
      <c r="G376" s="2186"/>
      <c r="H376" s="2186"/>
      <c r="I376" s="889" t="str">
        <f t="shared" si="80"/>
        <v>351550_2024_12_</v>
      </c>
      <c r="J376" s="1604">
        <f>J367</f>
        <v>0</v>
      </c>
      <c r="K376" s="1595"/>
      <c r="L376" s="1594" t="s">
        <v>1075</v>
      </c>
      <c r="N376" s="546"/>
      <c r="O376" s="903"/>
      <c r="T376" s="50"/>
      <c r="U376" s="50"/>
      <c r="V376" s="2179"/>
      <c r="W376" s="1326"/>
      <c r="X376" s="794"/>
      <c r="Y376" s="794">
        <v>0</v>
      </c>
      <c r="Z376" s="1326">
        <v>0</v>
      </c>
      <c r="AA376" s="1326">
        <v>0</v>
      </c>
      <c r="AB376" s="1334">
        <v>0</v>
      </c>
      <c r="AC376" s="709">
        <v>0</v>
      </c>
      <c r="AD376" s="709">
        <v>0</v>
      </c>
      <c r="AE376" s="999">
        <v>0</v>
      </c>
      <c r="AF376" s="258">
        <f t="shared" si="77"/>
        <v>0</v>
      </c>
      <c r="AG376" s="1326"/>
      <c r="DG376" s="555"/>
      <c r="DH376" s="151"/>
      <c r="DI376" s="1049"/>
    </row>
    <row r="377" spans="1:113" hidden="1" outlineLevel="1" x14ac:dyDescent="0.25">
      <c r="A377" s="442"/>
      <c r="C377" s="49"/>
      <c r="D377" s="2179" t="s">
        <v>1102</v>
      </c>
      <c r="E377" s="2179" t="s">
        <v>1103</v>
      </c>
      <c r="F377" s="2186" t="str">
        <f t="shared" si="79"/>
        <v>Mini/MultiSplitAC_ER1_SF</v>
      </c>
      <c r="G377" s="2186"/>
      <c r="H377" s="2186"/>
      <c r="I377" s="889" t="str">
        <f t="shared" si="80"/>
        <v>351200_2024_12_</v>
      </c>
      <c r="J377" s="1589">
        <v>21000</v>
      </c>
      <c r="K377" s="875">
        <f>J377/12000</f>
        <v>1.75</v>
      </c>
      <c r="L377" s="1593" t="s">
        <v>1026</v>
      </c>
      <c r="N377" s="546"/>
      <c r="O377" s="902"/>
      <c r="T377" s="50"/>
      <c r="U377" s="50"/>
      <c r="V377" s="2179" t="s">
        <v>1102</v>
      </c>
      <c r="W377" s="1326">
        <v>20400</v>
      </c>
      <c r="X377" s="794">
        <f t="shared" ref="X377:X385" si="81">1.5*12000</f>
        <v>18000</v>
      </c>
      <c r="Y377" s="1326">
        <v>18000</v>
      </c>
      <c r="Z377" s="1326">
        <v>18000</v>
      </c>
      <c r="AA377" s="1326">
        <v>18000</v>
      </c>
      <c r="AB377" s="1334">
        <v>18000</v>
      </c>
      <c r="AC377" s="926">
        <v>16000</v>
      </c>
      <c r="AD377" s="1066">
        <v>21000</v>
      </c>
      <c r="AE377" s="1002">
        <v>21000</v>
      </c>
      <c r="AF377" s="258">
        <f t="shared" ref="AF377:AF399" si="82">IF(J377&lt;&gt;"",J377,"")</f>
        <v>21000</v>
      </c>
      <c r="AG377" s="1326"/>
      <c r="DG377" s="555"/>
      <c r="DH377" s="151"/>
      <c r="DI377" s="1049"/>
    </row>
    <row r="378" spans="1:113" hidden="1" outlineLevel="1" x14ac:dyDescent="0.25">
      <c r="A378" s="442"/>
      <c r="C378" s="49"/>
      <c r="D378" s="2179"/>
      <c r="E378" s="2179"/>
      <c r="F378" s="2186" t="str">
        <f t="shared" si="79"/>
        <v>Mini/MultiSplitAC_ROF_SF</v>
      </c>
      <c r="G378" s="2186"/>
      <c r="H378" s="2186"/>
      <c r="I378" s="889" t="str">
        <f t="shared" si="80"/>
        <v>351250_2024_12_</v>
      </c>
      <c r="J378" s="1589">
        <v>12666.666666666666</v>
      </c>
      <c r="K378" s="875">
        <f>J378/12000</f>
        <v>1.0555555555555556</v>
      </c>
      <c r="L378" s="1593" t="s">
        <v>1026</v>
      </c>
      <c r="N378" s="546"/>
      <c r="O378" s="902"/>
      <c r="T378" s="50"/>
      <c r="U378" s="50"/>
      <c r="V378" s="2179"/>
      <c r="W378" s="1326">
        <v>19200</v>
      </c>
      <c r="X378" s="794">
        <f t="shared" si="81"/>
        <v>18000</v>
      </c>
      <c r="Y378" s="1326">
        <v>18000</v>
      </c>
      <c r="Z378" s="1326">
        <v>18000</v>
      </c>
      <c r="AA378" s="1326">
        <v>18000</v>
      </c>
      <c r="AB378" s="926">
        <v>15750</v>
      </c>
      <c r="AC378" s="926">
        <v>16800</v>
      </c>
      <c r="AD378" s="1066">
        <v>12666.666666666666</v>
      </c>
      <c r="AE378" s="1002">
        <v>12666.666666666666</v>
      </c>
      <c r="AF378" s="258">
        <f t="shared" si="82"/>
        <v>12666.666666666666</v>
      </c>
      <c r="AG378" s="1326"/>
      <c r="DG378" s="555"/>
      <c r="DH378" s="151"/>
      <c r="DI378" s="1049"/>
    </row>
    <row r="379" spans="1:113" hidden="1" outlineLevel="1" x14ac:dyDescent="0.25">
      <c r="A379" s="442"/>
      <c r="C379" s="49"/>
      <c r="D379" s="2179"/>
      <c r="E379" s="2179"/>
      <c r="F379" s="2186" t="str">
        <f t="shared" si="79"/>
        <v>Mini/MultiSplitASHP_ROF_SF_NC</v>
      </c>
      <c r="G379" s="2186"/>
      <c r="H379" s="2186"/>
      <c r="I379" s="889" t="str">
        <f t="shared" si="80"/>
        <v>351300_2024_12_</v>
      </c>
      <c r="J379" s="1589">
        <v>15939.39393939394</v>
      </c>
      <c r="K379" s="875">
        <f t="shared" ref="K379:K386" si="83">J379/12000</f>
        <v>1.3282828282828283</v>
      </c>
      <c r="L379" s="1593" t="s">
        <v>1025</v>
      </c>
      <c r="N379" s="546"/>
      <c r="O379" s="902"/>
      <c r="T379" s="50"/>
      <c r="U379" s="50"/>
      <c r="V379" s="2179"/>
      <c r="W379" s="1326">
        <v>19200</v>
      </c>
      <c r="X379" s="794">
        <f t="shared" si="81"/>
        <v>18000</v>
      </c>
      <c r="Y379" s="1326">
        <v>18000</v>
      </c>
      <c r="Z379" s="1326">
        <v>18000</v>
      </c>
      <c r="AA379" s="1326">
        <v>18000</v>
      </c>
      <c r="AB379" s="1334">
        <v>18000</v>
      </c>
      <c r="AC379" s="703">
        <v>18101.694915254237</v>
      </c>
      <c r="AD379" s="1066">
        <v>18388.489208633098</v>
      </c>
      <c r="AE379" s="1066">
        <v>17645.320197044337</v>
      </c>
      <c r="AF379" s="258">
        <f t="shared" si="82"/>
        <v>15939.39393939394</v>
      </c>
      <c r="AG379" s="1326"/>
      <c r="DG379" s="555"/>
      <c r="DH379" s="151"/>
      <c r="DI379" s="1049"/>
    </row>
    <row r="380" spans="1:113" hidden="1" outlineLevel="1" x14ac:dyDescent="0.25">
      <c r="A380" s="442"/>
      <c r="C380" s="49"/>
      <c r="D380" s="2179"/>
      <c r="E380" s="2179"/>
      <c r="F380" s="2186" t="str">
        <f t="shared" si="79"/>
        <v>Mini/MultiSplitASHP_ROF_SF</v>
      </c>
      <c r="G380" s="2186"/>
      <c r="H380" s="2186"/>
      <c r="I380" s="889" t="str">
        <f t="shared" si="80"/>
        <v>351350_2024_12_</v>
      </c>
      <c r="J380" s="1589">
        <v>15939.39393939394</v>
      </c>
      <c r="K380" s="875">
        <f t="shared" si="83"/>
        <v>1.3282828282828283</v>
      </c>
      <c r="L380" s="1593" t="s">
        <v>1025</v>
      </c>
      <c r="N380" s="546"/>
      <c r="O380" s="902"/>
      <c r="T380" s="50"/>
      <c r="U380" s="50"/>
      <c r="V380" s="2179"/>
      <c r="W380" s="1326">
        <v>19200</v>
      </c>
      <c r="X380" s="794">
        <f t="shared" si="81"/>
        <v>18000</v>
      </c>
      <c r="Y380" s="1326">
        <v>18000</v>
      </c>
      <c r="Z380" s="1326">
        <v>18000</v>
      </c>
      <c r="AA380" s="1326">
        <v>18000</v>
      </c>
      <c r="AB380" s="703">
        <v>18221.05263157895</v>
      </c>
      <c r="AC380" s="703">
        <v>16500</v>
      </c>
      <c r="AD380" s="1066">
        <v>18388.489208633098</v>
      </c>
      <c r="AE380" s="1066">
        <v>17645.320197044337</v>
      </c>
      <c r="AF380" s="258">
        <f t="shared" si="82"/>
        <v>15939.39393939394</v>
      </c>
      <c r="AG380" s="1326"/>
      <c r="DG380" s="555"/>
      <c r="DH380" s="151"/>
      <c r="DI380" s="1049"/>
    </row>
    <row r="381" spans="1:113" hidden="1" outlineLevel="1" x14ac:dyDescent="0.25">
      <c r="A381" s="442"/>
      <c r="C381" s="49"/>
      <c r="D381" s="2179"/>
      <c r="E381" s="2179"/>
      <c r="F381" s="2186" t="str">
        <f t="shared" si="79"/>
        <v>Mini/MultiSplitASHP-Replace_CAC_ElectricHeat_ER1_SF</v>
      </c>
      <c r="G381" s="2186"/>
      <c r="H381" s="2186"/>
      <c r="I381" s="889" t="str">
        <f t="shared" si="80"/>
        <v>351400_2024_12_</v>
      </c>
      <c r="J381" s="1589">
        <v>23090.909090909092</v>
      </c>
      <c r="K381" s="875">
        <f>J381/12000</f>
        <v>1.9242424242424243</v>
      </c>
      <c r="L381" s="1593" t="s">
        <v>1025</v>
      </c>
      <c r="N381" s="546"/>
      <c r="O381" s="902"/>
      <c r="T381" s="50"/>
      <c r="U381" s="50"/>
      <c r="V381" s="2179"/>
      <c r="W381" s="1326">
        <v>16800</v>
      </c>
      <c r="X381" s="794">
        <f t="shared" si="81"/>
        <v>18000</v>
      </c>
      <c r="Y381" s="1326">
        <v>18000</v>
      </c>
      <c r="Z381" s="1326">
        <v>18000</v>
      </c>
      <c r="AA381" s="1326">
        <v>18000</v>
      </c>
      <c r="AB381" s="703">
        <v>18840</v>
      </c>
      <c r="AC381" s="703">
        <v>18837.20930232558</v>
      </c>
      <c r="AD381" s="1066">
        <v>20890.909090909092</v>
      </c>
      <c r="AE381" s="1066">
        <v>18600</v>
      </c>
      <c r="AF381" s="258">
        <f t="shared" si="82"/>
        <v>23090.909090909092</v>
      </c>
      <c r="AG381" s="1326"/>
      <c r="DG381" s="555"/>
      <c r="DH381" s="151"/>
      <c r="DI381" s="1049"/>
    </row>
    <row r="382" spans="1:113" hidden="1" outlineLevel="1" x14ac:dyDescent="0.25">
      <c r="A382" s="442"/>
      <c r="C382" s="49"/>
      <c r="D382" s="2179"/>
      <c r="E382" s="2179"/>
      <c r="F382" s="2186" t="str">
        <f t="shared" si="79"/>
        <v>Mini/MultiSplitASHP-Replace_CAC_ElectricHeat_ROF_SF</v>
      </c>
      <c r="G382" s="2186"/>
      <c r="H382" s="2186"/>
      <c r="I382" s="889" t="str">
        <f t="shared" si="80"/>
        <v>351450_2024_12_</v>
      </c>
      <c r="J382" s="1589">
        <v>15939.39393939394</v>
      </c>
      <c r="K382" s="875">
        <f t="shared" si="83"/>
        <v>1.3282828282828283</v>
      </c>
      <c r="L382" s="1593" t="s">
        <v>1025</v>
      </c>
      <c r="N382" s="546"/>
      <c r="O382" s="902"/>
      <c r="T382" s="50"/>
      <c r="U382" s="50"/>
      <c r="V382" s="2179"/>
      <c r="W382" s="1326">
        <v>16800</v>
      </c>
      <c r="X382" s="794">
        <f t="shared" si="81"/>
        <v>18000</v>
      </c>
      <c r="Y382" s="794">
        <v>19200</v>
      </c>
      <c r="Z382" s="1326">
        <v>19200</v>
      </c>
      <c r="AA382" s="1326">
        <v>19200</v>
      </c>
      <c r="AB382" s="703">
        <v>19200</v>
      </c>
      <c r="AC382" s="703">
        <v>20769.23076923077</v>
      </c>
      <c r="AD382" s="1066">
        <v>18388.489208633098</v>
      </c>
      <c r="AE382" s="1066">
        <v>17645.320197044337</v>
      </c>
      <c r="AF382" s="258">
        <f t="shared" si="82"/>
        <v>15939.39393939394</v>
      </c>
      <c r="AG382" s="1326"/>
      <c r="DG382" s="555"/>
      <c r="DH382" s="151"/>
      <c r="DI382" s="1049"/>
    </row>
    <row r="383" spans="1:113" hidden="1" outlineLevel="1" x14ac:dyDescent="0.25">
      <c r="A383" s="442"/>
      <c r="C383" s="49"/>
      <c r="D383" s="2179"/>
      <c r="E383" s="2179"/>
      <c r="F383" s="2186" t="str">
        <f t="shared" si="79"/>
        <v>Mini/MultiSplitASHP-Replace_CAC_NonElectricHeat_ER1_SF</v>
      </c>
      <c r="G383" s="2186"/>
      <c r="H383" s="2186"/>
      <c r="I383" s="889" t="str">
        <f t="shared" si="80"/>
        <v>351401_2024_12_</v>
      </c>
      <c r="J383" s="1589">
        <v>23090.909090909099</v>
      </c>
      <c r="K383" s="875">
        <f>J383/12000</f>
        <v>1.924242424242425</v>
      </c>
      <c r="L383" s="1593" t="s">
        <v>1025</v>
      </c>
      <c r="N383" s="546"/>
      <c r="O383" s="902"/>
      <c r="T383" s="50"/>
      <c r="U383" s="50"/>
      <c r="V383" s="2179"/>
      <c r="W383" s="1326"/>
      <c r="X383" s="794"/>
      <c r="Y383" s="794"/>
      <c r="Z383" s="1326"/>
      <c r="AA383" s="1326"/>
      <c r="AB383" s="703"/>
      <c r="AC383" s="703"/>
      <c r="AD383" s="1066">
        <v>20890.909090909092</v>
      </c>
      <c r="AE383" s="1066">
        <v>18600</v>
      </c>
      <c r="AF383" s="258">
        <f t="shared" si="82"/>
        <v>23090.909090909099</v>
      </c>
      <c r="AG383" s="1326"/>
      <c r="DG383" s="555"/>
      <c r="DH383" s="151"/>
      <c r="DI383" s="1049"/>
    </row>
    <row r="384" spans="1:113" hidden="1" outlineLevel="1" x14ac:dyDescent="0.25">
      <c r="A384" s="442"/>
      <c r="C384" s="49"/>
      <c r="D384" s="2179"/>
      <c r="E384" s="2179"/>
      <c r="F384" s="2186" t="str">
        <f t="shared" si="79"/>
        <v>Mini/MultiSplitASHP-Replace_CAC_NonElectricHeat_ROF_SF</v>
      </c>
      <c r="G384" s="2186"/>
      <c r="H384" s="2186"/>
      <c r="I384" s="889" t="str">
        <f t="shared" si="80"/>
        <v>351451_2024_12_</v>
      </c>
      <c r="J384" s="1589">
        <v>15939.39393939394</v>
      </c>
      <c r="K384" s="875">
        <f t="shared" si="83"/>
        <v>1.3282828282828283</v>
      </c>
      <c r="L384" s="1593" t="s">
        <v>1025</v>
      </c>
      <c r="N384" s="546"/>
      <c r="O384" s="902"/>
      <c r="T384" s="50"/>
      <c r="U384" s="50"/>
      <c r="V384" s="2179"/>
      <c r="W384" s="1326"/>
      <c r="X384" s="794"/>
      <c r="Y384" s="794"/>
      <c r="Z384" s="1326"/>
      <c r="AA384" s="1326"/>
      <c r="AB384" s="703"/>
      <c r="AC384" s="703"/>
      <c r="AD384" s="1066">
        <v>18388.489208633098</v>
      </c>
      <c r="AE384" s="1066">
        <v>17645.320197044337</v>
      </c>
      <c r="AF384" s="258">
        <f t="shared" si="82"/>
        <v>15939.39393939394</v>
      </c>
      <c r="AG384" s="1326"/>
      <c r="DG384" s="555"/>
      <c r="DH384" s="151"/>
      <c r="DI384" s="1049"/>
    </row>
    <row r="385" spans="1:113" hidden="1" outlineLevel="1" x14ac:dyDescent="0.25">
      <c r="A385" s="442"/>
      <c r="C385" s="49"/>
      <c r="D385" s="2179"/>
      <c r="E385" s="2179"/>
      <c r="F385" s="2186" t="str">
        <f t="shared" si="79"/>
        <v>Mini/MultiSplitASHP_ER1_SF</v>
      </c>
      <c r="G385" s="2186"/>
      <c r="H385" s="2186"/>
      <c r="I385" s="889" t="str">
        <f t="shared" si="80"/>
        <v>351500_2024_12_</v>
      </c>
      <c r="J385" s="1589">
        <v>23090.909090909092</v>
      </c>
      <c r="K385" s="875">
        <f t="shared" si="83"/>
        <v>1.9242424242424243</v>
      </c>
      <c r="L385" s="1593" t="s">
        <v>1025</v>
      </c>
      <c r="N385" s="546"/>
      <c r="O385" s="902"/>
      <c r="T385" s="50"/>
      <c r="U385" s="50"/>
      <c r="V385" s="2179"/>
      <c r="W385" s="1326">
        <v>20400</v>
      </c>
      <c r="X385" s="794">
        <f t="shared" si="81"/>
        <v>18000</v>
      </c>
      <c r="Y385" s="1326">
        <v>18000</v>
      </c>
      <c r="Z385" s="1326">
        <v>18000</v>
      </c>
      <c r="AA385" s="1326">
        <v>18000</v>
      </c>
      <c r="AB385" s="703">
        <v>15375</v>
      </c>
      <c r="AC385" s="703">
        <v>17727.272727272728</v>
      </c>
      <c r="AD385" s="1066">
        <v>20890.909090909092</v>
      </c>
      <c r="AE385" s="1066">
        <v>18600</v>
      </c>
      <c r="AF385" s="258">
        <f t="shared" si="82"/>
        <v>23090.909090909092</v>
      </c>
      <c r="AG385" s="1326"/>
      <c r="DG385" s="555"/>
      <c r="DH385" s="151"/>
      <c r="DI385" s="1049"/>
    </row>
    <row r="386" spans="1:113" hidden="1" outlineLevel="1" x14ac:dyDescent="0.25">
      <c r="A386" s="442"/>
      <c r="C386" s="49"/>
      <c r="D386" s="2179"/>
      <c r="E386" s="2179"/>
      <c r="F386" s="2186" t="str">
        <f t="shared" si="79"/>
        <v>Mini/MultiSplitAC_ER1_MF</v>
      </c>
      <c r="G386" s="2186"/>
      <c r="H386" s="2186"/>
      <c r="I386" s="889" t="str">
        <f t="shared" si="80"/>
        <v>351550_2024_12_</v>
      </c>
      <c r="J386" s="1589">
        <v>24000</v>
      </c>
      <c r="K386" s="875">
        <f t="shared" si="83"/>
        <v>2</v>
      </c>
      <c r="L386" s="53" t="s">
        <v>1104</v>
      </c>
      <c r="N386" s="546"/>
      <c r="O386" s="902"/>
      <c r="T386" s="50"/>
      <c r="U386" s="50"/>
      <c r="V386" s="2179"/>
      <c r="W386" s="1326"/>
      <c r="X386" s="794"/>
      <c r="Y386" s="794">
        <v>18000</v>
      </c>
      <c r="Z386" s="1326">
        <v>18000</v>
      </c>
      <c r="AA386" s="1326">
        <v>18000</v>
      </c>
      <c r="AB386" s="1334">
        <v>18000</v>
      </c>
      <c r="AC386" s="926">
        <v>16000</v>
      </c>
      <c r="AD386" s="1066">
        <v>24000</v>
      </c>
      <c r="AE386" s="1002">
        <v>24000</v>
      </c>
      <c r="AF386" s="258">
        <f t="shared" si="82"/>
        <v>24000</v>
      </c>
      <c r="AG386" s="1326"/>
      <c r="DG386" s="555"/>
      <c r="DH386" s="151"/>
      <c r="DI386" s="1049"/>
    </row>
    <row r="387" spans="1:113" ht="15" hidden="1" customHeight="1" outlineLevel="1" x14ac:dyDescent="0.25">
      <c r="A387" s="442"/>
      <c r="C387" s="49"/>
      <c r="D387" s="2179" t="s">
        <v>1105</v>
      </c>
      <c r="E387" s="2179" t="s">
        <v>1106</v>
      </c>
      <c r="F387" s="2186" t="str">
        <f t="shared" si="79"/>
        <v>Mini/MultiSplitAC_ER1_SF</v>
      </c>
      <c r="G387" s="2186"/>
      <c r="H387" s="2186"/>
      <c r="I387" s="889" t="str">
        <f t="shared" si="80"/>
        <v>351200_2024_12_</v>
      </c>
      <c r="J387" s="1616">
        <v>635</v>
      </c>
      <c r="K387" s="12"/>
      <c r="L387" s="2214" t="s">
        <v>1088</v>
      </c>
      <c r="N387" s="546"/>
      <c r="T387" s="50"/>
      <c r="U387" s="50"/>
      <c r="V387" s="2179" t="s">
        <v>1105</v>
      </c>
      <c r="W387" s="1326">
        <v>869</v>
      </c>
      <c r="X387" s="1326">
        <v>869</v>
      </c>
      <c r="Y387" s="794">
        <v>635</v>
      </c>
      <c r="Z387" s="1326">
        <v>635</v>
      </c>
      <c r="AA387" s="1326">
        <v>635</v>
      </c>
      <c r="AB387" s="1334">
        <v>635</v>
      </c>
      <c r="AC387" s="1334">
        <v>635</v>
      </c>
      <c r="AD387" s="1334">
        <v>635</v>
      </c>
      <c r="AE387" s="1334">
        <v>635</v>
      </c>
      <c r="AF387" s="258">
        <f t="shared" si="82"/>
        <v>635</v>
      </c>
      <c r="AG387" s="1326"/>
      <c r="DG387" s="555"/>
      <c r="DH387" s="151"/>
      <c r="DI387" s="1049"/>
    </row>
    <row r="388" spans="1:113" hidden="1" outlineLevel="1" x14ac:dyDescent="0.25">
      <c r="A388" s="442"/>
      <c r="C388" s="49"/>
      <c r="D388" s="2179"/>
      <c r="E388" s="2179"/>
      <c r="F388" s="2186" t="str">
        <f t="shared" si="79"/>
        <v>Mini/MultiSplitAC_ROF_SF</v>
      </c>
      <c r="G388" s="2186"/>
      <c r="H388" s="2186"/>
      <c r="I388" s="889" t="str">
        <f t="shared" si="80"/>
        <v>351250_2024_12_</v>
      </c>
      <c r="J388" s="1616">
        <v>635</v>
      </c>
      <c r="K388" s="1595"/>
      <c r="L388" s="2180"/>
      <c r="N388" s="546"/>
      <c r="T388" s="50"/>
      <c r="U388" s="50"/>
      <c r="V388" s="2179"/>
      <c r="W388" s="1326">
        <v>869</v>
      </c>
      <c r="X388" s="1326">
        <v>869</v>
      </c>
      <c r="Y388" s="794">
        <v>635</v>
      </c>
      <c r="Z388" s="1326">
        <v>635</v>
      </c>
      <c r="AA388" s="1326">
        <v>635</v>
      </c>
      <c r="AB388" s="1334">
        <v>635</v>
      </c>
      <c r="AC388" s="1334">
        <v>635</v>
      </c>
      <c r="AD388" s="1334">
        <v>635</v>
      </c>
      <c r="AE388" s="1334">
        <v>635</v>
      </c>
      <c r="AF388" s="258">
        <f t="shared" si="82"/>
        <v>635</v>
      </c>
      <c r="AG388" s="1326"/>
      <c r="DG388" s="555"/>
      <c r="DH388" s="151"/>
      <c r="DI388" s="1049"/>
    </row>
    <row r="389" spans="1:113" hidden="1" outlineLevel="1" x14ac:dyDescent="0.25">
      <c r="A389" s="442"/>
      <c r="C389" s="49"/>
      <c r="D389" s="2179"/>
      <c r="E389" s="2179"/>
      <c r="F389" s="2186" t="str">
        <f t="shared" si="79"/>
        <v>Mini/MultiSplitASHP_ROF_SF_NC</v>
      </c>
      <c r="G389" s="2186"/>
      <c r="H389" s="2186"/>
      <c r="I389" s="889" t="str">
        <f t="shared" si="80"/>
        <v>351300_2024_12_</v>
      </c>
      <c r="J389" s="1616">
        <v>635</v>
      </c>
      <c r="K389" s="1595"/>
      <c r="L389" s="2180"/>
      <c r="N389" s="546"/>
      <c r="T389" s="50"/>
      <c r="U389" s="50"/>
      <c r="V389" s="2179"/>
      <c r="W389" s="1326">
        <v>869</v>
      </c>
      <c r="X389" s="1326">
        <v>869</v>
      </c>
      <c r="Y389" s="794">
        <v>635</v>
      </c>
      <c r="Z389" s="1326">
        <v>635</v>
      </c>
      <c r="AA389" s="1326">
        <v>635</v>
      </c>
      <c r="AB389" s="1334">
        <v>635</v>
      </c>
      <c r="AC389" s="1334">
        <v>635</v>
      </c>
      <c r="AD389" s="1334">
        <v>635</v>
      </c>
      <c r="AE389" s="1334">
        <v>635</v>
      </c>
      <c r="AF389" s="258">
        <f t="shared" si="82"/>
        <v>635</v>
      </c>
      <c r="AG389" s="1326"/>
      <c r="DG389" s="555"/>
      <c r="DH389" s="151"/>
      <c r="DI389" s="1049"/>
    </row>
    <row r="390" spans="1:113" hidden="1" outlineLevel="1" x14ac:dyDescent="0.25">
      <c r="A390" s="442"/>
      <c r="C390" s="49"/>
      <c r="D390" s="2179"/>
      <c r="E390" s="2179"/>
      <c r="F390" s="2186" t="str">
        <f t="shared" si="79"/>
        <v>Mini/MultiSplitASHP_ROF_SF</v>
      </c>
      <c r="G390" s="2186"/>
      <c r="H390" s="2186"/>
      <c r="I390" s="889" t="str">
        <f t="shared" si="80"/>
        <v>351350_2024_12_</v>
      </c>
      <c r="J390" s="1616">
        <v>635</v>
      </c>
      <c r="K390" s="1595"/>
      <c r="L390" s="2180"/>
      <c r="N390" s="546"/>
      <c r="T390" s="50"/>
      <c r="U390" s="50"/>
      <c r="V390" s="2179"/>
      <c r="W390" s="1326">
        <v>869</v>
      </c>
      <c r="X390" s="1326">
        <v>869</v>
      </c>
      <c r="Y390" s="794">
        <v>635</v>
      </c>
      <c r="Z390" s="1326">
        <v>635</v>
      </c>
      <c r="AA390" s="1326">
        <v>635</v>
      </c>
      <c r="AB390" s="1334">
        <v>635</v>
      </c>
      <c r="AC390" s="1334">
        <v>635</v>
      </c>
      <c r="AD390" s="1334">
        <v>635</v>
      </c>
      <c r="AE390" s="1334">
        <v>635</v>
      </c>
      <c r="AF390" s="258">
        <f t="shared" si="82"/>
        <v>635</v>
      </c>
      <c r="AG390" s="1326"/>
      <c r="DG390" s="555"/>
      <c r="DH390" s="151"/>
      <c r="DI390" s="1049"/>
    </row>
    <row r="391" spans="1:113" hidden="1" outlineLevel="1" x14ac:dyDescent="0.25">
      <c r="A391" s="442"/>
      <c r="C391" s="49"/>
      <c r="D391" s="2179"/>
      <c r="E391" s="2179"/>
      <c r="F391" s="2186" t="str">
        <f t="shared" si="79"/>
        <v>Mini/MultiSplitASHP-Replace_CAC_ElectricHeat_ER1_SF</v>
      </c>
      <c r="G391" s="2186"/>
      <c r="H391" s="2186"/>
      <c r="I391" s="889" t="str">
        <f t="shared" si="80"/>
        <v>351400_2024_12_</v>
      </c>
      <c r="J391" s="1616">
        <v>635</v>
      </c>
      <c r="K391" s="1595"/>
      <c r="L391" s="2180"/>
      <c r="N391" s="546"/>
      <c r="T391" s="50"/>
      <c r="U391" s="50"/>
      <c r="V391" s="2179"/>
      <c r="W391" s="1326">
        <v>869</v>
      </c>
      <c r="X391" s="1326">
        <v>869</v>
      </c>
      <c r="Y391" s="794">
        <v>635</v>
      </c>
      <c r="Z391" s="1326">
        <v>635</v>
      </c>
      <c r="AA391" s="1326">
        <v>635</v>
      </c>
      <c r="AB391" s="1334">
        <v>635</v>
      </c>
      <c r="AC391" s="1334">
        <v>635</v>
      </c>
      <c r="AD391" s="1334">
        <v>635</v>
      </c>
      <c r="AE391" s="1334">
        <v>635</v>
      </c>
      <c r="AF391" s="258">
        <f t="shared" si="82"/>
        <v>635</v>
      </c>
      <c r="AG391" s="1326"/>
      <c r="DG391" s="555"/>
      <c r="DH391" s="151"/>
      <c r="DI391" s="1049"/>
    </row>
    <row r="392" spans="1:113" hidden="1" outlineLevel="1" x14ac:dyDescent="0.25">
      <c r="A392" s="442"/>
      <c r="C392" s="49"/>
      <c r="D392" s="2179"/>
      <c r="E392" s="2179"/>
      <c r="F392" s="2186" t="str">
        <f t="shared" si="79"/>
        <v>Mini/MultiSplitASHP-Replace_CAC_ElectricHeat_ROF_SF</v>
      </c>
      <c r="G392" s="2186"/>
      <c r="H392" s="2186"/>
      <c r="I392" s="889" t="str">
        <f t="shared" si="80"/>
        <v>351450_2024_12_</v>
      </c>
      <c r="J392" s="1616">
        <v>635</v>
      </c>
      <c r="K392" s="1595"/>
      <c r="L392" s="2180"/>
      <c r="N392" s="546"/>
      <c r="T392" s="50"/>
      <c r="U392" s="50"/>
      <c r="V392" s="2179"/>
      <c r="W392" s="1326">
        <v>869</v>
      </c>
      <c r="X392" s="1326">
        <v>869</v>
      </c>
      <c r="Y392" s="794">
        <v>635</v>
      </c>
      <c r="Z392" s="1326">
        <v>635</v>
      </c>
      <c r="AA392" s="1326">
        <v>635</v>
      </c>
      <c r="AB392" s="1334">
        <v>635</v>
      </c>
      <c r="AC392" s="1334">
        <v>635</v>
      </c>
      <c r="AD392" s="1334">
        <v>635</v>
      </c>
      <c r="AE392" s="1334">
        <v>635</v>
      </c>
      <c r="AF392" s="258">
        <f t="shared" si="82"/>
        <v>635</v>
      </c>
      <c r="AG392" s="1326"/>
      <c r="DG392" s="555"/>
      <c r="DH392" s="151"/>
      <c r="DI392" s="1049"/>
    </row>
    <row r="393" spans="1:113" hidden="1" outlineLevel="1" x14ac:dyDescent="0.25">
      <c r="A393" s="442"/>
      <c r="C393" s="49"/>
      <c r="D393" s="2179"/>
      <c r="E393" s="2179"/>
      <c r="F393" s="2186" t="str">
        <f t="shared" si="79"/>
        <v>Mini/MultiSplitASHP-Replace_CAC_NonElectricHeat_ER1_SF</v>
      </c>
      <c r="G393" s="2186"/>
      <c r="H393" s="2186"/>
      <c r="I393" s="889" t="str">
        <f t="shared" si="80"/>
        <v>351401_2024_12_</v>
      </c>
      <c r="J393" s="1616">
        <v>635</v>
      </c>
      <c r="K393" s="1595"/>
      <c r="L393" s="2180"/>
      <c r="N393" s="546"/>
      <c r="T393" s="50"/>
      <c r="U393" s="50"/>
      <c r="V393" s="2179"/>
      <c r="W393" s="1326"/>
      <c r="X393" s="1326"/>
      <c r="Y393" s="794"/>
      <c r="Z393" s="1326"/>
      <c r="AA393" s="1326"/>
      <c r="AB393" s="1334"/>
      <c r="AC393" s="1334"/>
      <c r="AD393" s="926">
        <v>635</v>
      </c>
      <c r="AE393" s="1334">
        <v>635</v>
      </c>
      <c r="AF393" s="258">
        <f t="shared" si="82"/>
        <v>635</v>
      </c>
      <c r="AG393" s="1326"/>
      <c r="DG393" s="555"/>
      <c r="DH393" s="151"/>
      <c r="DI393" s="1049"/>
    </row>
    <row r="394" spans="1:113" hidden="1" outlineLevel="1" x14ac:dyDescent="0.25">
      <c r="A394" s="442"/>
      <c r="C394" s="49"/>
      <c r="D394" s="2179"/>
      <c r="E394" s="2179"/>
      <c r="F394" s="2186" t="str">
        <f t="shared" si="79"/>
        <v>Mini/MultiSplitASHP-Replace_CAC_NonElectricHeat_ROF_SF</v>
      </c>
      <c r="G394" s="2186"/>
      <c r="H394" s="2186"/>
      <c r="I394" s="889" t="str">
        <f t="shared" si="80"/>
        <v>351451_2024_12_</v>
      </c>
      <c r="J394" s="1616">
        <v>635</v>
      </c>
      <c r="K394" s="1595"/>
      <c r="L394" s="2180"/>
      <c r="N394" s="546"/>
      <c r="T394" s="50"/>
      <c r="U394" s="50"/>
      <c r="V394" s="2179"/>
      <c r="W394" s="1326"/>
      <c r="X394" s="1326"/>
      <c r="Y394" s="794"/>
      <c r="Z394" s="1326"/>
      <c r="AA394" s="1326"/>
      <c r="AB394" s="1334"/>
      <c r="AC394" s="1334"/>
      <c r="AD394" s="926">
        <v>635</v>
      </c>
      <c r="AE394" s="1334">
        <v>635</v>
      </c>
      <c r="AF394" s="258">
        <f t="shared" si="82"/>
        <v>635</v>
      </c>
      <c r="AG394" s="1326"/>
      <c r="DG394" s="555"/>
      <c r="DH394" s="151"/>
      <c r="DI394" s="1049"/>
    </row>
    <row r="395" spans="1:113" hidden="1" outlineLevel="1" x14ac:dyDescent="0.25">
      <c r="A395" s="442"/>
      <c r="C395" s="49"/>
      <c r="D395" s="2179"/>
      <c r="E395" s="2179"/>
      <c r="F395" s="2186" t="str">
        <f t="shared" si="79"/>
        <v>Mini/MultiSplitASHP_ER1_SF</v>
      </c>
      <c r="G395" s="2186"/>
      <c r="H395" s="2186"/>
      <c r="I395" s="889" t="str">
        <f t="shared" si="80"/>
        <v>351500_2024_12_</v>
      </c>
      <c r="J395" s="1616">
        <v>635</v>
      </c>
      <c r="K395" s="1595"/>
      <c r="L395" s="2180"/>
      <c r="N395" s="546"/>
      <c r="T395" s="50"/>
      <c r="U395" s="50"/>
      <c r="V395" s="2179"/>
      <c r="W395" s="1326">
        <v>869</v>
      </c>
      <c r="X395" s="1326">
        <v>869</v>
      </c>
      <c r="Y395" s="794">
        <v>635</v>
      </c>
      <c r="Z395" s="1326">
        <v>635</v>
      </c>
      <c r="AA395" s="1326">
        <v>635</v>
      </c>
      <c r="AB395" s="1334">
        <v>635</v>
      </c>
      <c r="AC395" s="1334">
        <v>635</v>
      </c>
      <c r="AD395" s="1334">
        <v>635</v>
      </c>
      <c r="AE395" s="1334">
        <v>635</v>
      </c>
      <c r="AF395" s="258">
        <f t="shared" si="82"/>
        <v>635</v>
      </c>
      <c r="AG395" s="1326"/>
      <c r="DG395" s="555"/>
      <c r="DH395" s="151"/>
      <c r="DI395" s="1049"/>
    </row>
    <row r="396" spans="1:113" hidden="1" outlineLevel="1" x14ac:dyDescent="0.25">
      <c r="A396" s="442"/>
      <c r="C396" s="49"/>
      <c r="D396" s="2179"/>
      <c r="E396" s="2179"/>
      <c r="F396" s="2186" t="str">
        <f t="shared" si="79"/>
        <v>Mini/MultiSplitAC_ER1_MF</v>
      </c>
      <c r="G396" s="2186"/>
      <c r="H396" s="2186"/>
      <c r="I396" s="889" t="str">
        <f t="shared" si="80"/>
        <v>351550_2024_12_</v>
      </c>
      <c r="J396" s="1616">
        <v>635</v>
      </c>
      <c r="K396" s="1595"/>
      <c r="L396" s="2180"/>
      <c r="N396" s="546"/>
      <c r="T396" s="50"/>
      <c r="U396" s="50"/>
      <c r="V396" s="2179"/>
      <c r="W396" s="1326"/>
      <c r="X396" s="794"/>
      <c r="Y396" s="794">
        <v>635</v>
      </c>
      <c r="Z396" s="1326">
        <v>635</v>
      </c>
      <c r="AA396" s="1326">
        <v>635</v>
      </c>
      <c r="AB396" s="1334">
        <v>635</v>
      </c>
      <c r="AC396" s="1334">
        <v>635</v>
      </c>
      <c r="AD396" s="1334">
        <v>635</v>
      </c>
      <c r="AE396" s="1334">
        <v>635</v>
      </c>
      <c r="AF396" s="258">
        <f t="shared" si="82"/>
        <v>635</v>
      </c>
      <c r="AG396" s="1326"/>
      <c r="DG396" s="555"/>
      <c r="DH396" s="151"/>
      <c r="DI396" s="1049"/>
    </row>
    <row r="397" spans="1:113" hidden="1" outlineLevel="1" x14ac:dyDescent="0.25">
      <c r="A397" s="442"/>
      <c r="C397" s="49"/>
      <c r="D397" s="2179" t="s">
        <v>1027</v>
      </c>
      <c r="E397" s="2179" t="s">
        <v>1107</v>
      </c>
      <c r="F397" s="2186" t="str">
        <f t="shared" si="79"/>
        <v>Mini/MultiSplitAC_ER1_SF</v>
      </c>
      <c r="G397" s="2186"/>
      <c r="H397" s="2186"/>
      <c r="I397" s="889" t="str">
        <f t="shared" si="80"/>
        <v>351200_2024_12_</v>
      </c>
      <c r="J397" s="1616">
        <v>13.4</v>
      </c>
      <c r="K397" s="12"/>
      <c r="L397" s="1596" t="s">
        <v>1029</v>
      </c>
      <c r="N397" s="546"/>
      <c r="T397" s="50"/>
      <c r="U397" s="50"/>
      <c r="V397" s="2179" t="s">
        <v>1108</v>
      </c>
      <c r="W397" s="1326">
        <v>13</v>
      </c>
      <c r="X397" s="1326">
        <v>13</v>
      </c>
      <c r="Y397" s="1326">
        <v>13</v>
      </c>
      <c r="Z397" s="1326">
        <v>13</v>
      </c>
      <c r="AA397" s="1326">
        <v>13</v>
      </c>
      <c r="AB397" s="1326">
        <v>13</v>
      </c>
      <c r="AC397" s="1326">
        <v>13</v>
      </c>
      <c r="AD397" s="1326">
        <v>13</v>
      </c>
      <c r="AE397" s="926">
        <v>14</v>
      </c>
      <c r="AF397" s="258">
        <f t="shared" si="82"/>
        <v>13.4</v>
      </c>
      <c r="AG397" s="1326"/>
      <c r="DG397" s="555"/>
      <c r="DH397" s="151"/>
      <c r="DI397" s="1049"/>
    </row>
    <row r="398" spans="1:113" hidden="1" outlineLevel="1" x14ac:dyDescent="0.25">
      <c r="A398" s="442"/>
      <c r="C398" s="49"/>
      <c r="D398" s="2179"/>
      <c r="E398" s="2179"/>
      <c r="F398" s="2186" t="str">
        <f t="shared" si="79"/>
        <v>Mini/MultiSplitAC_ROF_SF</v>
      </c>
      <c r="G398" s="2186"/>
      <c r="H398" s="2186"/>
      <c r="I398" s="889" t="str">
        <f t="shared" si="80"/>
        <v>351250_2024_12_</v>
      </c>
      <c r="J398" s="1616">
        <v>13.4</v>
      </c>
      <c r="K398" s="1595"/>
      <c r="L398" s="889" t="s">
        <v>1029</v>
      </c>
      <c r="N398" s="1067"/>
      <c r="T398" s="50"/>
      <c r="U398" s="50"/>
      <c r="V398" s="2179"/>
      <c r="W398" s="1326">
        <v>13</v>
      </c>
      <c r="X398" s="1326">
        <v>13</v>
      </c>
      <c r="Y398" s="1326">
        <v>13</v>
      </c>
      <c r="Z398" s="1326">
        <v>13</v>
      </c>
      <c r="AA398" s="1326">
        <v>13</v>
      </c>
      <c r="AB398" s="1326">
        <v>13</v>
      </c>
      <c r="AC398" s="1326">
        <v>13</v>
      </c>
      <c r="AD398" s="1326">
        <v>13</v>
      </c>
      <c r="AE398" s="926">
        <v>14</v>
      </c>
      <c r="AF398" s="258">
        <f t="shared" si="82"/>
        <v>13.4</v>
      </c>
      <c r="AG398" s="1326"/>
      <c r="DG398" s="555"/>
      <c r="DH398" s="151"/>
      <c r="DI398" s="1049"/>
    </row>
    <row r="399" spans="1:113" hidden="1" outlineLevel="1" x14ac:dyDescent="0.25">
      <c r="A399" s="442"/>
      <c r="C399" s="49"/>
      <c r="D399" s="2179"/>
      <c r="E399" s="2179"/>
      <c r="F399" s="2186" t="str">
        <f t="shared" si="79"/>
        <v>Mini/MultiSplitASHP_ROF_SF_NC</v>
      </c>
      <c r="G399" s="2186"/>
      <c r="H399" s="2186"/>
      <c r="I399" s="889" t="str">
        <f t="shared" si="80"/>
        <v>351300_2024_12_</v>
      </c>
      <c r="J399" s="1616">
        <v>14.3</v>
      </c>
      <c r="K399" s="1595"/>
      <c r="L399" s="889" t="s">
        <v>1029</v>
      </c>
      <c r="N399" s="546"/>
      <c r="T399" s="50"/>
      <c r="U399" s="50"/>
      <c r="V399" s="2179"/>
      <c r="W399" s="1326">
        <v>13</v>
      </c>
      <c r="X399" s="1326">
        <v>13</v>
      </c>
      <c r="Y399" s="794">
        <v>14</v>
      </c>
      <c r="Z399" s="1326">
        <v>14</v>
      </c>
      <c r="AA399" s="1326">
        <v>14</v>
      </c>
      <c r="AB399" s="1326">
        <v>14</v>
      </c>
      <c r="AC399" s="1326">
        <v>14</v>
      </c>
      <c r="AD399" s="1326">
        <v>14</v>
      </c>
      <c r="AE399" s="926">
        <v>15</v>
      </c>
      <c r="AF399" s="258">
        <f t="shared" si="82"/>
        <v>14.3</v>
      </c>
      <c r="AG399" s="1326"/>
      <c r="DG399" s="555"/>
      <c r="DH399" s="151"/>
      <c r="DI399" s="1049"/>
    </row>
    <row r="400" spans="1:113" hidden="1" outlineLevel="1" x14ac:dyDescent="0.25">
      <c r="A400" s="442"/>
      <c r="C400" s="49"/>
      <c r="D400" s="2179"/>
      <c r="E400" s="2179"/>
      <c r="F400" s="2186" t="str">
        <f t="shared" si="79"/>
        <v>Mini/MultiSplitASHP_ROF_SF</v>
      </c>
      <c r="G400" s="2186"/>
      <c r="H400" s="2186"/>
      <c r="I400" s="889" t="str">
        <f t="shared" si="80"/>
        <v>351350_2024_12_</v>
      </c>
      <c r="J400" s="1616">
        <v>14.3</v>
      </c>
      <c r="K400" s="1595"/>
      <c r="L400" s="889" t="s">
        <v>1029</v>
      </c>
      <c r="N400" s="546"/>
      <c r="T400" s="50"/>
      <c r="U400" s="50"/>
      <c r="V400" s="2179"/>
      <c r="W400" s="1326">
        <v>13</v>
      </c>
      <c r="X400" s="1326">
        <v>13</v>
      </c>
      <c r="Y400" s="794">
        <v>14</v>
      </c>
      <c r="Z400" s="1326">
        <v>14</v>
      </c>
      <c r="AA400" s="1326">
        <v>14</v>
      </c>
      <c r="AB400" s="1326">
        <v>14</v>
      </c>
      <c r="AC400" s="1326">
        <v>14</v>
      </c>
      <c r="AD400" s="1326">
        <v>14</v>
      </c>
      <c r="AE400" s="926">
        <v>15</v>
      </c>
      <c r="AF400" s="258">
        <f t="shared" ref="AF400:AF426" si="84">IF(J400&lt;&gt;"",J400,"")</f>
        <v>14.3</v>
      </c>
      <c r="AG400" s="1326"/>
      <c r="DG400" s="555"/>
      <c r="DH400" s="151"/>
      <c r="DI400" s="1049"/>
    </row>
    <row r="401" spans="1:113" hidden="1" outlineLevel="1" x14ac:dyDescent="0.25">
      <c r="A401" s="442"/>
      <c r="C401" s="49"/>
      <c r="D401" s="2179"/>
      <c r="E401" s="2179"/>
      <c r="F401" s="2186" t="str">
        <f t="shared" ref="F401:F426" si="85">F391</f>
        <v>Mini/MultiSplitASHP-Replace_CAC_ElectricHeat_ER1_SF</v>
      </c>
      <c r="G401" s="2186"/>
      <c r="H401" s="2186"/>
      <c r="I401" s="889" t="str">
        <f t="shared" ref="I401:I426" si="86">I391</f>
        <v>351400_2024_12_</v>
      </c>
      <c r="J401" s="1616">
        <v>13.4</v>
      </c>
      <c r="K401" s="1595"/>
      <c r="L401" s="889" t="s">
        <v>1029</v>
      </c>
      <c r="N401" s="546"/>
      <c r="T401" s="50"/>
      <c r="U401" s="50"/>
      <c r="V401" s="2179"/>
      <c r="W401" s="1326">
        <v>13</v>
      </c>
      <c r="X401" s="1326">
        <v>13</v>
      </c>
      <c r="Y401" s="1326">
        <v>13</v>
      </c>
      <c r="Z401" s="1326">
        <v>13</v>
      </c>
      <c r="AA401" s="1326">
        <v>13</v>
      </c>
      <c r="AB401" s="1326">
        <v>13</v>
      </c>
      <c r="AC401" s="1326">
        <v>13</v>
      </c>
      <c r="AD401" s="1326">
        <v>13</v>
      </c>
      <c r="AE401" s="926">
        <v>14</v>
      </c>
      <c r="AF401" s="258">
        <f t="shared" si="84"/>
        <v>13.4</v>
      </c>
      <c r="AG401" s="1326"/>
      <c r="DG401" s="555"/>
      <c r="DH401" s="151"/>
      <c r="DI401" s="1049"/>
    </row>
    <row r="402" spans="1:113" hidden="1" outlineLevel="1" x14ac:dyDescent="0.25">
      <c r="A402" s="442"/>
      <c r="C402" s="49"/>
      <c r="D402" s="2179"/>
      <c r="E402" s="2179"/>
      <c r="F402" s="2186" t="str">
        <f t="shared" si="85"/>
        <v>Mini/MultiSplitASHP-Replace_CAC_ElectricHeat_ROF_SF</v>
      </c>
      <c r="G402" s="2186"/>
      <c r="H402" s="2186"/>
      <c r="I402" s="889" t="str">
        <f t="shared" si="86"/>
        <v>351450_2024_12_</v>
      </c>
      <c r="J402" s="1616">
        <v>13.4</v>
      </c>
      <c r="K402" s="1595"/>
      <c r="L402" s="889" t="s">
        <v>1029</v>
      </c>
      <c r="N402" s="546"/>
      <c r="T402" s="50"/>
      <c r="U402" s="50"/>
      <c r="V402" s="2179"/>
      <c r="W402" s="1326">
        <v>13</v>
      </c>
      <c r="X402" s="1326">
        <v>13</v>
      </c>
      <c r="Y402" s="794">
        <v>14</v>
      </c>
      <c r="Z402" s="1326">
        <v>14</v>
      </c>
      <c r="AA402" s="1326">
        <v>14</v>
      </c>
      <c r="AB402" s="1326">
        <v>14</v>
      </c>
      <c r="AC402" s="1326">
        <v>14</v>
      </c>
      <c r="AD402" s="1326">
        <v>14</v>
      </c>
      <c r="AE402" s="1334">
        <v>14</v>
      </c>
      <c r="AF402" s="258">
        <f t="shared" si="84"/>
        <v>13.4</v>
      </c>
      <c r="AG402" s="1326"/>
      <c r="DG402" s="555"/>
      <c r="DH402" s="151"/>
      <c r="DI402" s="1049"/>
    </row>
    <row r="403" spans="1:113" hidden="1" outlineLevel="1" x14ac:dyDescent="0.25">
      <c r="A403" s="442"/>
      <c r="C403" s="49"/>
      <c r="D403" s="2179"/>
      <c r="E403" s="2179"/>
      <c r="F403" s="2186" t="str">
        <f t="shared" si="85"/>
        <v>Mini/MultiSplitASHP-Replace_CAC_NonElectricHeat_ER1_SF</v>
      </c>
      <c r="G403" s="2186"/>
      <c r="H403" s="2186"/>
      <c r="I403" s="889" t="str">
        <f t="shared" si="86"/>
        <v>351401_2024_12_</v>
      </c>
      <c r="J403" s="1616">
        <v>13.4</v>
      </c>
      <c r="K403" s="1595"/>
      <c r="L403" s="889" t="s">
        <v>1029</v>
      </c>
      <c r="N403" s="546"/>
      <c r="T403" s="50"/>
      <c r="U403" s="50"/>
      <c r="V403" s="2179"/>
      <c r="W403" s="1326"/>
      <c r="X403" s="1326"/>
      <c r="Y403" s="794"/>
      <c r="Z403" s="1326"/>
      <c r="AA403" s="1326"/>
      <c r="AB403" s="1326"/>
      <c r="AC403" s="1326"/>
      <c r="AD403" s="794">
        <v>13</v>
      </c>
      <c r="AE403" s="926">
        <v>14</v>
      </c>
      <c r="AF403" s="258">
        <f t="shared" si="84"/>
        <v>13.4</v>
      </c>
      <c r="AG403" s="1326"/>
      <c r="DG403" s="555"/>
      <c r="DH403" s="151"/>
      <c r="DI403" s="1049"/>
    </row>
    <row r="404" spans="1:113" hidden="1" outlineLevel="1" x14ac:dyDescent="0.25">
      <c r="A404" s="442"/>
      <c r="C404" s="49"/>
      <c r="D404" s="2179"/>
      <c r="E404" s="2179"/>
      <c r="F404" s="2186" t="str">
        <f t="shared" si="85"/>
        <v>Mini/MultiSplitASHP-Replace_CAC_NonElectricHeat_ROF_SF</v>
      </c>
      <c r="G404" s="2186"/>
      <c r="H404" s="2186"/>
      <c r="I404" s="889" t="str">
        <f t="shared" si="86"/>
        <v>351451_2024_12_</v>
      </c>
      <c r="J404" s="1616">
        <v>13.4</v>
      </c>
      <c r="K404" s="1595"/>
      <c r="L404" s="889" t="s">
        <v>1029</v>
      </c>
      <c r="N404" s="546"/>
      <c r="T404" s="50"/>
      <c r="U404" s="50"/>
      <c r="V404" s="2179"/>
      <c r="W404" s="1326"/>
      <c r="X404" s="1326"/>
      <c r="Y404" s="794"/>
      <c r="Z404" s="1326"/>
      <c r="AA404" s="1326"/>
      <c r="AB404" s="1326"/>
      <c r="AC404" s="1326"/>
      <c r="AD404" s="794">
        <v>14</v>
      </c>
      <c r="AE404" s="1334">
        <v>14</v>
      </c>
      <c r="AF404" s="258">
        <f t="shared" si="84"/>
        <v>13.4</v>
      </c>
      <c r="AG404" s="1326"/>
      <c r="DG404" s="555"/>
      <c r="DH404" s="151"/>
      <c r="DI404" s="1049"/>
    </row>
    <row r="405" spans="1:113" hidden="1" outlineLevel="1" x14ac:dyDescent="0.25">
      <c r="A405" s="442"/>
      <c r="C405" s="49"/>
      <c r="D405" s="2179"/>
      <c r="E405" s="2179"/>
      <c r="F405" s="2186" t="str">
        <f t="shared" si="85"/>
        <v>Mini/MultiSplitASHP_ER1_SF</v>
      </c>
      <c r="G405" s="2186"/>
      <c r="H405" s="2186"/>
      <c r="I405" s="889" t="str">
        <f t="shared" si="86"/>
        <v>351500_2024_12_</v>
      </c>
      <c r="J405" s="1616">
        <v>14.3</v>
      </c>
      <c r="K405" s="1595"/>
      <c r="L405" s="889" t="s">
        <v>1029</v>
      </c>
      <c r="N405" s="546"/>
      <c r="T405" s="50"/>
      <c r="U405" s="50"/>
      <c r="V405" s="2179"/>
      <c r="W405" s="1326">
        <v>13</v>
      </c>
      <c r="X405" s="1326">
        <v>13</v>
      </c>
      <c r="Y405" s="1326">
        <v>13</v>
      </c>
      <c r="Z405" s="1326">
        <v>13</v>
      </c>
      <c r="AA405" s="1326">
        <v>13</v>
      </c>
      <c r="AB405" s="1326">
        <v>13</v>
      </c>
      <c r="AC405" s="1326">
        <v>13</v>
      </c>
      <c r="AD405" s="1326">
        <v>13</v>
      </c>
      <c r="AE405" s="926">
        <v>15</v>
      </c>
      <c r="AF405" s="258">
        <f t="shared" si="84"/>
        <v>14.3</v>
      </c>
      <c r="AG405" s="1326"/>
      <c r="DG405" s="555"/>
      <c r="DH405" s="151"/>
      <c r="DI405" s="1049"/>
    </row>
    <row r="406" spans="1:113" hidden="1" outlineLevel="1" x14ac:dyDescent="0.25">
      <c r="A406" s="442"/>
      <c r="C406" s="49"/>
      <c r="D406" s="2179"/>
      <c r="E406" s="2179"/>
      <c r="F406" s="2186" t="str">
        <f t="shared" si="85"/>
        <v>Mini/MultiSplitAC_ER1_MF</v>
      </c>
      <c r="G406" s="2186"/>
      <c r="H406" s="2186"/>
      <c r="I406" s="889" t="str">
        <f t="shared" si="86"/>
        <v>351550_2024_12_</v>
      </c>
      <c r="J406" s="1616">
        <f t="shared" ref="J406" si="87">J397</f>
        <v>13.4</v>
      </c>
      <c r="K406" s="1595"/>
      <c r="L406" s="889" t="s">
        <v>1029</v>
      </c>
      <c r="N406" s="546"/>
      <c r="T406" s="50"/>
      <c r="U406" s="50"/>
      <c r="V406" s="2179"/>
      <c r="W406" s="1326"/>
      <c r="X406" s="794"/>
      <c r="Y406" s="794">
        <v>13</v>
      </c>
      <c r="Z406" s="1326">
        <v>13</v>
      </c>
      <c r="AA406" s="1326">
        <v>13</v>
      </c>
      <c r="AB406" s="1326">
        <v>13</v>
      </c>
      <c r="AC406" s="1326">
        <v>13</v>
      </c>
      <c r="AD406" s="1326">
        <v>13</v>
      </c>
      <c r="AE406" s="926">
        <v>14</v>
      </c>
      <c r="AF406" s="258">
        <f t="shared" si="84"/>
        <v>13.4</v>
      </c>
      <c r="AG406" s="1326"/>
      <c r="DG406" s="555"/>
      <c r="DH406" s="151"/>
      <c r="DI406" s="1049"/>
    </row>
    <row r="407" spans="1:113" hidden="1" outlineLevel="1" x14ac:dyDescent="0.25">
      <c r="A407" s="442"/>
      <c r="C407" s="49"/>
      <c r="D407" s="2179" t="s">
        <v>1033</v>
      </c>
      <c r="E407" s="2179" t="s">
        <v>1109</v>
      </c>
      <c r="F407" s="2186" t="str">
        <f t="shared" si="85"/>
        <v>Mini/MultiSplitAC_ER1_SF</v>
      </c>
      <c r="G407" s="2186"/>
      <c r="H407" s="2186"/>
      <c r="I407" s="889" t="str">
        <f t="shared" si="86"/>
        <v>351200_2024_12_</v>
      </c>
      <c r="J407" s="1604">
        <v>7.0198996256246149</v>
      </c>
      <c r="K407" s="12"/>
      <c r="L407" s="889" t="s">
        <v>1026</v>
      </c>
      <c r="N407" s="546"/>
      <c r="T407" s="50"/>
      <c r="U407" s="50"/>
      <c r="V407" s="2179" t="s">
        <v>1110</v>
      </c>
      <c r="W407" s="1326">
        <v>6.3</v>
      </c>
      <c r="X407" s="1326">
        <v>6.3</v>
      </c>
      <c r="Y407" s="1326">
        <v>6.3</v>
      </c>
      <c r="Z407" s="1326">
        <v>6.3</v>
      </c>
      <c r="AA407" s="1326">
        <v>6.3</v>
      </c>
      <c r="AB407" s="1334">
        <v>6.3</v>
      </c>
      <c r="AC407" s="708">
        <v>8.402496453661275</v>
      </c>
      <c r="AD407" s="898">
        <v>7.0198996256246149</v>
      </c>
      <c r="AE407" s="999">
        <v>7.0198996256246149</v>
      </c>
      <c r="AF407" s="258">
        <f t="shared" si="84"/>
        <v>7.0198996256246149</v>
      </c>
      <c r="AG407" s="1326"/>
      <c r="DG407" s="555"/>
      <c r="DH407" s="151"/>
      <c r="DI407" s="1049"/>
    </row>
    <row r="408" spans="1:113" hidden="1" outlineLevel="1" x14ac:dyDescent="0.25">
      <c r="A408" s="442"/>
      <c r="C408" s="49"/>
      <c r="D408" s="2179"/>
      <c r="E408" s="2179"/>
      <c r="F408" s="2186" t="str">
        <f t="shared" si="85"/>
        <v>Mini/MultiSplitAC_ROF_SF</v>
      </c>
      <c r="G408" s="2186"/>
      <c r="H408" s="2186"/>
      <c r="I408" s="889" t="str">
        <f t="shared" si="86"/>
        <v>351250_2024_12_</v>
      </c>
      <c r="J408" s="1604">
        <v>6.3</v>
      </c>
      <c r="K408" s="1595"/>
      <c r="L408" s="889" t="s">
        <v>1111</v>
      </c>
      <c r="N408" s="546"/>
      <c r="T408" s="50"/>
      <c r="U408" s="50"/>
      <c r="V408" s="2179"/>
      <c r="W408" s="1326">
        <v>6.3</v>
      </c>
      <c r="X408" s="1326">
        <v>6.3</v>
      </c>
      <c r="Y408" s="1326">
        <v>6.3</v>
      </c>
      <c r="Z408" s="1326">
        <v>6.3</v>
      </c>
      <c r="AA408" s="1326">
        <v>6.3</v>
      </c>
      <c r="AB408" s="1334">
        <v>6.3</v>
      </c>
      <c r="AC408" s="1334">
        <v>6.3</v>
      </c>
      <c r="AD408" s="999">
        <v>6.3</v>
      </c>
      <c r="AE408" s="999">
        <v>6.3</v>
      </c>
      <c r="AF408" s="258">
        <f t="shared" si="84"/>
        <v>6.3</v>
      </c>
      <c r="AG408" s="1326"/>
      <c r="DG408" s="555"/>
      <c r="DH408" s="151"/>
      <c r="DI408" s="1049"/>
    </row>
    <row r="409" spans="1:113" hidden="1" outlineLevel="1" x14ac:dyDescent="0.25">
      <c r="A409" s="442"/>
      <c r="C409" s="49"/>
      <c r="D409" s="2179"/>
      <c r="E409" s="2179"/>
      <c r="F409" s="2186" t="str">
        <f t="shared" si="85"/>
        <v>Mini/MultiSplitASHP_ROF_SF_NC</v>
      </c>
      <c r="G409" s="2186"/>
      <c r="H409" s="2186"/>
      <c r="I409" s="889" t="str">
        <f t="shared" si="86"/>
        <v>351300_2024_12_</v>
      </c>
      <c r="J409" s="1604">
        <v>7.2</v>
      </c>
      <c r="K409" s="1595"/>
      <c r="L409" s="889" t="s">
        <v>1111</v>
      </c>
      <c r="N409" s="546"/>
      <c r="T409" s="50"/>
      <c r="U409" s="50"/>
      <c r="V409" s="2179"/>
      <c r="W409" s="1326">
        <v>7.2</v>
      </c>
      <c r="X409" s="1326">
        <v>7.2</v>
      </c>
      <c r="Y409" s="1326">
        <v>7.2</v>
      </c>
      <c r="Z409" s="1326">
        <v>7.2</v>
      </c>
      <c r="AA409" s="1326">
        <v>7.2</v>
      </c>
      <c r="AB409" s="1334">
        <v>7.2</v>
      </c>
      <c r="AC409" s="1334">
        <v>7.2</v>
      </c>
      <c r="AD409" s="999">
        <v>7.2</v>
      </c>
      <c r="AE409" s="999">
        <v>7.2</v>
      </c>
      <c r="AF409" s="258">
        <f t="shared" si="84"/>
        <v>7.2</v>
      </c>
      <c r="AG409" s="1326"/>
      <c r="DG409" s="555"/>
      <c r="DH409" s="151"/>
      <c r="DI409" s="1049"/>
    </row>
    <row r="410" spans="1:113" hidden="1" outlineLevel="1" x14ac:dyDescent="0.25">
      <c r="A410" s="442"/>
      <c r="C410" s="49"/>
      <c r="D410" s="2179"/>
      <c r="E410" s="2179"/>
      <c r="F410" s="2186" t="str">
        <f t="shared" si="85"/>
        <v>Mini/MultiSplitASHP_ROF_SF</v>
      </c>
      <c r="G410" s="2186"/>
      <c r="H410" s="2186"/>
      <c r="I410" s="889" t="str">
        <f t="shared" si="86"/>
        <v>351350_2024_12_</v>
      </c>
      <c r="J410" s="1604">
        <v>7.2</v>
      </c>
      <c r="K410" s="1595"/>
      <c r="L410" s="53" t="s">
        <v>1111</v>
      </c>
      <c r="N410" s="546"/>
      <c r="T410" s="50"/>
      <c r="U410" s="50"/>
      <c r="V410" s="2179"/>
      <c r="W410" s="1326">
        <v>7.2</v>
      </c>
      <c r="X410" s="1326">
        <v>7.2</v>
      </c>
      <c r="Y410" s="1326">
        <v>7.2</v>
      </c>
      <c r="Z410" s="1326">
        <v>7.2</v>
      </c>
      <c r="AA410" s="1326">
        <v>7.2</v>
      </c>
      <c r="AB410" s="1494">
        <v>7.2</v>
      </c>
      <c r="AC410" s="1494">
        <v>7.2</v>
      </c>
      <c r="AD410" s="999">
        <v>7.2</v>
      </c>
      <c r="AE410" s="999">
        <v>7.2</v>
      </c>
      <c r="AF410" s="258">
        <f t="shared" si="84"/>
        <v>7.2</v>
      </c>
      <c r="AG410" s="1326"/>
      <c r="DG410" s="555"/>
      <c r="DH410" s="151"/>
      <c r="DI410" s="1049"/>
    </row>
    <row r="411" spans="1:113" hidden="1" outlineLevel="1" x14ac:dyDescent="0.25">
      <c r="A411" s="442"/>
      <c r="C411" s="49"/>
      <c r="D411" s="2179"/>
      <c r="E411" s="2179"/>
      <c r="F411" s="2186" t="str">
        <f t="shared" si="85"/>
        <v>Mini/MultiSplitASHP-Replace_CAC_ElectricHeat_ER1_SF</v>
      </c>
      <c r="G411" s="2186"/>
      <c r="H411" s="2186"/>
      <c r="I411" s="889" t="str">
        <f t="shared" si="86"/>
        <v>351400_2024_12_</v>
      </c>
      <c r="J411" s="1604">
        <v>8.0470351851474575</v>
      </c>
      <c r="K411" s="1595"/>
      <c r="L411" s="1593" t="s">
        <v>1035</v>
      </c>
      <c r="N411" s="546"/>
      <c r="T411" s="50"/>
      <c r="U411" s="50"/>
      <c r="V411" s="2179"/>
      <c r="W411" s="1326">
        <v>6.8</v>
      </c>
      <c r="X411" s="1326">
        <v>6.8</v>
      </c>
      <c r="Y411" s="1326">
        <v>6.8</v>
      </c>
      <c r="Z411" s="1326">
        <v>6.8</v>
      </c>
      <c r="AA411" s="1326">
        <v>6.8</v>
      </c>
      <c r="AB411" s="708">
        <v>7.6061892029279887</v>
      </c>
      <c r="AC411" s="708">
        <v>8.2976860977532869</v>
      </c>
      <c r="AD411" s="898">
        <v>7.838789123969689</v>
      </c>
      <c r="AE411" s="999">
        <v>7.838789123969689</v>
      </c>
      <c r="AF411" s="258">
        <f t="shared" si="84"/>
        <v>8.0470351851474575</v>
      </c>
      <c r="AG411" s="1326"/>
      <c r="DG411" s="555"/>
      <c r="DH411" s="151"/>
      <c r="DI411" s="1049"/>
    </row>
    <row r="412" spans="1:113" hidden="1" outlineLevel="1" x14ac:dyDescent="0.25">
      <c r="A412" s="442"/>
      <c r="C412" s="49"/>
      <c r="D412" s="2179"/>
      <c r="E412" s="2179"/>
      <c r="F412" s="2186" t="str">
        <f t="shared" si="85"/>
        <v>Mini/MultiSplitASHP-Replace_CAC_ElectricHeat_ROF_SF</v>
      </c>
      <c r="G412" s="2186"/>
      <c r="H412" s="2186"/>
      <c r="I412" s="889" t="str">
        <f t="shared" si="86"/>
        <v>351450_2024_12_</v>
      </c>
      <c r="J412" s="1604">
        <v>6.8</v>
      </c>
      <c r="K412" s="1595"/>
      <c r="L412" s="53" t="s">
        <v>1111</v>
      </c>
      <c r="N412" s="546"/>
      <c r="T412" s="50"/>
      <c r="U412" s="50"/>
      <c r="V412" s="2179"/>
      <c r="W412" s="1326">
        <v>6.8</v>
      </c>
      <c r="X412" s="1326">
        <v>6.8</v>
      </c>
      <c r="Y412" s="1326">
        <v>6.8</v>
      </c>
      <c r="Z412" s="1326">
        <v>6.8</v>
      </c>
      <c r="AA412" s="1326">
        <v>6.8</v>
      </c>
      <c r="AB412" s="1494">
        <v>6.8</v>
      </c>
      <c r="AC412" s="1494">
        <v>6.8</v>
      </c>
      <c r="AD412" s="999">
        <v>6.8</v>
      </c>
      <c r="AE412" s="999">
        <v>6.8</v>
      </c>
      <c r="AF412" s="258">
        <f t="shared" si="84"/>
        <v>6.8</v>
      </c>
      <c r="AG412" s="1326"/>
      <c r="DG412" s="555"/>
      <c r="DH412" s="151"/>
      <c r="DI412" s="1049"/>
    </row>
    <row r="413" spans="1:113" hidden="1" outlineLevel="1" x14ac:dyDescent="0.25">
      <c r="A413" s="442"/>
      <c r="C413" s="49"/>
      <c r="D413" s="2179"/>
      <c r="E413" s="2179"/>
      <c r="F413" s="2186" t="str">
        <f t="shared" si="85"/>
        <v>Mini/MultiSplitASHP-Replace_CAC_NonElectricHeat_ER1_SF</v>
      </c>
      <c r="G413" s="2186"/>
      <c r="H413" s="2186"/>
      <c r="I413" s="889" t="str">
        <f t="shared" si="86"/>
        <v>351401_2024_12_</v>
      </c>
      <c r="J413" s="1604">
        <f>J411</f>
        <v>8.0470351851474575</v>
      </c>
      <c r="K413" s="1595"/>
      <c r="L413" s="1593" t="s">
        <v>1035</v>
      </c>
      <c r="N413" s="546"/>
      <c r="T413" s="50"/>
      <c r="U413" s="50"/>
      <c r="V413" s="2179"/>
      <c r="W413" s="1326"/>
      <c r="X413" s="1326"/>
      <c r="Y413" s="1326"/>
      <c r="Z413" s="1326"/>
      <c r="AA413" s="1326"/>
      <c r="AB413" s="1494"/>
      <c r="AC413" s="1494"/>
      <c r="AD413" s="898">
        <v>7.838789123969689</v>
      </c>
      <c r="AE413" s="999">
        <v>7.838789123969689</v>
      </c>
      <c r="AF413" s="258">
        <f t="shared" si="84"/>
        <v>8.0470351851474575</v>
      </c>
      <c r="AG413" s="1326"/>
      <c r="DG413" s="555"/>
      <c r="DH413" s="151"/>
      <c r="DI413" s="1049"/>
    </row>
    <row r="414" spans="1:113" hidden="1" outlineLevel="1" x14ac:dyDescent="0.25">
      <c r="A414" s="442"/>
      <c r="C414" s="49"/>
      <c r="D414" s="2179"/>
      <c r="E414" s="2179"/>
      <c r="F414" s="2186" t="str">
        <f t="shared" si="85"/>
        <v>Mini/MultiSplitASHP-Replace_CAC_NonElectricHeat_ROF_SF</v>
      </c>
      <c r="G414" s="2186"/>
      <c r="H414" s="2186"/>
      <c r="I414" s="889" t="str">
        <f t="shared" si="86"/>
        <v>351451_2024_12_</v>
      </c>
      <c r="J414" s="1604">
        <f>J412</f>
        <v>6.8</v>
      </c>
      <c r="K414" s="1595"/>
      <c r="L414" s="53"/>
      <c r="N414" s="546"/>
      <c r="T414" s="50"/>
      <c r="U414" s="50"/>
      <c r="V414" s="2179"/>
      <c r="W414" s="1326"/>
      <c r="X414" s="1326"/>
      <c r="Y414" s="1326"/>
      <c r="Z414" s="1326"/>
      <c r="AA414" s="1326"/>
      <c r="AB414" s="1494"/>
      <c r="AC414" s="1494"/>
      <c r="AD414" s="898">
        <v>6.8</v>
      </c>
      <c r="AE414" s="999">
        <v>6.8</v>
      </c>
      <c r="AF414" s="258">
        <f t="shared" si="84"/>
        <v>6.8</v>
      </c>
      <c r="AG414" s="1326"/>
      <c r="DG414" s="555"/>
      <c r="DH414" s="151"/>
      <c r="DI414" s="1049"/>
    </row>
    <row r="415" spans="1:113" hidden="1" outlineLevel="1" x14ac:dyDescent="0.25">
      <c r="A415" s="442"/>
      <c r="C415" s="49"/>
      <c r="D415" s="2179"/>
      <c r="E415" s="2179"/>
      <c r="F415" s="2186" t="str">
        <f t="shared" si="85"/>
        <v>Mini/MultiSplitASHP_ER1_SF</v>
      </c>
      <c r="G415" s="2186"/>
      <c r="H415" s="2186"/>
      <c r="I415" s="889" t="str">
        <f t="shared" si="86"/>
        <v>351500_2024_12_</v>
      </c>
      <c r="J415" s="1604">
        <f>J411</f>
        <v>8.0470351851474575</v>
      </c>
      <c r="K415" s="1595"/>
      <c r="L415" s="1593" t="s">
        <v>1035</v>
      </c>
      <c r="N415" s="546"/>
      <c r="T415" s="50"/>
      <c r="U415" s="50"/>
      <c r="V415" s="2179"/>
      <c r="W415" s="1326">
        <v>7.2</v>
      </c>
      <c r="X415" s="1326">
        <v>7.2</v>
      </c>
      <c r="Y415" s="1326">
        <v>7.2</v>
      </c>
      <c r="Z415" s="1326">
        <v>7.2</v>
      </c>
      <c r="AA415" s="1326">
        <v>7.2</v>
      </c>
      <c r="AB415" s="708">
        <v>8.0162959726442171</v>
      </c>
      <c r="AC415" s="708">
        <v>8.2960580500029604</v>
      </c>
      <c r="AD415" s="898">
        <v>7.838789123969689</v>
      </c>
      <c r="AE415" s="999">
        <v>7.838789123969689</v>
      </c>
      <c r="AF415" s="258">
        <f t="shared" si="84"/>
        <v>8.0470351851474575</v>
      </c>
      <c r="AG415" s="1326"/>
      <c r="DG415" s="555"/>
      <c r="DH415" s="151"/>
      <c r="DI415" s="1049"/>
    </row>
    <row r="416" spans="1:113" hidden="1" outlineLevel="1" x14ac:dyDescent="0.25">
      <c r="A416" s="442"/>
      <c r="C416" s="49"/>
      <c r="D416" s="2179"/>
      <c r="E416" s="2179"/>
      <c r="F416" s="2186" t="str">
        <f t="shared" si="85"/>
        <v>Mini/MultiSplitAC_ER1_MF</v>
      </c>
      <c r="G416" s="2186"/>
      <c r="H416" s="2186"/>
      <c r="I416" s="889" t="str">
        <f t="shared" si="86"/>
        <v>351550_2024_12_</v>
      </c>
      <c r="J416" s="1604">
        <f t="shared" ref="J416" si="88">J407</f>
        <v>7.0198996256246149</v>
      </c>
      <c r="K416" s="1595"/>
      <c r="L416" s="1594" t="s">
        <v>1112</v>
      </c>
      <c r="N416" s="546"/>
      <c r="T416" s="50"/>
      <c r="U416" s="50"/>
      <c r="V416" s="2179"/>
      <c r="W416" s="1326"/>
      <c r="X416" s="794"/>
      <c r="Y416" s="794">
        <v>6.3</v>
      </c>
      <c r="Z416" s="1326">
        <v>6.3</v>
      </c>
      <c r="AA416" s="1326">
        <v>6.3</v>
      </c>
      <c r="AB416" s="1494">
        <v>6.3</v>
      </c>
      <c r="AC416" s="708">
        <v>8.402496453661275</v>
      </c>
      <c r="AD416" s="898">
        <v>7.0198996256246149</v>
      </c>
      <c r="AE416" s="999">
        <v>7.0198996256246149</v>
      </c>
      <c r="AF416" s="258">
        <f t="shared" si="84"/>
        <v>7.0198996256246149</v>
      </c>
      <c r="AG416" s="1326"/>
      <c r="DG416" s="555"/>
      <c r="DH416" s="151"/>
      <c r="DI416" s="1049"/>
    </row>
    <row r="417" spans="1:113" hidden="1" outlineLevel="1" x14ac:dyDescent="0.25">
      <c r="A417" s="442"/>
      <c r="C417" s="49"/>
      <c r="D417" s="2179" t="s">
        <v>1030</v>
      </c>
      <c r="E417" s="2179" t="s">
        <v>1113</v>
      </c>
      <c r="F417" s="2186" t="str">
        <f t="shared" si="85"/>
        <v>Mini/MultiSplitAC_ER1_SF</v>
      </c>
      <c r="G417" s="2186"/>
      <c r="H417" s="2186"/>
      <c r="I417" s="889" t="str">
        <f t="shared" si="86"/>
        <v>351200_2024_12_</v>
      </c>
      <c r="J417" s="1604">
        <v>19.833333333333332</v>
      </c>
      <c r="K417" s="12"/>
      <c r="L417" s="889" t="s">
        <v>1026</v>
      </c>
      <c r="N417" s="546"/>
      <c r="T417" s="50"/>
      <c r="U417" s="50"/>
      <c r="V417" s="2179" t="s">
        <v>1114</v>
      </c>
      <c r="W417" s="1326">
        <v>22.4</v>
      </c>
      <c r="X417" s="794">
        <v>23.17</v>
      </c>
      <c r="Y417" s="1326">
        <v>23.17</v>
      </c>
      <c r="Z417" s="1326">
        <v>23.17</v>
      </c>
      <c r="AA417" s="1326">
        <v>23.17</v>
      </c>
      <c r="AB417" s="709">
        <v>23.17</v>
      </c>
      <c r="AC417" s="704">
        <v>19.833333333333332</v>
      </c>
      <c r="AD417" s="898">
        <v>19.833333333333332</v>
      </c>
      <c r="AE417" s="999">
        <v>19.833333333333332</v>
      </c>
      <c r="AF417" s="258">
        <f t="shared" si="84"/>
        <v>19.833333333333332</v>
      </c>
      <c r="AG417" s="1326"/>
      <c r="DG417" s="555"/>
      <c r="DH417" s="151"/>
      <c r="DI417" s="1049"/>
    </row>
    <row r="418" spans="1:113" hidden="1" outlineLevel="1" x14ac:dyDescent="0.25">
      <c r="A418" s="442"/>
      <c r="C418" s="49"/>
      <c r="D418" s="2179"/>
      <c r="E418" s="2179"/>
      <c r="F418" s="2186" t="str">
        <f t="shared" si="85"/>
        <v>Mini/MultiSplitAC_ROF_SF</v>
      </c>
      <c r="G418" s="2186"/>
      <c r="H418" s="2186"/>
      <c r="I418" s="889" t="str">
        <f t="shared" si="86"/>
        <v>351250_2024_12_</v>
      </c>
      <c r="J418" s="1604">
        <v>22.344444444444445</v>
      </c>
      <c r="K418" s="1595"/>
      <c r="L418" s="1594" t="s">
        <v>1026</v>
      </c>
      <c r="N418" s="546"/>
      <c r="T418" s="50"/>
      <c r="U418" s="50"/>
      <c r="V418" s="2179"/>
      <c r="W418" s="1326">
        <v>21.6</v>
      </c>
      <c r="X418" s="794">
        <v>23.17</v>
      </c>
      <c r="Y418" s="1326">
        <v>23.17</v>
      </c>
      <c r="Z418" s="1326">
        <v>23.17</v>
      </c>
      <c r="AA418" s="1326">
        <v>23.17</v>
      </c>
      <c r="AB418" s="704">
        <v>22.918750000000003</v>
      </c>
      <c r="AC418" s="704">
        <v>21.705000000000005</v>
      </c>
      <c r="AD418" s="898">
        <v>22.344444444444445</v>
      </c>
      <c r="AE418" s="999">
        <v>22.344444444444445</v>
      </c>
      <c r="AF418" s="258">
        <f t="shared" si="84"/>
        <v>22.344444444444445</v>
      </c>
      <c r="AG418" s="1326"/>
      <c r="DG418" s="555"/>
      <c r="DH418" s="151"/>
      <c r="DI418" s="1049"/>
    </row>
    <row r="419" spans="1:113" hidden="1" outlineLevel="1" x14ac:dyDescent="0.25">
      <c r="A419" s="442"/>
      <c r="C419" s="49"/>
      <c r="D419" s="2179"/>
      <c r="E419" s="2179"/>
      <c r="F419" s="2186" t="str">
        <f t="shared" si="85"/>
        <v>Mini/MultiSplitASHP_ROF_SF_NC</v>
      </c>
      <c r="G419" s="2186"/>
      <c r="H419" s="2186"/>
      <c r="I419" s="889" t="str">
        <f t="shared" si="86"/>
        <v>351300_2024_12_</v>
      </c>
      <c r="J419" s="1604">
        <v>22.195566502463056</v>
      </c>
      <c r="K419" s="1595"/>
      <c r="L419" s="1593" t="s">
        <v>1024</v>
      </c>
      <c r="N419" s="546"/>
      <c r="T419" s="50"/>
      <c r="U419" s="50"/>
      <c r="V419" s="2179"/>
      <c r="W419" s="1326">
        <v>22.7</v>
      </c>
      <c r="X419" s="794">
        <v>23.17</v>
      </c>
      <c r="Y419" s="794">
        <v>19</v>
      </c>
      <c r="Z419" s="1326">
        <v>19</v>
      </c>
      <c r="AA419" s="1326">
        <v>19</v>
      </c>
      <c r="AB419" s="709">
        <v>19</v>
      </c>
      <c r="AC419" s="704">
        <v>22.316949152542367</v>
      </c>
      <c r="AD419" s="898">
        <v>22.166726618705052</v>
      </c>
      <c r="AE419" s="898">
        <v>22.195566502463056</v>
      </c>
      <c r="AF419" s="258">
        <f t="shared" si="84"/>
        <v>22.195566502463056</v>
      </c>
      <c r="AG419" s="1326"/>
      <c r="DG419" s="555"/>
      <c r="DH419" s="151"/>
      <c r="DI419" s="1049"/>
    </row>
    <row r="420" spans="1:113" hidden="1" outlineLevel="1" x14ac:dyDescent="0.25">
      <c r="A420" s="442"/>
      <c r="C420" s="49"/>
      <c r="D420" s="2179"/>
      <c r="E420" s="2179"/>
      <c r="F420" s="2186" t="str">
        <f t="shared" si="85"/>
        <v>Mini/MultiSplitASHP_ROF_SF</v>
      </c>
      <c r="G420" s="2186"/>
      <c r="H420" s="2186"/>
      <c r="I420" s="889" t="str">
        <f t="shared" si="86"/>
        <v>351350_2024_12_</v>
      </c>
      <c r="J420" s="1604">
        <v>22.195566502463056</v>
      </c>
      <c r="K420" s="1595"/>
      <c r="L420" s="1593" t="s">
        <v>1024</v>
      </c>
      <c r="N420" s="546"/>
      <c r="T420" s="50"/>
      <c r="U420" s="50"/>
      <c r="V420" s="2179"/>
      <c r="W420" s="1326">
        <v>22.7</v>
      </c>
      <c r="X420" s="794">
        <v>23.17</v>
      </c>
      <c r="Y420" s="794">
        <v>19</v>
      </c>
      <c r="Z420" s="1326">
        <v>19</v>
      </c>
      <c r="AA420" s="1326">
        <v>19</v>
      </c>
      <c r="AB420" s="704">
        <v>22.519480519480521</v>
      </c>
      <c r="AC420" s="704">
        <v>23.175000000000001</v>
      </c>
      <c r="AD420" s="898">
        <v>22.166726618705052</v>
      </c>
      <c r="AE420" s="898">
        <v>22.195566502463056</v>
      </c>
      <c r="AF420" s="258">
        <f t="shared" si="84"/>
        <v>22.195566502463056</v>
      </c>
      <c r="AG420" s="1326"/>
      <c r="DG420" s="555"/>
      <c r="DH420" s="151"/>
      <c r="DI420" s="1049"/>
    </row>
    <row r="421" spans="1:113" hidden="1" outlineLevel="1" x14ac:dyDescent="0.25">
      <c r="A421" s="442"/>
      <c r="C421" s="49"/>
      <c r="D421" s="2179"/>
      <c r="E421" s="2179"/>
      <c r="F421" s="2186" t="str">
        <f t="shared" si="85"/>
        <v>Mini/MultiSplitASHP-Replace_CAC_ElectricHeat_ER1_SF</v>
      </c>
      <c r="G421" s="2186"/>
      <c r="H421" s="2186"/>
      <c r="I421" s="889" t="str">
        <f t="shared" si="86"/>
        <v>351400_2024_12_</v>
      </c>
      <c r="J421" s="1604">
        <v>22.072727272727267</v>
      </c>
      <c r="K421" s="1595"/>
      <c r="L421" s="1593" t="s">
        <v>1024</v>
      </c>
      <c r="N421" s="546"/>
      <c r="T421" s="50"/>
      <c r="U421" s="50"/>
      <c r="V421" s="2179"/>
      <c r="W421" s="1326">
        <v>22.4</v>
      </c>
      <c r="X421" s="794">
        <v>23.17</v>
      </c>
      <c r="Y421" s="794">
        <v>22.63</v>
      </c>
      <c r="Z421" s="1326">
        <v>22.63</v>
      </c>
      <c r="AA421" s="1326">
        <v>22.63</v>
      </c>
      <c r="AB421" s="704">
        <v>22.429399999999998</v>
      </c>
      <c r="AC421" s="704">
        <v>21.460465116279071</v>
      </c>
      <c r="AD421" s="898">
        <v>21.870909090909091</v>
      </c>
      <c r="AE421" s="898">
        <v>22.072727272727267</v>
      </c>
      <c r="AF421" s="258">
        <f t="shared" si="84"/>
        <v>22.072727272727267</v>
      </c>
      <c r="AG421" s="1326"/>
      <c r="DG421" s="555"/>
      <c r="DH421" s="151"/>
      <c r="DI421" s="1049"/>
    </row>
    <row r="422" spans="1:113" hidden="1" outlineLevel="1" x14ac:dyDescent="0.25">
      <c r="A422" s="442"/>
      <c r="C422" s="49"/>
      <c r="D422" s="2179"/>
      <c r="E422" s="2179"/>
      <c r="F422" s="2186" t="str">
        <f t="shared" si="85"/>
        <v>Mini/MultiSplitASHP-Replace_CAC_ElectricHeat_ROF_SF</v>
      </c>
      <c r="G422" s="2186"/>
      <c r="H422" s="2186"/>
      <c r="I422" s="889" t="str">
        <f t="shared" si="86"/>
        <v>351450_2024_12_</v>
      </c>
      <c r="J422" s="1604">
        <v>22.195566502463056</v>
      </c>
      <c r="K422" s="1595"/>
      <c r="L422" s="1593" t="s">
        <v>1024</v>
      </c>
      <c r="N422" s="546"/>
      <c r="T422" s="50"/>
      <c r="U422" s="50"/>
      <c r="V422" s="2179"/>
      <c r="W422" s="1326">
        <v>21.6</v>
      </c>
      <c r="X422" s="794">
        <v>23.17</v>
      </c>
      <c r="Y422" s="794">
        <v>22.77</v>
      </c>
      <c r="Z422" s="1326">
        <v>22.77</v>
      </c>
      <c r="AA422" s="1326">
        <v>22.77</v>
      </c>
      <c r="AB422" s="704">
        <v>23.193333333333332</v>
      </c>
      <c r="AC422" s="704">
        <v>22.146153846153844</v>
      </c>
      <c r="AD422" s="898">
        <v>22.166726618705052</v>
      </c>
      <c r="AE422" s="898">
        <v>22.195566502463056</v>
      </c>
      <c r="AF422" s="258">
        <f t="shared" si="84"/>
        <v>22.195566502463056</v>
      </c>
      <c r="AG422" s="1326"/>
      <c r="DG422" s="555"/>
      <c r="DH422" s="151"/>
      <c r="DI422" s="1049"/>
    </row>
    <row r="423" spans="1:113" hidden="1" outlineLevel="1" x14ac:dyDescent="0.25">
      <c r="A423" s="442"/>
      <c r="C423" s="49"/>
      <c r="D423" s="2179"/>
      <c r="E423" s="2179"/>
      <c r="F423" s="2186" t="str">
        <f t="shared" si="85"/>
        <v>Mini/MultiSplitASHP-Replace_CAC_NonElectricHeat_ER1_SF</v>
      </c>
      <c r="G423" s="2186"/>
      <c r="H423" s="2186"/>
      <c r="I423" s="889" t="str">
        <f t="shared" si="86"/>
        <v>351401_2024_12_</v>
      </c>
      <c r="J423" s="1604">
        <v>22.072727272727267</v>
      </c>
      <c r="K423" s="1595"/>
      <c r="L423" s="1593" t="s">
        <v>1024</v>
      </c>
      <c r="N423" s="546"/>
      <c r="T423" s="50"/>
      <c r="U423" s="50"/>
      <c r="V423" s="2179"/>
      <c r="W423" s="1326"/>
      <c r="X423" s="794"/>
      <c r="Y423" s="794"/>
      <c r="Z423" s="1326"/>
      <c r="AA423" s="1326"/>
      <c r="AB423" s="704"/>
      <c r="AC423" s="704"/>
      <c r="AD423" s="898">
        <v>21.870909090909091</v>
      </c>
      <c r="AE423" s="898">
        <v>22.072727272727267</v>
      </c>
      <c r="AF423" s="258">
        <f t="shared" si="84"/>
        <v>22.072727272727267</v>
      </c>
      <c r="AG423" s="1326"/>
      <c r="DG423" s="555"/>
      <c r="DH423" s="151"/>
      <c r="DI423" s="1049"/>
    </row>
    <row r="424" spans="1:113" hidden="1" outlineLevel="1" x14ac:dyDescent="0.25">
      <c r="A424" s="442"/>
      <c r="C424" s="49"/>
      <c r="D424" s="2179"/>
      <c r="E424" s="2179"/>
      <c r="F424" s="2186" t="str">
        <f t="shared" si="85"/>
        <v>Mini/MultiSplitASHP-Replace_CAC_NonElectricHeat_ROF_SF</v>
      </c>
      <c r="G424" s="2186"/>
      <c r="H424" s="2186"/>
      <c r="I424" s="889" t="str">
        <f t="shared" si="86"/>
        <v>351451_2024_12_</v>
      </c>
      <c r="J424" s="1604">
        <v>22.195566502463056</v>
      </c>
      <c r="K424" s="1595"/>
      <c r="L424" s="1593" t="s">
        <v>1024</v>
      </c>
      <c r="N424" s="546"/>
      <c r="T424" s="50"/>
      <c r="U424" s="50"/>
      <c r="V424" s="2179"/>
      <c r="W424" s="1326"/>
      <c r="X424" s="794"/>
      <c r="Y424" s="794"/>
      <c r="Z424" s="1326"/>
      <c r="AA424" s="1326"/>
      <c r="AB424" s="704"/>
      <c r="AC424" s="704"/>
      <c r="AD424" s="898">
        <v>22.166726618705052</v>
      </c>
      <c r="AE424" s="898">
        <v>22.195566502463056</v>
      </c>
      <c r="AF424" s="258">
        <f t="shared" si="84"/>
        <v>22.195566502463056</v>
      </c>
      <c r="AG424" s="1326"/>
      <c r="DG424" s="555"/>
      <c r="DH424" s="151"/>
      <c r="DI424" s="1049"/>
    </row>
    <row r="425" spans="1:113" hidden="1" outlineLevel="1" x14ac:dyDescent="0.25">
      <c r="A425" s="442"/>
      <c r="C425" s="49"/>
      <c r="D425" s="2179"/>
      <c r="E425" s="2179"/>
      <c r="F425" s="2186" t="str">
        <f t="shared" si="85"/>
        <v>Mini/MultiSplitASHP_ER1_SF</v>
      </c>
      <c r="G425" s="2186"/>
      <c r="H425" s="2186"/>
      <c r="I425" s="889" t="str">
        <f t="shared" si="86"/>
        <v>351500_2024_12_</v>
      </c>
      <c r="J425" s="1604">
        <v>22.072727272727267</v>
      </c>
      <c r="K425" s="1595"/>
      <c r="L425" s="1593" t="s">
        <v>1024</v>
      </c>
      <c r="N425" s="546"/>
      <c r="T425" s="50"/>
      <c r="U425" s="50"/>
      <c r="V425" s="2179"/>
      <c r="W425" s="1326">
        <v>21.2</v>
      </c>
      <c r="X425" s="794">
        <v>23.17</v>
      </c>
      <c r="Y425" s="794">
        <v>27.01</v>
      </c>
      <c r="Z425" s="1326">
        <v>27.01</v>
      </c>
      <c r="AA425" s="1326">
        <v>27.01</v>
      </c>
      <c r="AB425" s="704">
        <v>22.249999999999996</v>
      </c>
      <c r="AC425" s="704">
        <v>21.90909090909091</v>
      </c>
      <c r="AD425" s="898">
        <v>21.870909090909091</v>
      </c>
      <c r="AE425" s="898">
        <v>22.072727272727267</v>
      </c>
      <c r="AF425" s="258">
        <f t="shared" si="84"/>
        <v>22.072727272727267</v>
      </c>
      <c r="AG425" s="1326"/>
      <c r="DG425" s="555"/>
      <c r="DH425" s="151"/>
      <c r="DI425" s="1049"/>
    </row>
    <row r="426" spans="1:113" hidden="1" outlineLevel="1" x14ac:dyDescent="0.25">
      <c r="A426" s="442"/>
      <c r="C426" s="49"/>
      <c r="D426" s="2179"/>
      <c r="E426" s="2179"/>
      <c r="F426" s="2186" t="str">
        <f t="shared" si="85"/>
        <v>Mini/MultiSplitAC_ER1_MF</v>
      </c>
      <c r="G426" s="2186"/>
      <c r="H426" s="2186"/>
      <c r="I426" s="889" t="str">
        <f t="shared" si="86"/>
        <v>351550_2024_12_</v>
      </c>
      <c r="J426" s="1604">
        <v>19.833333333333332</v>
      </c>
      <c r="K426" s="1595"/>
      <c r="L426" s="1594" t="s">
        <v>1026</v>
      </c>
      <c r="N426" s="546"/>
      <c r="T426" s="50"/>
      <c r="U426" s="50"/>
      <c r="V426" s="2179"/>
      <c r="W426" s="1326"/>
      <c r="X426" s="794"/>
      <c r="Y426" s="794">
        <v>23.17</v>
      </c>
      <c r="Z426" s="1326">
        <v>23.17</v>
      </c>
      <c r="AA426" s="1326">
        <v>23.17</v>
      </c>
      <c r="AB426" s="709">
        <v>23.17</v>
      </c>
      <c r="AC426" s="704">
        <v>19.833333333333332</v>
      </c>
      <c r="AD426" s="898">
        <v>19.833333333333332</v>
      </c>
      <c r="AE426" s="999">
        <v>19.833333333333332</v>
      </c>
      <c r="AF426" s="258">
        <f t="shared" si="84"/>
        <v>19.833333333333332</v>
      </c>
      <c r="AG426" s="1326"/>
      <c r="DG426" s="555"/>
      <c r="DH426" s="151"/>
      <c r="DI426" s="1049"/>
    </row>
    <row r="427" spans="1:113" hidden="1" outlineLevel="1" x14ac:dyDescent="0.25">
      <c r="A427" s="442"/>
      <c r="C427" s="49"/>
      <c r="D427" s="2179" t="s">
        <v>722</v>
      </c>
      <c r="E427" s="2179" t="s">
        <v>1115</v>
      </c>
      <c r="F427" s="2182" t="str">
        <f t="shared" ref="F427:F451" si="89">E293</f>
        <v>Mini/MultiSplitAC_ER1_SF</v>
      </c>
      <c r="G427" s="2182"/>
      <c r="H427" s="2182"/>
      <c r="I427" s="890" t="str">
        <f t="shared" ref="I427:I451" si="90">C293</f>
        <v>351200_2024_12_</v>
      </c>
      <c r="J427" s="1605">
        <v>1</v>
      </c>
      <c r="K427" s="217"/>
      <c r="L427" s="2182"/>
      <c r="N427" s="546"/>
      <c r="T427" s="50"/>
      <c r="U427" s="50"/>
      <c r="V427" s="2179" t="s">
        <v>722</v>
      </c>
      <c r="W427" s="216">
        <v>1</v>
      </c>
      <c r="X427" s="216">
        <v>1</v>
      </c>
      <c r="Y427" s="216">
        <v>1</v>
      </c>
      <c r="Z427" s="216">
        <v>1</v>
      </c>
      <c r="AA427" s="216">
        <v>1</v>
      </c>
      <c r="AB427" s="1109">
        <v>1</v>
      </c>
      <c r="AC427" s="1109">
        <v>1</v>
      </c>
      <c r="AD427" s="1109">
        <v>1</v>
      </c>
      <c r="AE427" s="1109">
        <v>1</v>
      </c>
      <c r="AF427" s="258">
        <f t="shared" ref="AF427:AF451" si="91">IF(J427&lt;&gt;"",J427,"")</f>
        <v>1</v>
      </c>
      <c r="AG427" s="216"/>
      <c r="DG427" s="555"/>
      <c r="DH427" s="151"/>
      <c r="DI427" s="1049"/>
    </row>
    <row r="428" spans="1:113" hidden="1" outlineLevel="1" x14ac:dyDescent="0.25">
      <c r="A428" s="442"/>
      <c r="C428" s="49"/>
      <c r="D428" s="2179"/>
      <c r="E428" s="2179"/>
      <c r="F428" s="2182" t="str">
        <f t="shared" si="89"/>
        <v>Mini/MultiSplitAC_ER2_SF</v>
      </c>
      <c r="G428" s="2182"/>
      <c r="H428" s="2182"/>
      <c r="I428" s="890" t="str">
        <f t="shared" si="90"/>
        <v>351200_2024_12_</v>
      </c>
      <c r="J428" s="1605">
        <v>1</v>
      </c>
      <c r="K428" s="217"/>
      <c r="L428" s="2218"/>
      <c r="N428" s="546"/>
      <c r="T428" s="50"/>
      <c r="U428" s="50"/>
      <c r="V428" s="2179"/>
      <c r="W428" s="216">
        <v>1</v>
      </c>
      <c r="X428" s="216">
        <v>1</v>
      </c>
      <c r="Y428" s="216">
        <v>1</v>
      </c>
      <c r="Z428" s="216">
        <v>1</v>
      </c>
      <c r="AA428" s="216">
        <v>1</v>
      </c>
      <c r="AB428" s="216">
        <v>1</v>
      </c>
      <c r="AC428" s="216">
        <v>1</v>
      </c>
      <c r="AD428" s="216">
        <v>1</v>
      </c>
      <c r="AE428" s="1109">
        <v>1</v>
      </c>
      <c r="AF428" s="258">
        <f t="shared" si="91"/>
        <v>1</v>
      </c>
      <c r="AG428" s="216"/>
      <c r="DG428" s="555"/>
      <c r="DH428" s="151"/>
      <c r="DI428" s="1049"/>
    </row>
    <row r="429" spans="1:113" hidden="1" outlineLevel="1" x14ac:dyDescent="0.25">
      <c r="A429" s="442"/>
      <c r="C429" s="49"/>
      <c r="D429" s="2179"/>
      <c r="E429" s="2179"/>
      <c r="F429" s="2182" t="str">
        <f t="shared" si="89"/>
        <v>Mini/MultiSplitAC_ROF_SF</v>
      </c>
      <c r="G429" s="2182"/>
      <c r="H429" s="2182"/>
      <c r="I429" s="890" t="str">
        <f t="shared" si="90"/>
        <v>351250_2024_12_</v>
      </c>
      <c r="J429" s="1605">
        <v>1</v>
      </c>
      <c r="K429" s="217"/>
      <c r="L429" s="2218"/>
      <c r="N429" s="546"/>
      <c r="T429" s="50"/>
      <c r="U429" s="50"/>
      <c r="V429" s="2179"/>
      <c r="W429" s="216">
        <v>1</v>
      </c>
      <c r="X429" s="216">
        <v>1</v>
      </c>
      <c r="Y429" s="216">
        <v>1</v>
      </c>
      <c r="Z429" s="216">
        <v>1</v>
      </c>
      <c r="AA429" s="216">
        <v>1</v>
      </c>
      <c r="AB429" s="216">
        <v>1</v>
      </c>
      <c r="AC429" s="216">
        <v>1</v>
      </c>
      <c r="AD429" s="216">
        <v>1</v>
      </c>
      <c r="AE429" s="1109">
        <v>1</v>
      </c>
      <c r="AF429" s="258">
        <f t="shared" si="91"/>
        <v>1</v>
      </c>
      <c r="AG429" s="216"/>
      <c r="DG429" s="555"/>
      <c r="DH429" s="151"/>
      <c r="DI429" s="1049"/>
    </row>
    <row r="430" spans="1:113" hidden="1" outlineLevel="1" x14ac:dyDescent="0.25">
      <c r="A430" s="442"/>
      <c r="C430" s="49"/>
      <c r="D430" s="2179"/>
      <c r="E430" s="2179"/>
      <c r="F430" s="2182" t="str">
        <f t="shared" si="89"/>
        <v>Mini/MultiSplitASHP_ROF_SF_NC</v>
      </c>
      <c r="G430" s="2182"/>
      <c r="H430" s="2182"/>
      <c r="I430" s="890" t="str">
        <f t="shared" si="90"/>
        <v>351300_2024_12_</v>
      </c>
      <c r="J430" s="1605">
        <v>1</v>
      </c>
      <c r="K430" s="217"/>
      <c r="L430" s="2218"/>
      <c r="N430" s="546"/>
      <c r="T430" s="50"/>
      <c r="U430" s="50"/>
      <c r="V430" s="2179"/>
      <c r="W430" s="216">
        <v>1</v>
      </c>
      <c r="X430" s="216">
        <v>1</v>
      </c>
      <c r="Y430" s="216">
        <v>1</v>
      </c>
      <c r="Z430" s="216">
        <v>1</v>
      </c>
      <c r="AA430" s="216">
        <v>1</v>
      </c>
      <c r="AB430" s="216">
        <v>1</v>
      </c>
      <c r="AC430" s="216">
        <v>1</v>
      </c>
      <c r="AD430" s="216">
        <v>1</v>
      </c>
      <c r="AE430" s="1109">
        <v>1</v>
      </c>
      <c r="AF430" s="258">
        <f t="shared" si="91"/>
        <v>1</v>
      </c>
      <c r="AG430" s="216"/>
      <c r="DG430" s="555"/>
      <c r="DH430" s="151"/>
      <c r="DI430" s="1049"/>
    </row>
    <row r="431" spans="1:113" hidden="1" outlineLevel="1" x14ac:dyDescent="0.25">
      <c r="A431" s="442"/>
      <c r="C431" s="49"/>
      <c r="D431" s="2179"/>
      <c r="E431" s="2179"/>
      <c r="F431" s="2182" t="str">
        <f t="shared" si="89"/>
        <v>Mini/MultiSplitASHP_ROF_SF_NC</v>
      </c>
      <c r="G431" s="2182"/>
      <c r="H431" s="2182"/>
      <c r="I431" s="890" t="str">
        <f t="shared" si="90"/>
        <v>351300_2024_12_</v>
      </c>
      <c r="J431" s="1605">
        <v>1</v>
      </c>
      <c r="K431" s="217"/>
      <c r="L431" s="2218"/>
      <c r="N431" s="546"/>
      <c r="T431" s="50"/>
      <c r="U431" s="50"/>
      <c r="V431" s="2179"/>
      <c r="W431" s="216">
        <v>1</v>
      </c>
      <c r="X431" s="216">
        <v>1</v>
      </c>
      <c r="Y431" s="216">
        <v>1</v>
      </c>
      <c r="Z431" s="216">
        <v>1</v>
      </c>
      <c r="AA431" s="216">
        <v>1</v>
      </c>
      <c r="AB431" s="216">
        <v>1</v>
      </c>
      <c r="AC431" s="216">
        <v>1</v>
      </c>
      <c r="AD431" s="216">
        <v>1</v>
      </c>
      <c r="AE431" s="1109">
        <v>1</v>
      </c>
      <c r="AF431" s="258">
        <f t="shared" si="91"/>
        <v>1</v>
      </c>
      <c r="AG431" s="216"/>
      <c r="DG431" s="555"/>
      <c r="DH431" s="151"/>
      <c r="DI431" s="1049"/>
    </row>
    <row r="432" spans="1:113" hidden="1" outlineLevel="1" x14ac:dyDescent="0.25">
      <c r="A432" s="442"/>
      <c r="C432" s="49"/>
      <c r="D432" s="2179"/>
      <c r="E432" s="2179"/>
      <c r="F432" s="2182" t="str">
        <f t="shared" si="89"/>
        <v>Mini/MultiSplitASHP_ROF_SF</v>
      </c>
      <c r="G432" s="2182"/>
      <c r="H432" s="2182"/>
      <c r="I432" s="890" t="str">
        <f t="shared" si="90"/>
        <v>351350_2024_12_</v>
      </c>
      <c r="J432" s="1605">
        <v>1</v>
      </c>
      <c r="K432" s="217"/>
      <c r="L432" s="2218"/>
      <c r="N432" s="546"/>
      <c r="T432" s="50"/>
      <c r="U432" s="50"/>
      <c r="V432" s="2179"/>
      <c r="W432" s="216">
        <v>1</v>
      </c>
      <c r="X432" s="216">
        <v>1</v>
      </c>
      <c r="Y432" s="216">
        <v>1</v>
      </c>
      <c r="Z432" s="216">
        <v>1</v>
      </c>
      <c r="AA432" s="216">
        <v>1</v>
      </c>
      <c r="AB432" s="216">
        <v>1</v>
      </c>
      <c r="AC432" s="216">
        <v>1</v>
      </c>
      <c r="AD432" s="216">
        <v>1</v>
      </c>
      <c r="AE432" s="1109">
        <v>1</v>
      </c>
      <c r="AF432" s="258">
        <f t="shared" si="91"/>
        <v>1</v>
      </c>
      <c r="AG432" s="216"/>
      <c r="DG432" s="555"/>
      <c r="DH432" s="151"/>
      <c r="DI432" s="1049"/>
    </row>
    <row r="433" spans="1:113" hidden="1" outlineLevel="1" x14ac:dyDescent="0.25">
      <c r="A433" s="442"/>
      <c r="C433" s="49"/>
      <c r="D433" s="2179"/>
      <c r="E433" s="2179"/>
      <c r="F433" s="2182" t="str">
        <f t="shared" si="89"/>
        <v>Mini/MultiSplitASHP_ROF_SF</v>
      </c>
      <c r="G433" s="2182"/>
      <c r="H433" s="2182"/>
      <c r="I433" s="890" t="str">
        <f t="shared" si="90"/>
        <v>351350_2024_12_</v>
      </c>
      <c r="J433" s="1605">
        <v>1</v>
      </c>
      <c r="K433" s="217"/>
      <c r="L433" s="2218"/>
      <c r="N433" s="546"/>
      <c r="T433" s="50"/>
      <c r="U433" s="50"/>
      <c r="V433" s="2179"/>
      <c r="W433" s="216">
        <v>1</v>
      </c>
      <c r="X433" s="216">
        <v>1</v>
      </c>
      <c r="Y433" s="216">
        <v>1</v>
      </c>
      <c r="Z433" s="216">
        <v>1</v>
      </c>
      <c r="AA433" s="216">
        <v>1</v>
      </c>
      <c r="AB433" s="216">
        <v>1</v>
      </c>
      <c r="AC433" s="216">
        <v>1</v>
      </c>
      <c r="AD433" s="216">
        <v>1</v>
      </c>
      <c r="AE433" s="1109">
        <v>1</v>
      </c>
      <c r="AF433" s="258">
        <f t="shared" si="91"/>
        <v>1</v>
      </c>
      <c r="AG433" s="216"/>
      <c r="DG433" s="555"/>
      <c r="DH433" s="151"/>
      <c r="DI433" s="1049"/>
    </row>
    <row r="434" spans="1:113" hidden="1" outlineLevel="1" x14ac:dyDescent="0.25">
      <c r="A434" s="442"/>
      <c r="C434" s="49"/>
      <c r="D434" s="2179"/>
      <c r="E434" s="2179"/>
      <c r="F434" s="2182" t="str">
        <f t="shared" si="89"/>
        <v>Mini/MultiSplitASHP-Replace_CAC_ElectricHeat_ER1_SF</v>
      </c>
      <c r="G434" s="2182"/>
      <c r="H434" s="2182"/>
      <c r="I434" s="890" t="str">
        <f t="shared" si="90"/>
        <v>351400_2024_12_</v>
      </c>
      <c r="J434" s="1605">
        <v>1</v>
      </c>
      <c r="K434" s="217"/>
      <c r="L434" s="2218"/>
      <c r="N434" s="546"/>
      <c r="T434" s="50"/>
      <c r="U434" s="50"/>
      <c r="V434" s="2179"/>
      <c r="W434" s="216">
        <v>1</v>
      </c>
      <c r="X434" s="216">
        <v>1</v>
      </c>
      <c r="Y434" s="216">
        <v>1</v>
      </c>
      <c r="Z434" s="216">
        <v>1</v>
      </c>
      <c r="AA434" s="216">
        <v>1</v>
      </c>
      <c r="AB434" s="216">
        <v>1</v>
      </c>
      <c r="AC434" s="216">
        <v>1</v>
      </c>
      <c r="AD434" s="216">
        <v>1</v>
      </c>
      <c r="AE434" s="1109">
        <v>1</v>
      </c>
      <c r="AF434" s="258">
        <f t="shared" si="91"/>
        <v>1</v>
      </c>
      <c r="AG434" s="216"/>
      <c r="DG434" s="555"/>
      <c r="DH434" s="151"/>
      <c r="DI434" s="1049"/>
    </row>
    <row r="435" spans="1:113" hidden="1" outlineLevel="1" x14ac:dyDescent="0.25">
      <c r="A435" s="442"/>
      <c r="C435" s="49"/>
      <c r="D435" s="2179"/>
      <c r="E435" s="2179"/>
      <c r="F435" s="2182" t="str">
        <f t="shared" si="89"/>
        <v>Mini/MultiSplitASHP-Replace_CAC_ElectricHeat_ER1_SF</v>
      </c>
      <c r="G435" s="2182"/>
      <c r="H435" s="2182"/>
      <c r="I435" s="890" t="str">
        <f t="shared" si="90"/>
        <v>351400_2024_12_</v>
      </c>
      <c r="J435" s="1605">
        <v>1</v>
      </c>
      <c r="K435" s="217"/>
      <c r="L435" s="2218"/>
      <c r="N435" s="546"/>
      <c r="T435" s="50"/>
      <c r="U435" s="50"/>
      <c r="V435" s="2179"/>
      <c r="W435" s="216">
        <v>1</v>
      </c>
      <c r="X435" s="216">
        <v>1</v>
      </c>
      <c r="Y435" s="216">
        <v>1</v>
      </c>
      <c r="Z435" s="216">
        <v>1</v>
      </c>
      <c r="AA435" s="216">
        <v>1</v>
      </c>
      <c r="AB435" s="216">
        <v>1</v>
      </c>
      <c r="AC435" s="216">
        <v>1</v>
      </c>
      <c r="AD435" s="216">
        <v>1</v>
      </c>
      <c r="AE435" s="1109">
        <v>1</v>
      </c>
      <c r="AF435" s="258">
        <f t="shared" si="91"/>
        <v>1</v>
      </c>
      <c r="AG435" s="216"/>
      <c r="DG435" s="555"/>
      <c r="DH435" s="151"/>
      <c r="DI435" s="1049"/>
    </row>
    <row r="436" spans="1:113" hidden="1" outlineLevel="1" x14ac:dyDescent="0.25">
      <c r="A436" s="442"/>
      <c r="C436" s="49"/>
      <c r="D436" s="2179"/>
      <c r="E436" s="2179"/>
      <c r="F436" s="2182" t="str">
        <f t="shared" si="89"/>
        <v>Mini/MultiSplitASHP-Replace_CAC_ElectricHeat_ER2_SF</v>
      </c>
      <c r="G436" s="2182"/>
      <c r="H436" s="2182"/>
      <c r="I436" s="890" t="str">
        <f t="shared" si="90"/>
        <v>351400_2024_12_</v>
      </c>
      <c r="J436" s="1605">
        <v>1</v>
      </c>
      <c r="K436" s="217"/>
      <c r="L436" s="2218"/>
      <c r="N436" s="546"/>
      <c r="T436" s="50"/>
      <c r="U436" s="50"/>
      <c r="V436" s="2179"/>
      <c r="W436" s="216">
        <v>1</v>
      </c>
      <c r="X436" s="216">
        <v>1</v>
      </c>
      <c r="Y436" s="216">
        <v>1</v>
      </c>
      <c r="Z436" s="216">
        <v>1</v>
      </c>
      <c r="AA436" s="216">
        <v>1</v>
      </c>
      <c r="AB436" s="216">
        <v>1</v>
      </c>
      <c r="AC436" s="216">
        <v>1</v>
      </c>
      <c r="AD436" s="216">
        <v>1</v>
      </c>
      <c r="AE436" s="1109">
        <v>1</v>
      </c>
      <c r="AF436" s="258">
        <f t="shared" si="91"/>
        <v>1</v>
      </c>
      <c r="AG436" s="216"/>
      <c r="DG436" s="555"/>
      <c r="DH436" s="151"/>
      <c r="DI436" s="1049"/>
    </row>
    <row r="437" spans="1:113" hidden="1" outlineLevel="1" x14ac:dyDescent="0.25">
      <c r="A437" s="442"/>
      <c r="C437" s="49"/>
      <c r="D437" s="2179"/>
      <c r="E437" s="2179"/>
      <c r="F437" s="2182" t="str">
        <f t="shared" si="89"/>
        <v>Mini/MultiSplitASHP-Replace_CAC_ElectricHeat_ER2_SF</v>
      </c>
      <c r="G437" s="2182"/>
      <c r="H437" s="2182"/>
      <c r="I437" s="890" t="str">
        <f t="shared" si="90"/>
        <v>351400_2024_12_</v>
      </c>
      <c r="J437" s="1605">
        <v>1</v>
      </c>
      <c r="K437" s="217"/>
      <c r="L437" s="2218"/>
      <c r="N437" s="546"/>
      <c r="T437" s="50"/>
      <c r="U437" s="50"/>
      <c r="V437" s="2179"/>
      <c r="W437" s="216">
        <v>1</v>
      </c>
      <c r="X437" s="216">
        <v>1</v>
      </c>
      <c r="Y437" s="216">
        <v>1</v>
      </c>
      <c r="Z437" s="216">
        <v>1</v>
      </c>
      <c r="AA437" s="216">
        <v>1</v>
      </c>
      <c r="AB437" s="216">
        <v>1</v>
      </c>
      <c r="AC437" s="216">
        <v>1</v>
      </c>
      <c r="AD437" s="216">
        <v>1</v>
      </c>
      <c r="AE437" s="1109">
        <v>1</v>
      </c>
      <c r="AF437" s="258">
        <f t="shared" si="91"/>
        <v>1</v>
      </c>
      <c r="AG437" s="216"/>
      <c r="DG437" s="555"/>
      <c r="DH437" s="151"/>
      <c r="DI437" s="1049"/>
    </row>
    <row r="438" spans="1:113" hidden="1" outlineLevel="1" x14ac:dyDescent="0.25">
      <c r="A438" s="442"/>
      <c r="C438" s="49"/>
      <c r="D438" s="2179"/>
      <c r="E438" s="2179"/>
      <c r="F438" s="2182" t="str">
        <f t="shared" si="89"/>
        <v>Mini/MultiSplitASHP-Replace_CAC_NonElectricHeat_ER1_SF</v>
      </c>
      <c r="G438" s="2182"/>
      <c r="H438" s="2182"/>
      <c r="I438" s="890" t="str">
        <f t="shared" si="90"/>
        <v>351401_2024_12_</v>
      </c>
      <c r="J438" s="1605">
        <v>1</v>
      </c>
      <c r="K438" s="217"/>
      <c r="L438" s="2218"/>
      <c r="N438" s="546"/>
      <c r="T438" s="50"/>
      <c r="U438" s="50"/>
      <c r="V438" s="2179"/>
      <c r="W438" s="216"/>
      <c r="X438" s="216"/>
      <c r="Y438" s="216"/>
      <c r="Z438" s="216"/>
      <c r="AA438" s="216"/>
      <c r="AB438" s="216"/>
      <c r="AC438" s="216"/>
      <c r="AD438" s="218">
        <v>1</v>
      </c>
      <c r="AE438" s="1109">
        <v>1</v>
      </c>
      <c r="AF438" s="258">
        <f t="shared" si="91"/>
        <v>1</v>
      </c>
      <c r="AG438" s="216"/>
      <c r="DG438" s="555"/>
      <c r="DH438" s="151"/>
      <c r="DI438" s="1049"/>
    </row>
    <row r="439" spans="1:113" hidden="1" outlineLevel="1" x14ac:dyDescent="0.25">
      <c r="A439" s="442"/>
      <c r="C439" s="49"/>
      <c r="D439" s="2179"/>
      <c r="E439" s="2179"/>
      <c r="F439" s="2182" t="str">
        <f t="shared" si="89"/>
        <v>Mini/MultiSplitASHP-Replace_CAC_NonElectricHeat_ER1_SF</v>
      </c>
      <c r="G439" s="2182"/>
      <c r="H439" s="2182"/>
      <c r="I439" s="890" t="str">
        <f t="shared" si="90"/>
        <v>351401_2024_12_</v>
      </c>
      <c r="J439" s="1605">
        <v>1</v>
      </c>
      <c r="K439" s="217"/>
      <c r="L439" s="2218"/>
      <c r="N439" s="546"/>
      <c r="T439" s="50"/>
      <c r="U439" s="50"/>
      <c r="V439" s="2179"/>
      <c r="W439" s="216"/>
      <c r="X439" s="216"/>
      <c r="Y439" s="216"/>
      <c r="Z439" s="216"/>
      <c r="AA439" s="216"/>
      <c r="AB439" s="216"/>
      <c r="AC439" s="216"/>
      <c r="AD439" s="218">
        <v>1</v>
      </c>
      <c r="AE439" s="1109">
        <v>1</v>
      </c>
      <c r="AF439" s="258">
        <f t="shared" si="91"/>
        <v>1</v>
      </c>
      <c r="AG439" s="216"/>
      <c r="DG439" s="555"/>
      <c r="DH439" s="151"/>
      <c r="DI439" s="1049"/>
    </row>
    <row r="440" spans="1:113" hidden="1" outlineLevel="1" x14ac:dyDescent="0.25">
      <c r="A440" s="442"/>
      <c r="C440" s="49"/>
      <c r="D440" s="2179"/>
      <c r="E440" s="2179"/>
      <c r="F440" s="2182" t="str">
        <f t="shared" si="89"/>
        <v>Mini/MultiSplitASHP-Replace_CAC_NonElectricHeat_ER2_SF</v>
      </c>
      <c r="G440" s="2182"/>
      <c r="H440" s="2182"/>
      <c r="I440" s="890" t="str">
        <f t="shared" si="90"/>
        <v>351401_2024_12_</v>
      </c>
      <c r="J440" s="1605">
        <v>1</v>
      </c>
      <c r="K440" s="217"/>
      <c r="L440" s="2218"/>
      <c r="N440" s="546"/>
      <c r="T440" s="50"/>
      <c r="U440" s="50"/>
      <c r="V440" s="2179"/>
      <c r="W440" s="216"/>
      <c r="X440" s="216"/>
      <c r="Y440" s="216"/>
      <c r="Z440" s="216"/>
      <c r="AA440" s="216"/>
      <c r="AB440" s="216"/>
      <c r="AC440" s="216"/>
      <c r="AD440" s="218">
        <v>1</v>
      </c>
      <c r="AE440" s="1109">
        <v>1</v>
      </c>
      <c r="AF440" s="258">
        <f t="shared" si="91"/>
        <v>1</v>
      </c>
      <c r="AG440" s="216"/>
      <c r="DG440" s="555"/>
      <c r="DH440" s="151"/>
      <c r="DI440" s="1049"/>
    </row>
    <row r="441" spans="1:113" hidden="1" outlineLevel="1" x14ac:dyDescent="0.25">
      <c r="A441" s="442"/>
      <c r="C441" s="49"/>
      <c r="D441" s="2179"/>
      <c r="E441" s="2179"/>
      <c r="F441" s="2182" t="str">
        <f t="shared" si="89"/>
        <v>Mini/MultiSplitASHP-Replace_CAC_NonElectricHeat_ER2_SF</v>
      </c>
      <c r="G441" s="2182"/>
      <c r="H441" s="2182"/>
      <c r="I441" s="890" t="str">
        <f t="shared" si="90"/>
        <v>351401_2024_12_</v>
      </c>
      <c r="J441" s="1605">
        <v>1</v>
      </c>
      <c r="K441" s="217"/>
      <c r="L441" s="2218"/>
      <c r="N441" s="546"/>
      <c r="T441" s="50"/>
      <c r="U441" s="50"/>
      <c r="V441" s="2179"/>
      <c r="W441" s="216"/>
      <c r="X441" s="216"/>
      <c r="Y441" s="216"/>
      <c r="Z441" s="216"/>
      <c r="AA441" s="216"/>
      <c r="AB441" s="216"/>
      <c r="AC441" s="216"/>
      <c r="AD441" s="218">
        <v>1</v>
      </c>
      <c r="AE441" s="1109">
        <v>1</v>
      </c>
      <c r="AF441" s="258">
        <f t="shared" si="91"/>
        <v>1</v>
      </c>
      <c r="AG441" s="216"/>
      <c r="DG441" s="555"/>
      <c r="DH441" s="151"/>
      <c r="DI441" s="1049"/>
    </row>
    <row r="442" spans="1:113" hidden="1" outlineLevel="1" x14ac:dyDescent="0.25">
      <c r="A442" s="442"/>
      <c r="C442" s="49"/>
      <c r="D442" s="2179"/>
      <c r="E442" s="2179"/>
      <c r="F442" s="2182" t="str">
        <f t="shared" si="89"/>
        <v>Mini/MultiSplitASHP-Replace_CAC_ElectricHeat_ROF_SF</v>
      </c>
      <c r="G442" s="2182"/>
      <c r="H442" s="2182"/>
      <c r="I442" s="890" t="str">
        <f t="shared" si="90"/>
        <v>351450_2024_12_</v>
      </c>
      <c r="J442" s="1605">
        <v>1</v>
      </c>
      <c r="K442" s="217"/>
      <c r="L442" s="2218"/>
      <c r="N442" s="546"/>
      <c r="T442" s="50"/>
      <c r="U442" s="50"/>
      <c r="V442" s="2179"/>
      <c r="W442" s="216">
        <v>1</v>
      </c>
      <c r="X442" s="216">
        <v>1</v>
      </c>
      <c r="Y442" s="216">
        <v>1</v>
      </c>
      <c r="Z442" s="216">
        <v>1</v>
      </c>
      <c r="AA442" s="216">
        <v>1</v>
      </c>
      <c r="AB442" s="216">
        <v>1</v>
      </c>
      <c r="AC442" s="216">
        <v>1</v>
      </c>
      <c r="AD442" s="216">
        <v>1</v>
      </c>
      <c r="AE442" s="1109">
        <v>1</v>
      </c>
      <c r="AF442" s="258">
        <f t="shared" si="91"/>
        <v>1</v>
      </c>
      <c r="AG442" s="216"/>
      <c r="DG442" s="555"/>
      <c r="DH442" s="151"/>
      <c r="DI442" s="1049"/>
    </row>
    <row r="443" spans="1:113" hidden="1" outlineLevel="1" x14ac:dyDescent="0.25">
      <c r="A443" s="442"/>
      <c r="C443" s="49"/>
      <c r="D443" s="2179"/>
      <c r="E443" s="2179"/>
      <c r="F443" s="2182" t="str">
        <f t="shared" si="89"/>
        <v>Mini/MultiSplitASHP-Replace_CAC_ElectricHeat_ROF_SF</v>
      </c>
      <c r="G443" s="2182"/>
      <c r="H443" s="2182"/>
      <c r="I443" s="890" t="str">
        <f t="shared" si="90"/>
        <v>351450_2024_12_</v>
      </c>
      <c r="J443" s="1605">
        <v>1</v>
      </c>
      <c r="K443" s="217"/>
      <c r="L443" s="2218"/>
      <c r="N443" s="546"/>
      <c r="T443" s="50"/>
      <c r="U443" s="50"/>
      <c r="V443" s="2179"/>
      <c r="W443" s="216">
        <v>1</v>
      </c>
      <c r="X443" s="216">
        <v>1</v>
      </c>
      <c r="Y443" s="216">
        <v>1</v>
      </c>
      <c r="Z443" s="216">
        <v>1</v>
      </c>
      <c r="AA443" s="216">
        <v>1</v>
      </c>
      <c r="AB443" s="216">
        <v>1</v>
      </c>
      <c r="AC443" s="216">
        <v>1</v>
      </c>
      <c r="AD443" s="216">
        <v>1</v>
      </c>
      <c r="AE443" s="1109">
        <v>1</v>
      </c>
      <c r="AF443" s="258">
        <f t="shared" si="91"/>
        <v>1</v>
      </c>
      <c r="AG443" s="216"/>
      <c r="DG443" s="555"/>
      <c r="DH443" s="151"/>
      <c r="DI443" s="1049"/>
    </row>
    <row r="444" spans="1:113" hidden="1" outlineLevel="1" x14ac:dyDescent="0.25">
      <c r="A444" s="442"/>
      <c r="C444" s="49"/>
      <c r="D444" s="2179"/>
      <c r="E444" s="2179"/>
      <c r="F444" s="2182" t="str">
        <f t="shared" si="89"/>
        <v>Mini/MultiSplitASHP-Replace_CAC_NonElectricHeat_ROF_SF</v>
      </c>
      <c r="G444" s="2182"/>
      <c r="H444" s="2182"/>
      <c r="I444" s="890" t="str">
        <f t="shared" si="90"/>
        <v>351451_2024_12_</v>
      </c>
      <c r="J444" s="1605">
        <v>1</v>
      </c>
      <c r="K444" s="217"/>
      <c r="L444" s="2218"/>
      <c r="N444" s="546"/>
      <c r="T444" s="50"/>
      <c r="U444" s="50"/>
      <c r="V444" s="2179"/>
      <c r="W444" s="216"/>
      <c r="X444" s="216"/>
      <c r="Y444" s="216"/>
      <c r="Z444" s="216"/>
      <c r="AA444" s="216"/>
      <c r="AB444" s="216"/>
      <c r="AC444" s="216"/>
      <c r="AD444" s="218">
        <v>1</v>
      </c>
      <c r="AE444" s="1109">
        <v>1</v>
      </c>
      <c r="AF444" s="258">
        <f t="shared" si="91"/>
        <v>1</v>
      </c>
      <c r="AG444" s="216"/>
      <c r="DG444" s="555"/>
      <c r="DH444" s="151"/>
      <c r="DI444" s="1049"/>
    </row>
    <row r="445" spans="1:113" hidden="1" outlineLevel="1" x14ac:dyDescent="0.25">
      <c r="A445" s="442"/>
      <c r="C445" s="49"/>
      <c r="D445" s="2179"/>
      <c r="E445" s="2179"/>
      <c r="F445" s="2182" t="str">
        <f t="shared" si="89"/>
        <v>Mini/MultiSplitASHP-Replace_CAC_NonElectricHeat_ROF_SF</v>
      </c>
      <c r="G445" s="2182"/>
      <c r="H445" s="2182"/>
      <c r="I445" s="890" t="str">
        <f t="shared" si="90"/>
        <v>351451_2024_12_</v>
      </c>
      <c r="J445" s="1605">
        <v>1</v>
      </c>
      <c r="K445" s="217"/>
      <c r="L445" s="2218"/>
      <c r="N445" s="546"/>
      <c r="T445" s="50"/>
      <c r="U445" s="50"/>
      <c r="V445" s="2179"/>
      <c r="W445" s="216"/>
      <c r="X445" s="216"/>
      <c r="Y445" s="216"/>
      <c r="Z445" s="216"/>
      <c r="AA445" s="216"/>
      <c r="AB445" s="216"/>
      <c r="AC445" s="216"/>
      <c r="AD445" s="218">
        <v>1</v>
      </c>
      <c r="AE445" s="1109">
        <v>1</v>
      </c>
      <c r="AF445" s="258">
        <f t="shared" si="91"/>
        <v>1</v>
      </c>
      <c r="AG445" s="216"/>
      <c r="DG445" s="555"/>
      <c r="DH445" s="151"/>
      <c r="DI445" s="1049"/>
    </row>
    <row r="446" spans="1:113" hidden="1" outlineLevel="1" x14ac:dyDescent="0.25">
      <c r="A446" s="442"/>
      <c r="C446" s="49"/>
      <c r="D446" s="2179"/>
      <c r="E446" s="2179"/>
      <c r="F446" s="2182" t="str">
        <f t="shared" si="89"/>
        <v>Mini/MultiSplitASHP_ER1_SF</v>
      </c>
      <c r="G446" s="2182"/>
      <c r="H446" s="2182"/>
      <c r="I446" s="890" t="str">
        <f t="shared" si="90"/>
        <v>351500_2024_12_</v>
      </c>
      <c r="J446" s="1605">
        <v>1</v>
      </c>
      <c r="K446" s="217"/>
      <c r="L446" s="2218"/>
      <c r="N446" s="546"/>
      <c r="T446" s="50"/>
      <c r="U446" s="50"/>
      <c r="V446" s="2179"/>
      <c r="W446" s="216">
        <v>1</v>
      </c>
      <c r="X446" s="216">
        <v>1</v>
      </c>
      <c r="Y446" s="216">
        <v>1</v>
      </c>
      <c r="Z446" s="216">
        <v>1</v>
      </c>
      <c r="AA446" s="216">
        <v>1</v>
      </c>
      <c r="AB446" s="216">
        <v>1</v>
      </c>
      <c r="AC446" s="216">
        <v>1</v>
      </c>
      <c r="AD446" s="216">
        <v>1</v>
      </c>
      <c r="AE446" s="1109">
        <v>1</v>
      </c>
      <c r="AF446" s="258">
        <f t="shared" si="91"/>
        <v>1</v>
      </c>
      <c r="AG446" s="216"/>
      <c r="DG446" s="555"/>
      <c r="DH446" s="151"/>
      <c r="DI446" s="1049"/>
    </row>
    <row r="447" spans="1:113" hidden="1" outlineLevel="1" x14ac:dyDescent="0.25">
      <c r="A447" s="442"/>
      <c r="C447" s="49"/>
      <c r="D447" s="2179"/>
      <c r="E447" s="2179"/>
      <c r="F447" s="2182" t="str">
        <f t="shared" si="89"/>
        <v>Mini/MultiSplitASHP_ER1_SF</v>
      </c>
      <c r="G447" s="2182"/>
      <c r="H447" s="2182"/>
      <c r="I447" s="890" t="str">
        <f t="shared" si="90"/>
        <v>351500_2024_12_</v>
      </c>
      <c r="J447" s="1605">
        <v>1</v>
      </c>
      <c r="K447" s="217"/>
      <c r="L447" s="2218"/>
      <c r="N447" s="546"/>
      <c r="T447" s="50"/>
      <c r="U447" s="50"/>
      <c r="V447" s="2179"/>
      <c r="W447" s="216">
        <v>1</v>
      </c>
      <c r="X447" s="216">
        <v>1</v>
      </c>
      <c r="Y447" s="216">
        <v>1</v>
      </c>
      <c r="Z447" s="216">
        <v>1</v>
      </c>
      <c r="AA447" s="216">
        <v>1</v>
      </c>
      <c r="AB447" s="216">
        <v>1</v>
      </c>
      <c r="AC447" s="216">
        <v>1</v>
      </c>
      <c r="AD447" s="216">
        <v>1</v>
      </c>
      <c r="AE447" s="1109">
        <v>1</v>
      </c>
      <c r="AF447" s="258">
        <f t="shared" si="91"/>
        <v>1</v>
      </c>
      <c r="AG447" s="216"/>
      <c r="DG447" s="555"/>
      <c r="DH447" s="151"/>
      <c r="DI447" s="1049"/>
    </row>
    <row r="448" spans="1:113" hidden="1" outlineLevel="1" x14ac:dyDescent="0.25">
      <c r="A448" s="442"/>
      <c r="C448" s="49"/>
      <c r="D448" s="2179"/>
      <c r="E448" s="2179"/>
      <c r="F448" s="2182" t="str">
        <f t="shared" si="89"/>
        <v>Mini/MultiSplitASHP_ER2_SF</v>
      </c>
      <c r="G448" s="2182"/>
      <c r="H448" s="2182"/>
      <c r="I448" s="890" t="str">
        <f t="shared" si="90"/>
        <v>351500_2024_12_</v>
      </c>
      <c r="J448" s="1605">
        <v>1</v>
      </c>
      <c r="K448" s="217"/>
      <c r="L448" s="2218"/>
      <c r="N448" s="546"/>
      <c r="T448" s="50"/>
      <c r="U448" s="50"/>
      <c r="V448" s="2179"/>
      <c r="W448" s="216">
        <v>1</v>
      </c>
      <c r="X448" s="216">
        <v>1</v>
      </c>
      <c r="Y448" s="216">
        <v>1</v>
      </c>
      <c r="Z448" s="216">
        <v>1</v>
      </c>
      <c r="AA448" s="216">
        <v>1</v>
      </c>
      <c r="AB448" s="216">
        <v>1</v>
      </c>
      <c r="AC448" s="216">
        <v>1</v>
      </c>
      <c r="AD448" s="216">
        <v>1</v>
      </c>
      <c r="AE448" s="1109">
        <v>1</v>
      </c>
      <c r="AF448" s="258">
        <f t="shared" si="91"/>
        <v>1</v>
      </c>
      <c r="AG448" s="216"/>
      <c r="DG448" s="555"/>
      <c r="DH448" s="151"/>
      <c r="DI448" s="1049"/>
    </row>
    <row r="449" spans="1:113" hidden="1" outlineLevel="1" x14ac:dyDescent="0.25">
      <c r="A449" s="442"/>
      <c r="C449" s="49"/>
      <c r="D449" s="2179"/>
      <c r="E449" s="2179"/>
      <c r="F449" s="2182" t="str">
        <f t="shared" si="89"/>
        <v>Mini/MultiSplitASHP_ER2_SF</v>
      </c>
      <c r="G449" s="2182"/>
      <c r="H449" s="2182"/>
      <c r="I449" s="890" t="str">
        <f t="shared" si="90"/>
        <v>351500_2024_12_</v>
      </c>
      <c r="J449" s="1605">
        <v>1</v>
      </c>
      <c r="K449" s="217"/>
      <c r="L449" s="2218"/>
      <c r="N449" s="546"/>
      <c r="T449" s="50"/>
      <c r="U449" s="50"/>
      <c r="V449" s="2179"/>
      <c r="W449" s="216">
        <v>1</v>
      </c>
      <c r="X449" s="216">
        <v>1</v>
      </c>
      <c r="Y449" s="216">
        <v>1</v>
      </c>
      <c r="Z449" s="216">
        <v>1</v>
      </c>
      <c r="AA449" s="216">
        <v>1</v>
      </c>
      <c r="AB449" s="216">
        <v>1</v>
      </c>
      <c r="AC449" s="216">
        <v>1</v>
      </c>
      <c r="AD449" s="216">
        <v>1</v>
      </c>
      <c r="AE449" s="1109">
        <v>1</v>
      </c>
      <c r="AF449" s="258">
        <f t="shared" si="91"/>
        <v>1</v>
      </c>
      <c r="AG449" s="216"/>
      <c r="DG449" s="555"/>
      <c r="DH449" s="151"/>
      <c r="DI449" s="1049"/>
    </row>
    <row r="450" spans="1:113" ht="15" hidden="1" customHeight="1" outlineLevel="1" x14ac:dyDescent="0.25">
      <c r="A450" s="442"/>
      <c r="C450" s="49"/>
      <c r="D450" s="2179"/>
      <c r="E450" s="2179"/>
      <c r="F450" s="2182" t="str">
        <f t="shared" si="89"/>
        <v>Mini/MultiSplitAC_ER1_MF</v>
      </c>
      <c r="G450" s="2182"/>
      <c r="H450" s="2182"/>
      <c r="I450" s="890" t="str">
        <f t="shared" si="90"/>
        <v>351550_2024_12_</v>
      </c>
      <c r="J450" s="1605">
        <v>1</v>
      </c>
      <c r="K450" s="217"/>
      <c r="L450" s="2186" t="s">
        <v>1116</v>
      </c>
      <c r="N450" s="546"/>
      <c r="T450" s="50"/>
      <c r="U450" s="50"/>
      <c r="V450" s="2179"/>
      <c r="W450" s="216">
        <v>0.65</v>
      </c>
      <c r="X450" s="216">
        <v>0.65</v>
      </c>
      <c r="Y450" s="218">
        <v>1</v>
      </c>
      <c r="Z450" s="216">
        <v>1</v>
      </c>
      <c r="AA450" s="216">
        <v>1</v>
      </c>
      <c r="AB450" s="216">
        <v>1</v>
      </c>
      <c r="AC450" s="216">
        <v>1</v>
      </c>
      <c r="AD450" s="216">
        <v>1</v>
      </c>
      <c r="AE450" s="1109">
        <v>1</v>
      </c>
      <c r="AF450" s="258">
        <f t="shared" si="91"/>
        <v>1</v>
      </c>
      <c r="AG450" s="216"/>
      <c r="DG450" s="555"/>
      <c r="DH450" s="151"/>
      <c r="DI450" s="1049"/>
    </row>
    <row r="451" spans="1:113" hidden="1" outlineLevel="1" x14ac:dyDescent="0.25">
      <c r="A451" s="442"/>
      <c r="C451" s="49"/>
      <c r="D451" s="2179"/>
      <c r="E451" s="2179"/>
      <c r="F451" s="2182" t="str">
        <f t="shared" si="89"/>
        <v>Mini/MultiSplitAC_ER2_MF</v>
      </c>
      <c r="G451" s="2182"/>
      <c r="H451" s="2182"/>
      <c r="I451" s="890" t="str">
        <f t="shared" si="90"/>
        <v>351550_2024_12_</v>
      </c>
      <c r="J451" s="1605">
        <f>J450</f>
        <v>1</v>
      </c>
      <c r="K451" s="217"/>
      <c r="L451" s="2178"/>
      <c r="N451" s="546"/>
      <c r="T451" s="50"/>
      <c r="U451" s="50"/>
      <c r="V451" s="2179"/>
      <c r="W451" s="216">
        <v>0.65</v>
      </c>
      <c r="X451" s="216">
        <v>0.65</v>
      </c>
      <c r="Y451" s="218">
        <f>Y450</f>
        <v>1</v>
      </c>
      <c r="Z451" s="216">
        <v>1</v>
      </c>
      <c r="AA451" s="216">
        <v>1</v>
      </c>
      <c r="AB451" s="216">
        <v>1</v>
      </c>
      <c r="AC451" s="216">
        <v>1</v>
      </c>
      <c r="AD451" s="216">
        <v>1</v>
      </c>
      <c r="AE451" s="1109">
        <v>1</v>
      </c>
      <c r="AF451" s="258">
        <f t="shared" si="91"/>
        <v>1</v>
      </c>
      <c r="AG451" s="216"/>
      <c r="DG451" s="555"/>
      <c r="DH451" s="151"/>
      <c r="DI451" s="1049"/>
    </row>
    <row r="452" spans="1:113" ht="75" hidden="1" outlineLevel="1" x14ac:dyDescent="0.25">
      <c r="A452" s="442"/>
      <c r="C452" s="49"/>
      <c r="D452" s="1306" t="s">
        <v>104</v>
      </c>
      <c r="E452" s="1306" t="s">
        <v>951</v>
      </c>
      <c r="F452" s="2136" t="s">
        <v>734</v>
      </c>
      <c r="G452" s="2136"/>
      <c r="H452" s="2136"/>
      <c r="I452" s="1314" t="s">
        <v>734</v>
      </c>
      <c r="J452" s="1514">
        <v>1</v>
      </c>
      <c r="K452" s="1334"/>
      <c r="L452" s="1334" t="s">
        <v>1117</v>
      </c>
      <c r="N452" s="546"/>
      <c r="T452" s="39"/>
      <c r="U452" s="39"/>
      <c r="V452" s="1306" t="s">
        <v>104</v>
      </c>
      <c r="W452" s="1496"/>
      <c r="X452" s="1496"/>
      <c r="Y452" s="1496"/>
      <c r="Z452" s="1496"/>
      <c r="AA452" s="1496">
        <v>1</v>
      </c>
      <c r="AB452" s="1496">
        <v>1</v>
      </c>
      <c r="AC452" s="1500">
        <v>1</v>
      </c>
      <c r="AD452" s="1500">
        <v>1</v>
      </c>
      <c r="AE452" s="1500">
        <v>1</v>
      </c>
      <c r="AF452" s="258">
        <f t="shared" ref="AF452:AF477" si="92">IF(J452&lt;&gt;"",J452,"")</f>
        <v>1</v>
      </c>
      <c r="AG452" s="1496"/>
      <c r="AH452" s="39"/>
      <c r="AI452" s="39"/>
      <c r="AJ452" s="39"/>
      <c r="AK452" s="39"/>
      <c r="AL452" s="39"/>
      <c r="AM452" s="39"/>
      <c r="AN452" s="39"/>
      <c r="AO452" s="39"/>
      <c r="AP452" s="39"/>
      <c r="AQ452" s="39"/>
      <c r="AR452" s="39"/>
      <c r="AS452" s="39"/>
      <c r="AT452" s="39"/>
      <c r="AU452" s="39"/>
      <c r="AV452" s="39"/>
      <c r="AW452" s="39"/>
      <c r="AX452" s="39"/>
      <c r="AY452" s="39"/>
      <c r="AZ452" s="39"/>
      <c r="BA452" s="39"/>
      <c r="BB452" s="39"/>
      <c r="BC452" s="39"/>
      <c r="BD452" s="39"/>
      <c r="BE452" s="39"/>
      <c r="BF452" s="39"/>
      <c r="BG452" s="39"/>
      <c r="BH452" s="39"/>
      <c r="BI452" s="39"/>
      <c r="BJ452" s="39"/>
      <c r="BK452" s="39"/>
      <c r="BL452" s="39"/>
      <c r="BM452" s="39"/>
      <c r="BN452" s="39"/>
      <c r="BO452" s="39"/>
      <c r="BP452" s="39"/>
      <c r="BQ452" s="39"/>
      <c r="BR452" s="39"/>
      <c r="BS452" s="39"/>
      <c r="BT452" s="39"/>
      <c r="BU452" s="39"/>
      <c r="BV452" s="39"/>
      <c r="BW452" s="39"/>
      <c r="BX452" s="39"/>
      <c r="BY452" s="39"/>
      <c r="BZ452" s="39"/>
      <c r="CA452" s="39"/>
      <c r="CB452" s="39"/>
      <c r="CC452" s="39"/>
      <c r="CD452" s="39"/>
      <c r="CE452" s="39"/>
      <c r="CF452" s="39"/>
      <c r="CG452" s="39"/>
      <c r="CH452" s="39"/>
      <c r="CI452" s="39"/>
      <c r="CJ452" s="39"/>
      <c r="CK452" s="39"/>
      <c r="CL452" s="39"/>
      <c r="CM452" s="39"/>
      <c r="CN452" s="39"/>
      <c r="CO452" s="39"/>
      <c r="CP452" s="39"/>
      <c r="CQ452" s="39"/>
      <c r="CR452" s="39"/>
      <c r="CS452" s="39"/>
      <c r="CT452" s="39"/>
      <c r="CU452" s="39"/>
      <c r="CV452" s="39"/>
      <c r="CW452" s="39"/>
      <c r="CX452" s="39"/>
      <c r="CY452" s="39"/>
      <c r="CZ452" s="39"/>
      <c r="DA452" s="39"/>
      <c r="DB452" s="39"/>
      <c r="DC452" s="39"/>
      <c r="DD452" s="39"/>
      <c r="DE452" s="39"/>
      <c r="DF452" s="39"/>
      <c r="DG452" s="1043"/>
      <c r="DH452" s="151"/>
      <c r="DI452" s="1049"/>
    </row>
    <row r="453" spans="1:113" ht="14.45" hidden="1" customHeight="1" outlineLevel="1" x14ac:dyDescent="0.25">
      <c r="A453" s="442"/>
      <c r="C453" s="49"/>
      <c r="D453" s="2179" t="s">
        <v>49</v>
      </c>
      <c r="E453" s="2179" t="s">
        <v>792</v>
      </c>
      <c r="F453" s="2182" t="str">
        <f t="shared" ref="F453:F477" si="93">F427</f>
        <v>Mini/MultiSplitAC_ER1_SF</v>
      </c>
      <c r="G453" s="2182"/>
      <c r="H453" s="2182"/>
      <c r="I453" s="890" t="str">
        <f t="shared" ref="I453:I477" si="94">I427</f>
        <v>351200_2024_12_</v>
      </c>
      <c r="J453" s="1510">
        <v>6</v>
      </c>
      <c r="K453" s="217"/>
      <c r="L453" s="2208" t="s">
        <v>1118</v>
      </c>
      <c r="N453" s="546"/>
      <c r="T453" s="50"/>
      <c r="U453" s="50"/>
      <c r="V453" s="2179" t="str">
        <f>D453</f>
        <v>EUL</v>
      </c>
      <c r="W453" s="219">
        <v>6</v>
      </c>
      <c r="X453" s="219">
        <v>6</v>
      </c>
      <c r="Y453" s="219">
        <v>6</v>
      </c>
      <c r="Z453" s="219">
        <v>6</v>
      </c>
      <c r="AA453" s="219">
        <v>6</v>
      </c>
      <c r="AB453" s="219">
        <v>6</v>
      </c>
      <c r="AC453" s="219">
        <v>6</v>
      </c>
      <c r="AD453" s="219">
        <v>6</v>
      </c>
      <c r="AE453" s="1110">
        <v>6</v>
      </c>
      <c r="AF453" s="258">
        <f t="shared" si="92"/>
        <v>6</v>
      </c>
      <c r="AG453" s="216"/>
      <c r="DG453" s="555"/>
      <c r="DH453" s="151"/>
      <c r="DI453" s="1049"/>
    </row>
    <row r="454" spans="1:113" hidden="1" outlineLevel="1" x14ac:dyDescent="0.25">
      <c r="A454" s="442"/>
      <c r="C454" s="49"/>
      <c r="D454" s="2179"/>
      <c r="E454" s="2179"/>
      <c r="F454" s="2182" t="str">
        <f t="shared" si="93"/>
        <v>Mini/MultiSplitAC_ER2_SF</v>
      </c>
      <c r="G454" s="2182"/>
      <c r="H454" s="2182"/>
      <c r="I454" s="889" t="str">
        <f t="shared" si="94"/>
        <v>351200_2024_12_</v>
      </c>
      <c r="J454" s="1510">
        <v>12</v>
      </c>
      <c r="K454" s="217"/>
      <c r="L454" s="2209"/>
      <c r="N454" s="546"/>
      <c r="T454" s="50"/>
      <c r="U454" s="50"/>
      <c r="V454" s="2179"/>
      <c r="W454" s="219">
        <v>12</v>
      </c>
      <c r="X454" s="219">
        <v>12</v>
      </c>
      <c r="Y454" s="219">
        <v>12</v>
      </c>
      <c r="Z454" s="219">
        <v>12</v>
      </c>
      <c r="AA454" s="219">
        <v>12</v>
      </c>
      <c r="AB454" s="219">
        <v>12</v>
      </c>
      <c r="AC454" s="219">
        <v>12</v>
      </c>
      <c r="AD454" s="219">
        <v>12</v>
      </c>
      <c r="AE454" s="1110">
        <v>12</v>
      </c>
      <c r="AF454" s="258">
        <f t="shared" si="92"/>
        <v>12</v>
      </c>
      <c r="AG454" s="216"/>
      <c r="DG454" s="555"/>
      <c r="DH454" s="151"/>
      <c r="DI454" s="1049"/>
    </row>
    <row r="455" spans="1:113" hidden="1" outlineLevel="1" x14ac:dyDescent="0.25">
      <c r="A455" s="442"/>
      <c r="C455" s="49"/>
      <c r="D455" s="2179"/>
      <c r="E455" s="2179"/>
      <c r="F455" s="2182" t="str">
        <f t="shared" si="93"/>
        <v>Mini/MultiSplitAC_ROF_SF</v>
      </c>
      <c r="G455" s="2182"/>
      <c r="H455" s="2182"/>
      <c r="I455" s="889" t="str">
        <f t="shared" si="94"/>
        <v>351250_2024_12_</v>
      </c>
      <c r="J455" s="1510">
        <v>18</v>
      </c>
      <c r="K455" s="217"/>
      <c r="L455" s="2209"/>
      <c r="N455" s="546"/>
      <c r="T455" s="50"/>
      <c r="U455" s="50"/>
      <c r="V455" s="2179"/>
      <c r="W455" s="219">
        <v>18</v>
      </c>
      <c r="X455" s="219">
        <v>18</v>
      </c>
      <c r="Y455" s="219">
        <v>18</v>
      </c>
      <c r="Z455" s="219">
        <v>18</v>
      </c>
      <c r="AA455" s="219">
        <v>18</v>
      </c>
      <c r="AB455" s="219">
        <v>18</v>
      </c>
      <c r="AC455" s="219">
        <v>18</v>
      </c>
      <c r="AD455" s="219">
        <v>18</v>
      </c>
      <c r="AE455" s="1110">
        <v>18</v>
      </c>
      <c r="AF455" s="258">
        <f t="shared" si="92"/>
        <v>18</v>
      </c>
      <c r="AG455" s="216"/>
      <c r="DG455" s="555"/>
      <c r="DH455" s="151"/>
      <c r="DI455" s="1049"/>
    </row>
    <row r="456" spans="1:113" hidden="1" outlineLevel="1" x14ac:dyDescent="0.25">
      <c r="A456" s="442"/>
      <c r="C456" s="49"/>
      <c r="D456" s="2179"/>
      <c r="E456" s="2179"/>
      <c r="F456" s="2182" t="str">
        <f t="shared" si="93"/>
        <v>Mini/MultiSplitASHP_ROF_SF_NC</v>
      </c>
      <c r="G456" s="2182"/>
      <c r="H456" s="2182"/>
      <c r="I456" s="889" t="str">
        <f t="shared" si="94"/>
        <v>351300_2024_12_</v>
      </c>
      <c r="J456" s="1510">
        <v>18</v>
      </c>
      <c r="K456" s="217"/>
      <c r="L456" s="2209"/>
      <c r="N456" s="546"/>
      <c r="T456" s="50"/>
      <c r="U456" s="50"/>
      <c r="V456" s="2179"/>
      <c r="W456" s="219">
        <v>18</v>
      </c>
      <c r="X456" s="219">
        <v>18</v>
      </c>
      <c r="Y456" s="219">
        <v>18</v>
      </c>
      <c r="Z456" s="219">
        <v>18</v>
      </c>
      <c r="AA456" s="219">
        <v>18</v>
      </c>
      <c r="AB456" s="219">
        <v>18</v>
      </c>
      <c r="AC456" s="219">
        <v>18</v>
      </c>
      <c r="AD456" s="219">
        <v>18</v>
      </c>
      <c r="AE456" s="1110">
        <v>18</v>
      </c>
      <c r="AF456" s="258">
        <f t="shared" si="92"/>
        <v>18</v>
      </c>
      <c r="AG456" s="216"/>
      <c r="DG456" s="555"/>
      <c r="DH456" s="151"/>
      <c r="DI456" s="1049"/>
    </row>
    <row r="457" spans="1:113" hidden="1" outlineLevel="1" x14ac:dyDescent="0.25">
      <c r="A457" s="442"/>
      <c r="C457" s="49"/>
      <c r="D457" s="2179"/>
      <c r="E457" s="2179"/>
      <c r="F457" s="2182" t="str">
        <f t="shared" si="93"/>
        <v>Mini/MultiSplitASHP_ROF_SF_NC</v>
      </c>
      <c r="G457" s="2182"/>
      <c r="H457" s="2182"/>
      <c r="I457" s="889" t="str">
        <f t="shared" si="94"/>
        <v>351300_2024_12_</v>
      </c>
      <c r="J457" s="1510">
        <v>18</v>
      </c>
      <c r="K457" s="217"/>
      <c r="L457" s="2209"/>
      <c r="N457" s="546"/>
      <c r="T457" s="50"/>
      <c r="U457" s="50"/>
      <c r="V457" s="2179"/>
      <c r="W457" s="219">
        <v>18</v>
      </c>
      <c r="X457" s="219">
        <v>18</v>
      </c>
      <c r="Y457" s="219">
        <v>18</v>
      </c>
      <c r="Z457" s="219">
        <v>18</v>
      </c>
      <c r="AA457" s="219">
        <v>18</v>
      </c>
      <c r="AB457" s="219">
        <v>18</v>
      </c>
      <c r="AC457" s="219">
        <v>18</v>
      </c>
      <c r="AD457" s="219">
        <v>18</v>
      </c>
      <c r="AE457" s="1110">
        <v>18</v>
      </c>
      <c r="AF457" s="258">
        <f t="shared" si="92"/>
        <v>18</v>
      </c>
      <c r="AG457" s="216"/>
      <c r="DG457" s="555"/>
      <c r="DH457" s="151"/>
      <c r="DI457" s="1049"/>
    </row>
    <row r="458" spans="1:113" hidden="1" outlineLevel="1" x14ac:dyDescent="0.25">
      <c r="A458" s="442"/>
      <c r="C458" s="49"/>
      <c r="D458" s="2179"/>
      <c r="E458" s="2179"/>
      <c r="F458" s="2182" t="str">
        <f t="shared" si="93"/>
        <v>Mini/MultiSplitASHP_ROF_SF</v>
      </c>
      <c r="G458" s="2182"/>
      <c r="H458" s="2182"/>
      <c r="I458" s="889" t="str">
        <f t="shared" si="94"/>
        <v>351350_2024_12_</v>
      </c>
      <c r="J458" s="1510">
        <v>18</v>
      </c>
      <c r="K458" s="217"/>
      <c r="L458" s="2209"/>
      <c r="N458" s="546"/>
      <c r="T458" s="50"/>
      <c r="U458" s="50"/>
      <c r="V458" s="2179"/>
      <c r="W458" s="219">
        <v>18</v>
      </c>
      <c r="X458" s="219">
        <v>18</v>
      </c>
      <c r="Y458" s="219">
        <v>18</v>
      </c>
      <c r="Z458" s="219">
        <v>18</v>
      </c>
      <c r="AA458" s="219">
        <v>18</v>
      </c>
      <c r="AB458" s="219">
        <v>18</v>
      </c>
      <c r="AC458" s="219">
        <v>18</v>
      </c>
      <c r="AD458" s="219">
        <v>18</v>
      </c>
      <c r="AE458" s="1110">
        <v>18</v>
      </c>
      <c r="AF458" s="258">
        <f t="shared" si="92"/>
        <v>18</v>
      </c>
      <c r="AG458" s="216"/>
      <c r="DG458" s="555"/>
      <c r="DH458" s="151"/>
      <c r="DI458" s="1049"/>
    </row>
    <row r="459" spans="1:113" hidden="1" outlineLevel="1" x14ac:dyDescent="0.25">
      <c r="A459" s="442"/>
      <c r="C459" s="49"/>
      <c r="D459" s="2179"/>
      <c r="E459" s="2179"/>
      <c r="F459" s="2182" t="str">
        <f t="shared" si="93"/>
        <v>Mini/MultiSplitASHP_ROF_SF</v>
      </c>
      <c r="G459" s="2182"/>
      <c r="H459" s="2182"/>
      <c r="I459" s="889" t="str">
        <f t="shared" si="94"/>
        <v>351350_2024_12_</v>
      </c>
      <c r="J459" s="1510">
        <v>18</v>
      </c>
      <c r="K459" s="217"/>
      <c r="L459" s="2209"/>
      <c r="N459" s="546"/>
      <c r="T459" s="50"/>
      <c r="U459" s="50"/>
      <c r="V459" s="2179"/>
      <c r="W459" s="219">
        <v>18</v>
      </c>
      <c r="X459" s="219">
        <v>18</v>
      </c>
      <c r="Y459" s="219">
        <v>18</v>
      </c>
      <c r="Z459" s="219">
        <v>18</v>
      </c>
      <c r="AA459" s="219">
        <v>18</v>
      </c>
      <c r="AB459" s="219">
        <v>18</v>
      </c>
      <c r="AC459" s="219">
        <v>18</v>
      </c>
      <c r="AD459" s="219">
        <v>18</v>
      </c>
      <c r="AE459" s="1110">
        <v>18</v>
      </c>
      <c r="AF459" s="258">
        <f t="shared" si="92"/>
        <v>18</v>
      </c>
      <c r="AG459" s="216"/>
      <c r="DG459" s="555"/>
      <c r="DH459" s="151"/>
      <c r="DI459" s="1049"/>
    </row>
    <row r="460" spans="1:113" hidden="1" outlineLevel="1" x14ac:dyDescent="0.25">
      <c r="A460" s="442"/>
      <c r="C460" s="49"/>
      <c r="D460" s="2179"/>
      <c r="E460" s="2179"/>
      <c r="F460" s="2182" t="str">
        <f t="shared" si="93"/>
        <v>Mini/MultiSplitASHP-Replace_CAC_ElectricHeat_ER1_SF</v>
      </c>
      <c r="G460" s="2182"/>
      <c r="H460" s="2182"/>
      <c r="I460" s="889" t="str">
        <f t="shared" si="94"/>
        <v>351400_2024_12_</v>
      </c>
      <c r="J460" s="1510">
        <v>6</v>
      </c>
      <c r="K460" s="217"/>
      <c r="L460" s="2209"/>
      <c r="N460" s="546"/>
      <c r="T460" s="50"/>
      <c r="U460" s="50"/>
      <c r="V460" s="2179"/>
      <c r="W460" s="219">
        <v>6</v>
      </c>
      <c r="X460" s="219">
        <v>6</v>
      </c>
      <c r="Y460" s="219">
        <v>6</v>
      </c>
      <c r="Z460" s="219">
        <v>6</v>
      </c>
      <c r="AA460" s="219">
        <v>6</v>
      </c>
      <c r="AB460" s="219">
        <v>6</v>
      </c>
      <c r="AC460" s="219">
        <v>6</v>
      </c>
      <c r="AD460" s="219">
        <v>6</v>
      </c>
      <c r="AE460" s="1110">
        <v>6</v>
      </c>
      <c r="AF460" s="258">
        <f t="shared" si="92"/>
        <v>6</v>
      </c>
      <c r="AG460" s="216"/>
      <c r="DG460" s="555"/>
      <c r="DH460" s="151"/>
      <c r="DI460" s="1049"/>
    </row>
    <row r="461" spans="1:113" hidden="1" outlineLevel="1" x14ac:dyDescent="0.25">
      <c r="A461" s="442"/>
      <c r="C461" s="49"/>
      <c r="D461" s="2179"/>
      <c r="E461" s="2179"/>
      <c r="F461" s="2182" t="str">
        <f t="shared" si="93"/>
        <v>Mini/MultiSplitASHP-Replace_CAC_ElectricHeat_ER1_SF</v>
      </c>
      <c r="G461" s="2182"/>
      <c r="H461" s="2182"/>
      <c r="I461" s="889" t="str">
        <f t="shared" si="94"/>
        <v>351400_2024_12_</v>
      </c>
      <c r="J461" s="1510">
        <v>6</v>
      </c>
      <c r="K461" s="217"/>
      <c r="L461" s="2209"/>
      <c r="N461" s="546"/>
      <c r="T461" s="50"/>
      <c r="U461" s="50"/>
      <c r="V461" s="2179"/>
      <c r="W461" s="219">
        <v>6</v>
      </c>
      <c r="X461" s="219">
        <v>6</v>
      </c>
      <c r="Y461" s="219">
        <v>6</v>
      </c>
      <c r="Z461" s="219">
        <v>6</v>
      </c>
      <c r="AA461" s="219">
        <v>6</v>
      </c>
      <c r="AB461" s="219">
        <v>6</v>
      </c>
      <c r="AC461" s="219">
        <v>6</v>
      </c>
      <c r="AD461" s="219">
        <v>6</v>
      </c>
      <c r="AE461" s="1110">
        <v>6</v>
      </c>
      <c r="AF461" s="258">
        <f t="shared" si="92"/>
        <v>6</v>
      </c>
      <c r="AG461" s="216"/>
      <c r="DG461" s="555"/>
      <c r="DH461" s="151"/>
      <c r="DI461" s="1049"/>
    </row>
    <row r="462" spans="1:113" hidden="1" outlineLevel="1" x14ac:dyDescent="0.25">
      <c r="A462" s="442"/>
      <c r="C462" s="49"/>
      <c r="D462" s="2179"/>
      <c r="E462" s="2179"/>
      <c r="F462" s="2182" t="str">
        <f t="shared" si="93"/>
        <v>Mini/MultiSplitASHP-Replace_CAC_ElectricHeat_ER2_SF</v>
      </c>
      <c r="G462" s="2182"/>
      <c r="H462" s="2182"/>
      <c r="I462" s="889" t="str">
        <f t="shared" si="94"/>
        <v>351400_2024_12_</v>
      </c>
      <c r="J462" s="1510">
        <v>12</v>
      </c>
      <c r="K462" s="217"/>
      <c r="L462" s="2209"/>
      <c r="N462" s="546"/>
      <c r="T462" s="50"/>
      <c r="U462" s="50"/>
      <c r="V462" s="2179"/>
      <c r="W462" s="219">
        <v>12</v>
      </c>
      <c r="X462" s="219">
        <v>12</v>
      </c>
      <c r="Y462" s="219">
        <v>12</v>
      </c>
      <c r="Z462" s="219">
        <v>12</v>
      </c>
      <c r="AA462" s="219">
        <v>12</v>
      </c>
      <c r="AB462" s="219">
        <v>12</v>
      </c>
      <c r="AC462" s="219">
        <v>12</v>
      </c>
      <c r="AD462" s="219">
        <v>12</v>
      </c>
      <c r="AE462" s="1110">
        <v>12</v>
      </c>
      <c r="AF462" s="258">
        <f t="shared" si="92"/>
        <v>12</v>
      </c>
      <c r="AG462" s="216"/>
      <c r="DG462" s="555"/>
      <c r="DH462" s="151"/>
      <c r="DI462" s="1049"/>
    </row>
    <row r="463" spans="1:113" hidden="1" outlineLevel="1" x14ac:dyDescent="0.25">
      <c r="A463" s="442"/>
      <c r="C463" s="49"/>
      <c r="D463" s="2179"/>
      <c r="E463" s="2179"/>
      <c r="F463" s="2182" t="str">
        <f t="shared" si="93"/>
        <v>Mini/MultiSplitASHP-Replace_CAC_ElectricHeat_ER2_SF</v>
      </c>
      <c r="G463" s="2182"/>
      <c r="H463" s="2182"/>
      <c r="I463" s="889" t="str">
        <f t="shared" si="94"/>
        <v>351400_2024_12_</v>
      </c>
      <c r="J463" s="1510">
        <v>12</v>
      </c>
      <c r="K463" s="217"/>
      <c r="L463" s="2209"/>
      <c r="N463" s="546"/>
      <c r="T463" s="50"/>
      <c r="U463" s="50"/>
      <c r="V463" s="2179"/>
      <c r="W463" s="219">
        <v>12</v>
      </c>
      <c r="X463" s="219">
        <v>12</v>
      </c>
      <c r="Y463" s="219">
        <v>12</v>
      </c>
      <c r="Z463" s="219">
        <v>12</v>
      </c>
      <c r="AA463" s="219">
        <v>12</v>
      </c>
      <c r="AB463" s="219">
        <v>12</v>
      </c>
      <c r="AC463" s="219">
        <v>12</v>
      </c>
      <c r="AD463" s="219">
        <v>12</v>
      </c>
      <c r="AE463" s="1110">
        <v>12</v>
      </c>
      <c r="AF463" s="258">
        <f t="shared" si="92"/>
        <v>12</v>
      </c>
      <c r="AG463" s="216"/>
      <c r="DG463" s="555"/>
      <c r="DH463" s="151"/>
      <c r="DI463" s="1049"/>
    </row>
    <row r="464" spans="1:113" hidden="1" outlineLevel="1" x14ac:dyDescent="0.25">
      <c r="A464" s="442"/>
      <c r="C464" s="49"/>
      <c r="D464" s="2179"/>
      <c r="E464" s="2179"/>
      <c r="F464" s="2182" t="str">
        <f t="shared" si="93"/>
        <v>Mini/MultiSplitASHP-Replace_CAC_NonElectricHeat_ER1_SF</v>
      </c>
      <c r="G464" s="2182"/>
      <c r="H464" s="2182"/>
      <c r="I464" s="890" t="str">
        <f t="shared" si="94"/>
        <v>351401_2024_12_</v>
      </c>
      <c r="J464" s="1510">
        <v>6</v>
      </c>
      <c r="K464" s="217"/>
      <c r="L464" s="2209"/>
      <c r="N464" s="546"/>
      <c r="T464" s="50"/>
      <c r="U464" s="50"/>
      <c r="V464" s="2179"/>
      <c r="W464" s="219"/>
      <c r="X464" s="219"/>
      <c r="Y464" s="219"/>
      <c r="Z464" s="219"/>
      <c r="AA464" s="219"/>
      <c r="AB464" s="219"/>
      <c r="AC464" s="219"/>
      <c r="AD464" s="229">
        <v>6</v>
      </c>
      <c r="AE464" s="1110">
        <v>6</v>
      </c>
      <c r="AF464" s="258">
        <f t="shared" si="92"/>
        <v>6</v>
      </c>
      <c r="AG464" s="216"/>
      <c r="DG464" s="555"/>
      <c r="DH464" s="151"/>
      <c r="DI464" s="1049"/>
    </row>
    <row r="465" spans="1:113" hidden="1" outlineLevel="1" x14ac:dyDescent="0.25">
      <c r="A465" s="442"/>
      <c r="C465" s="49"/>
      <c r="D465" s="2179"/>
      <c r="E465" s="2179"/>
      <c r="F465" s="2182" t="str">
        <f t="shared" si="93"/>
        <v>Mini/MultiSplitASHP-Replace_CAC_NonElectricHeat_ER1_SF</v>
      </c>
      <c r="G465" s="2182"/>
      <c r="H465" s="2182"/>
      <c r="I465" s="890" t="str">
        <f t="shared" si="94"/>
        <v>351401_2024_12_</v>
      </c>
      <c r="J465" s="1510">
        <v>6</v>
      </c>
      <c r="K465" s="217"/>
      <c r="L465" s="2209"/>
      <c r="N465" s="546"/>
      <c r="T465" s="50"/>
      <c r="U465" s="50"/>
      <c r="V465" s="2179"/>
      <c r="W465" s="219"/>
      <c r="X465" s="219"/>
      <c r="Y465" s="219"/>
      <c r="Z465" s="219"/>
      <c r="AA465" s="219"/>
      <c r="AB465" s="219"/>
      <c r="AC465" s="219"/>
      <c r="AD465" s="229">
        <v>6</v>
      </c>
      <c r="AE465" s="1110">
        <v>6</v>
      </c>
      <c r="AF465" s="258">
        <f t="shared" si="92"/>
        <v>6</v>
      </c>
      <c r="AG465" s="216"/>
      <c r="DG465" s="555"/>
      <c r="DH465" s="151"/>
      <c r="DI465" s="1049"/>
    </row>
    <row r="466" spans="1:113" hidden="1" outlineLevel="1" x14ac:dyDescent="0.25">
      <c r="A466" s="442"/>
      <c r="C466" s="49"/>
      <c r="D466" s="2179"/>
      <c r="E466" s="2179"/>
      <c r="F466" s="2182" t="str">
        <f t="shared" si="93"/>
        <v>Mini/MultiSplitASHP-Replace_CAC_NonElectricHeat_ER2_SF</v>
      </c>
      <c r="G466" s="2182"/>
      <c r="H466" s="2182"/>
      <c r="I466" s="890" t="str">
        <f t="shared" si="94"/>
        <v>351401_2024_12_</v>
      </c>
      <c r="J466" s="1510">
        <v>12</v>
      </c>
      <c r="K466" s="217"/>
      <c r="L466" s="2209"/>
      <c r="N466" s="546"/>
      <c r="T466" s="50"/>
      <c r="U466" s="50"/>
      <c r="V466" s="2179"/>
      <c r="W466" s="219"/>
      <c r="X466" s="219"/>
      <c r="Y466" s="219"/>
      <c r="Z466" s="219"/>
      <c r="AA466" s="219"/>
      <c r="AB466" s="219"/>
      <c r="AC466" s="219"/>
      <c r="AD466" s="229">
        <v>12</v>
      </c>
      <c r="AE466" s="1110">
        <v>12</v>
      </c>
      <c r="AF466" s="258">
        <f t="shared" si="92"/>
        <v>12</v>
      </c>
      <c r="AG466" s="216"/>
      <c r="DG466" s="555"/>
      <c r="DH466" s="151"/>
      <c r="DI466" s="1049"/>
    </row>
    <row r="467" spans="1:113" hidden="1" outlineLevel="1" x14ac:dyDescent="0.25">
      <c r="A467" s="442"/>
      <c r="C467" s="49"/>
      <c r="D467" s="2179"/>
      <c r="E467" s="2179"/>
      <c r="F467" s="2182" t="str">
        <f t="shared" si="93"/>
        <v>Mini/MultiSplitASHP-Replace_CAC_NonElectricHeat_ER2_SF</v>
      </c>
      <c r="G467" s="2182"/>
      <c r="H467" s="2182"/>
      <c r="I467" s="890" t="str">
        <f t="shared" si="94"/>
        <v>351401_2024_12_</v>
      </c>
      <c r="J467" s="1510">
        <v>12</v>
      </c>
      <c r="K467" s="217"/>
      <c r="L467" s="2209"/>
      <c r="N467" s="546"/>
      <c r="T467" s="50"/>
      <c r="U467" s="50"/>
      <c r="V467" s="2179"/>
      <c r="W467" s="219"/>
      <c r="X467" s="219"/>
      <c r="Y467" s="219"/>
      <c r="Z467" s="219"/>
      <c r="AA467" s="219"/>
      <c r="AB467" s="219"/>
      <c r="AC467" s="219"/>
      <c r="AD467" s="229">
        <v>12</v>
      </c>
      <c r="AE467" s="1110">
        <v>12</v>
      </c>
      <c r="AF467" s="258">
        <f t="shared" si="92"/>
        <v>12</v>
      </c>
      <c r="AG467" s="216"/>
      <c r="DG467" s="555"/>
      <c r="DH467" s="151"/>
      <c r="DI467" s="1049"/>
    </row>
    <row r="468" spans="1:113" hidden="1" outlineLevel="1" x14ac:dyDescent="0.25">
      <c r="A468" s="442"/>
      <c r="C468" s="49"/>
      <c r="D468" s="2179"/>
      <c r="E468" s="2179"/>
      <c r="F468" s="2182" t="str">
        <f t="shared" si="93"/>
        <v>Mini/MultiSplitASHP-Replace_CAC_ElectricHeat_ROF_SF</v>
      </c>
      <c r="G468" s="2182"/>
      <c r="H468" s="2182"/>
      <c r="I468" s="889" t="str">
        <f t="shared" si="94"/>
        <v>351450_2024_12_</v>
      </c>
      <c r="J468" s="1510">
        <v>18</v>
      </c>
      <c r="K468" s="217"/>
      <c r="L468" s="2209"/>
      <c r="N468" s="546"/>
      <c r="T468" s="50"/>
      <c r="U468" s="50"/>
      <c r="V468" s="2179"/>
      <c r="W468" s="219">
        <v>18</v>
      </c>
      <c r="X468" s="219">
        <v>18</v>
      </c>
      <c r="Y468" s="219">
        <v>18</v>
      </c>
      <c r="Z468" s="219">
        <v>18</v>
      </c>
      <c r="AA468" s="219">
        <v>18</v>
      </c>
      <c r="AB468" s="219">
        <v>18</v>
      </c>
      <c r="AC468" s="219">
        <v>18</v>
      </c>
      <c r="AD468" s="219">
        <v>18</v>
      </c>
      <c r="AE468" s="1110">
        <v>18</v>
      </c>
      <c r="AF468" s="258">
        <f t="shared" si="92"/>
        <v>18</v>
      </c>
      <c r="AG468" s="216"/>
      <c r="DG468" s="555"/>
      <c r="DH468" s="151"/>
      <c r="DI468" s="1049"/>
    </row>
    <row r="469" spans="1:113" hidden="1" outlineLevel="1" x14ac:dyDescent="0.25">
      <c r="A469" s="442"/>
      <c r="C469" s="49"/>
      <c r="D469" s="2179"/>
      <c r="E469" s="2179"/>
      <c r="F469" s="2182" t="str">
        <f t="shared" si="93"/>
        <v>Mini/MultiSplitASHP-Replace_CAC_ElectricHeat_ROF_SF</v>
      </c>
      <c r="G469" s="2182"/>
      <c r="H469" s="2182"/>
      <c r="I469" s="889" t="str">
        <f t="shared" si="94"/>
        <v>351450_2024_12_</v>
      </c>
      <c r="J469" s="1510">
        <v>18</v>
      </c>
      <c r="K469" s="217"/>
      <c r="L469" s="2209"/>
      <c r="N469" s="546"/>
      <c r="T469" s="50"/>
      <c r="U469" s="50"/>
      <c r="V469" s="2179"/>
      <c r="W469" s="219">
        <v>18</v>
      </c>
      <c r="X469" s="219">
        <v>18</v>
      </c>
      <c r="Y469" s="219">
        <v>18</v>
      </c>
      <c r="Z469" s="219">
        <v>18</v>
      </c>
      <c r="AA469" s="219">
        <v>18</v>
      </c>
      <c r="AB469" s="219">
        <v>18</v>
      </c>
      <c r="AC469" s="219">
        <v>18</v>
      </c>
      <c r="AD469" s="219">
        <v>18</v>
      </c>
      <c r="AE469" s="1110">
        <v>18</v>
      </c>
      <c r="AF469" s="258">
        <f t="shared" si="92"/>
        <v>18</v>
      </c>
      <c r="AG469" s="216"/>
      <c r="DG469" s="555"/>
      <c r="DH469" s="151"/>
      <c r="DI469" s="1049"/>
    </row>
    <row r="470" spans="1:113" hidden="1" outlineLevel="1" x14ac:dyDescent="0.25">
      <c r="A470" s="442"/>
      <c r="C470" s="49"/>
      <c r="D470" s="2179"/>
      <c r="E470" s="2179"/>
      <c r="F470" s="2182" t="str">
        <f t="shared" si="93"/>
        <v>Mini/MultiSplitASHP-Replace_CAC_NonElectricHeat_ROF_SF</v>
      </c>
      <c r="G470" s="2182"/>
      <c r="H470" s="2182"/>
      <c r="I470" s="889" t="str">
        <f t="shared" si="94"/>
        <v>351451_2024_12_</v>
      </c>
      <c r="J470" s="1510">
        <v>18</v>
      </c>
      <c r="K470" s="217"/>
      <c r="L470" s="2209"/>
      <c r="N470" s="546"/>
      <c r="T470" s="50"/>
      <c r="U470" s="50"/>
      <c r="V470" s="2179"/>
      <c r="W470" s="219"/>
      <c r="X470" s="219"/>
      <c r="Y470" s="219"/>
      <c r="Z470" s="219"/>
      <c r="AA470" s="219"/>
      <c r="AB470" s="219"/>
      <c r="AC470" s="219"/>
      <c r="AD470" s="229">
        <v>18</v>
      </c>
      <c r="AE470" s="1110">
        <v>18</v>
      </c>
      <c r="AF470" s="258">
        <f t="shared" si="92"/>
        <v>18</v>
      </c>
      <c r="AG470" s="216"/>
      <c r="DG470" s="555"/>
      <c r="DH470" s="151"/>
      <c r="DI470" s="1049"/>
    </row>
    <row r="471" spans="1:113" hidden="1" outlineLevel="1" x14ac:dyDescent="0.25">
      <c r="A471" s="442"/>
      <c r="C471" s="49"/>
      <c r="D471" s="2179"/>
      <c r="E471" s="2179"/>
      <c r="F471" s="2182" t="str">
        <f t="shared" si="93"/>
        <v>Mini/MultiSplitASHP-Replace_CAC_NonElectricHeat_ROF_SF</v>
      </c>
      <c r="G471" s="2182"/>
      <c r="H471" s="2182"/>
      <c r="I471" s="889" t="str">
        <f t="shared" si="94"/>
        <v>351451_2024_12_</v>
      </c>
      <c r="J471" s="1510">
        <v>18</v>
      </c>
      <c r="K471" s="217"/>
      <c r="L471" s="2209"/>
      <c r="N471" s="546"/>
      <c r="T471" s="50"/>
      <c r="U471" s="50"/>
      <c r="V471" s="2179"/>
      <c r="W471" s="219"/>
      <c r="X471" s="219"/>
      <c r="Y471" s="219"/>
      <c r="Z471" s="219"/>
      <c r="AA471" s="219"/>
      <c r="AB471" s="219"/>
      <c r="AC471" s="219"/>
      <c r="AD471" s="229">
        <v>18</v>
      </c>
      <c r="AE471" s="1110">
        <v>18</v>
      </c>
      <c r="AF471" s="258">
        <f t="shared" si="92"/>
        <v>18</v>
      </c>
      <c r="AG471" s="216"/>
      <c r="DG471" s="555"/>
      <c r="DH471" s="151"/>
      <c r="DI471" s="1049"/>
    </row>
    <row r="472" spans="1:113" hidden="1" outlineLevel="1" x14ac:dyDescent="0.25">
      <c r="A472" s="442"/>
      <c r="C472" s="49"/>
      <c r="D472" s="2179"/>
      <c r="E472" s="2179"/>
      <c r="F472" s="2182" t="str">
        <f t="shared" si="93"/>
        <v>Mini/MultiSplitASHP_ER1_SF</v>
      </c>
      <c r="G472" s="2182"/>
      <c r="H472" s="2182"/>
      <c r="I472" s="889" t="str">
        <f t="shared" si="94"/>
        <v>351500_2024_12_</v>
      </c>
      <c r="J472" s="1510">
        <v>6</v>
      </c>
      <c r="K472" s="217"/>
      <c r="L472" s="2209"/>
      <c r="N472" s="546"/>
      <c r="T472" s="50"/>
      <c r="U472" s="50"/>
      <c r="V472" s="2179"/>
      <c r="W472" s="219">
        <v>6</v>
      </c>
      <c r="X472" s="219">
        <v>6</v>
      </c>
      <c r="Y472" s="219">
        <v>6</v>
      </c>
      <c r="Z472" s="219">
        <v>6</v>
      </c>
      <c r="AA472" s="219">
        <v>6</v>
      </c>
      <c r="AB472" s="219">
        <v>6</v>
      </c>
      <c r="AC472" s="219">
        <v>6</v>
      </c>
      <c r="AD472" s="219">
        <v>6</v>
      </c>
      <c r="AE472" s="1110">
        <v>6</v>
      </c>
      <c r="AF472" s="258">
        <f t="shared" si="92"/>
        <v>6</v>
      </c>
      <c r="AG472" s="216"/>
      <c r="DG472" s="555"/>
      <c r="DH472" s="151"/>
      <c r="DI472" s="1049"/>
    </row>
    <row r="473" spans="1:113" hidden="1" outlineLevel="1" x14ac:dyDescent="0.25">
      <c r="A473" s="442"/>
      <c r="C473" s="49"/>
      <c r="D473" s="2179"/>
      <c r="E473" s="2179"/>
      <c r="F473" s="2182" t="str">
        <f t="shared" si="93"/>
        <v>Mini/MultiSplitASHP_ER1_SF</v>
      </c>
      <c r="G473" s="2182"/>
      <c r="H473" s="2182"/>
      <c r="I473" s="889" t="str">
        <f t="shared" si="94"/>
        <v>351500_2024_12_</v>
      </c>
      <c r="J473" s="1510">
        <v>6</v>
      </c>
      <c r="K473" s="217"/>
      <c r="L473" s="2209"/>
      <c r="N473" s="546"/>
      <c r="T473" s="50"/>
      <c r="U473" s="50"/>
      <c r="V473" s="2179"/>
      <c r="W473" s="219">
        <v>6</v>
      </c>
      <c r="X473" s="219">
        <v>6</v>
      </c>
      <c r="Y473" s="219">
        <v>6</v>
      </c>
      <c r="Z473" s="219">
        <v>6</v>
      </c>
      <c r="AA473" s="219">
        <v>6</v>
      </c>
      <c r="AB473" s="219">
        <v>6</v>
      </c>
      <c r="AC473" s="219">
        <v>6</v>
      </c>
      <c r="AD473" s="219">
        <v>6</v>
      </c>
      <c r="AE473" s="1110">
        <v>6</v>
      </c>
      <c r="AF473" s="258">
        <f t="shared" si="92"/>
        <v>6</v>
      </c>
      <c r="AG473" s="216"/>
      <c r="DG473" s="555"/>
      <c r="DH473" s="151"/>
      <c r="DI473" s="1049"/>
    </row>
    <row r="474" spans="1:113" hidden="1" outlineLevel="1" x14ac:dyDescent="0.25">
      <c r="A474" s="442"/>
      <c r="C474" s="49"/>
      <c r="D474" s="2179"/>
      <c r="E474" s="2179"/>
      <c r="F474" s="2182" t="str">
        <f t="shared" si="93"/>
        <v>Mini/MultiSplitASHP_ER2_SF</v>
      </c>
      <c r="G474" s="2182"/>
      <c r="H474" s="2182"/>
      <c r="I474" s="889" t="str">
        <f t="shared" si="94"/>
        <v>351500_2024_12_</v>
      </c>
      <c r="J474" s="1510">
        <v>12</v>
      </c>
      <c r="K474" s="217"/>
      <c r="L474" s="2209"/>
      <c r="N474" s="546"/>
      <c r="T474" s="50"/>
      <c r="U474" s="50"/>
      <c r="V474" s="2179"/>
      <c r="W474" s="219">
        <v>12</v>
      </c>
      <c r="X474" s="219">
        <v>12</v>
      </c>
      <c r="Y474" s="219">
        <v>12</v>
      </c>
      <c r="Z474" s="219">
        <v>12</v>
      </c>
      <c r="AA474" s="219">
        <v>12</v>
      </c>
      <c r="AB474" s="219">
        <v>12</v>
      </c>
      <c r="AC474" s="219">
        <v>12</v>
      </c>
      <c r="AD474" s="219">
        <v>12</v>
      </c>
      <c r="AE474" s="1110">
        <v>12</v>
      </c>
      <c r="AF474" s="258">
        <f t="shared" si="92"/>
        <v>12</v>
      </c>
      <c r="AG474" s="216"/>
      <c r="DG474" s="555"/>
      <c r="DH474" s="151"/>
      <c r="DI474" s="1049"/>
    </row>
    <row r="475" spans="1:113" hidden="1" outlineLevel="1" x14ac:dyDescent="0.25">
      <c r="A475" s="442"/>
      <c r="C475" s="49"/>
      <c r="D475" s="2179"/>
      <c r="E475" s="2179"/>
      <c r="F475" s="2182" t="str">
        <f t="shared" si="93"/>
        <v>Mini/MultiSplitASHP_ER2_SF</v>
      </c>
      <c r="G475" s="2182"/>
      <c r="H475" s="2182"/>
      <c r="I475" s="889" t="str">
        <f t="shared" si="94"/>
        <v>351500_2024_12_</v>
      </c>
      <c r="J475" s="1510">
        <v>12</v>
      </c>
      <c r="K475" s="217"/>
      <c r="L475" s="2209"/>
      <c r="N475" s="546"/>
      <c r="T475" s="50"/>
      <c r="U475" s="50"/>
      <c r="V475" s="2179"/>
      <c r="W475" s="219">
        <v>12</v>
      </c>
      <c r="X475" s="219">
        <v>12</v>
      </c>
      <c r="Y475" s="219">
        <v>12</v>
      </c>
      <c r="Z475" s="219">
        <v>12</v>
      </c>
      <c r="AA475" s="219">
        <v>12</v>
      </c>
      <c r="AB475" s="219">
        <v>12</v>
      </c>
      <c r="AC475" s="219">
        <v>12</v>
      </c>
      <c r="AD475" s="219">
        <v>12</v>
      </c>
      <c r="AE475" s="1110">
        <v>12</v>
      </c>
      <c r="AF475" s="258">
        <f t="shared" si="92"/>
        <v>12</v>
      </c>
      <c r="AG475" s="216"/>
      <c r="DG475" s="555"/>
      <c r="DH475" s="151"/>
      <c r="DI475" s="1049"/>
    </row>
    <row r="476" spans="1:113" hidden="1" outlineLevel="1" x14ac:dyDescent="0.25">
      <c r="A476" s="442"/>
      <c r="C476" s="49"/>
      <c r="D476" s="2179"/>
      <c r="E476" s="2179"/>
      <c r="F476" s="2182" t="str">
        <f t="shared" si="93"/>
        <v>Mini/MultiSplitAC_ER1_MF</v>
      </c>
      <c r="G476" s="2182"/>
      <c r="H476" s="2182"/>
      <c r="I476" s="889" t="str">
        <f t="shared" si="94"/>
        <v>351550_2024_12_</v>
      </c>
      <c r="J476" s="1510">
        <v>6</v>
      </c>
      <c r="K476" s="217"/>
      <c r="L476" s="2209"/>
      <c r="N476" s="546"/>
      <c r="T476" s="50"/>
      <c r="U476" s="50"/>
      <c r="V476" s="2179"/>
      <c r="W476" s="219">
        <v>6</v>
      </c>
      <c r="X476" s="219">
        <v>6</v>
      </c>
      <c r="Y476" s="219">
        <v>6</v>
      </c>
      <c r="Z476" s="219">
        <v>6</v>
      </c>
      <c r="AA476" s="219">
        <v>6</v>
      </c>
      <c r="AB476" s="219">
        <v>6</v>
      </c>
      <c r="AC476" s="219">
        <v>6</v>
      </c>
      <c r="AD476" s="219">
        <v>6</v>
      </c>
      <c r="AE476" s="1110">
        <v>6</v>
      </c>
      <c r="AF476" s="258">
        <f t="shared" si="92"/>
        <v>6</v>
      </c>
      <c r="AG476" s="216"/>
      <c r="DG476" s="555"/>
      <c r="DH476" s="151"/>
      <c r="DI476" s="1049"/>
    </row>
    <row r="477" spans="1:113" hidden="1" outlineLevel="1" x14ac:dyDescent="0.25">
      <c r="A477" s="442"/>
      <c r="C477" s="49"/>
      <c r="D477" s="2179"/>
      <c r="E477" s="2179"/>
      <c r="F477" s="2182" t="str">
        <f t="shared" si="93"/>
        <v>Mini/MultiSplitAC_ER2_MF</v>
      </c>
      <c r="G477" s="2182"/>
      <c r="H477" s="2182"/>
      <c r="I477" s="889" t="str">
        <f t="shared" si="94"/>
        <v>351550_2024_12_</v>
      </c>
      <c r="J477" s="1510">
        <v>12</v>
      </c>
      <c r="K477" s="217"/>
      <c r="L477" s="2209"/>
      <c r="N477" s="546"/>
      <c r="T477" s="50"/>
      <c r="U477" s="50"/>
      <c r="V477" s="2179"/>
      <c r="W477" s="219">
        <v>12</v>
      </c>
      <c r="X477" s="219">
        <v>12</v>
      </c>
      <c r="Y477" s="219">
        <v>12</v>
      </c>
      <c r="Z477" s="219">
        <v>12</v>
      </c>
      <c r="AA477" s="219">
        <v>12</v>
      </c>
      <c r="AB477" s="219">
        <v>12</v>
      </c>
      <c r="AC477" s="219">
        <v>12</v>
      </c>
      <c r="AD477" s="219">
        <v>12</v>
      </c>
      <c r="AE477" s="1110">
        <v>12</v>
      </c>
      <c r="AF477" s="258">
        <f t="shared" si="92"/>
        <v>12</v>
      </c>
      <c r="AG477" s="216"/>
      <c r="DG477" s="555"/>
      <c r="DH477" s="151"/>
      <c r="DI477" s="1049"/>
    </row>
    <row r="478" spans="1:113" hidden="1" outlineLevel="1" x14ac:dyDescent="0.25">
      <c r="A478" s="442"/>
      <c r="C478" s="49"/>
      <c r="D478" s="2177" t="s">
        <v>50</v>
      </c>
      <c r="E478" s="2177" t="s">
        <v>682</v>
      </c>
      <c r="F478" s="2182" t="str">
        <f t="shared" ref="F478:F502" si="95">F453</f>
        <v>Mini/MultiSplitAC_ER1_SF</v>
      </c>
      <c r="G478" s="2182"/>
      <c r="H478" s="2182"/>
      <c r="I478" s="889" t="str">
        <f t="shared" ref="I478:I502" si="96">I453</f>
        <v>351200_2024_12_</v>
      </c>
      <c r="J478" s="1546">
        <f>SUMIFS(S$328:S$331,Q$328:Q$331,"&lt;="&amp;L478,R$328:R$331,"&gt;"&amp;L478)*K478-((S$338+T$338*K478)*S$348)</f>
        <v>683.91788099116957</v>
      </c>
      <c r="K478" s="1000">
        <f>VLOOKUP(INDEX($C$293:$E$317,MATCH(SUBSTITUTE(F478, "MultiSplitAC_", "MultiSplitASHP_"),$E$293:$E$317,0),1),$I$327:$K$336,3,FALSE)</f>
        <v>1.8757575757575757</v>
      </c>
      <c r="L478" s="1597">
        <f>VLOOKUP(INDEX($C$293:$E$317,MATCH(SUBSTITUTE(F478, "MultiSplitAC_", "MultiSplitASHP_"),$E$293:$E$317,0),1),$I$367:$J$376,2,FALSE)</f>
        <v>11.185185185185182</v>
      </c>
      <c r="M478" s="535">
        <f>VLOOKUP(I478,I$347:J$366,2,FALSE)</f>
        <v>0</v>
      </c>
      <c r="N478" s="1015"/>
      <c r="T478" s="50"/>
      <c r="U478" s="50"/>
      <c r="V478" s="2179" t="str">
        <f>D478</f>
        <v>Inc. Cost</v>
      </c>
      <c r="W478" s="221">
        <v>2389.0666666666666</v>
      </c>
      <c r="X478" s="220">
        <f>(2108*(X$377/12000)/1.5)*X$427</f>
        <v>2108</v>
      </c>
      <c r="Y478" s="220">
        <f>(2108*(Y$377/12000)/1.5)*Y$427</f>
        <v>2108</v>
      </c>
      <c r="Z478" s="221">
        <v>2108</v>
      </c>
      <c r="AA478" s="221">
        <v>2108</v>
      </c>
      <c r="AB478" s="707">
        <v>1231.1592671062349</v>
      </c>
      <c r="AC478" s="220">
        <v>1133.5954314013989</v>
      </c>
      <c r="AD478" s="220">
        <v>1408.9941341172375</v>
      </c>
      <c r="AE478" s="1111">
        <v>1449.703861156642</v>
      </c>
      <c r="AF478" s="258">
        <f t="shared" ref="AF478:AF502" si="97">IF(J478&lt;&gt;"",J478,"")</f>
        <v>683.91788099116957</v>
      </c>
      <c r="AG478" s="216"/>
      <c r="DG478" s="555"/>
      <c r="DH478" s="151"/>
      <c r="DI478" s="1049"/>
    </row>
    <row r="479" spans="1:113" hidden="1" outlineLevel="1" x14ac:dyDescent="0.25">
      <c r="A479" s="442"/>
      <c r="C479" s="49"/>
      <c r="D479" s="2177"/>
      <c r="E479" s="2177"/>
      <c r="F479" s="2182" t="str">
        <f t="shared" si="95"/>
        <v>Mini/MultiSplitAC_ER2_SF</v>
      </c>
      <c r="G479" s="2182"/>
      <c r="H479" s="2182"/>
      <c r="I479" s="889" t="str">
        <f t="shared" si="96"/>
        <v>351200_2024_12_</v>
      </c>
      <c r="J479" s="710"/>
      <c r="K479" s="1000"/>
      <c r="L479" s="889"/>
      <c r="N479" s="546"/>
      <c r="T479" s="50"/>
      <c r="U479" s="50"/>
      <c r="V479" s="2179"/>
      <c r="W479" s="221"/>
      <c r="X479" s="220"/>
      <c r="Y479" s="220"/>
      <c r="Z479" s="221"/>
      <c r="AA479" s="221"/>
      <c r="AB479" s="707"/>
      <c r="AC479" s="220"/>
      <c r="AD479" s="220"/>
      <c r="AE479" s="1316"/>
      <c r="AF479" s="258" t="str">
        <f t="shared" si="97"/>
        <v/>
      </c>
      <c r="AG479" s="216"/>
      <c r="DG479" s="555"/>
      <c r="DH479" s="151"/>
      <c r="DI479" s="1049"/>
    </row>
    <row r="480" spans="1:113" hidden="1" outlineLevel="1" x14ac:dyDescent="0.25">
      <c r="A480" s="442"/>
      <c r="C480" s="49"/>
      <c r="D480" s="2177"/>
      <c r="E480" s="2177"/>
      <c r="F480" s="2182" t="str">
        <f t="shared" si="95"/>
        <v>Mini/MultiSplitAC_ROF_SF</v>
      </c>
      <c r="G480" s="2182"/>
      <c r="H480" s="2182"/>
      <c r="I480" s="889" t="str">
        <f t="shared" si="96"/>
        <v>351250_2024_12_</v>
      </c>
      <c r="J480" s="1546">
        <f>SUMIFS(T$328:T$331,Q$328:Q$331,"&lt;="&amp;L480,R$328:R$331,"&gt;"&amp;L480)*K480</f>
        <v>543.7067546700647</v>
      </c>
      <c r="K480" s="1000">
        <f>VLOOKUP(INDEX($C$293:$E$317,MATCH(SUBSTITUTE(F480, "MultiSplitAC_", "MultiSplitASHP_"),$E$293:$E$317,0),1),$I$327:$K$336,3,FALSE)</f>
        <v>1.6278645349403136</v>
      </c>
      <c r="L480" s="1597">
        <f>VLOOKUP(INDEX($C$293:$E$317,MATCH(SUBSTITUTE(F480, "MultiSplitAC_", "MultiSplitASHP_"),$E$293:$E$317,0),1),$I$367:$J$376,2,FALSE)</f>
        <v>11.370854271356771</v>
      </c>
      <c r="M480" s="535"/>
      <c r="N480" s="1015"/>
      <c r="T480" s="50"/>
      <c r="U480" s="50"/>
      <c r="V480" s="2179"/>
      <c r="W480" s="221">
        <v>1648</v>
      </c>
      <c r="X480" s="220">
        <f>(1545*(X$378/12000)/1.5)*X$429</f>
        <v>1545</v>
      </c>
      <c r="Y480" s="220">
        <f>(1545*(Y$378/12000)/1.5)*Y$429</f>
        <v>1545</v>
      </c>
      <c r="Z480" s="221">
        <v>1545</v>
      </c>
      <c r="AA480" s="221">
        <v>1545</v>
      </c>
      <c r="AB480" s="707">
        <v>336</v>
      </c>
      <c r="AC480" s="220">
        <v>337.89830508474574</v>
      </c>
      <c r="AD480" s="220">
        <v>364.64165582663026</v>
      </c>
      <c r="AE480" s="1316">
        <v>364.64165582663026</v>
      </c>
      <c r="AF480" s="258">
        <f t="shared" si="97"/>
        <v>543.7067546700647</v>
      </c>
      <c r="AG480" s="216"/>
      <c r="DG480" s="555"/>
      <c r="DH480" s="151"/>
      <c r="DI480" s="1049"/>
    </row>
    <row r="481" spans="1:113" hidden="1" outlineLevel="1" x14ac:dyDescent="0.25">
      <c r="A481" s="442"/>
      <c r="C481" s="49"/>
      <c r="D481" s="2177"/>
      <c r="E481" s="2177"/>
      <c r="F481" s="2182" t="str">
        <f t="shared" si="95"/>
        <v>Mini/MultiSplitASHP_ROF_SF_NC</v>
      </c>
      <c r="G481" s="2182"/>
      <c r="H481" s="2182"/>
      <c r="I481" s="889" t="str">
        <f t="shared" si="96"/>
        <v>351300_2024_12_</v>
      </c>
      <c r="J481" s="1546">
        <f>SUMIFS(T$328:T$331,Q$328:Q$331,"&lt;="&amp;L481,R$328:R$331,"&gt;"&amp;L481)*K481</f>
        <v>543.7067546700647</v>
      </c>
      <c r="K481" s="1000">
        <f>VLOOKUP(INDEX($C$293:$E$317,MATCH(SUBSTITUTE(F481, "MultiSplitAC_", "MultiSplitASHP_"),$E$293:$E$317,0),1),$I$327:$K$336,3,FALSE)</f>
        <v>1.6278645349403136</v>
      </c>
      <c r="L481" s="1597">
        <f>VLOOKUP(INDEX($C$293:$E$317,MATCH(SUBSTITUTE(F481, "MultiSplitAC_", "MultiSplitASHP_"),$E$293:$E$317,0),1),$I$367:$J$376,2,FALSE)</f>
        <v>11.370854271356771</v>
      </c>
      <c r="M481" s="535"/>
      <c r="N481" s="1015"/>
      <c r="T481" s="50"/>
      <c r="U481" s="50"/>
      <c r="V481" s="2179"/>
      <c r="W481" s="221">
        <v>828.79999999999984</v>
      </c>
      <c r="X481" s="220">
        <f>(888*(X$379/12000)/1.5)*X$430</f>
        <v>888</v>
      </c>
      <c r="Y481" s="220">
        <f>(888*(Y$379/12000)/1.5)*Y$430</f>
        <v>888</v>
      </c>
      <c r="Z481" s="221">
        <v>888</v>
      </c>
      <c r="AA481" s="221">
        <v>888</v>
      </c>
      <c r="AB481" s="707">
        <v>336</v>
      </c>
      <c r="AC481" s="220">
        <v>337.89830508474574</v>
      </c>
      <c r="AD481" s="220">
        <v>364.64165582663026</v>
      </c>
      <c r="AE481" s="1316">
        <v>364.64165582663026</v>
      </c>
      <c r="AF481" s="258">
        <f t="shared" si="97"/>
        <v>543.7067546700647</v>
      </c>
      <c r="AG481" s="216"/>
      <c r="DG481" s="555"/>
      <c r="DH481" s="151"/>
      <c r="DI481" s="1049"/>
    </row>
    <row r="482" spans="1:113" hidden="1" outlineLevel="1" x14ac:dyDescent="0.25">
      <c r="A482" s="442"/>
      <c r="C482" s="49"/>
      <c r="D482" s="2177"/>
      <c r="E482" s="2177"/>
      <c r="F482" s="2182" t="str">
        <f t="shared" si="95"/>
        <v>Mini/MultiSplitASHP_ROF_SF_NC</v>
      </c>
      <c r="G482" s="2182"/>
      <c r="H482" s="2182"/>
      <c r="I482" s="889" t="str">
        <f t="shared" si="96"/>
        <v>351300_2024_12_</v>
      </c>
      <c r="J482" s="710"/>
      <c r="K482" s="1000"/>
      <c r="L482" s="889"/>
      <c r="N482" s="546"/>
      <c r="T482" s="50"/>
      <c r="U482" s="50"/>
      <c r="V482" s="2179"/>
      <c r="W482" s="221"/>
      <c r="X482" s="220"/>
      <c r="Y482" s="220"/>
      <c r="Z482" s="221"/>
      <c r="AA482" s="221"/>
      <c r="AB482" s="707"/>
      <c r="AC482" s="220"/>
      <c r="AD482" s="220"/>
      <c r="AE482" s="1316"/>
      <c r="AF482" s="258" t="str">
        <f t="shared" si="97"/>
        <v/>
      </c>
      <c r="AG482" s="216"/>
      <c r="DG482" s="555"/>
      <c r="DH482" s="151"/>
      <c r="DI482" s="1049"/>
    </row>
    <row r="483" spans="1:113" hidden="1" outlineLevel="1" x14ac:dyDescent="0.25">
      <c r="A483" s="442"/>
      <c r="C483" s="49"/>
      <c r="D483" s="2177"/>
      <c r="E483" s="2177"/>
      <c r="F483" s="2182" t="str">
        <f t="shared" si="95"/>
        <v>Mini/MultiSplitASHP_ROF_SF</v>
      </c>
      <c r="G483" s="2182"/>
      <c r="H483" s="2182"/>
      <c r="I483" s="889" t="str">
        <f t="shared" si="96"/>
        <v>351350_2024_12_</v>
      </c>
      <c r="J483" s="1546">
        <f>SUMIFS(T$328:T$331,Q$328:Q$331,"&lt;="&amp;L483,R$328:R$331,"&gt;"&amp;L483)*K483</f>
        <v>543.7067546700647</v>
      </c>
      <c r="K483" s="1000">
        <f>VLOOKUP(INDEX($C$293:$E$317,MATCH(SUBSTITUTE(F483, "MultiSplitAC_", "MultiSplitASHP_"),$E$293:$E$317,0),1),$I$327:$K$336,3,FALSE)</f>
        <v>1.6278645349403136</v>
      </c>
      <c r="L483" s="1597">
        <f>VLOOKUP(INDEX($C$293:$E$317,MATCH(SUBSTITUTE(F483, "MultiSplitAC_", "MultiSplitASHP_"),$E$293:$E$317,0),1),$I$367:$J$376,2,FALSE)</f>
        <v>11.370854271356771</v>
      </c>
      <c r="M483" s="535"/>
      <c r="N483" s="1015"/>
      <c r="T483" s="50"/>
      <c r="U483" s="50"/>
      <c r="V483" s="2179"/>
      <c r="W483" s="221">
        <v>1006.4</v>
      </c>
      <c r="X483" s="220">
        <f>(888*(X$377/12000)/1.5)*X$432</f>
        <v>888</v>
      </c>
      <c r="Y483" s="220">
        <f>(888*(Y$377/12000)/1.5)*Y$432</f>
        <v>888</v>
      </c>
      <c r="Z483" s="221">
        <v>888</v>
      </c>
      <c r="AA483" s="221">
        <v>888</v>
      </c>
      <c r="AB483" s="707">
        <v>336</v>
      </c>
      <c r="AC483" s="220">
        <v>337.89830508474574</v>
      </c>
      <c r="AD483" s="220">
        <v>364.64165582663026</v>
      </c>
      <c r="AE483" s="1316">
        <v>364.64165582663026</v>
      </c>
      <c r="AF483" s="258">
        <f t="shared" si="97"/>
        <v>543.7067546700647</v>
      </c>
      <c r="AG483" s="216"/>
      <c r="DG483" s="555"/>
      <c r="DH483" s="151"/>
      <c r="DI483" s="1049"/>
    </row>
    <row r="484" spans="1:113" hidden="1" outlineLevel="1" x14ac:dyDescent="0.25">
      <c r="A484" s="442"/>
      <c r="C484" s="49"/>
      <c r="D484" s="2177"/>
      <c r="E484" s="2177"/>
      <c r="F484" s="2182" t="str">
        <f t="shared" si="95"/>
        <v>Mini/MultiSplitASHP_ROF_SF</v>
      </c>
      <c r="G484" s="2182"/>
      <c r="H484" s="2182"/>
      <c r="I484" s="889" t="str">
        <f t="shared" si="96"/>
        <v>351350_2024_12_</v>
      </c>
      <c r="J484" s="710"/>
      <c r="K484" s="1000"/>
      <c r="L484" s="889"/>
      <c r="N484" s="546"/>
      <c r="T484" s="50"/>
      <c r="U484" s="50"/>
      <c r="V484" s="2179"/>
      <c r="W484" s="221"/>
      <c r="X484" s="220"/>
      <c r="Y484" s="220"/>
      <c r="Z484" s="221"/>
      <c r="AA484" s="221"/>
      <c r="AB484" s="707"/>
      <c r="AC484" s="220"/>
      <c r="AD484" s="220"/>
      <c r="AE484" s="1316"/>
      <c r="AF484" s="258" t="str">
        <f t="shared" si="97"/>
        <v/>
      </c>
      <c r="AG484" s="216"/>
      <c r="DG484" s="555"/>
      <c r="DH484" s="151"/>
      <c r="DI484" s="1049"/>
    </row>
    <row r="485" spans="1:113" hidden="1" outlineLevel="1" x14ac:dyDescent="0.25">
      <c r="A485" s="442"/>
      <c r="C485" s="49"/>
      <c r="D485" s="2177"/>
      <c r="E485" s="2177"/>
      <c r="F485" s="2182" t="str">
        <f t="shared" si="95"/>
        <v>Mini/MultiSplitASHP-Replace_CAC_ElectricHeat_ER1_SF</v>
      </c>
      <c r="G485" s="2182"/>
      <c r="H485" s="2182"/>
      <c r="I485" s="889" t="str">
        <f t="shared" si="96"/>
        <v>351400_2024_12_</v>
      </c>
      <c r="J485" s="1546">
        <f>MAX((SUMIFS(S$328:S$331,Q$328:Q$331,"&lt;="&amp;L485,R$328:R$331,"&gt;"&amp;L485)*K485)-((S$339+T$339*K485)*S$348),(SUMIFS(T$328:T$331,Q$328:Q$331,"&lt;="&amp;L485,R$328:R$331,"&gt;"&amp;L485)*K485))</f>
        <v>626.5030303030303</v>
      </c>
      <c r="K485" s="1000">
        <f>VLOOKUP(INDEX($C$293:$E$317,MATCH(SUBSTITUTE(F485, "MultiSplitAC_", "MultiSplitASHP_"),$E$293:$E$317,0),1),$I$327:$K$336,3,FALSE)</f>
        <v>1.8757575757575757</v>
      </c>
      <c r="L485" s="1597">
        <f>VLOOKUP(INDEX($C$293:$E$317,MATCH(SUBSTITUTE(F485, "MultiSplitAC_", "MultiSplitASHP_"),$E$293:$E$317,0),1),$I$367:$J$376,2,FALSE)</f>
        <v>11.185185185185182</v>
      </c>
      <c r="M485" s="535">
        <f>VLOOKUP(I485,I$347:J$366,2,FALSE)</f>
        <v>3.4119999999999999</v>
      </c>
      <c r="N485" s="1015"/>
      <c r="T485" s="50"/>
      <c r="U485" s="50"/>
      <c r="V485" s="2179"/>
      <c r="W485" s="221">
        <v>1967.4666666666665</v>
      </c>
      <c r="X485" s="220">
        <f>(2108*(X$381/12000)/1.5)*X$434</f>
        <v>2108</v>
      </c>
      <c r="Y485" s="220">
        <f>(2108*(Y$381/12000)/1.5)*Y$434</f>
        <v>2108</v>
      </c>
      <c r="Z485" s="221">
        <v>2108</v>
      </c>
      <c r="AA485" s="221">
        <v>2108</v>
      </c>
      <c r="AB485" s="707">
        <v>2504.17</v>
      </c>
      <c r="AC485" s="220">
        <v>2505.747142294048</v>
      </c>
      <c r="AD485" s="220">
        <v>2768.8371103720847</v>
      </c>
      <c r="AE485" s="1111">
        <v>2505.1916558266303</v>
      </c>
      <c r="AF485" s="258">
        <f t="shared" si="97"/>
        <v>626.5030303030303</v>
      </c>
      <c r="AG485" s="216"/>
      <c r="DG485" s="555"/>
      <c r="DH485" s="151"/>
      <c r="DI485" s="1049"/>
    </row>
    <row r="486" spans="1:113" hidden="1" outlineLevel="1" x14ac:dyDescent="0.25">
      <c r="A486" s="442"/>
      <c r="C486" s="49"/>
      <c r="D486" s="2177"/>
      <c r="E486" s="2177"/>
      <c r="F486" s="2182" t="str">
        <f t="shared" si="95"/>
        <v>Mini/MultiSplitASHP-Replace_CAC_ElectricHeat_ER1_SF</v>
      </c>
      <c r="G486" s="2182"/>
      <c r="H486" s="2182"/>
      <c r="I486" s="889" t="str">
        <f t="shared" si="96"/>
        <v>351400_2024_12_</v>
      </c>
      <c r="J486" s="710"/>
      <c r="K486" s="1000"/>
      <c r="L486" s="889"/>
      <c r="N486" s="546"/>
      <c r="T486" s="50"/>
      <c r="U486" s="50"/>
      <c r="V486" s="2179"/>
      <c r="W486" s="221"/>
      <c r="X486" s="220"/>
      <c r="Y486" s="220"/>
      <c r="Z486" s="221"/>
      <c r="AA486" s="221"/>
      <c r="AB486" s="707"/>
      <c r="AC486" s="220"/>
      <c r="AD486" s="220"/>
      <c r="AE486" s="1316"/>
      <c r="AF486" s="258" t="str">
        <f t="shared" si="97"/>
        <v/>
      </c>
      <c r="AG486" s="216"/>
      <c r="DG486" s="555"/>
      <c r="DH486" s="151"/>
      <c r="DI486" s="1049"/>
    </row>
    <row r="487" spans="1:113" hidden="1" outlineLevel="1" x14ac:dyDescent="0.25">
      <c r="A487" s="442"/>
      <c r="C487" s="49"/>
      <c r="D487" s="2177"/>
      <c r="E487" s="2177"/>
      <c r="F487" s="2182" t="str">
        <f t="shared" si="95"/>
        <v>Mini/MultiSplitASHP-Replace_CAC_ElectricHeat_ER2_SF</v>
      </c>
      <c r="G487" s="2182"/>
      <c r="H487" s="2182"/>
      <c r="I487" s="889" t="str">
        <f t="shared" si="96"/>
        <v>351400_2024_12_</v>
      </c>
      <c r="J487" s="710"/>
      <c r="K487" s="1000"/>
      <c r="L487" s="889"/>
      <c r="N487" s="546"/>
      <c r="T487" s="50"/>
      <c r="U487" s="50"/>
      <c r="V487" s="2179"/>
      <c r="W487" s="221"/>
      <c r="X487" s="220"/>
      <c r="Y487" s="220"/>
      <c r="Z487" s="221"/>
      <c r="AA487" s="221"/>
      <c r="AB487" s="707"/>
      <c r="AC487" s="220"/>
      <c r="AD487" s="220"/>
      <c r="AE487" s="1316"/>
      <c r="AF487" s="258" t="str">
        <f t="shared" si="97"/>
        <v/>
      </c>
      <c r="AG487" s="216"/>
      <c r="DG487" s="555"/>
      <c r="DH487" s="151"/>
      <c r="DI487" s="1049"/>
    </row>
    <row r="488" spans="1:113" hidden="1" outlineLevel="1" x14ac:dyDescent="0.25">
      <c r="A488" s="442"/>
      <c r="C488" s="49"/>
      <c r="D488" s="2177"/>
      <c r="E488" s="2177"/>
      <c r="F488" s="2182" t="str">
        <f t="shared" si="95"/>
        <v>Mini/MultiSplitASHP-Replace_CAC_ElectricHeat_ER2_SF</v>
      </c>
      <c r="G488" s="2182"/>
      <c r="H488" s="2182"/>
      <c r="I488" s="889" t="str">
        <f t="shared" si="96"/>
        <v>351400_2024_12_</v>
      </c>
      <c r="J488" s="710"/>
      <c r="K488" s="1000"/>
      <c r="L488" s="889"/>
      <c r="N488" s="546"/>
      <c r="T488" s="50"/>
      <c r="U488" s="50"/>
      <c r="V488" s="2179"/>
      <c r="W488" s="221"/>
      <c r="X488" s="220"/>
      <c r="Y488" s="220"/>
      <c r="Z488" s="221"/>
      <c r="AA488" s="221"/>
      <c r="AB488" s="707"/>
      <c r="AC488" s="220"/>
      <c r="AD488" s="220"/>
      <c r="AE488" s="1316"/>
      <c r="AF488" s="258" t="str">
        <f t="shared" si="97"/>
        <v/>
      </c>
      <c r="AG488" s="216"/>
      <c r="DG488" s="555"/>
      <c r="DH488" s="151"/>
      <c r="DI488" s="1049"/>
    </row>
    <row r="489" spans="1:113" hidden="1" outlineLevel="1" x14ac:dyDescent="0.25">
      <c r="A489" s="442"/>
      <c r="C489" s="49"/>
      <c r="D489" s="2177"/>
      <c r="E489" s="2177"/>
      <c r="F489" s="2182" t="str">
        <f t="shared" si="95"/>
        <v>Mini/MultiSplitASHP-Replace_CAC_NonElectricHeat_ER1_SF</v>
      </c>
      <c r="G489" s="2182"/>
      <c r="H489" s="2182"/>
      <c r="I489" s="889" t="str">
        <f t="shared" si="96"/>
        <v>351401_2024_12_</v>
      </c>
      <c r="J489" s="1546">
        <f>MAX((SUMIFS(S$328:S$331,Q$328:Q$331,"&lt;="&amp;L489,R$328:R$331,"&gt;"&amp;L489)*K489-((T$340*K489+S$340)*S$348))*VLOOKUP(I489,$I$503:$J$504,2,FALSE),SUMIFS(T$328:T$331,Q$328:Q$331,"&lt;="&amp;L489,R$328:R$331,"&gt;"&amp;L489)*K489*VLOOKUP(I489,$I$503:$J$504,2,FALSE))</f>
        <v>89.869631889142951</v>
      </c>
      <c r="K489" s="1000">
        <f>VLOOKUP(INDEX($C$293:$E$317,MATCH(SUBSTITUTE(F489, "MultiSplitAC_", "MultiSplitASHP_"),$E$293:$E$317,0),1),$I$327:$K$336,3,FALSE)</f>
        <v>1.8757575757575757</v>
      </c>
      <c r="L489" s="1597">
        <f>VLOOKUP(INDEX($C$293:$E$317,MATCH(SUBSTITUTE(F489, "MultiSplitAC_", "MultiSplitASHP_"),$E$293:$E$317,0),1),$I$367:$J$376,2,FALSE)</f>
        <v>11.185185185185182</v>
      </c>
      <c r="M489" s="535">
        <f>VLOOKUP(I489,I$347:J$366,2,FALSE)</f>
        <v>0</v>
      </c>
      <c r="N489" s="1015"/>
      <c r="T489" s="50"/>
      <c r="U489" s="50"/>
      <c r="V489" s="2179"/>
      <c r="W489" s="221"/>
      <c r="X489" s="220"/>
      <c r="Y489" s="220"/>
      <c r="Z489" s="221"/>
      <c r="AA489" s="221"/>
      <c r="AB489" s="707"/>
      <c r="AC489" s="220"/>
      <c r="AD489" s="220">
        <v>2768.8371103720847</v>
      </c>
      <c r="AE489" s="1111">
        <v>2505.1916558266303</v>
      </c>
      <c r="AF489" s="258">
        <f t="shared" si="97"/>
        <v>89.869631889142951</v>
      </c>
      <c r="AG489" s="216"/>
      <c r="DG489" s="555"/>
      <c r="DH489" s="151"/>
      <c r="DI489" s="1049"/>
    </row>
    <row r="490" spans="1:113" hidden="1" outlineLevel="1" x14ac:dyDescent="0.25">
      <c r="A490" s="442"/>
      <c r="C490" s="49"/>
      <c r="D490" s="2177"/>
      <c r="E490" s="2177"/>
      <c r="F490" s="2182" t="str">
        <f t="shared" si="95"/>
        <v>Mini/MultiSplitASHP-Replace_CAC_NonElectricHeat_ER1_SF</v>
      </c>
      <c r="G490" s="2182"/>
      <c r="H490" s="2182"/>
      <c r="I490" s="889" t="str">
        <f t="shared" si="96"/>
        <v>351401_2024_12_</v>
      </c>
      <c r="J490" s="710"/>
      <c r="K490" s="1000"/>
      <c r="L490" s="889"/>
      <c r="N490" s="546"/>
      <c r="T490" s="50"/>
      <c r="U490" s="50"/>
      <c r="V490" s="2179"/>
      <c r="W490" s="221"/>
      <c r="X490" s="220"/>
      <c r="Y490" s="220"/>
      <c r="Z490" s="221"/>
      <c r="AA490" s="221"/>
      <c r="AB490" s="707"/>
      <c r="AC490" s="220"/>
      <c r="AD490" s="220"/>
      <c r="AE490" s="1316"/>
      <c r="AF490" s="258" t="str">
        <f t="shared" si="97"/>
        <v/>
      </c>
      <c r="AG490" s="216"/>
      <c r="DG490" s="555"/>
      <c r="DH490" s="151"/>
      <c r="DI490" s="1049"/>
    </row>
    <row r="491" spans="1:113" hidden="1" outlineLevel="1" x14ac:dyDescent="0.25">
      <c r="A491" s="442"/>
      <c r="C491" s="49"/>
      <c r="D491" s="2177"/>
      <c r="E491" s="2177"/>
      <c r="F491" s="2182" t="str">
        <f t="shared" si="95"/>
        <v>Mini/MultiSplitASHP-Replace_CAC_NonElectricHeat_ER2_SF</v>
      </c>
      <c r="G491" s="2182"/>
      <c r="H491" s="2182"/>
      <c r="I491" s="889" t="str">
        <f t="shared" si="96"/>
        <v>351401_2024_12_</v>
      </c>
      <c r="J491" s="710"/>
      <c r="K491" s="1000"/>
      <c r="L491" s="889"/>
      <c r="N491" s="546"/>
      <c r="T491" s="50"/>
      <c r="U491" s="50"/>
      <c r="V491" s="2179"/>
      <c r="W491" s="221"/>
      <c r="X491" s="220"/>
      <c r="Y491" s="220"/>
      <c r="Z491" s="221"/>
      <c r="AA491" s="221"/>
      <c r="AB491" s="707"/>
      <c r="AC491" s="220"/>
      <c r="AD491" s="220"/>
      <c r="AE491" s="1316"/>
      <c r="AF491" s="258" t="str">
        <f t="shared" si="97"/>
        <v/>
      </c>
      <c r="AG491" s="216"/>
      <c r="DG491" s="555"/>
      <c r="DH491" s="151"/>
      <c r="DI491" s="1049"/>
    </row>
    <row r="492" spans="1:113" hidden="1" outlineLevel="1" x14ac:dyDescent="0.25">
      <c r="A492" s="442"/>
      <c r="C492" s="49"/>
      <c r="D492" s="2177"/>
      <c r="E492" s="2177"/>
      <c r="F492" s="2182" t="str">
        <f t="shared" si="95"/>
        <v>Mini/MultiSplitASHP-Replace_CAC_NonElectricHeat_ER2_SF</v>
      </c>
      <c r="G492" s="2182"/>
      <c r="H492" s="2182"/>
      <c r="I492" s="889" t="str">
        <f t="shared" si="96"/>
        <v>351401_2024_12_</v>
      </c>
      <c r="J492" s="710"/>
      <c r="K492" s="1000"/>
      <c r="L492" s="889"/>
      <c r="N492" s="546"/>
      <c r="T492" s="50"/>
      <c r="U492" s="50"/>
      <c r="V492" s="2179"/>
      <c r="W492" s="221"/>
      <c r="X492" s="220"/>
      <c r="Y492" s="220"/>
      <c r="Z492" s="221"/>
      <c r="AA492" s="221"/>
      <c r="AB492" s="707"/>
      <c r="AC492" s="220"/>
      <c r="AD492" s="220"/>
      <c r="AE492" s="1316"/>
      <c r="AF492" s="258" t="str">
        <f t="shared" si="97"/>
        <v/>
      </c>
      <c r="AG492" s="216"/>
      <c r="DG492" s="555"/>
      <c r="DH492" s="151"/>
      <c r="DI492" s="1049"/>
    </row>
    <row r="493" spans="1:113" hidden="1" outlineLevel="1" x14ac:dyDescent="0.25">
      <c r="A493" s="442"/>
      <c r="C493" s="49"/>
      <c r="D493" s="2177"/>
      <c r="E493" s="2177"/>
      <c r="F493" s="2182" t="str">
        <f t="shared" si="95"/>
        <v>Mini/MultiSplitASHP-Replace_CAC_ElectricHeat_ROF_SF</v>
      </c>
      <c r="G493" s="2182"/>
      <c r="H493" s="2182"/>
      <c r="I493" s="889" t="str">
        <f t="shared" si="96"/>
        <v>351450_2024_12_</v>
      </c>
      <c r="J493" s="1546">
        <f>MAX((SUMIFS(S$328:S$331,Q$328:Q$331,"&lt;="&amp;L493,R$328:R$331,"&gt;"&amp;L493)*K493)-(S$336+T$336*K493),(SUMIFS(T$328:T$331,Q$328:Q$331,"&lt;="&amp;L493,R$328:R$331,"&gt;"&amp;L493)*K493))</f>
        <v>543.7067546700647</v>
      </c>
      <c r="K493" s="1000">
        <f>VLOOKUP(INDEX($C$293:$E$317,MATCH(SUBSTITUTE(F493, "MultiSplitAC_", "MultiSplitASHP_"),$E$293:$E$317,0),1),$I$327:$K$336,3,FALSE)</f>
        <v>1.6278645349403136</v>
      </c>
      <c r="L493" s="1597">
        <f>VLOOKUP(INDEX($C$293:$E$317,MATCH(SUBSTITUTE(F493, "MultiSplitAC_", "MultiSplitASHP_"),$E$293:$E$317,0),1),$I$367:$J$376,2,FALSE)</f>
        <v>11.370854271356771</v>
      </c>
      <c r="M493" s="535"/>
      <c r="N493" s="1015"/>
      <c r="T493" s="50"/>
      <c r="U493" s="50"/>
      <c r="V493" s="2179"/>
      <c r="W493" s="221">
        <v>1121.0666666666668</v>
      </c>
      <c r="X493" s="220">
        <f>(1051*(X$382/12000)/1.5)*X$442</f>
        <v>1051</v>
      </c>
      <c r="Y493" s="220">
        <f>(1051*(Y$382/12000)/1.5)*Y$442</f>
        <v>1121.0666666666668</v>
      </c>
      <c r="Z493" s="221">
        <v>1121.0666666666668</v>
      </c>
      <c r="AA493" s="221">
        <v>1121.0666666666668</v>
      </c>
      <c r="AB493" s="707">
        <v>336</v>
      </c>
      <c r="AC493" s="220">
        <v>337.89830508474574</v>
      </c>
      <c r="AD493" s="220">
        <v>364.64165582663026</v>
      </c>
      <c r="AE493" s="1316">
        <v>364.64165582663026</v>
      </c>
      <c r="AF493" s="258">
        <f t="shared" si="97"/>
        <v>543.7067546700647</v>
      </c>
      <c r="AG493" s="216"/>
      <c r="DG493" s="555"/>
      <c r="DH493" s="151"/>
      <c r="DI493" s="1049"/>
    </row>
    <row r="494" spans="1:113" hidden="1" outlineLevel="1" x14ac:dyDescent="0.25">
      <c r="A494" s="442"/>
      <c r="C494" s="49"/>
      <c r="D494" s="2177"/>
      <c r="E494" s="2177"/>
      <c r="F494" s="2182" t="str">
        <f t="shared" si="95"/>
        <v>Mini/MultiSplitASHP-Replace_CAC_ElectricHeat_ROF_SF</v>
      </c>
      <c r="G494" s="2182"/>
      <c r="H494" s="2182"/>
      <c r="I494" s="889" t="str">
        <f t="shared" si="96"/>
        <v>351450_2024_12_</v>
      </c>
      <c r="J494" s="710"/>
      <c r="K494" s="1000"/>
      <c r="L494" s="889"/>
      <c r="N494" s="546"/>
      <c r="T494" s="50"/>
      <c r="U494" s="50"/>
      <c r="V494" s="2179"/>
      <c r="W494" s="221"/>
      <c r="X494" s="220"/>
      <c r="Y494" s="220"/>
      <c r="Z494" s="221"/>
      <c r="AA494" s="221"/>
      <c r="AB494" s="707"/>
      <c r="AC494" s="220"/>
      <c r="AD494" s="220"/>
      <c r="AE494" s="1316"/>
      <c r="AF494" s="258" t="str">
        <f t="shared" si="97"/>
        <v/>
      </c>
      <c r="AG494" s="216"/>
      <c r="DG494" s="555"/>
      <c r="DH494" s="151"/>
      <c r="DI494" s="1049"/>
    </row>
    <row r="495" spans="1:113" hidden="1" outlineLevel="1" x14ac:dyDescent="0.25">
      <c r="A495" s="442"/>
      <c r="C495" s="49"/>
      <c r="D495" s="2177"/>
      <c r="E495" s="2177"/>
      <c r="F495" s="2182" t="str">
        <f t="shared" si="95"/>
        <v>Mini/MultiSplitASHP-Replace_CAC_NonElectricHeat_ROF_SF</v>
      </c>
      <c r="G495" s="2182"/>
      <c r="H495" s="2182"/>
      <c r="I495" s="889" t="str">
        <f t="shared" si="96"/>
        <v>351451_2024_12_</v>
      </c>
      <c r="J495" s="1546">
        <f>MAX((SUMIFS(S$328:S$331,Q$328:Q$331,"&lt;="&amp;L495,R$328:R$331,"&gt;"&amp;L495)*K495)-(S$337+T$337*K495),(SUMIFS(T$328:T$331,Q$328:Q$331,"&lt;="&amp;L495,R$328:R$331,"&gt;"&amp;L495)*K495))*VLOOKUP(I495,$I$503:$J$504,2,FALSE)</f>
        <v>36.630324772238367</v>
      </c>
      <c r="K495" s="1000">
        <f>VLOOKUP(INDEX($C$293:$E$317,MATCH(SUBSTITUTE(F495, "MultiSplitAC_", "MultiSplitASHP_"),$E$293:$E$317,0),1),$I$327:$K$336,3,FALSE)</f>
        <v>1.6278645349403136</v>
      </c>
      <c r="L495" s="1597">
        <f>VLOOKUP(INDEX($C$293:$E$317,MATCH(SUBSTITUTE(F495, "MultiSplitAC_", "MultiSplitASHP_"),$E$293:$E$317,0),1),$I$367:$J$376,2,FALSE)</f>
        <v>11.370854271356771</v>
      </c>
      <c r="M495" s="535"/>
      <c r="N495" s="1015"/>
      <c r="T495" s="50"/>
      <c r="U495" s="50"/>
      <c r="V495" s="2179"/>
      <c r="W495" s="221"/>
      <c r="X495" s="220"/>
      <c r="Y495" s="220"/>
      <c r="Z495" s="221"/>
      <c r="AA495" s="221"/>
      <c r="AB495" s="707"/>
      <c r="AC495" s="220"/>
      <c r="AD495" s="220">
        <v>364.64165582663026</v>
      </c>
      <c r="AE495" s="1316">
        <v>364.64165582663026</v>
      </c>
      <c r="AF495" s="258">
        <f t="shared" si="97"/>
        <v>36.630324772238367</v>
      </c>
      <c r="AG495" s="216"/>
      <c r="DG495" s="555"/>
      <c r="DH495" s="151"/>
      <c r="DI495" s="1049"/>
    </row>
    <row r="496" spans="1:113" hidden="1" outlineLevel="1" x14ac:dyDescent="0.25">
      <c r="A496" s="442"/>
      <c r="C496" s="49"/>
      <c r="D496" s="2177"/>
      <c r="E496" s="2177"/>
      <c r="F496" s="2182" t="str">
        <f t="shared" si="95"/>
        <v>Mini/MultiSplitASHP-Replace_CAC_NonElectricHeat_ROF_SF</v>
      </c>
      <c r="G496" s="2182"/>
      <c r="H496" s="2182"/>
      <c r="I496" s="889" t="str">
        <f t="shared" si="96"/>
        <v>351451_2024_12_</v>
      </c>
      <c r="J496" s="710"/>
      <c r="K496" s="1000"/>
      <c r="L496" s="889"/>
      <c r="N496" s="546"/>
      <c r="T496" s="50"/>
      <c r="U496" s="50"/>
      <c r="V496" s="2179"/>
      <c r="W496" s="221"/>
      <c r="X496" s="220"/>
      <c r="Y496" s="220"/>
      <c r="Z496" s="221"/>
      <c r="AA496" s="221"/>
      <c r="AB496" s="707"/>
      <c r="AC496" s="220"/>
      <c r="AD496" s="220"/>
      <c r="AE496" s="1316"/>
      <c r="AF496" s="258" t="str">
        <f t="shared" si="97"/>
        <v/>
      </c>
      <c r="AG496" s="216"/>
      <c r="DG496" s="555"/>
      <c r="DH496" s="151"/>
      <c r="DI496" s="1049"/>
    </row>
    <row r="497" spans="1:114" hidden="1" outlineLevel="1" x14ac:dyDescent="0.25">
      <c r="A497" s="442"/>
      <c r="C497" s="49"/>
      <c r="D497" s="2177"/>
      <c r="E497" s="2177"/>
      <c r="F497" s="2182" t="str">
        <f t="shared" si="95"/>
        <v>Mini/MultiSplitASHP_ER1_SF</v>
      </c>
      <c r="G497" s="2182"/>
      <c r="H497" s="2182"/>
      <c r="I497" s="889" t="str">
        <f t="shared" si="96"/>
        <v>351500_2024_12_</v>
      </c>
      <c r="J497" s="1546">
        <f>MAX((SUMIFS(S$328:S$331,Q$328:Q$331,"&lt;="&amp;L497,R$328:R$331,"&gt;"&amp;L497)*K497)-((S$338+T$338*K497)*S$348),(SUMIFS(T$328:T$331,Q$328:Q$331,"&lt;="&amp;L497,R$328:R$331,"&gt;"&amp;L497)*K497))</f>
        <v>683.91788099116957</v>
      </c>
      <c r="K497" s="1000">
        <f>VLOOKUP(INDEX($C$293:$E$317,MATCH(SUBSTITUTE(F497, "MultiSplitAC_", "MultiSplitASHP_"),$E$293:$E$317,0),1),$I$327:$K$336,3,FALSE)</f>
        <v>1.8757575757575757</v>
      </c>
      <c r="L497" s="1597">
        <f>VLOOKUP(INDEX($C$293:$E$317,MATCH(SUBSTITUTE(F497, "MultiSplitAC_", "MultiSplitASHP_"),$E$293:$E$317,0),1),$I$367:$J$376,2,FALSE)</f>
        <v>11.185185185185182</v>
      </c>
      <c r="M497" s="535">
        <f>VLOOKUP(I497,I$347:J$366,2,FALSE)</f>
        <v>7.5</v>
      </c>
      <c r="N497" s="1015"/>
      <c r="T497" s="50"/>
      <c r="U497" s="50"/>
      <c r="V497" s="2179"/>
      <c r="W497" s="221">
        <v>2246.2666666666669</v>
      </c>
      <c r="X497" s="220">
        <f>(1982*(X$385/12000)/1.5)*X$446</f>
        <v>1982</v>
      </c>
      <c r="Y497" s="220">
        <f>(1982*(Y$385/12000)/1.5)*Y$446</f>
        <v>1982</v>
      </c>
      <c r="Z497" s="221">
        <v>1982</v>
      </c>
      <c r="AA497" s="221">
        <v>1982</v>
      </c>
      <c r="AB497" s="707">
        <v>648.60319098531227</v>
      </c>
      <c r="AC497" s="220">
        <v>698.32770489042764</v>
      </c>
      <c r="AD497" s="220">
        <v>789.39384082840229</v>
      </c>
      <c r="AE497" s="1111">
        <v>795.09302732123228</v>
      </c>
      <c r="AF497" s="258">
        <f t="shared" si="97"/>
        <v>683.91788099116957</v>
      </c>
      <c r="AG497" s="216"/>
      <c r="DG497" s="555"/>
      <c r="DH497" s="151"/>
      <c r="DI497" s="1049"/>
    </row>
    <row r="498" spans="1:114" hidden="1" outlineLevel="1" x14ac:dyDescent="0.25">
      <c r="A498" s="442"/>
      <c r="C498" s="49"/>
      <c r="D498" s="2177"/>
      <c r="E498" s="2177"/>
      <c r="F498" s="2182" t="str">
        <f t="shared" si="95"/>
        <v>Mini/MultiSplitASHP_ER1_SF</v>
      </c>
      <c r="G498" s="2182"/>
      <c r="H498" s="2182"/>
      <c r="I498" s="889" t="str">
        <f t="shared" si="96"/>
        <v>351500_2024_12_</v>
      </c>
      <c r="J498" s="365"/>
      <c r="K498" s="1000"/>
      <c r="L498" s="889"/>
      <c r="N498" s="546"/>
      <c r="T498" s="50"/>
      <c r="U498" s="50"/>
      <c r="V498" s="2179"/>
      <c r="W498" s="223"/>
      <c r="X498" s="222"/>
      <c r="Y498" s="222"/>
      <c r="Z498" s="223"/>
      <c r="AA498" s="223"/>
      <c r="AB498" s="707"/>
      <c r="AC498" s="222"/>
      <c r="AD498" s="222"/>
      <c r="AE498" s="224"/>
      <c r="AF498" s="258" t="str">
        <f t="shared" si="97"/>
        <v/>
      </c>
      <c r="AG498" s="216"/>
      <c r="DG498" s="555"/>
      <c r="DH498" s="151"/>
      <c r="DI498" s="1049"/>
    </row>
    <row r="499" spans="1:114" hidden="1" outlineLevel="1" x14ac:dyDescent="0.25">
      <c r="A499" s="442"/>
      <c r="C499" s="49"/>
      <c r="D499" s="2177"/>
      <c r="E499" s="2177"/>
      <c r="F499" s="2182" t="str">
        <f t="shared" si="95"/>
        <v>Mini/MultiSplitASHP_ER2_SF</v>
      </c>
      <c r="G499" s="2182"/>
      <c r="H499" s="2182"/>
      <c r="I499" s="889" t="str">
        <f t="shared" si="96"/>
        <v>351500_2024_12_</v>
      </c>
      <c r="J499" s="365"/>
      <c r="K499" s="1000"/>
      <c r="L499" s="889"/>
      <c r="N499" s="546"/>
      <c r="T499" s="50"/>
      <c r="U499" s="50"/>
      <c r="V499" s="2179"/>
      <c r="W499" s="223"/>
      <c r="X499" s="222"/>
      <c r="Y499" s="222"/>
      <c r="Z499" s="223"/>
      <c r="AA499" s="223"/>
      <c r="AB499" s="707"/>
      <c r="AC499" s="222"/>
      <c r="AD499" s="222"/>
      <c r="AE499" s="224"/>
      <c r="AF499" s="258" t="str">
        <f t="shared" si="97"/>
        <v/>
      </c>
      <c r="AG499" s="216"/>
      <c r="DG499" s="555"/>
      <c r="DH499" s="151"/>
      <c r="DI499" s="1049"/>
    </row>
    <row r="500" spans="1:114" hidden="1" outlineLevel="1" x14ac:dyDescent="0.25">
      <c r="A500" s="442"/>
      <c r="C500" s="49"/>
      <c r="D500" s="2177"/>
      <c r="E500" s="2177"/>
      <c r="F500" s="2182" t="str">
        <f t="shared" si="95"/>
        <v>Mini/MultiSplitASHP_ER2_SF</v>
      </c>
      <c r="G500" s="2182"/>
      <c r="H500" s="2182"/>
      <c r="I500" s="889" t="str">
        <f t="shared" si="96"/>
        <v>351500_2024_12_</v>
      </c>
      <c r="J500" s="365"/>
      <c r="K500" s="1000"/>
      <c r="L500" s="889"/>
      <c r="N500" s="546"/>
      <c r="T500" s="50"/>
      <c r="U500" s="50"/>
      <c r="V500" s="2179"/>
      <c r="W500" s="223"/>
      <c r="X500" s="222"/>
      <c r="Y500" s="222"/>
      <c r="Z500" s="223"/>
      <c r="AA500" s="223"/>
      <c r="AB500" s="707"/>
      <c r="AC500" s="222"/>
      <c r="AD500" s="222"/>
      <c r="AE500" s="224"/>
      <c r="AF500" s="258" t="str">
        <f t="shared" si="97"/>
        <v/>
      </c>
      <c r="AG500" s="216"/>
      <c r="DG500" s="555"/>
      <c r="DH500" s="151"/>
      <c r="DI500" s="1049"/>
    </row>
    <row r="501" spans="1:114" hidden="1" outlineLevel="1" x14ac:dyDescent="0.25">
      <c r="A501" s="442"/>
      <c r="C501" s="49"/>
      <c r="D501" s="2177"/>
      <c r="E501" s="2177"/>
      <c r="F501" s="2182" t="str">
        <f t="shared" si="95"/>
        <v>Mini/MultiSplitAC_ER1_MF</v>
      </c>
      <c r="G501" s="2182"/>
      <c r="H501" s="2182"/>
      <c r="I501" s="889" t="str">
        <f t="shared" si="96"/>
        <v>351550_2024_12_</v>
      </c>
      <c r="J501" s="1546" t="e">
        <f>MAX((SUMIFS(S$328:S$331,Q$328:Q$331,"&lt;="&amp;L501,R$328:R$331,"&gt;"&amp;L501)*K501)-((S$338+T$338*K501)*S$348),(SUMIFS(T$328:T$331,Q$328:Q$331,"&lt;="&amp;L501,R$328:R$331,"&gt;"&amp;L501)*K501))</f>
        <v>#N/A</v>
      </c>
      <c r="K501" s="1000" t="e">
        <f>VLOOKUP(INDEX($C$293:$E$317,MATCH(SUBSTITUTE(F501, "MultiSplitAC_", "MultiSplitASHP_"),$E$293:$E$317,0),1),$I$327:$K$336,3,FALSE)</f>
        <v>#N/A</v>
      </c>
      <c r="L501" s="1597" t="e">
        <f>VLOOKUP(INDEX($C$293:$E$317,MATCH(SUBSTITUTE(F501, "MultiSplitAC_", "MultiSplitASHP_"),$E$293:$E$317,0),1),$I$367:$J$376,2,FALSE)</f>
        <v>#N/A</v>
      </c>
      <c r="M501" s="535">
        <f>VLOOKUP(I501,I$347:J$366,2,FALSE)</f>
        <v>0</v>
      </c>
      <c r="N501" s="1015"/>
      <c r="T501" s="50"/>
      <c r="U501" s="50"/>
      <c r="V501" s="2179"/>
      <c r="W501" s="223">
        <v>1601.3999999999999</v>
      </c>
      <c r="X501" s="222">
        <f>(1413*(X$377/12000)/1.5*X$450)</f>
        <v>918.45</v>
      </c>
      <c r="Y501" s="222">
        <f>(1413*(Y$377/12000)/1.5*Y$450)</f>
        <v>1413</v>
      </c>
      <c r="Z501" s="223">
        <v>1413</v>
      </c>
      <c r="AA501" s="223">
        <v>1413</v>
      </c>
      <c r="AB501" s="707">
        <v>1231.1592671062349</v>
      </c>
      <c r="AC501" s="220">
        <v>1133.5954314013989</v>
      </c>
      <c r="AD501" s="220">
        <v>1558.1873453016101</v>
      </c>
      <c r="AE501" s="1111">
        <v>1604.7127476323578</v>
      </c>
      <c r="AF501" s="258" t="e">
        <f t="shared" si="97"/>
        <v>#N/A</v>
      </c>
      <c r="AG501" s="216"/>
      <c r="DG501" s="555"/>
      <c r="DH501" s="151"/>
      <c r="DI501" s="1049"/>
    </row>
    <row r="502" spans="1:114" hidden="1" outlineLevel="1" x14ac:dyDescent="0.25">
      <c r="A502" s="442"/>
      <c r="C502" s="49"/>
      <c r="D502" s="2177"/>
      <c r="E502" s="2177"/>
      <c r="F502" s="2182" t="str">
        <f t="shared" si="95"/>
        <v>Mini/MultiSplitAC_ER2_MF</v>
      </c>
      <c r="G502" s="2182"/>
      <c r="H502" s="2182"/>
      <c r="I502" s="889" t="str">
        <f t="shared" si="96"/>
        <v>351550_2024_12_</v>
      </c>
      <c r="J502" s="365"/>
      <c r="K502" s="1000"/>
      <c r="L502" s="889"/>
      <c r="N502" s="546"/>
      <c r="T502" s="50"/>
      <c r="U502" s="50"/>
      <c r="V502" s="2179"/>
      <c r="W502" s="223"/>
      <c r="X502" s="222"/>
      <c r="Y502" s="222"/>
      <c r="Z502" s="223"/>
      <c r="AA502" s="223"/>
      <c r="AB502" s="707"/>
      <c r="AC502" s="222"/>
      <c r="AD502" s="222"/>
      <c r="AE502" s="224"/>
      <c r="AF502" s="258" t="str">
        <f t="shared" si="97"/>
        <v/>
      </c>
      <c r="AG502" s="216"/>
      <c r="DG502" s="555"/>
      <c r="DH502" s="151"/>
      <c r="DI502" s="1049"/>
    </row>
    <row r="503" spans="1:114" hidden="1" outlineLevel="1" x14ac:dyDescent="0.25">
      <c r="A503" s="442"/>
      <c r="C503" s="49"/>
      <c r="D503" s="2181" t="s">
        <v>1119</v>
      </c>
      <c r="E503" s="2181" t="s">
        <v>1120</v>
      </c>
      <c r="F503" s="2182" t="s">
        <v>1054</v>
      </c>
      <c r="G503" s="2182"/>
      <c r="H503" s="2182"/>
      <c r="I503" s="889" t="s">
        <v>1053</v>
      </c>
      <c r="J503" s="1513">
        <f>SUMIFS(F$293:F$317,C$293:C$317,I503)/SUMIFS(F$293:F$317,C$293:C$317,L503)</f>
        <v>0.14344644405897658</v>
      </c>
      <c r="K503" s="1000"/>
      <c r="L503" s="1903" t="str">
        <f>INDEX($C$293:$E$317,MATCH(SUBSTITUTE(F503, "NonElectric", "Electric"),$E$293:$E$317,0),1)</f>
        <v>351400_2024_12_</v>
      </c>
      <c r="N503" s="546"/>
      <c r="T503" s="50"/>
      <c r="U503" s="50"/>
      <c r="V503" s="1599"/>
      <c r="W503" s="1600"/>
      <c r="X503" s="1600"/>
      <c r="Y503" s="1600"/>
      <c r="Z503" s="1600"/>
      <c r="AA503" s="1600"/>
      <c r="AB503" s="1600"/>
      <c r="AC503" s="1601"/>
      <c r="AD503" s="1600"/>
      <c r="AE503" s="1598"/>
      <c r="AF503" s="1598"/>
      <c r="AG503" s="1600"/>
      <c r="DG503" s="555"/>
      <c r="DH503" s="151"/>
      <c r="DI503" s="1049"/>
    </row>
    <row r="504" spans="1:114" hidden="1" outlineLevel="1" x14ac:dyDescent="0.25">
      <c r="A504" s="442"/>
      <c r="C504" s="49"/>
      <c r="D504" s="2181"/>
      <c r="E504" s="2181"/>
      <c r="F504" s="2182" t="s">
        <v>1059</v>
      </c>
      <c r="G504" s="2182"/>
      <c r="H504" s="2182"/>
      <c r="I504" s="889" t="s">
        <v>1058</v>
      </c>
      <c r="J504" s="1513">
        <f>SUMIFS(F$293:F$317,C$293:C$317,I504)/SUMIFS(F$293:F$317,C$293:C$317,L504)</f>
        <v>6.7371472687453721E-2</v>
      </c>
      <c r="K504" s="1000"/>
      <c r="L504" s="1903" t="str">
        <f>INDEX($C$293:$E$317,MATCH(SUBSTITUTE(F504, "NonElectric", "Electric"),$E$293:$E$317,0),1)</f>
        <v>351450_2024_12_</v>
      </c>
      <c r="N504" s="546"/>
      <c r="T504" s="50"/>
      <c r="U504" s="50"/>
      <c r="V504" s="1599"/>
      <c r="W504" s="1600"/>
      <c r="X504" s="1600"/>
      <c r="Y504" s="1600"/>
      <c r="Z504" s="1600"/>
      <c r="AA504" s="1600"/>
      <c r="AB504" s="1600"/>
      <c r="AC504" s="1601"/>
      <c r="AD504" s="1600"/>
      <c r="AE504" s="1598"/>
      <c r="AF504" s="1598"/>
      <c r="AG504" s="1600"/>
      <c r="DG504" s="555"/>
      <c r="DH504" s="151"/>
      <c r="DI504" s="1049"/>
    </row>
    <row r="505" spans="1:114" collapsed="1" x14ac:dyDescent="0.25">
      <c r="A505" s="442"/>
      <c r="C505" s="49"/>
      <c r="D505" s="100"/>
      <c r="E505" s="100"/>
      <c r="G505" s="100"/>
      <c r="N505" s="546"/>
      <c r="T505" s="50"/>
      <c r="U505" s="50"/>
      <c r="V505" s="50"/>
      <c r="DG505" s="555"/>
      <c r="DH505" s="151"/>
      <c r="DI505" s="1049"/>
    </row>
    <row r="506" spans="1:114" ht="9.75" customHeight="1" x14ac:dyDescent="0.25">
      <c r="A506" s="442"/>
      <c r="C506" s="49"/>
      <c r="D506" s="100"/>
      <c r="E506" s="100"/>
      <c r="G506" s="100"/>
      <c r="T506" s="50"/>
      <c r="U506" s="50"/>
      <c r="V506" s="50"/>
      <c r="DG506" s="555"/>
      <c r="DH506" s="151"/>
      <c r="DI506" s="1049"/>
    </row>
    <row r="507" spans="1:114" x14ac:dyDescent="0.25">
      <c r="A507" s="442"/>
      <c r="B507" s="1292" t="s">
        <v>1121</v>
      </c>
      <c r="C507" s="207"/>
      <c r="D507" s="1293"/>
      <c r="E507" s="1293"/>
      <c r="F507" s="1293"/>
      <c r="G507" s="1293"/>
      <c r="H507" s="1293"/>
      <c r="I507" s="1293"/>
      <c r="J507" s="1293"/>
      <c r="K507" s="1293"/>
      <c r="L507" s="1293"/>
      <c r="M507" s="1293"/>
      <c r="N507" s="1293"/>
      <c r="O507" s="1293"/>
      <c r="P507" s="1293"/>
      <c r="Q507" s="1327"/>
      <c r="T507" s="50"/>
      <c r="U507" s="50"/>
      <c r="V507" s="2103" t="str">
        <f>B507</f>
        <v>Dual Fuel Heat Pumps</v>
      </c>
      <c r="W507" s="2104"/>
      <c r="X507" s="2104"/>
      <c r="Y507" s="2104"/>
      <c r="Z507" s="2104"/>
      <c r="AA507" s="2104"/>
      <c r="AB507" s="2104"/>
      <c r="AC507" s="2106"/>
      <c r="AD507" s="2106"/>
      <c r="AE507" s="2106"/>
      <c r="AF507" s="2106"/>
      <c r="AG507" s="2106"/>
      <c r="AH507" s="2107"/>
      <c r="DG507" s="555"/>
      <c r="DH507" s="151"/>
      <c r="DI507" s="1049"/>
    </row>
    <row r="508" spans="1:114" x14ac:dyDescent="0.25">
      <c r="A508" s="442"/>
      <c r="C508" s="49"/>
      <c r="D508" s="100"/>
      <c r="E508" s="100"/>
      <c r="G508" s="100"/>
      <c r="H508" s="49"/>
      <c r="I508" s="49"/>
      <c r="J508" s="49"/>
      <c r="K508" s="49"/>
      <c r="L508" s="49"/>
      <c r="M508" s="49"/>
      <c r="Q508" s="100"/>
      <c r="T508" s="50"/>
      <c r="U508" s="50"/>
      <c r="V508" s="50"/>
      <c r="DG508" s="555"/>
      <c r="DH508" s="151"/>
      <c r="DI508" s="1049"/>
    </row>
    <row r="509" spans="1:114" ht="30" x14ac:dyDescent="0.25">
      <c r="A509" s="442"/>
      <c r="C509" s="1300" t="s">
        <v>42</v>
      </c>
      <c r="D509" s="1328" t="s">
        <v>594</v>
      </c>
      <c r="E509" s="1300" t="s">
        <v>44</v>
      </c>
      <c r="F509" s="1300" t="s">
        <v>45</v>
      </c>
      <c r="G509" s="1300" t="s">
        <v>46</v>
      </c>
      <c r="H509" s="1300" t="s">
        <v>47</v>
      </c>
      <c r="I509" s="1300" t="s">
        <v>48</v>
      </c>
      <c r="J509" s="1312" t="s">
        <v>49</v>
      </c>
      <c r="K509" s="1300" t="s">
        <v>50</v>
      </c>
      <c r="L509" s="1300" t="s">
        <v>957</v>
      </c>
      <c r="T509" s="50"/>
      <c r="U509" s="50"/>
      <c r="V509" s="165" t="s">
        <v>52</v>
      </c>
      <c r="W509" s="649" t="e">
        <f>#REF!</f>
        <v>#REF!</v>
      </c>
      <c r="X509" s="649" t="e">
        <f>#REF!</f>
        <v>#REF!</v>
      </c>
      <c r="Y509" s="649" t="e">
        <f>#REF!</f>
        <v>#REF!</v>
      </c>
      <c r="Z509" s="649" t="e">
        <f>#REF!</f>
        <v>#REF!</v>
      </c>
      <c r="AA509" s="649" t="e">
        <f>#REF!</f>
        <v>#REF!</v>
      </c>
      <c r="AB509" s="649" t="e">
        <f>#REF!</f>
        <v>#REF!</v>
      </c>
      <c r="AC509" s="649" t="e">
        <f>#REF!</f>
        <v>#REF!</v>
      </c>
      <c r="AD509" s="649" t="e">
        <f>#REF!</f>
        <v>#REF!</v>
      </c>
      <c r="AE509" s="649" t="e">
        <f>#REF!</f>
        <v>#REF!</v>
      </c>
      <c r="AF509" s="649" t="e">
        <f>#REF!</f>
        <v>#REF!</v>
      </c>
      <c r="AG509" s="649" t="e">
        <f>#REF!</f>
        <v>#REF!</v>
      </c>
      <c r="DG509" s="776" t="e">
        <f>#REF!</f>
        <v>#REF!</v>
      </c>
      <c r="DH509" s="776" t="e">
        <f>#REF!</f>
        <v>#REF!</v>
      </c>
      <c r="DI509" s="1034" t="e">
        <f>#REF!</f>
        <v>#REF!</v>
      </c>
      <c r="DJ509" s="1060" t="e">
        <f>#REF!</f>
        <v>#REF!</v>
      </c>
    </row>
    <row r="510" spans="1:114" x14ac:dyDescent="0.25">
      <c r="A510" s="442"/>
      <c r="B510" s="1384">
        <f t="shared" ref="B510:B515" si="98">VALUE(LEFT(C510,6))</f>
        <v>351900</v>
      </c>
      <c r="C510" s="435" t="s">
        <v>1122</v>
      </c>
      <c r="D510" s="134" t="s">
        <v>857</v>
      </c>
      <c r="E510" s="1298" t="s">
        <v>1123</v>
      </c>
      <c r="F510" s="170">
        <f>ROUND(((J549*J552*(1/J555-1/J558))/1000)*J561,2)</f>
        <v>398.66</v>
      </c>
      <c r="G510" s="81" t="s">
        <v>1124</v>
      </c>
      <c r="H510" s="66">
        <f>VLOOKUP(G510,'CP FACTORS'!$A$3:$B$38, 2, FALSE)</f>
        <v>9.4741810000000004E-4</v>
      </c>
      <c r="I510" s="43">
        <f t="shared" ref="I510:I515" si="99">ROUND(F510*H510,6)</f>
        <v>0.37769799999999998</v>
      </c>
      <c r="J510" s="44">
        <f>J564</f>
        <v>18</v>
      </c>
      <c r="K510" s="146">
        <f>J567</f>
        <v>1081</v>
      </c>
      <c r="L510" s="549">
        <f>K549</f>
        <v>3.4</v>
      </c>
      <c r="M510" s="542"/>
      <c r="R510" s="521"/>
      <c r="T510" s="50"/>
      <c r="U510" s="50"/>
      <c r="V510" s="1307" t="s">
        <v>45</v>
      </c>
      <c r="W510" s="920">
        <v>433.19323308270674</v>
      </c>
      <c r="X510" s="920">
        <v>433.19323308270674</v>
      </c>
      <c r="Y510" s="921">
        <v>433.19</v>
      </c>
      <c r="Z510" s="212">
        <v>433.19</v>
      </c>
      <c r="AA510" s="212">
        <v>433.19</v>
      </c>
      <c r="AB510" s="922">
        <v>433.19</v>
      </c>
      <c r="AC510" s="922">
        <v>433.19</v>
      </c>
      <c r="AD510" s="922">
        <v>433.19</v>
      </c>
      <c r="AE510" s="214">
        <v>323.45</v>
      </c>
      <c r="AF510" s="258">
        <v>398.66</v>
      </c>
      <c r="AG510" s="342"/>
      <c r="DG510" s="952">
        <f>(DI510+DI511)/(DJ510+DJ511)</f>
        <v>1.15042615353807</v>
      </c>
      <c r="DH510" s="1298" t="str">
        <f t="shared" ref="DH510:DH515" si="100">CONCATENATE(G510," ",J510," Year EUL")</f>
        <v>Cooling Res 18 Year EUL</v>
      </c>
      <c r="DI510" s="1045">
        <f>(INDEX('Avoided Cost Benefits'!$B$4:$B$866,MATCH(DH510,'Avoided Cost Benefits'!$A$4:$A$866,0)))*F510</f>
        <v>912.83926953079788</v>
      </c>
      <c r="DJ510" s="1951">
        <f t="shared" ref="DJ510:DJ515" si="101">IFERROR(K510/((1+DiscountRate)^(CurrentYear-DiscountYear)),0)</f>
        <v>1081</v>
      </c>
    </row>
    <row r="511" spans="1:114" x14ac:dyDescent="0.25">
      <c r="A511" s="442"/>
      <c r="B511" s="1384">
        <f t="shared" si="98"/>
        <v>351900</v>
      </c>
      <c r="C511" s="435" t="s">
        <v>1122</v>
      </c>
      <c r="D511" s="134" t="s">
        <v>857</v>
      </c>
      <c r="E511" s="1299" t="s">
        <v>1123</v>
      </c>
      <c r="F511" s="212">
        <f>ROUND(((J537*J540*(1/J543-1/J546))/1000)*J561,2)</f>
        <v>545.76</v>
      </c>
      <c r="G511" s="81" t="s">
        <v>1125</v>
      </c>
      <c r="H511" s="66">
        <f>VLOOKUP(G511,'CP FACTORS'!$A$3:$B$38, 2, FALSE)</f>
        <v>0</v>
      </c>
      <c r="I511" s="43">
        <f t="shared" si="99"/>
        <v>0</v>
      </c>
      <c r="J511" s="44">
        <f>J510</f>
        <v>18</v>
      </c>
      <c r="K511" s="146"/>
      <c r="L511" s="549"/>
      <c r="M511" s="542"/>
      <c r="R511" s="521"/>
      <c r="T511" s="50"/>
      <c r="U511" s="50"/>
      <c r="V511" s="1307" t="s">
        <v>45</v>
      </c>
      <c r="W511" s="920">
        <v>651.42175609756123</v>
      </c>
      <c r="X511" s="920">
        <v>651.42175609756123</v>
      </c>
      <c r="Y511" s="921">
        <v>651.41999999999996</v>
      </c>
      <c r="Z511" s="212">
        <v>651.41999999999996</v>
      </c>
      <c r="AA511" s="212">
        <v>651.41999999999996</v>
      </c>
      <c r="AB511" s="922">
        <v>651.41999999999996</v>
      </c>
      <c r="AC511" s="922">
        <v>651.41999999999996</v>
      </c>
      <c r="AD511" s="922">
        <v>651.41999999999996</v>
      </c>
      <c r="AE511" s="214">
        <v>483.1</v>
      </c>
      <c r="AF511" s="258">
        <v>545.76</v>
      </c>
      <c r="AG511" s="342"/>
      <c r="DG511" s="1050"/>
      <c r="DH511" s="1299" t="str">
        <f t="shared" si="100"/>
        <v>Heating Res 18 Year EUL</v>
      </c>
      <c r="DI511" s="1049">
        <f>(INDEX('Avoided Cost Benefits'!$B$4:$B$866,MATCH(DH511,'Avoided Cost Benefits'!$A$4:$A$866,0)))*F511</f>
        <v>330.77140244385566</v>
      </c>
      <c r="DJ511" s="1952">
        <f t="shared" si="101"/>
        <v>0</v>
      </c>
    </row>
    <row r="512" spans="1:114" x14ac:dyDescent="0.25">
      <c r="A512" s="442"/>
      <c r="B512" s="1384">
        <f t="shared" si="98"/>
        <v>351950</v>
      </c>
      <c r="C512" s="435" t="s">
        <v>1126</v>
      </c>
      <c r="D512" s="134" t="s">
        <v>857</v>
      </c>
      <c r="E512" s="1298" t="s">
        <v>1127</v>
      </c>
      <c r="F512" s="212">
        <f>ROUND(((J550*J553*(1/J556-1/J559))/1000)*J562,2)</f>
        <v>594.4</v>
      </c>
      <c r="G512" s="81" t="s">
        <v>1124</v>
      </c>
      <c r="H512" s="66">
        <f>VLOOKUP(G512,'CP FACTORS'!$A$3:$B$38, 2, FALSE)</f>
        <v>9.4741810000000004E-4</v>
      </c>
      <c r="I512" s="43">
        <f t="shared" si="99"/>
        <v>0.56314500000000001</v>
      </c>
      <c r="J512" s="44">
        <f>J565</f>
        <v>18</v>
      </c>
      <c r="K512" s="146">
        <f>J568</f>
        <v>1081</v>
      </c>
      <c r="L512" s="549">
        <f>K550</f>
        <v>4.4000000000000004</v>
      </c>
      <c r="M512" s="542"/>
      <c r="R512" s="521"/>
      <c r="T512" s="50"/>
      <c r="U512" s="50"/>
      <c r="V512" s="1307" t="s">
        <v>45</v>
      </c>
      <c r="W512" s="920">
        <v>639.08742857142852</v>
      </c>
      <c r="X512" s="920">
        <v>639.08742857142852</v>
      </c>
      <c r="Y512" s="921">
        <v>639.09</v>
      </c>
      <c r="Z512" s="212">
        <v>639.09</v>
      </c>
      <c r="AA512" s="212">
        <v>639.09</v>
      </c>
      <c r="AB512" s="922">
        <v>639.09</v>
      </c>
      <c r="AC512" s="922">
        <v>639.09</v>
      </c>
      <c r="AD512" s="922">
        <v>639.09</v>
      </c>
      <c r="AE512" s="214">
        <v>497.07</v>
      </c>
      <c r="AF512" s="258">
        <v>594.4</v>
      </c>
      <c r="AG512" s="342"/>
      <c r="DG512" s="1048">
        <f>(DI512+DI513)/(DJ512+DJ513)</f>
        <v>1.7502280801942376</v>
      </c>
      <c r="DH512" s="1298" t="str">
        <f t="shared" si="100"/>
        <v>Cooling Res 18 Year EUL</v>
      </c>
      <c r="DI512" s="1049">
        <f>(INDEX('Avoided Cost Benefits'!$B$4:$B$866,MATCH(DH512,'Avoided Cost Benefits'!$A$4:$A$866,0)))*F512</f>
        <v>1361.0386339464862</v>
      </c>
      <c r="DJ512" s="1952">
        <f t="shared" si="101"/>
        <v>1081</v>
      </c>
    </row>
    <row r="513" spans="1:114" x14ac:dyDescent="0.25">
      <c r="A513" s="442"/>
      <c r="B513" s="1384">
        <f t="shared" si="98"/>
        <v>351950</v>
      </c>
      <c r="C513" s="435" t="s">
        <v>1126</v>
      </c>
      <c r="D513" s="134" t="s">
        <v>857</v>
      </c>
      <c r="E513" s="1299" t="s">
        <v>1127</v>
      </c>
      <c r="F513" s="212">
        <f>ROUND(((J538*J541*(1/J544-1/J547))/1000)*J562,2)</f>
        <v>876.06</v>
      </c>
      <c r="G513" s="81" t="s">
        <v>1125</v>
      </c>
      <c r="H513" s="66">
        <f>VLOOKUP(G513,'CP FACTORS'!$A$3:$B$38, 2, FALSE)</f>
        <v>0</v>
      </c>
      <c r="I513" s="43">
        <f t="shared" si="99"/>
        <v>0</v>
      </c>
      <c r="J513" s="44">
        <f>J512</f>
        <v>18</v>
      </c>
      <c r="K513" s="146"/>
      <c r="L513" s="549"/>
      <c r="M513" s="542"/>
      <c r="R513" s="521"/>
      <c r="T513" s="50"/>
      <c r="U513" s="50"/>
      <c r="V513" s="1307" t="s">
        <v>45</v>
      </c>
      <c r="W513" s="920">
        <v>990.72439024390337</v>
      </c>
      <c r="X513" s="920">
        <v>990.72439024390337</v>
      </c>
      <c r="Y513" s="921">
        <v>990.72</v>
      </c>
      <c r="Z513" s="212">
        <v>990.72</v>
      </c>
      <c r="AA513" s="212">
        <v>990.72</v>
      </c>
      <c r="AB513" s="922">
        <v>990.72</v>
      </c>
      <c r="AC513" s="922">
        <v>990.72</v>
      </c>
      <c r="AD513" s="922">
        <v>990.72</v>
      </c>
      <c r="AE513" s="214">
        <v>772.89</v>
      </c>
      <c r="AF513" s="258">
        <v>876.06</v>
      </c>
      <c r="AG513" s="342"/>
      <c r="DG513" s="1050"/>
      <c r="DH513" s="1299" t="str">
        <f t="shared" si="100"/>
        <v>Heating Res 18 Year EUL</v>
      </c>
      <c r="DI513" s="1049">
        <f>(INDEX('Avoided Cost Benefits'!$B$4:$B$866,MATCH(DH513,'Avoided Cost Benefits'!$A$4:$A$866,0)))*F513</f>
        <v>530.95792074348469</v>
      </c>
      <c r="DJ513" s="1952">
        <f t="shared" si="101"/>
        <v>0</v>
      </c>
    </row>
    <row r="514" spans="1:114" x14ac:dyDescent="0.25">
      <c r="A514" s="442"/>
      <c r="B514" s="1384">
        <f t="shared" si="98"/>
        <v>352000</v>
      </c>
      <c r="C514" s="435" t="s">
        <v>1128</v>
      </c>
      <c r="D514" s="134" t="s">
        <v>857</v>
      </c>
      <c r="E514" s="1298" t="s">
        <v>1129</v>
      </c>
      <c r="F514" s="212">
        <f>ROUND(((J551*J554*(1/J557-1/J560))/1000)*J563,2)</f>
        <v>816.63</v>
      </c>
      <c r="G514" s="81" t="s">
        <v>1124</v>
      </c>
      <c r="H514" s="66">
        <f>VLOOKUP(G514,'CP FACTORS'!$A$3:$B$38, 2, FALSE)</f>
        <v>9.4741810000000004E-4</v>
      </c>
      <c r="I514" s="43">
        <f t="shared" si="99"/>
        <v>0.77368999999999999</v>
      </c>
      <c r="J514" s="44">
        <f>J566</f>
        <v>18</v>
      </c>
      <c r="K514" s="146">
        <f>J569</f>
        <v>1081</v>
      </c>
      <c r="L514" s="549">
        <f>K551</f>
        <v>5.4</v>
      </c>
      <c r="M514" s="542"/>
      <c r="R514" s="521"/>
      <c r="T514" s="50"/>
      <c r="U514" s="50"/>
      <c r="V514" s="1307" t="s">
        <v>45</v>
      </c>
      <c r="W514" s="920">
        <v>871.48285714285726</v>
      </c>
      <c r="X514" s="920">
        <v>871.48285714285726</v>
      </c>
      <c r="Y514" s="921">
        <v>871.48</v>
      </c>
      <c r="Z514" s="212">
        <v>871.48</v>
      </c>
      <c r="AA514" s="212">
        <v>871.48</v>
      </c>
      <c r="AB514" s="922">
        <v>871.48</v>
      </c>
      <c r="AC514" s="922">
        <v>871.48</v>
      </c>
      <c r="AD514" s="922">
        <v>871.48</v>
      </c>
      <c r="AE514" s="214">
        <v>697.19</v>
      </c>
      <c r="AF514" s="258">
        <v>816.63</v>
      </c>
      <c r="AG514" s="342"/>
      <c r="DG514" s="1048">
        <f>(DI514+DI515)/(DJ514+DJ515)</f>
        <v>2.4407562219478138</v>
      </c>
      <c r="DH514" s="1298" t="str">
        <f t="shared" si="100"/>
        <v>Cooling Res 18 Year EUL</v>
      </c>
      <c r="DI514" s="1049">
        <f>(INDEX('Avoided Cost Benefits'!$B$4:$B$866,MATCH(DH514,'Avoided Cost Benefits'!$A$4:$A$866,0)))*F514</f>
        <v>1869.8939765136593</v>
      </c>
      <c r="DJ514" s="1952">
        <f t="shared" si="101"/>
        <v>1081</v>
      </c>
    </row>
    <row r="515" spans="1:114" x14ac:dyDescent="0.25">
      <c r="A515" s="442"/>
      <c r="B515" s="1384">
        <f t="shared" si="98"/>
        <v>352000</v>
      </c>
      <c r="C515" s="435" t="s">
        <v>1128</v>
      </c>
      <c r="D515" s="134" t="s">
        <v>857</v>
      </c>
      <c r="E515" s="1299" t="s">
        <v>1129</v>
      </c>
      <c r="F515" s="212">
        <f>ROUND(((J539*J542*(1/J545-1/J548))/1000)*J563,2)</f>
        <v>1268.0999999999999</v>
      </c>
      <c r="G515" s="81" t="s">
        <v>1125</v>
      </c>
      <c r="H515" s="66">
        <f>VLOOKUP(G515,'CP FACTORS'!$A$3:$B$38, 2, FALSE)</f>
        <v>0</v>
      </c>
      <c r="I515" s="43">
        <f t="shared" si="99"/>
        <v>0</v>
      </c>
      <c r="J515" s="44">
        <f>J514</f>
        <v>18</v>
      </c>
      <c r="K515" s="146"/>
      <c r="L515" s="549"/>
      <c r="M515" s="542"/>
      <c r="R515" s="521"/>
      <c r="T515" s="50"/>
      <c r="U515" s="50"/>
      <c r="V515" s="1307" t="s">
        <v>45</v>
      </c>
      <c r="W515" s="920">
        <v>1383.739024390245</v>
      </c>
      <c r="X515" s="920">
        <v>1383.739024390245</v>
      </c>
      <c r="Y515" s="921">
        <v>1383.74</v>
      </c>
      <c r="Z515" s="212">
        <v>1383.74</v>
      </c>
      <c r="AA515" s="212">
        <v>1383.74</v>
      </c>
      <c r="AB515" s="922">
        <v>1383.74</v>
      </c>
      <c r="AC515" s="922">
        <v>1383.74</v>
      </c>
      <c r="AD515" s="922">
        <v>1383.74</v>
      </c>
      <c r="AE515" s="214">
        <v>1116.4000000000001</v>
      </c>
      <c r="AF515" s="258">
        <v>1268.0999999999999</v>
      </c>
      <c r="AG515" s="342"/>
      <c r="DG515" s="1050"/>
      <c r="DH515" s="1299" t="str">
        <f t="shared" si="100"/>
        <v>Heating Res 18 Year EUL</v>
      </c>
      <c r="DI515" s="1049">
        <f>(INDEX('Avoided Cost Benefits'!$B$4:$B$866,MATCH(DH515,'Avoided Cost Benefits'!$A$4:$A$866,0)))*F515</f>
        <v>768.56349941192718</v>
      </c>
      <c r="DJ515" s="1952">
        <f t="shared" si="101"/>
        <v>0</v>
      </c>
    </row>
    <row r="516" spans="1:114" hidden="1" outlineLevel="1" x14ac:dyDescent="0.25">
      <c r="A516" s="442"/>
      <c r="B516" s="1384"/>
      <c r="C516" s="49"/>
      <c r="D516" s="74" t="s">
        <v>94</v>
      </c>
      <c r="E516" s="50" t="s">
        <v>1130</v>
      </c>
      <c r="F516" s="530"/>
      <c r="G516" s="550"/>
      <c r="H516" s="49"/>
      <c r="I516" s="49"/>
      <c r="J516" s="49"/>
      <c r="K516" s="100" t="s">
        <v>1131</v>
      </c>
      <c r="L516" s="49"/>
      <c r="M516" s="49"/>
      <c r="Q516" s="100"/>
      <c r="T516" s="50"/>
      <c r="U516" s="50"/>
      <c r="V516" s="50"/>
      <c r="DG516" s="555"/>
      <c r="DH516" s="151"/>
      <c r="DI516" s="1049"/>
    </row>
    <row r="517" spans="1:114" hidden="1" outlineLevel="1" x14ac:dyDescent="0.25">
      <c r="A517" s="442"/>
      <c r="B517" s="1384"/>
      <c r="C517" s="49"/>
      <c r="D517" s="71" t="s">
        <v>604</v>
      </c>
      <c r="E517" s="100" t="s">
        <v>1132</v>
      </c>
      <c r="F517" s="530"/>
      <c r="G517" s="550"/>
      <c r="H517" s="49"/>
      <c r="I517" s="49"/>
      <c r="J517" s="49"/>
      <c r="K517" s="49"/>
      <c r="L517" s="49"/>
      <c r="M517" s="49"/>
      <c r="Q517" s="100"/>
      <c r="T517" s="50"/>
      <c r="U517" s="50"/>
      <c r="V517" s="50"/>
      <c r="DG517" s="555"/>
      <c r="DH517" s="151"/>
      <c r="DI517" s="1049"/>
    </row>
    <row r="518" spans="1:114" hidden="1" outlineLevel="1" x14ac:dyDescent="0.25">
      <c r="A518" s="442"/>
      <c r="B518" s="1384"/>
      <c r="C518" s="49"/>
      <c r="D518" s="71"/>
      <c r="E518" s="100" t="s">
        <v>1133</v>
      </c>
      <c r="G518" s="100"/>
      <c r="T518" s="50"/>
      <c r="U518" s="50"/>
      <c r="V518" s="50"/>
      <c r="DG518" s="555"/>
      <c r="DH518" s="151"/>
      <c r="DI518" s="1049"/>
    </row>
    <row r="519" spans="1:114" hidden="1" outlineLevel="1" x14ac:dyDescent="0.25">
      <c r="A519" s="442"/>
      <c r="B519" s="1384"/>
      <c r="C519" s="49"/>
      <c r="D519" s="100"/>
      <c r="E519" s="100" t="s">
        <v>1134</v>
      </c>
      <c r="G519" s="100"/>
      <c r="H519" s="49"/>
      <c r="T519" s="50"/>
      <c r="U519" s="50"/>
      <c r="V519" s="50"/>
      <c r="DG519" s="555"/>
      <c r="DH519" s="151"/>
      <c r="DI519" s="1049"/>
    </row>
    <row r="520" spans="1:114" hidden="1" outlineLevel="1" x14ac:dyDescent="0.25">
      <c r="A520" s="442"/>
      <c r="B520" s="1384"/>
      <c r="C520" s="49"/>
      <c r="D520" s="100"/>
      <c r="E520" s="100" t="s">
        <v>1135</v>
      </c>
      <c r="G520" s="100"/>
      <c r="H520" s="49"/>
      <c r="T520" s="50"/>
      <c r="U520" s="50"/>
      <c r="V520" s="50"/>
      <c r="DG520" s="555"/>
      <c r="DH520" s="151"/>
      <c r="DI520" s="1049"/>
    </row>
    <row r="521" spans="1:114" hidden="1" outlineLevel="1" x14ac:dyDescent="0.25">
      <c r="A521" s="442"/>
      <c r="B521" s="1384"/>
      <c r="C521" s="49"/>
      <c r="D521" s="100"/>
      <c r="E521" s="100"/>
      <c r="G521" s="100"/>
      <c r="H521" s="49"/>
      <c r="T521" s="50"/>
      <c r="U521" s="50"/>
      <c r="V521" s="50"/>
      <c r="DG521" s="555"/>
      <c r="DH521" s="151"/>
      <c r="DI521" s="1049"/>
    </row>
    <row r="522" spans="1:114" hidden="1" outlineLevel="1" x14ac:dyDescent="0.25">
      <c r="A522" s="442"/>
      <c r="B522" s="1384"/>
      <c r="C522" s="49"/>
      <c r="D522" s="100"/>
      <c r="E522" s="100" t="s">
        <v>1136</v>
      </c>
      <c r="G522" s="100"/>
      <c r="H522" s="49"/>
      <c r="T522" s="50"/>
      <c r="U522" s="50"/>
      <c r="V522" s="50"/>
      <c r="DG522" s="555"/>
      <c r="DH522" s="151"/>
      <c r="DI522" s="1049"/>
    </row>
    <row r="523" spans="1:114" hidden="1" outlineLevel="1" x14ac:dyDescent="0.25">
      <c r="A523" s="442"/>
      <c r="B523" s="1384"/>
      <c r="C523" s="49"/>
      <c r="D523" s="100"/>
      <c r="E523" s="100" t="s">
        <v>1137</v>
      </c>
      <c r="G523" s="100"/>
      <c r="H523" s="49"/>
      <c r="J523" s="100"/>
      <c r="T523" s="50"/>
      <c r="U523" s="50"/>
      <c r="V523" s="50"/>
      <c r="DG523" s="555"/>
      <c r="DH523" s="151"/>
      <c r="DI523" s="1049"/>
    </row>
    <row r="524" spans="1:114" hidden="1" outlineLevel="1" x14ac:dyDescent="0.25">
      <c r="A524" s="442"/>
      <c r="B524" s="1384"/>
      <c r="C524" s="49"/>
      <c r="E524" s="100" t="s">
        <v>1138</v>
      </c>
      <c r="G524" s="100"/>
      <c r="H524" s="49"/>
      <c r="T524" s="50"/>
      <c r="U524" s="50"/>
      <c r="V524" s="50"/>
      <c r="DG524" s="555"/>
      <c r="DH524" s="151"/>
      <c r="DI524" s="1049"/>
    </row>
    <row r="525" spans="1:114" hidden="1" outlineLevel="1" x14ac:dyDescent="0.25">
      <c r="A525" s="442"/>
      <c r="B525" s="1384"/>
      <c r="C525" s="49"/>
      <c r="D525" s="100"/>
      <c r="E525" s="100" t="s">
        <v>1134</v>
      </c>
      <c r="G525" s="100"/>
      <c r="H525" s="49"/>
      <c r="T525" s="50"/>
      <c r="U525" s="50"/>
      <c r="V525" s="50"/>
      <c r="DG525" s="555"/>
      <c r="DH525" s="151"/>
      <c r="DI525" s="1049"/>
    </row>
    <row r="526" spans="1:114" hidden="1" outlineLevel="1" x14ac:dyDescent="0.25">
      <c r="A526" s="442"/>
      <c r="B526" s="1384"/>
      <c r="C526" s="49"/>
      <c r="D526" s="100"/>
      <c r="E526" s="100" t="s">
        <v>1139</v>
      </c>
      <c r="G526" s="100"/>
      <c r="H526" s="49"/>
      <c r="T526" s="50"/>
      <c r="U526" s="50"/>
      <c r="V526" s="50"/>
      <c r="DG526" s="555"/>
      <c r="DH526" s="151"/>
      <c r="DI526" s="1049"/>
    </row>
    <row r="527" spans="1:114" hidden="1" outlineLevel="1" x14ac:dyDescent="0.25">
      <c r="A527" s="442"/>
      <c r="B527" s="1384"/>
      <c r="C527" s="49"/>
      <c r="D527" s="100"/>
      <c r="E527" s="100" t="s">
        <v>1140</v>
      </c>
      <c r="G527" s="100"/>
      <c r="H527" s="49"/>
      <c r="T527" s="50"/>
      <c r="U527" s="50"/>
      <c r="V527" s="50"/>
      <c r="DG527" s="555"/>
      <c r="DH527" s="151"/>
      <c r="DI527" s="1049"/>
    </row>
    <row r="528" spans="1:114" hidden="1" outlineLevel="1" x14ac:dyDescent="0.25">
      <c r="A528" s="442"/>
      <c r="B528" s="1384"/>
      <c r="C528" s="49"/>
      <c r="D528" s="100"/>
      <c r="E528" s="100" t="s">
        <v>1141</v>
      </c>
      <c r="G528" s="100"/>
      <c r="H528" s="49"/>
      <c r="T528" s="50"/>
      <c r="U528" s="50"/>
      <c r="V528" s="50"/>
      <c r="DG528" s="555"/>
      <c r="DH528" s="151"/>
      <c r="DI528" s="1049"/>
    </row>
    <row r="529" spans="1:113" hidden="1" outlineLevel="1" x14ac:dyDescent="0.25">
      <c r="A529" s="442"/>
      <c r="B529" s="1384"/>
      <c r="C529" s="49"/>
      <c r="D529" s="100"/>
      <c r="E529" s="100" t="s">
        <v>1134</v>
      </c>
      <c r="G529" s="100"/>
      <c r="H529" s="49"/>
      <c r="T529" s="50"/>
      <c r="U529" s="50"/>
      <c r="V529" s="50"/>
      <c r="DG529" s="555"/>
      <c r="DH529" s="151"/>
      <c r="DI529" s="1049"/>
    </row>
    <row r="530" spans="1:113" hidden="1" outlineLevel="1" x14ac:dyDescent="0.25">
      <c r="A530" s="442"/>
      <c r="B530" s="1384"/>
      <c r="C530" s="49"/>
      <c r="E530" s="100" t="s">
        <v>1135</v>
      </c>
      <c r="G530" s="100"/>
      <c r="H530" s="49"/>
      <c r="T530" s="50"/>
      <c r="U530" s="50"/>
      <c r="V530" s="50"/>
      <c r="DG530" s="555"/>
      <c r="DH530" s="151"/>
      <c r="DI530" s="1049"/>
    </row>
    <row r="531" spans="1:113" hidden="1" outlineLevel="1" x14ac:dyDescent="0.25">
      <c r="A531" s="442"/>
      <c r="B531" s="1384"/>
      <c r="C531" s="49"/>
      <c r="D531" s="100"/>
      <c r="E531" s="100"/>
      <c r="G531" s="100"/>
      <c r="H531" s="49"/>
      <c r="T531" s="50"/>
      <c r="U531" s="50"/>
      <c r="V531" s="50"/>
      <c r="DG531" s="555"/>
      <c r="DH531" s="151"/>
      <c r="DI531" s="1049"/>
    </row>
    <row r="532" spans="1:113" hidden="1" outlineLevel="1" x14ac:dyDescent="0.25">
      <c r="A532" s="442"/>
      <c r="B532" s="1384"/>
      <c r="C532" s="49"/>
      <c r="D532" s="100"/>
      <c r="E532" s="50" t="s">
        <v>709</v>
      </c>
      <c r="G532" s="100"/>
      <c r="H532" s="49"/>
      <c r="T532" s="50"/>
      <c r="U532" s="50"/>
      <c r="V532" s="50"/>
      <c r="DG532" s="555"/>
      <c r="DH532" s="151"/>
      <c r="DI532" s="1049"/>
    </row>
    <row r="533" spans="1:113" hidden="1" outlineLevel="1" x14ac:dyDescent="0.25">
      <c r="A533" s="442"/>
      <c r="B533" s="1384"/>
      <c r="C533" s="49"/>
      <c r="D533" s="100"/>
      <c r="E533" s="100"/>
      <c r="G533" s="100"/>
      <c r="H533" s="49"/>
      <c r="Q533" s="1663" t="str">
        <f>B507</f>
        <v>Dual Fuel Heat Pumps</v>
      </c>
      <c r="T533" s="50"/>
      <c r="U533" s="50"/>
      <c r="V533" s="50"/>
      <c r="DG533" s="555"/>
      <c r="DH533" s="151"/>
      <c r="DI533" s="1049"/>
    </row>
    <row r="534" spans="1:113" hidden="1" outlineLevel="1" x14ac:dyDescent="0.25">
      <c r="A534" s="442"/>
      <c r="B534" s="1384"/>
      <c r="C534" s="49"/>
      <c r="D534" s="100"/>
      <c r="E534" s="100"/>
      <c r="G534" s="100"/>
      <c r="H534" s="49"/>
      <c r="I534" s="49"/>
      <c r="J534" s="49"/>
      <c r="K534" s="49"/>
      <c r="L534" s="49"/>
      <c r="M534" s="49"/>
      <c r="T534" s="50"/>
      <c r="U534" s="50"/>
      <c r="V534" s="50"/>
      <c r="DG534" s="555"/>
      <c r="DH534" s="151"/>
      <c r="DI534" s="1049"/>
    </row>
    <row r="535" spans="1:113" ht="30" hidden="1" outlineLevel="1" x14ac:dyDescent="0.25">
      <c r="A535" s="442"/>
      <c r="B535" s="1384"/>
      <c r="C535" s="49"/>
      <c r="D535" s="1373" t="s">
        <v>712</v>
      </c>
      <c r="E535" s="1373" t="s">
        <v>608</v>
      </c>
      <c r="F535" s="2108" t="s">
        <v>609</v>
      </c>
      <c r="G535" s="2108"/>
      <c r="H535" s="2108"/>
      <c r="I535" s="1300" t="s">
        <v>42</v>
      </c>
      <c r="J535" s="1300" t="s">
        <v>610</v>
      </c>
      <c r="K535" s="1300" t="s">
        <v>1004</v>
      </c>
      <c r="L535" s="1300" t="s">
        <v>1005</v>
      </c>
      <c r="S535" s="2175" t="s">
        <v>1142</v>
      </c>
      <c r="T535" s="2175"/>
      <c r="U535" s="50"/>
      <c r="V535" s="165" t="s">
        <v>52</v>
      </c>
      <c r="W535" s="649">
        <v>43252</v>
      </c>
      <c r="X535" s="649" t="e">
        <f>#REF!</f>
        <v>#REF!</v>
      </c>
      <c r="Y535" s="649" t="e">
        <f>#REF!</f>
        <v>#REF!</v>
      </c>
      <c r="Z535" s="649" t="e">
        <f>#REF!</f>
        <v>#REF!</v>
      </c>
      <c r="AA535" s="649" t="e">
        <f>#REF!</f>
        <v>#REF!</v>
      </c>
      <c r="AB535" s="649" t="e">
        <f>#REF!</f>
        <v>#REF!</v>
      </c>
      <c r="AC535" s="649" t="e">
        <f>#REF!</f>
        <v>#REF!</v>
      </c>
      <c r="AD535" s="649" t="e">
        <f>#REF!</f>
        <v>#REF!</v>
      </c>
      <c r="AE535" s="649" t="e">
        <f>#REF!</f>
        <v>#REF!</v>
      </c>
      <c r="AF535" s="649" t="e">
        <f>#REF!</f>
        <v>#REF!</v>
      </c>
      <c r="AG535" s="649" t="e">
        <f>#REF!</f>
        <v>#REF!</v>
      </c>
      <c r="DG535" s="555"/>
      <c r="DH535" s="151"/>
      <c r="DI535" s="1049"/>
    </row>
    <row r="536" spans="1:113" hidden="1" outlineLevel="1" x14ac:dyDescent="0.25">
      <c r="A536" s="442"/>
      <c r="B536" s="1384"/>
      <c r="C536" s="49"/>
      <c r="D536" s="1373"/>
      <c r="E536" s="1373"/>
      <c r="F536" s="1300"/>
      <c r="G536" s="1300"/>
      <c r="H536" s="1300"/>
      <c r="I536" s="1300"/>
      <c r="J536" s="1300"/>
      <c r="K536" s="1300"/>
      <c r="L536" s="1300"/>
      <c r="R536" s="1897" t="s">
        <v>1010</v>
      </c>
      <c r="S536" s="1897" t="s">
        <v>1083</v>
      </c>
      <c r="T536" s="1499" t="s">
        <v>1084</v>
      </c>
      <c r="U536" s="50"/>
      <c r="V536" s="165"/>
      <c r="W536" s="649"/>
      <c r="X536" s="649"/>
      <c r="Y536" s="649"/>
      <c r="Z536" s="649"/>
      <c r="AA536" s="649"/>
      <c r="AB536" s="649"/>
      <c r="AC536" s="649"/>
      <c r="AD536" s="649"/>
      <c r="AE536" s="649"/>
      <c r="AF536" s="649"/>
      <c r="AG536" s="649"/>
      <c r="DG536" s="555"/>
      <c r="DH536" s="151"/>
      <c r="DI536" s="1049"/>
    </row>
    <row r="537" spans="1:113" hidden="1" outlineLevel="1" x14ac:dyDescent="0.25">
      <c r="A537" s="442"/>
      <c r="B537" s="1384"/>
      <c r="C537" s="49"/>
      <c r="D537" s="2179" t="s">
        <v>1143</v>
      </c>
      <c r="E537" s="2179" t="s">
        <v>1144</v>
      </c>
      <c r="F537" s="2186" t="str">
        <f>E510</f>
        <v>DFHP-SEER19-ROF_MF</v>
      </c>
      <c r="G537" s="2186"/>
      <c r="H537" s="2186"/>
      <c r="I537" s="787"/>
      <c r="J537" s="1590">
        <v>40800</v>
      </c>
      <c r="K537" s="1371">
        <f>J537/12000</f>
        <v>3.4</v>
      </c>
      <c r="L537" s="889" t="s">
        <v>1145</v>
      </c>
      <c r="R537" s="1896">
        <v>15.2</v>
      </c>
      <c r="S537" s="1896">
        <v>7000</v>
      </c>
      <c r="T537" s="68">
        <v>600</v>
      </c>
      <c r="U537" s="50"/>
      <c r="V537" s="2179"/>
      <c r="W537" s="1326" t="e">
        <f>#REF!*12000</f>
        <v>#REF!</v>
      </c>
      <c r="X537" s="1326">
        <v>40800</v>
      </c>
      <c r="Y537" s="1326">
        <v>40800</v>
      </c>
      <c r="Z537" s="1326">
        <v>40800</v>
      </c>
      <c r="AA537" s="1326">
        <v>40800</v>
      </c>
      <c r="AB537" s="1326">
        <v>40800</v>
      </c>
      <c r="AC537" s="1326">
        <v>40800</v>
      </c>
      <c r="AD537" s="1326">
        <v>40800</v>
      </c>
      <c r="AE537" s="1326">
        <v>40800</v>
      </c>
      <c r="AF537" s="258">
        <f t="shared" ref="AF537:AF552" si="102">IF(J537&lt;&gt;"",J537,"")</f>
        <v>40800</v>
      </c>
      <c r="AG537" s="1326"/>
      <c r="DG537" s="555"/>
      <c r="DH537" s="151"/>
      <c r="DI537" s="1049"/>
    </row>
    <row r="538" spans="1:113" hidden="1" outlineLevel="1" x14ac:dyDescent="0.25">
      <c r="A538" s="442"/>
      <c r="B538" s="1384"/>
      <c r="C538" s="49"/>
      <c r="D538" s="2179"/>
      <c r="E538" s="2179"/>
      <c r="F538" s="2186" t="str">
        <f>E512</f>
        <v>DFHP-SEER20-ROF_MF</v>
      </c>
      <c r="G538" s="2186"/>
      <c r="H538" s="2186"/>
      <c r="I538" s="787"/>
      <c r="J538" s="1590">
        <v>52800.000000000007</v>
      </c>
      <c r="K538" s="1371">
        <f t="shared" ref="K538:K539" si="103">J538/12000</f>
        <v>4.4000000000000004</v>
      </c>
      <c r="L538" s="889" t="s">
        <v>1145</v>
      </c>
      <c r="R538" s="1896">
        <v>16.2</v>
      </c>
      <c r="S538" s="1896">
        <v>7286</v>
      </c>
      <c r="T538" s="68">
        <v>600</v>
      </c>
      <c r="U538" s="50"/>
      <c r="V538" s="2179"/>
      <c r="W538" s="1326">
        <f>$K538*12000</f>
        <v>52800.000000000007</v>
      </c>
      <c r="X538" s="1326">
        <v>52800.000000000007</v>
      </c>
      <c r="Y538" s="1326">
        <v>52800.000000000007</v>
      </c>
      <c r="Z538" s="1326">
        <v>52800.000000000007</v>
      </c>
      <c r="AA538" s="1326">
        <v>52800.000000000007</v>
      </c>
      <c r="AB538" s="1326">
        <v>52800.000000000007</v>
      </c>
      <c r="AC538" s="1326">
        <v>52800.000000000007</v>
      </c>
      <c r="AD538" s="1326">
        <v>52800.000000000007</v>
      </c>
      <c r="AE538" s="1326">
        <v>52800.000000000007</v>
      </c>
      <c r="AF538" s="258">
        <f t="shared" si="102"/>
        <v>52800.000000000007</v>
      </c>
      <c r="AG538" s="1326"/>
      <c r="DG538" s="555"/>
      <c r="DH538" s="151"/>
      <c r="DI538" s="1049"/>
    </row>
    <row r="539" spans="1:113" hidden="1" outlineLevel="1" x14ac:dyDescent="0.25">
      <c r="A539" s="442"/>
      <c r="B539" s="1384"/>
      <c r="C539" s="49"/>
      <c r="D539" s="2179"/>
      <c r="E539" s="2179"/>
      <c r="F539" s="2186" t="str">
        <f>E514</f>
        <v>DFHP-SEER21-ROF_MF</v>
      </c>
      <c r="G539" s="2186"/>
      <c r="H539" s="2186"/>
      <c r="I539" s="787"/>
      <c r="J539" s="1590">
        <v>64800.000000000007</v>
      </c>
      <c r="K539" s="1371">
        <f t="shared" si="103"/>
        <v>5.4</v>
      </c>
      <c r="L539" s="889" t="s">
        <v>1145</v>
      </c>
      <c r="R539" s="1896">
        <v>17.100000000000001</v>
      </c>
      <c r="S539" s="1896">
        <v>7495</v>
      </c>
      <c r="T539" s="68">
        <v>600</v>
      </c>
      <c r="U539" s="50"/>
      <c r="V539" s="2179"/>
      <c r="W539" s="1326">
        <f>$K539*12000</f>
        <v>64800.000000000007</v>
      </c>
      <c r="X539" s="1326">
        <v>64800.000000000007</v>
      </c>
      <c r="Y539" s="1326">
        <v>64800.000000000007</v>
      </c>
      <c r="Z539" s="1326">
        <v>64800.000000000007</v>
      </c>
      <c r="AA539" s="1326">
        <v>64800.000000000007</v>
      </c>
      <c r="AB539" s="1326">
        <v>64800.000000000007</v>
      </c>
      <c r="AC539" s="1326">
        <v>64800.000000000007</v>
      </c>
      <c r="AD539" s="1326">
        <v>64800.000000000007</v>
      </c>
      <c r="AE539" s="1326">
        <v>64800.000000000007</v>
      </c>
      <c r="AF539" s="258">
        <f t="shared" si="102"/>
        <v>64800.000000000007</v>
      </c>
      <c r="AG539" s="1326"/>
      <c r="DG539" s="555"/>
      <c r="DH539" s="151"/>
      <c r="DI539" s="1049"/>
    </row>
    <row r="540" spans="1:113" hidden="1" outlineLevel="1" x14ac:dyDescent="0.25">
      <c r="A540" s="442"/>
      <c r="B540" s="1384"/>
      <c r="C540" s="49"/>
      <c r="D540" s="2179" t="s">
        <v>1146</v>
      </c>
      <c r="E540" s="2179" t="s">
        <v>1147</v>
      </c>
      <c r="F540" s="2186" t="str">
        <f>$F$537</f>
        <v>DFHP-SEER19-ROF_MF</v>
      </c>
      <c r="G540" s="2186"/>
      <c r="H540" s="2186"/>
      <c r="I540" s="787"/>
      <c r="J540" s="1616">
        <v>1119</v>
      </c>
      <c r="K540" s="1371"/>
      <c r="L540" s="889" t="s">
        <v>1148</v>
      </c>
      <c r="R540" s="1896">
        <v>18.100000000000001</v>
      </c>
      <c r="S540" s="1896">
        <v>7720</v>
      </c>
      <c r="T540" s="68">
        <v>600</v>
      </c>
      <c r="U540" s="50"/>
      <c r="V540" s="2179" t="s">
        <v>1146</v>
      </c>
      <c r="W540" s="1326">
        <v>1119</v>
      </c>
      <c r="X540" s="1326">
        <v>1119</v>
      </c>
      <c r="Y540" s="1326">
        <v>1119</v>
      </c>
      <c r="Z540" s="1326">
        <v>1119</v>
      </c>
      <c r="AA540" s="1326">
        <v>1119</v>
      </c>
      <c r="AB540" s="1326">
        <v>1119</v>
      </c>
      <c r="AC540" s="1326">
        <v>1119</v>
      </c>
      <c r="AD540" s="1326">
        <v>1119</v>
      </c>
      <c r="AE540" s="1326">
        <v>1119</v>
      </c>
      <c r="AF540" s="258">
        <f t="shared" si="102"/>
        <v>1119</v>
      </c>
      <c r="AG540" s="1326"/>
      <c r="DG540" s="555"/>
      <c r="DH540" s="151"/>
      <c r="DI540" s="1049"/>
    </row>
    <row r="541" spans="1:113" hidden="1" outlineLevel="1" x14ac:dyDescent="0.25">
      <c r="A541" s="442"/>
      <c r="B541" s="1384"/>
      <c r="C541" s="49"/>
      <c r="D541" s="2179"/>
      <c r="E541" s="2179"/>
      <c r="F541" s="2186" t="str">
        <f>$F$538</f>
        <v>DFHP-SEER20-ROF_MF</v>
      </c>
      <c r="G541" s="2186"/>
      <c r="H541" s="2186"/>
      <c r="I541" s="787"/>
      <c r="J541" s="1616">
        <v>1119</v>
      </c>
      <c r="K541" s="1371"/>
      <c r="L541" s="889"/>
      <c r="R541" s="1896">
        <v>19</v>
      </c>
      <c r="S541" s="1896">
        <v>7946</v>
      </c>
      <c r="T541" s="68">
        <v>600</v>
      </c>
      <c r="U541" s="50"/>
      <c r="V541" s="2179"/>
      <c r="W541" s="1326">
        <v>1119</v>
      </c>
      <c r="X541" s="1326">
        <v>1119</v>
      </c>
      <c r="Y541" s="1326">
        <v>1119</v>
      </c>
      <c r="Z541" s="1326">
        <v>1119</v>
      </c>
      <c r="AA541" s="1326">
        <v>1119</v>
      </c>
      <c r="AB541" s="1326">
        <v>1119</v>
      </c>
      <c r="AC541" s="1326">
        <v>1119</v>
      </c>
      <c r="AD541" s="1326">
        <v>1119</v>
      </c>
      <c r="AE541" s="1326">
        <v>1119</v>
      </c>
      <c r="AF541" s="258">
        <f t="shared" si="102"/>
        <v>1119</v>
      </c>
      <c r="AG541" s="1326"/>
      <c r="DG541" s="555"/>
      <c r="DH541" s="151"/>
      <c r="DI541" s="1049"/>
    </row>
    <row r="542" spans="1:113" hidden="1" outlineLevel="1" x14ac:dyDescent="0.25">
      <c r="A542" s="442"/>
      <c r="B542" s="1384"/>
      <c r="C542" s="49"/>
      <c r="D542" s="2179"/>
      <c r="E542" s="2179"/>
      <c r="F542" s="2186" t="str">
        <f>$F$539</f>
        <v>DFHP-SEER21-ROF_MF</v>
      </c>
      <c r="G542" s="2186"/>
      <c r="H542" s="2186"/>
      <c r="I542" s="787"/>
      <c r="J542" s="1616">
        <v>1119</v>
      </c>
      <c r="K542" s="1371"/>
      <c r="L542" s="889"/>
      <c r="U542" s="50"/>
      <c r="V542" s="2179"/>
      <c r="W542" s="1326">
        <v>1119</v>
      </c>
      <c r="X542" s="1326">
        <v>1119</v>
      </c>
      <c r="Y542" s="1326">
        <v>1119</v>
      </c>
      <c r="Z542" s="1326">
        <v>1119</v>
      </c>
      <c r="AA542" s="1326">
        <v>1119</v>
      </c>
      <c r="AB542" s="1326">
        <v>1119</v>
      </c>
      <c r="AC542" s="1326">
        <v>1119</v>
      </c>
      <c r="AD542" s="1326">
        <v>1119</v>
      </c>
      <c r="AE542" s="1326">
        <v>1119</v>
      </c>
      <c r="AF542" s="258">
        <f t="shared" si="102"/>
        <v>1119</v>
      </c>
      <c r="AG542" s="1326"/>
      <c r="DG542" s="555"/>
      <c r="DH542" s="151"/>
      <c r="DI542" s="1049"/>
    </row>
    <row r="543" spans="1:113" hidden="1" outlineLevel="1" x14ac:dyDescent="0.25">
      <c r="A543" s="442"/>
      <c r="B543" s="1384"/>
      <c r="C543" s="49"/>
      <c r="D543" s="2179" t="s">
        <v>1149</v>
      </c>
      <c r="E543" s="2179" t="s">
        <v>1150</v>
      </c>
      <c r="F543" s="2186" t="str">
        <f>$F$537</f>
        <v>DFHP-SEER19-ROF_MF</v>
      </c>
      <c r="G543" s="2186"/>
      <c r="H543" s="2186"/>
      <c r="I543" s="787"/>
      <c r="J543" s="1649">
        <v>7.5</v>
      </c>
      <c r="K543" s="1371"/>
      <c r="L543" s="889" t="s">
        <v>1029</v>
      </c>
      <c r="S543" s="1499" t="s">
        <v>1080</v>
      </c>
      <c r="T543" s="1499"/>
      <c r="U543" s="50"/>
      <c r="V543" s="2179" t="s">
        <v>1151</v>
      </c>
      <c r="W543" s="1326">
        <v>8.1999999999999993</v>
      </c>
      <c r="X543" s="1326">
        <v>8.1999999999999993</v>
      </c>
      <c r="Y543" s="1326">
        <v>8.1999999999999993</v>
      </c>
      <c r="Z543" s="1326">
        <v>8.1999999999999993</v>
      </c>
      <c r="AA543" s="1326">
        <v>8.1999999999999993</v>
      </c>
      <c r="AB543" s="1326">
        <v>8.1999999999999993</v>
      </c>
      <c r="AC543" s="1326">
        <v>8.1999999999999993</v>
      </c>
      <c r="AD543" s="1326">
        <v>8.1999999999999993</v>
      </c>
      <c r="AE543" s="794">
        <v>8.6</v>
      </c>
      <c r="AF543" s="258">
        <f t="shared" si="102"/>
        <v>7.5</v>
      </c>
      <c r="AG543" s="1326"/>
      <c r="DG543" s="555"/>
      <c r="DH543" s="151"/>
      <c r="DI543" s="1049"/>
    </row>
    <row r="544" spans="1:113" hidden="1" outlineLevel="1" x14ac:dyDescent="0.25">
      <c r="A544" s="442"/>
      <c r="B544" s="1384"/>
      <c r="C544" s="49"/>
      <c r="D544" s="2179"/>
      <c r="E544" s="2179"/>
      <c r="F544" s="2186" t="str">
        <f>$F$538</f>
        <v>DFHP-SEER20-ROF_MF</v>
      </c>
      <c r="G544" s="2186"/>
      <c r="H544" s="2186"/>
      <c r="I544" s="787"/>
      <c r="J544" s="1649">
        <v>7.5</v>
      </c>
      <c r="K544" s="1371"/>
      <c r="L544" s="889" t="s">
        <v>1029</v>
      </c>
      <c r="Q544" s="1897" t="s">
        <v>1081</v>
      </c>
      <c r="R544" s="1897" t="s">
        <v>1082</v>
      </c>
      <c r="S544" s="1897" t="s">
        <v>1083</v>
      </c>
      <c r="T544" s="1499" t="s">
        <v>1084</v>
      </c>
      <c r="U544" s="50"/>
      <c r="V544" s="2179"/>
      <c r="W544" s="1326">
        <v>8.1999999999999993</v>
      </c>
      <c r="X544" s="1326">
        <v>8.1999999999999993</v>
      </c>
      <c r="Y544" s="1326">
        <v>8.1999999999999993</v>
      </c>
      <c r="Z544" s="1326">
        <v>8.1999999999999993</v>
      </c>
      <c r="AA544" s="1326">
        <v>8.1999999999999993</v>
      </c>
      <c r="AB544" s="1326">
        <v>8.1999999999999993</v>
      </c>
      <c r="AC544" s="1326">
        <v>8.1999999999999993</v>
      </c>
      <c r="AD544" s="1326">
        <v>8.1999999999999993</v>
      </c>
      <c r="AE544" s="794">
        <v>8.6</v>
      </c>
      <c r="AF544" s="258">
        <f t="shared" si="102"/>
        <v>7.5</v>
      </c>
      <c r="AG544" s="1326"/>
      <c r="DG544" s="555"/>
      <c r="DH544" s="151"/>
      <c r="DI544" s="1049"/>
    </row>
    <row r="545" spans="1:113" hidden="1" outlineLevel="1" x14ac:dyDescent="0.25">
      <c r="A545" s="442"/>
      <c r="B545" s="1384"/>
      <c r="C545" s="49"/>
      <c r="D545" s="2179"/>
      <c r="E545" s="2179"/>
      <c r="F545" s="2186" t="str">
        <f>$F$539</f>
        <v>DFHP-SEER21-ROF_MF</v>
      </c>
      <c r="G545" s="2186"/>
      <c r="H545" s="2186"/>
      <c r="I545" s="787"/>
      <c r="J545" s="1649">
        <v>7.5</v>
      </c>
      <c r="K545" s="1371"/>
      <c r="L545" s="889" t="s">
        <v>1029</v>
      </c>
      <c r="Q545" s="1307" t="s">
        <v>1152</v>
      </c>
      <c r="R545" s="1307" t="s">
        <v>1152</v>
      </c>
      <c r="S545" s="1307">
        <v>6865</v>
      </c>
      <c r="T545" s="68">
        <v>600</v>
      </c>
      <c r="U545" s="50"/>
      <c r="V545" s="2179"/>
      <c r="W545" s="1326">
        <v>8.1999999999999993</v>
      </c>
      <c r="X545" s="1326">
        <v>8.1999999999999993</v>
      </c>
      <c r="Y545" s="1326">
        <v>8.1999999999999993</v>
      </c>
      <c r="Z545" s="1326">
        <v>8.1999999999999993</v>
      </c>
      <c r="AA545" s="1326">
        <v>8.1999999999999993</v>
      </c>
      <c r="AB545" s="1326">
        <v>8.1999999999999993</v>
      </c>
      <c r="AC545" s="1326">
        <v>8.1999999999999993</v>
      </c>
      <c r="AD545" s="1326">
        <v>8.1999999999999993</v>
      </c>
      <c r="AE545" s="794">
        <v>8.6</v>
      </c>
      <c r="AF545" s="258">
        <f t="shared" si="102"/>
        <v>7.5</v>
      </c>
      <c r="AG545" s="1326"/>
      <c r="DG545" s="555"/>
      <c r="DH545" s="151"/>
      <c r="DI545" s="1049"/>
    </row>
    <row r="546" spans="1:113" hidden="1" outlineLevel="1" x14ac:dyDescent="0.25">
      <c r="A546" s="442"/>
      <c r="B546" s="1384"/>
      <c r="C546" s="49"/>
      <c r="D546" s="2179" t="s">
        <v>1153</v>
      </c>
      <c r="E546" s="2179" t="s">
        <v>1154</v>
      </c>
      <c r="F546" s="2186" t="str">
        <f>$F$537</f>
        <v>DFHP-SEER19-ROF_MF</v>
      </c>
      <c r="G546" s="2186"/>
      <c r="H546" s="2186"/>
      <c r="I546" s="787"/>
      <c r="J546" s="875">
        <f>0.87*10</f>
        <v>8.6999999999999993</v>
      </c>
      <c r="K546" s="1371"/>
      <c r="L546" s="889" t="s">
        <v>1155</v>
      </c>
      <c r="Q546" s="1307" t="s">
        <v>1085</v>
      </c>
      <c r="R546" s="1307" t="s">
        <v>1085</v>
      </c>
      <c r="S546" s="1307">
        <f>2011+3338</f>
        <v>5349</v>
      </c>
      <c r="T546" s="68"/>
      <c r="U546" s="50"/>
      <c r="V546" s="2179" t="s">
        <v>1156</v>
      </c>
      <c r="W546" s="1326">
        <v>10</v>
      </c>
      <c r="X546" s="1326">
        <v>10</v>
      </c>
      <c r="Y546" s="1326">
        <v>10</v>
      </c>
      <c r="Z546" s="1326">
        <v>10</v>
      </c>
      <c r="AA546" s="1326">
        <v>10</v>
      </c>
      <c r="AB546" s="1326">
        <v>10</v>
      </c>
      <c r="AC546" s="1326">
        <v>10</v>
      </c>
      <c r="AD546" s="1326">
        <v>10</v>
      </c>
      <c r="AE546" s="1326">
        <v>10</v>
      </c>
      <c r="AF546" s="258">
        <f t="shared" si="102"/>
        <v>8.6999999999999993</v>
      </c>
      <c r="AG546" s="1326"/>
      <c r="DG546" s="555"/>
      <c r="DH546" s="151"/>
      <c r="DI546" s="1049"/>
    </row>
    <row r="547" spans="1:113" hidden="1" outlineLevel="1" x14ac:dyDescent="0.25">
      <c r="A547" s="442"/>
      <c r="B547" s="1384"/>
      <c r="C547" s="49"/>
      <c r="D547" s="2179"/>
      <c r="E547" s="2179"/>
      <c r="F547" s="2186" t="str">
        <f>$F$538</f>
        <v>DFHP-SEER20-ROF_MF</v>
      </c>
      <c r="G547" s="2186"/>
      <c r="H547" s="2186"/>
      <c r="I547" s="787"/>
      <c r="J547" s="875">
        <f>0.87*10.4</f>
        <v>9.048</v>
      </c>
      <c r="K547" s="1371"/>
      <c r="L547" s="889" t="s">
        <v>1155</v>
      </c>
      <c r="Q547" s="1307" t="s">
        <v>1157</v>
      </c>
      <c r="R547" s="1307" t="s">
        <v>1157</v>
      </c>
      <c r="S547" s="1307">
        <v>7722</v>
      </c>
      <c r="T547" s="68">
        <v>674</v>
      </c>
      <c r="U547" s="50"/>
      <c r="V547" s="2179"/>
      <c r="W547" s="1326">
        <v>10.4</v>
      </c>
      <c r="X547" s="1326">
        <v>10.4</v>
      </c>
      <c r="Y547" s="1326">
        <v>10.4</v>
      </c>
      <c r="Z547" s="1326">
        <v>10.4</v>
      </c>
      <c r="AA547" s="1326">
        <v>10.4</v>
      </c>
      <c r="AB547" s="1326">
        <v>10.4</v>
      </c>
      <c r="AC547" s="1326">
        <v>10.4</v>
      </c>
      <c r="AD547" s="1326">
        <v>10.4</v>
      </c>
      <c r="AE547" s="1326">
        <v>10.4</v>
      </c>
      <c r="AF547" s="258">
        <f t="shared" si="102"/>
        <v>9.048</v>
      </c>
      <c r="AG547" s="1326"/>
      <c r="DG547" s="555"/>
      <c r="DH547" s="151"/>
      <c r="DI547" s="1049"/>
    </row>
    <row r="548" spans="1:113" hidden="1" outlineLevel="1" x14ac:dyDescent="0.25">
      <c r="A548" s="442"/>
      <c r="B548" s="1384"/>
      <c r="C548" s="49"/>
      <c r="D548" s="2179"/>
      <c r="E548" s="2179"/>
      <c r="F548" s="2186" t="str">
        <f>$F$539</f>
        <v>DFHP-SEER21-ROF_MF</v>
      </c>
      <c r="G548" s="2186"/>
      <c r="H548" s="2186"/>
      <c r="I548" s="787"/>
      <c r="J548" s="875">
        <f>0.87*10.8</f>
        <v>9.3960000000000008</v>
      </c>
      <c r="K548" s="1371"/>
      <c r="L548" s="889" t="s">
        <v>1155</v>
      </c>
      <c r="Q548" s="1307" t="s">
        <v>1091</v>
      </c>
      <c r="R548" s="1307" t="s">
        <v>1091</v>
      </c>
      <c r="S548" s="1307">
        <f>2296+3670</f>
        <v>5966</v>
      </c>
      <c r="T548" s="68"/>
      <c r="U548" s="50"/>
      <c r="V548" s="2179"/>
      <c r="W548" s="1326">
        <v>10.8</v>
      </c>
      <c r="X548" s="1326">
        <v>10.8</v>
      </c>
      <c r="Y548" s="1326">
        <v>10.8</v>
      </c>
      <c r="Z548" s="1326">
        <v>10.8</v>
      </c>
      <c r="AA548" s="1326">
        <v>10.8</v>
      </c>
      <c r="AB548" s="1326">
        <v>10.8</v>
      </c>
      <c r="AC548" s="1326">
        <v>10.8</v>
      </c>
      <c r="AD548" s="1326">
        <v>10.8</v>
      </c>
      <c r="AE548" s="1326">
        <v>10.8</v>
      </c>
      <c r="AF548" s="258">
        <f t="shared" si="102"/>
        <v>9.3960000000000008</v>
      </c>
      <c r="AG548" s="1326"/>
      <c r="DG548" s="555"/>
      <c r="DH548" s="151"/>
      <c r="DI548" s="1049"/>
    </row>
    <row r="549" spans="1:113" hidden="1" outlineLevel="1" x14ac:dyDescent="0.25">
      <c r="A549" s="442"/>
      <c r="B549" s="1384"/>
      <c r="C549" s="49"/>
      <c r="D549" s="2179" t="s">
        <v>1158</v>
      </c>
      <c r="E549" s="2179" t="s">
        <v>1159</v>
      </c>
      <c r="F549" s="2186" t="str">
        <f>$F$537</f>
        <v>DFHP-SEER19-ROF_MF</v>
      </c>
      <c r="G549" s="2186"/>
      <c r="H549" s="2186"/>
      <c r="I549" s="787"/>
      <c r="J549" s="1590">
        <v>40800</v>
      </c>
      <c r="K549" s="1371">
        <f t="shared" ref="K549:K551" si="104">J549/12000</f>
        <v>3.4</v>
      </c>
      <c r="L549" s="889" t="s">
        <v>1145</v>
      </c>
      <c r="T549" s="196"/>
      <c r="U549" s="50"/>
      <c r="V549" s="2179" t="s">
        <v>1158</v>
      </c>
      <c r="W549" s="1326">
        <f>$K549*12000</f>
        <v>40800</v>
      </c>
      <c r="X549" s="1326">
        <f>$K549*12000</f>
        <v>40800</v>
      </c>
      <c r="Y549" s="1326">
        <v>40800</v>
      </c>
      <c r="Z549" s="1326">
        <v>40800</v>
      </c>
      <c r="AA549" s="1326">
        <v>40800</v>
      </c>
      <c r="AB549" s="1326">
        <v>40800</v>
      </c>
      <c r="AC549" s="1326">
        <v>40800</v>
      </c>
      <c r="AD549" s="1326">
        <v>40800</v>
      </c>
      <c r="AE549" s="1326">
        <v>40800</v>
      </c>
      <c r="AF549" s="258">
        <f t="shared" si="102"/>
        <v>40800</v>
      </c>
      <c r="AG549" s="1326"/>
      <c r="DG549" s="555"/>
      <c r="DH549" s="151"/>
      <c r="DI549" s="1049"/>
    </row>
    <row r="550" spans="1:113" hidden="1" outlineLevel="1" x14ac:dyDescent="0.25">
      <c r="A550" s="442"/>
      <c r="B550" s="1384"/>
      <c r="C550" s="49"/>
      <c r="D550" s="2179"/>
      <c r="E550" s="2179"/>
      <c r="F550" s="2186" t="str">
        <f>$F$538</f>
        <v>DFHP-SEER20-ROF_MF</v>
      </c>
      <c r="G550" s="2186"/>
      <c r="H550" s="2186"/>
      <c r="I550" s="787"/>
      <c r="J550" s="1590">
        <v>52800.000000000007</v>
      </c>
      <c r="K550" s="1371">
        <f t="shared" si="104"/>
        <v>4.4000000000000004</v>
      </c>
      <c r="L550" s="889" t="s">
        <v>1145</v>
      </c>
      <c r="R550" s="1897" t="s">
        <v>1015</v>
      </c>
      <c r="S550" s="1897" t="s">
        <v>610</v>
      </c>
      <c r="T550" s="1499" t="s">
        <v>611</v>
      </c>
      <c r="U550" s="50"/>
      <c r="V550" s="2179"/>
      <c r="W550" s="1326">
        <f t="shared" ref="W550:X551" si="105">$K550*12000</f>
        <v>52800.000000000007</v>
      </c>
      <c r="X550" s="1326">
        <f t="shared" si="105"/>
        <v>52800.000000000007</v>
      </c>
      <c r="Y550" s="1326">
        <v>52800.000000000007</v>
      </c>
      <c r="Z550" s="1326">
        <v>52800.000000000007</v>
      </c>
      <c r="AA550" s="1326">
        <v>52800.000000000007</v>
      </c>
      <c r="AB550" s="1326">
        <v>52800.000000000007</v>
      </c>
      <c r="AC550" s="1326">
        <v>52800.000000000007</v>
      </c>
      <c r="AD550" s="1326">
        <v>52800.000000000007</v>
      </c>
      <c r="AE550" s="1326">
        <v>52800.000000000007</v>
      </c>
      <c r="AF550" s="258">
        <f t="shared" si="102"/>
        <v>52800.000000000007</v>
      </c>
      <c r="AG550" s="1326"/>
      <c r="DG550" s="555"/>
      <c r="DH550" s="151"/>
      <c r="DI550" s="1049"/>
    </row>
    <row r="551" spans="1:113" hidden="1" outlineLevel="1" x14ac:dyDescent="0.25">
      <c r="A551" s="442"/>
      <c r="B551" s="1384"/>
      <c r="C551" s="49"/>
      <c r="D551" s="2179"/>
      <c r="E551" s="2179"/>
      <c r="F551" s="2186" t="str">
        <f>$F$539</f>
        <v>DFHP-SEER21-ROF_MF</v>
      </c>
      <c r="G551" s="2186"/>
      <c r="H551" s="2186"/>
      <c r="I551" s="787"/>
      <c r="J551" s="1590">
        <v>64800.000000000007</v>
      </c>
      <c r="K551" s="1371">
        <f t="shared" si="104"/>
        <v>5.4</v>
      </c>
      <c r="L551" s="889" t="s">
        <v>1145</v>
      </c>
      <c r="R551" s="1307" t="s">
        <v>1016</v>
      </c>
      <c r="S551" s="247">
        <v>2.3128228708516586E-2</v>
      </c>
      <c r="T551" s="68" t="s">
        <v>1017</v>
      </c>
      <c r="U551" s="50"/>
      <c r="V551" s="2179"/>
      <c r="W551" s="1326">
        <f t="shared" si="105"/>
        <v>64800.000000000007</v>
      </c>
      <c r="X551" s="1326">
        <f t="shared" si="105"/>
        <v>64800.000000000007</v>
      </c>
      <c r="Y551" s="1326">
        <v>64800.000000000007</v>
      </c>
      <c r="Z551" s="1326">
        <v>64800.000000000007</v>
      </c>
      <c r="AA551" s="1326">
        <v>64800.000000000007</v>
      </c>
      <c r="AB551" s="1326">
        <v>64800.000000000007</v>
      </c>
      <c r="AC551" s="1326">
        <v>64800.000000000007</v>
      </c>
      <c r="AD551" s="1326">
        <v>64800.000000000007</v>
      </c>
      <c r="AE551" s="1326">
        <v>64800.000000000007</v>
      </c>
      <c r="AF551" s="258">
        <f t="shared" si="102"/>
        <v>64800.000000000007</v>
      </c>
      <c r="AG551" s="1326"/>
      <c r="DG551" s="555"/>
      <c r="DH551" s="151"/>
      <c r="DI551" s="1049"/>
    </row>
    <row r="552" spans="1:113" hidden="1" outlineLevel="1" x14ac:dyDescent="0.25">
      <c r="A552" s="442"/>
      <c r="B552" s="1384"/>
      <c r="C552" s="49"/>
      <c r="D552" s="2179" t="s">
        <v>1160</v>
      </c>
      <c r="E552" s="2179" t="s">
        <v>1161</v>
      </c>
      <c r="F552" s="2186" t="str">
        <f>$F$537</f>
        <v>DFHP-SEER19-ROF_MF</v>
      </c>
      <c r="G552" s="2186"/>
      <c r="H552" s="2186"/>
      <c r="I552" s="787"/>
      <c r="J552" s="1616">
        <v>869</v>
      </c>
      <c r="K552" s="1371"/>
      <c r="L552" s="889" t="s">
        <v>1111</v>
      </c>
      <c r="R552" s="1307" t="s">
        <v>1018</v>
      </c>
      <c r="S552" s="1307">
        <v>6</v>
      </c>
      <c r="T552" s="68" t="s">
        <v>1019</v>
      </c>
      <c r="U552" s="50"/>
      <c r="V552" s="2179" t="s">
        <v>1160</v>
      </c>
      <c r="W552" s="1326">
        <v>869</v>
      </c>
      <c r="X552" s="1326">
        <v>869</v>
      </c>
      <c r="Y552" s="1326">
        <v>869</v>
      </c>
      <c r="Z552" s="1326">
        <v>869</v>
      </c>
      <c r="AA552" s="1326">
        <v>869</v>
      </c>
      <c r="AB552" s="1326">
        <v>869</v>
      </c>
      <c r="AC552" s="1326">
        <v>869</v>
      </c>
      <c r="AD552" s="1326">
        <v>869</v>
      </c>
      <c r="AE552" s="1326">
        <v>869</v>
      </c>
      <c r="AF552" s="258">
        <f t="shared" si="102"/>
        <v>869</v>
      </c>
      <c r="AG552" s="1326"/>
      <c r="DG552" s="555"/>
      <c r="DH552" s="151"/>
      <c r="DI552" s="1049"/>
    </row>
    <row r="553" spans="1:113" hidden="1" outlineLevel="1" x14ac:dyDescent="0.25">
      <c r="A553" s="442"/>
      <c r="B553" s="1384"/>
      <c r="C553" s="49"/>
      <c r="D553" s="2179"/>
      <c r="E553" s="2179"/>
      <c r="F553" s="2186" t="str">
        <f>$F$538</f>
        <v>DFHP-SEER20-ROF_MF</v>
      </c>
      <c r="G553" s="2186"/>
      <c r="H553" s="2186"/>
      <c r="I553" s="787"/>
      <c r="J553" s="1616">
        <v>869</v>
      </c>
      <c r="K553" s="1371"/>
      <c r="L553" s="889" t="s">
        <v>1111</v>
      </c>
      <c r="R553" s="1307" t="s">
        <v>1020</v>
      </c>
      <c r="S553" s="189">
        <f>(1-S551)^(S552-1)</f>
        <v>0.88958571378558426</v>
      </c>
      <c r="T553" s="68" t="s">
        <v>1021</v>
      </c>
      <c r="U553" s="50"/>
      <c r="V553" s="2179"/>
      <c r="W553" s="1326">
        <v>869</v>
      </c>
      <c r="X553" s="1326">
        <v>869</v>
      </c>
      <c r="Y553" s="1326">
        <v>869</v>
      </c>
      <c r="Z553" s="1326">
        <v>869</v>
      </c>
      <c r="AA553" s="1326">
        <v>869</v>
      </c>
      <c r="AB553" s="1326">
        <v>869</v>
      </c>
      <c r="AC553" s="1326">
        <v>869</v>
      </c>
      <c r="AD553" s="1326">
        <v>869</v>
      </c>
      <c r="AE553" s="1326">
        <v>869</v>
      </c>
      <c r="AF553" s="258">
        <f t="shared" ref="AF553:AF569" si="106">IF(J553&lt;&gt;"",J553,"")</f>
        <v>869</v>
      </c>
      <c r="AG553" s="1326"/>
      <c r="DG553" s="555"/>
      <c r="DH553" s="151"/>
      <c r="DI553" s="1049"/>
    </row>
    <row r="554" spans="1:113" hidden="1" outlineLevel="1" x14ac:dyDescent="0.25">
      <c r="A554" s="442"/>
      <c r="B554" s="1384"/>
      <c r="C554" s="49"/>
      <c r="D554" s="2179"/>
      <c r="E554" s="2179"/>
      <c r="F554" s="2186" t="str">
        <f>$F$539</f>
        <v>DFHP-SEER21-ROF_MF</v>
      </c>
      <c r="G554" s="2186"/>
      <c r="H554" s="2186"/>
      <c r="I554" s="787"/>
      <c r="J554" s="1616">
        <v>869</v>
      </c>
      <c r="K554" s="1371"/>
      <c r="L554" s="889" t="s">
        <v>1111</v>
      </c>
      <c r="R554" s="169"/>
      <c r="T554" s="50"/>
      <c r="U554" s="50"/>
      <c r="V554" s="2179"/>
      <c r="W554" s="1326">
        <v>869</v>
      </c>
      <c r="X554" s="1326">
        <v>869</v>
      </c>
      <c r="Y554" s="1326">
        <v>869</v>
      </c>
      <c r="Z554" s="1326">
        <v>869</v>
      </c>
      <c r="AA554" s="1326">
        <v>869</v>
      </c>
      <c r="AB554" s="1326">
        <v>869</v>
      </c>
      <c r="AC554" s="1326">
        <v>869</v>
      </c>
      <c r="AD554" s="1326">
        <v>869</v>
      </c>
      <c r="AE554" s="1326">
        <v>869</v>
      </c>
      <c r="AF554" s="258">
        <f t="shared" si="106"/>
        <v>869</v>
      </c>
      <c r="AG554" s="1326"/>
      <c r="DG554" s="555"/>
      <c r="DH554" s="151"/>
      <c r="DI554" s="1049"/>
    </row>
    <row r="555" spans="1:113" hidden="1" outlineLevel="1" x14ac:dyDescent="0.25">
      <c r="A555" s="442"/>
      <c r="B555" s="1384"/>
      <c r="C555" s="49"/>
      <c r="D555" s="2179" t="s">
        <v>1162</v>
      </c>
      <c r="E555" s="2179" t="s">
        <v>1163</v>
      </c>
      <c r="F555" s="2186" t="str">
        <f>$F$537</f>
        <v>DFHP-SEER19-ROF_MF</v>
      </c>
      <c r="G555" s="2186"/>
      <c r="H555" s="2186"/>
      <c r="I555" s="787"/>
      <c r="J555" s="1649">
        <v>14.3</v>
      </c>
      <c r="K555" s="1371"/>
      <c r="L555" s="889" t="s">
        <v>1029</v>
      </c>
      <c r="R555" s="169"/>
      <c r="T555" s="50"/>
      <c r="U555" s="50"/>
      <c r="V555" s="2179" t="s">
        <v>1164</v>
      </c>
      <c r="W555" s="1326">
        <v>14</v>
      </c>
      <c r="X555" s="1326">
        <v>14</v>
      </c>
      <c r="Y555" s="1326">
        <v>14</v>
      </c>
      <c r="Z555" s="1326">
        <v>14</v>
      </c>
      <c r="AA555" s="1326">
        <v>14</v>
      </c>
      <c r="AB555" s="1326">
        <v>14</v>
      </c>
      <c r="AC555" s="1326">
        <v>14</v>
      </c>
      <c r="AD555" s="1326">
        <v>14</v>
      </c>
      <c r="AE555" s="794">
        <v>15</v>
      </c>
      <c r="AF555" s="258">
        <f t="shared" si="106"/>
        <v>14.3</v>
      </c>
      <c r="AG555" s="1326"/>
      <c r="DG555" s="555"/>
      <c r="DH555" s="151"/>
      <c r="DI555" s="1049"/>
    </row>
    <row r="556" spans="1:113" hidden="1" outlineLevel="1" x14ac:dyDescent="0.25">
      <c r="A556" s="442"/>
      <c r="B556" s="1384"/>
      <c r="C556" s="49"/>
      <c r="D556" s="2179"/>
      <c r="E556" s="2179"/>
      <c r="F556" s="2186" t="str">
        <f>$F$538</f>
        <v>DFHP-SEER20-ROF_MF</v>
      </c>
      <c r="G556" s="2186"/>
      <c r="H556" s="2186"/>
      <c r="I556" s="787"/>
      <c r="J556" s="1649">
        <v>14.3</v>
      </c>
      <c r="K556" s="1371"/>
      <c r="L556" s="889" t="s">
        <v>1029</v>
      </c>
      <c r="R556" s="169"/>
      <c r="T556" s="50"/>
      <c r="U556" s="50"/>
      <c r="V556" s="2179"/>
      <c r="W556" s="1326">
        <v>14</v>
      </c>
      <c r="X556" s="1326">
        <v>14</v>
      </c>
      <c r="Y556" s="1326">
        <v>14</v>
      </c>
      <c r="Z556" s="1326">
        <v>14</v>
      </c>
      <c r="AA556" s="1326">
        <v>14</v>
      </c>
      <c r="AB556" s="1326">
        <v>14</v>
      </c>
      <c r="AC556" s="1326">
        <v>14</v>
      </c>
      <c r="AD556" s="1326">
        <v>14</v>
      </c>
      <c r="AE556" s="794">
        <v>15</v>
      </c>
      <c r="AF556" s="258">
        <f t="shared" si="106"/>
        <v>14.3</v>
      </c>
      <c r="AG556" s="1326"/>
      <c r="DG556" s="555"/>
      <c r="DH556" s="151"/>
      <c r="DI556" s="1049"/>
    </row>
    <row r="557" spans="1:113" hidden="1" outlineLevel="1" x14ac:dyDescent="0.25">
      <c r="A557" s="442"/>
      <c r="B557" s="1384"/>
      <c r="C557" s="49"/>
      <c r="D557" s="2179"/>
      <c r="E557" s="2179"/>
      <c r="F557" s="2186" t="str">
        <f>$F$539</f>
        <v>DFHP-SEER21-ROF_MF</v>
      </c>
      <c r="G557" s="2186"/>
      <c r="H557" s="2186"/>
      <c r="I557" s="787"/>
      <c r="J557" s="1649">
        <v>14.3</v>
      </c>
      <c r="K557" s="1371"/>
      <c r="L557" s="889" t="s">
        <v>1029</v>
      </c>
      <c r="R557" s="169"/>
      <c r="T557" s="50"/>
      <c r="U557" s="50"/>
      <c r="V557" s="2179"/>
      <c r="W557" s="1326">
        <v>14</v>
      </c>
      <c r="X557" s="1326">
        <v>14</v>
      </c>
      <c r="Y557" s="1326">
        <v>14</v>
      </c>
      <c r="Z557" s="1326">
        <v>14</v>
      </c>
      <c r="AA557" s="1326">
        <v>14</v>
      </c>
      <c r="AB557" s="1326">
        <v>14</v>
      </c>
      <c r="AC557" s="1326">
        <v>14</v>
      </c>
      <c r="AD557" s="1326">
        <v>14</v>
      </c>
      <c r="AE557" s="794">
        <v>15</v>
      </c>
      <c r="AF557" s="258">
        <f t="shared" si="106"/>
        <v>14.3</v>
      </c>
      <c r="AG557" s="1326"/>
      <c r="DG557" s="555"/>
      <c r="DH557" s="151"/>
      <c r="DI557" s="1049"/>
    </row>
    <row r="558" spans="1:113" hidden="1" outlineLevel="1" x14ac:dyDescent="0.25">
      <c r="A558" s="442"/>
      <c r="B558" s="1384"/>
      <c r="C558" s="49"/>
      <c r="D558" s="2179" t="s">
        <v>1165</v>
      </c>
      <c r="E558" s="2179" t="s">
        <v>1166</v>
      </c>
      <c r="F558" s="2186" t="str">
        <f>$F$537</f>
        <v>DFHP-SEER19-ROF_MF</v>
      </c>
      <c r="G558" s="2186"/>
      <c r="H558" s="2186"/>
      <c r="I558" s="787"/>
      <c r="J558" s="1592">
        <v>19</v>
      </c>
      <c r="K558" s="1371"/>
      <c r="L558" s="889" t="s">
        <v>1167</v>
      </c>
      <c r="R558" s="169"/>
      <c r="T558" s="50"/>
      <c r="U558" s="50"/>
      <c r="V558" s="2179" t="s">
        <v>1168</v>
      </c>
      <c r="W558" s="1326">
        <v>19</v>
      </c>
      <c r="X558" s="1326">
        <v>19</v>
      </c>
      <c r="Y558" s="1326">
        <v>19</v>
      </c>
      <c r="Z558" s="1326">
        <v>19</v>
      </c>
      <c r="AA558" s="1326">
        <v>19</v>
      </c>
      <c r="AB558" s="1326">
        <v>19</v>
      </c>
      <c r="AC558" s="1326">
        <v>19</v>
      </c>
      <c r="AD558" s="1326">
        <v>19</v>
      </c>
      <c r="AE558" s="1326">
        <v>19</v>
      </c>
      <c r="AF558" s="258">
        <f t="shared" si="106"/>
        <v>19</v>
      </c>
      <c r="AG558" s="1326"/>
      <c r="DG558" s="555"/>
      <c r="DH558" s="151"/>
      <c r="DI558" s="1049"/>
    </row>
    <row r="559" spans="1:113" hidden="1" outlineLevel="1" x14ac:dyDescent="0.25">
      <c r="A559" s="442"/>
      <c r="B559" s="1384"/>
      <c r="C559" s="49"/>
      <c r="D559" s="2179"/>
      <c r="E559" s="2179"/>
      <c r="F559" s="2186" t="str">
        <f>$F$538</f>
        <v>DFHP-SEER20-ROF_MF</v>
      </c>
      <c r="G559" s="2186"/>
      <c r="H559" s="2186"/>
      <c r="I559" s="787"/>
      <c r="J559" s="1592">
        <v>20</v>
      </c>
      <c r="K559" s="1371"/>
      <c r="L559" s="889" t="s">
        <v>1167</v>
      </c>
      <c r="R559" s="169"/>
      <c r="T559" s="50"/>
      <c r="U559" s="50"/>
      <c r="V559" s="2179"/>
      <c r="W559" s="1326">
        <v>20</v>
      </c>
      <c r="X559" s="1326">
        <v>20</v>
      </c>
      <c r="Y559" s="1326">
        <v>20</v>
      </c>
      <c r="Z559" s="1326">
        <v>20</v>
      </c>
      <c r="AA559" s="1326">
        <v>20</v>
      </c>
      <c r="AB559" s="1326">
        <v>20</v>
      </c>
      <c r="AC559" s="1326">
        <v>20</v>
      </c>
      <c r="AD559" s="1326">
        <v>20</v>
      </c>
      <c r="AE559" s="1326">
        <v>20</v>
      </c>
      <c r="AF559" s="258">
        <f t="shared" si="106"/>
        <v>20</v>
      </c>
      <c r="AG559" s="1326"/>
      <c r="DG559" s="555"/>
      <c r="DH559" s="151"/>
      <c r="DI559" s="1049"/>
    </row>
    <row r="560" spans="1:113" hidden="1" outlineLevel="1" x14ac:dyDescent="0.25">
      <c r="A560" s="442"/>
      <c r="B560" s="1384"/>
      <c r="C560" s="49"/>
      <c r="D560" s="2179"/>
      <c r="E560" s="2179"/>
      <c r="F560" s="2186" t="str">
        <f>$F$539</f>
        <v>DFHP-SEER21-ROF_MF</v>
      </c>
      <c r="G560" s="2186"/>
      <c r="H560" s="2186"/>
      <c r="I560" s="787"/>
      <c r="J560" s="1592">
        <v>21</v>
      </c>
      <c r="K560" s="1371"/>
      <c r="L560" s="889" t="s">
        <v>1167</v>
      </c>
      <c r="R560" s="169"/>
      <c r="T560" s="50"/>
      <c r="U560" s="50"/>
      <c r="V560" s="2179"/>
      <c r="W560" s="1326">
        <v>21</v>
      </c>
      <c r="X560" s="1326">
        <v>21</v>
      </c>
      <c r="Y560" s="1326">
        <v>21</v>
      </c>
      <c r="Z560" s="1326">
        <v>21</v>
      </c>
      <c r="AA560" s="1326">
        <v>21</v>
      </c>
      <c r="AB560" s="1326">
        <v>21</v>
      </c>
      <c r="AC560" s="1326">
        <v>21</v>
      </c>
      <c r="AD560" s="1326">
        <v>21</v>
      </c>
      <c r="AE560" s="1326">
        <v>21</v>
      </c>
      <c r="AF560" s="258">
        <f t="shared" si="106"/>
        <v>21</v>
      </c>
      <c r="AG560" s="1326"/>
      <c r="DG560" s="555"/>
      <c r="DH560" s="151"/>
      <c r="DI560" s="1049"/>
    </row>
    <row r="561" spans="1:114" hidden="1" outlineLevel="1" x14ac:dyDescent="0.25">
      <c r="A561" s="442"/>
      <c r="B561" s="1384"/>
      <c r="C561" s="49"/>
      <c r="D561" s="2138" t="s">
        <v>722</v>
      </c>
      <c r="E561" s="2138" t="s">
        <v>1169</v>
      </c>
      <c r="F561" s="2178" t="str">
        <f>$F$537</f>
        <v>DFHP-SEER19-ROF_MF</v>
      </c>
      <c r="G561" s="2178"/>
      <c r="H561" s="2178"/>
      <c r="I561" s="1334"/>
      <c r="J561" s="1606">
        <v>0.65</v>
      </c>
      <c r="K561" s="1307"/>
      <c r="L561" s="1594" t="s">
        <v>1111</v>
      </c>
      <c r="R561" s="169"/>
      <c r="T561" s="50"/>
      <c r="U561" s="50"/>
      <c r="V561" s="2179" t="s">
        <v>722</v>
      </c>
      <c r="W561" s="228">
        <v>0.65</v>
      </c>
      <c r="X561" s="228">
        <v>0.65</v>
      </c>
      <c r="Y561" s="228">
        <v>0.65</v>
      </c>
      <c r="Z561" s="228">
        <v>0.65</v>
      </c>
      <c r="AA561" s="228">
        <v>0.65</v>
      </c>
      <c r="AB561" s="228">
        <v>0.65</v>
      </c>
      <c r="AC561" s="228">
        <v>0.65</v>
      </c>
      <c r="AD561" s="228">
        <v>0.65</v>
      </c>
      <c r="AE561" s="228">
        <v>0.65</v>
      </c>
      <c r="AF561" s="258">
        <f t="shared" si="106"/>
        <v>0.65</v>
      </c>
      <c r="AG561" s="228"/>
      <c r="DG561" s="555"/>
      <c r="DH561" s="151"/>
      <c r="DI561" s="1049"/>
    </row>
    <row r="562" spans="1:114" hidden="1" outlineLevel="1" x14ac:dyDescent="0.25">
      <c r="A562" s="442"/>
      <c r="B562" s="1384"/>
      <c r="C562" s="49"/>
      <c r="D562" s="2138"/>
      <c r="E562" s="2138"/>
      <c r="F562" s="2178" t="str">
        <f>$F$538</f>
        <v>DFHP-SEER20-ROF_MF</v>
      </c>
      <c r="G562" s="2178"/>
      <c r="H562" s="2178"/>
      <c r="I562" s="1334"/>
      <c r="J562" s="1606">
        <v>0.65</v>
      </c>
      <c r="K562" s="1307"/>
      <c r="L562" s="1594" t="s">
        <v>1111</v>
      </c>
      <c r="R562" s="169"/>
      <c r="T562" s="50"/>
      <c r="U562" s="50"/>
      <c r="V562" s="2179"/>
      <c r="W562" s="228">
        <v>0.65</v>
      </c>
      <c r="X562" s="228">
        <v>0.65</v>
      </c>
      <c r="Y562" s="228">
        <v>0.65</v>
      </c>
      <c r="Z562" s="228">
        <v>0.65</v>
      </c>
      <c r="AA562" s="228">
        <v>0.65</v>
      </c>
      <c r="AB562" s="228">
        <v>0.65</v>
      </c>
      <c r="AC562" s="228">
        <v>0.65</v>
      </c>
      <c r="AD562" s="228">
        <v>0.65</v>
      </c>
      <c r="AE562" s="228">
        <v>0.65</v>
      </c>
      <c r="AF562" s="258">
        <f t="shared" si="106"/>
        <v>0.65</v>
      </c>
      <c r="AG562" s="228"/>
      <c r="DG562" s="555"/>
      <c r="DH562" s="151"/>
      <c r="DI562" s="1049"/>
    </row>
    <row r="563" spans="1:114" hidden="1" outlineLevel="1" x14ac:dyDescent="0.25">
      <c r="A563" s="442"/>
      <c r="B563" s="1384"/>
      <c r="C563" s="49"/>
      <c r="D563" s="2138"/>
      <c r="E563" s="2138"/>
      <c r="F563" s="2178" t="str">
        <f>$F$539</f>
        <v>DFHP-SEER21-ROF_MF</v>
      </c>
      <c r="G563" s="2178"/>
      <c r="H563" s="2178"/>
      <c r="I563" s="1334"/>
      <c r="J563" s="1606">
        <v>0.65</v>
      </c>
      <c r="K563" s="1307"/>
      <c r="L563" s="1594" t="s">
        <v>1111</v>
      </c>
      <c r="R563" s="169"/>
      <c r="T563" s="50"/>
      <c r="U563" s="50"/>
      <c r="V563" s="2179"/>
      <c r="W563" s="228">
        <v>0.65</v>
      </c>
      <c r="X563" s="228">
        <v>0.65</v>
      </c>
      <c r="Y563" s="228">
        <v>0.65</v>
      </c>
      <c r="Z563" s="228">
        <v>0.65</v>
      </c>
      <c r="AA563" s="228">
        <v>0.65</v>
      </c>
      <c r="AB563" s="228">
        <v>0.65</v>
      </c>
      <c r="AC563" s="228">
        <v>0.65</v>
      </c>
      <c r="AD563" s="228">
        <v>0.65</v>
      </c>
      <c r="AE563" s="228">
        <v>0.65</v>
      </c>
      <c r="AF563" s="258">
        <f t="shared" si="106"/>
        <v>0.65</v>
      </c>
      <c r="AG563" s="228"/>
      <c r="DG563" s="555"/>
      <c r="DH563" s="151"/>
      <c r="DI563" s="1049"/>
    </row>
    <row r="564" spans="1:114" hidden="1" outlineLevel="1" x14ac:dyDescent="0.25">
      <c r="A564" s="442"/>
      <c r="B564" s="1384"/>
      <c r="C564" s="49"/>
      <c r="D564" s="2179" t="s">
        <v>49</v>
      </c>
      <c r="E564" s="2179" t="s">
        <v>1170</v>
      </c>
      <c r="F564" s="2186" t="str">
        <f>$F$537</f>
        <v>DFHP-SEER19-ROF_MF</v>
      </c>
      <c r="G564" s="2186"/>
      <c r="H564" s="2186"/>
      <c r="I564" s="787"/>
      <c r="J564" s="1619">
        <v>18</v>
      </c>
      <c r="K564" s="1371"/>
      <c r="L564" s="2208" t="s">
        <v>1038</v>
      </c>
      <c r="R564" s="169"/>
      <c r="T564" s="50"/>
      <c r="U564" s="50"/>
      <c r="V564" s="2179" t="str">
        <f>D564</f>
        <v>EUL</v>
      </c>
      <c r="W564" s="219">
        <v>18</v>
      </c>
      <c r="X564" s="219">
        <v>18</v>
      </c>
      <c r="Y564" s="219">
        <v>18</v>
      </c>
      <c r="Z564" s="219">
        <v>18</v>
      </c>
      <c r="AA564" s="219">
        <v>18</v>
      </c>
      <c r="AB564" s="219">
        <v>18</v>
      </c>
      <c r="AC564" s="1326">
        <v>18</v>
      </c>
      <c r="AD564" s="1326">
        <v>18</v>
      </c>
      <c r="AE564" s="1326">
        <v>18</v>
      </c>
      <c r="AF564" s="258">
        <f t="shared" si="106"/>
        <v>18</v>
      </c>
      <c r="AG564" s="219"/>
      <c r="DG564" s="555"/>
      <c r="DH564" s="151"/>
      <c r="DI564" s="1049"/>
    </row>
    <row r="565" spans="1:114" hidden="1" outlineLevel="1" x14ac:dyDescent="0.25">
      <c r="A565" s="442"/>
      <c r="B565" s="1384"/>
      <c r="C565" s="49"/>
      <c r="D565" s="2179"/>
      <c r="E565" s="2179"/>
      <c r="F565" s="2186" t="str">
        <f>$F$538</f>
        <v>DFHP-SEER20-ROF_MF</v>
      </c>
      <c r="G565" s="2186"/>
      <c r="H565" s="2186"/>
      <c r="I565" s="787"/>
      <c r="J565" s="1619">
        <v>18</v>
      </c>
      <c r="K565" s="1371"/>
      <c r="L565" s="2209"/>
      <c r="R565" s="169"/>
      <c r="T565" s="50"/>
      <c r="U565" s="50"/>
      <c r="V565" s="2179"/>
      <c r="W565" s="219">
        <v>18</v>
      </c>
      <c r="X565" s="219">
        <v>18</v>
      </c>
      <c r="Y565" s="219">
        <v>18</v>
      </c>
      <c r="Z565" s="219">
        <v>18</v>
      </c>
      <c r="AA565" s="219">
        <v>18</v>
      </c>
      <c r="AB565" s="219">
        <v>18</v>
      </c>
      <c r="AC565" s="1326">
        <v>18</v>
      </c>
      <c r="AD565" s="1326">
        <v>18</v>
      </c>
      <c r="AE565" s="1326">
        <v>18</v>
      </c>
      <c r="AF565" s="258">
        <f t="shared" si="106"/>
        <v>18</v>
      </c>
      <c r="AG565" s="219"/>
      <c r="DG565" s="555"/>
      <c r="DH565" s="151"/>
      <c r="DI565" s="1049"/>
    </row>
    <row r="566" spans="1:114" hidden="1" outlineLevel="1" x14ac:dyDescent="0.25">
      <c r="A566" s="442"/>
      <c r="B566" s="1384"/>
      <c r="C566" s="49"/>
      <c r="D566" s="2179"/>
      <c r="E566" s="2179"/>
      <c r="F566" s="2186" t="str">
        <f>$F$539</f>
        <v>DFHP-SEER21-ROF_MF</v>
      </c>
      <c r="G566" s="2186"/>
      <c r="H566" s="2186"/>
      <c r="I566" s="787"/>
      <c r="J566" s="1619">
        <v>18</v>
      </c>
      <c r="K566" s="1371"/>
      <c r="L566" s="2209"/>
      <c r="R566" s="169"/>
      <c r="T566" s="50"/>
      <c r="U566" s="50"/>
      <c r="V566" s="2179"/>
      <c r="W566" s="219">
        <v>18</v>
      </c>
      <c r="X566" s="219">
        <v>18</v>
      </c>
      <c r="Y566" s="219">
        <v>18</v>
      </c>
      <c r="Z566" s="219">
        <v>18</v>
      </c>
      <c r="AA566" s="219">
        <v>18</v>
      </c>
      <c r="AB566" s="219">
        <v>18</v>
      </c>
      <c r="AC566" s="1326">
        <v>18</v>
      </c>
      <c r="AD566" s="1326">
        <v>18</v>
      </c>
      <c r="AE566" s="1326">
        <v>18</v>
      </c>
      <c r="AF566" s="258">
        <f t="shared" si="106"/>
        <v>18</v>
      </c>
      <c r="AG566" s="219"/>
      <c r="DG566" s="555"/>
      <c r="DH566" s="151"/>
      <c r="DI566" s="1049"/>
    </row>
    <row r="567" spans="1:114" hidden="1" outlineLevel="1" x14ac:dyDescent="0.25">
      <c r="A567" s="442"/>
      <c r="B567" s="1384"/>
      <c r="C567" s="49"/>
      <c r="D567" s="2179" t="s">
        <v>50</v>
      </c>
      <c r="E567" s="2179" t="s">
        <v>819</v>
      </c>
      <c r="F567" s="2186" t="str">
        <f>$F$537</f>
        <v>DFHP-SEER19-ROF_MF</v>
      </c>
      <c r="G567" s="2186"/>
      <c r="H567" s="2186"/>
      <c r="I567" s="787"/>
      <c r="J567" s="1588">
        <f>(S$541+K567*T$541)-(S$545+K567*T$545)</f>
        <v>1081</v>
      </c>
      <c r="K567" s="1371">
        <f>VLOOKUP(F567,F$537:K$539,6,FALSE)</f>
        <v>3.4</v>
      </c>
      <c r="L567" s="889"/>
      <c r="R567" s="169"/>
      <c r="T567" s="50"/>
      <c r="U567" s="50"/>
      <c r="V567" s="2179" t="str">
        <f>D567</f>
        <v>Inc. Cost</v>
      </c>
      <c r="W567" s="231">
        <v>2936.6</v>
      </c>
      <c r="X567" s="231">
        <v>2936.6</v>
      </c>
      <c r="Y567" s="231">
        <v>2936.6</v>
      </c>
      <c r="Z567" s="231">
        <v>2936.6</v>
      </c>
      <c r="AA567" s="231">
        <v>2936.6</v>
      </c>
      <c r="AB567" s="231">
        <v>2936.6</v>
      </c>
      <c r="AC567" s="231">
        <v>2936.6</v>
      </c>
      <c r="AD567" s="231">
        <v>2936.6</v>
      </c>
      <c r="AE567" s="231">
        <v>2936.6</v>
      </c>
      <c r="AF567" s="258">
        <f t="shared" si="106"/>
        <v>1081</v>
      </c>
      <c r="AG567" s="231"/>
      <c r="DG567" s="555"/>
      <c r="DH567" s="151"/>
      <c r="DI567" s="1049"/>
    </row>
    <row r="568" spans="1:114" hidden="1" outlineLevel="1" x14ac:dyDescent="0.25">
      <c r="A568" s="442"/>
      <c r="B568" s="1384"/>
      <c r="C568" s="49"/>
      <c r="D568" s="2179"/>
      <c r="E568" s="2179"/>
      <c r="F568" s="2186" t="str">
        <f>$F$538</f>
        <v>DFHP-SEER20-ROF_MF</v>
      </c>
      <c r="G568" s="2186"/>
      <c r="H568" s="2186"/>
      <c r="I568" s="787"/>
      <c r="J568" s="1588">
        <f>(S$541+K568*T$541)-(S$545+K568*T$545)</f>
        <v>1081</v>
      </c>
      <c r="K568" s="1371">
        <f>VLOOKUP(F568,F$537:K$539,6,FALSE)</f>
        <v>4.4000000000000004</v>
      </c>
      <c r="L568" s="889"/>
      <c r="R568" s="169"/>
      <c r="T568" s="50"/>
      <c r="U568" s="50"/>
      <c r="V568" s="2179"/>
      <c r="W568" s="231">
        <v>3176.6</v>
      </c>
      <c r="X568" s="231">
        <v>3176.6</v>
      </c>
      <c r="Y568" s="231">
        <v>3176.6</v>
      </c>
      <c r="Z568" s="231">
        <v>3176.6</v>
      </c>
      <c r="AA568" s="231">
        <v>3176.6</v>
      </c>
      <c r="AB568" s="231">
        <v>3176.6</v>
      </c>
      <c r="AC568" s="231">
        <v>3176.6</v>
      </c>
      <c r="AD568" s="231">
        <v>3176.6</v>
      </c>
      <c r="AE568" s="231">
        <v>3176.6</v>
      </c>
      <c r="AF568" s="258">
        <f t="shared" si="106"/>
        <v>1081</v>
      </c>
      <c r="AG568" s="231"/>
      <c r="DG568" s="555"/>
      <c r="DH568" s="151"/>
      <c r="DI568" s="1049"/>
    </row>
    <row r="569" spans="1:114" hidden="1" outlineLevel="1" x14ac:dyDescent="0.25">
      <c r="A569" s="442"/>
      <c r="B569" s="1384"/>
      <c r="C569" s="49"/>
      <c r="D569" s="2179"/>
      <c r="E569" s="2179"/>
      <c r="F569" s="2186" t="str">
        <f>$F$539</f>
        <v>DFHP-SEER21-ROF_MF</v>
      </c>
      <c r="G569" s="2186"/>
      <c r="H569" s="2186"/>
      <c r="I569" s="787"/>
      <c r="J569" s="1588">
        <f>(S$541+K569*T$541)-(S$545+K569*T$545)</f>
        <v>1081</v>
      </c>
      <c r="K569" s="1371">
        <f>VLOOKUP(F569,F$537:K$539,6,FALSE)</f>
        <v>5.4</v>
      </c>
      <c r="L569" s="889"/>
      <c r="R569" s="169"/>
      <c r="T569" s="50"/>
      <c r="U569" s="50"/>
      <c r="V569" s="2179"/>
      <c r="W569" s="231">
        <v>3626.6</v>
      </c>
      <c r="X569" s="231">
        <v>3626.6</v>
      </c>
      <c r="Y569" s="231">
        <v>3626.6</v>
      </c>
      <c r="Z569" s="231">
        <v>3626.6</v>
      </c>
      <c r="AA569" s="231">
        <v>3626.6</v>
      </c>
      <c r="AB569" s="231">
        <v>3626.6</v>
      </c>
      <c r="AC569" s="231">
        <v>3626.6</v>
      </c>
      <c r="AD569" s="231">
        <v>3626.6</v>
      </c>
      <c r="AE569" s="231">
        <v>3626.6</v>
      </c>
      <c r="AF569" s="258">
        <f t="shared" si="106"/>
        <v>1081</v>
      </c>
      <c r="AG569" s="231"/>
      <c r="DG569" s="555"/>
      <c r="DH569" s="151"/>
      <c r="DI569" s="1049"/>
    </row>
    <row r="570" spans="1:114" collapsed="1" x14ac:dyDescent="0.25">
      <c r="A570" s="442"/>
      <c r="C570" s="49"/>
      <c r="D570" s="393"/>
      <c r="E570" s="393"/>
      <c r="F570" s="1365"/>
      <c r="G570" s="1365"/>
      <c r="H570" s="1365"/>
      <c r="I570" s="1365"/>
      <c r="J570" s="885"/>
      <c r="K570" s="545"/>
      <c r="L570" s="1365"/>
      <c r="R570" s="169"/>
      <c r="T570" s="50"/>
      <c r="U570" s="50"/>
      <c r="V570" s="50"/>
      <c r="DG570" s="555"/>
      <c r="DH570" s="151"/>
      <c r="DI570" s="1049"/>
    </row>
    <row r="571" spans="1:114" x14ac:dyDescent="0.25">
      <c r="A571" s="442"/>
      <c r="C571" s="49"/>
      <c r="D571" s="100"/>
      <c r="E571" s="100"/>
      <c r="G571" s="100"/>
      <c r="T571" s="50"/>
      <c r="U571" s="50"/>
      <c r="V571" s="50"/>
      <c r="DG571" s="555"/>
      <c r="DH571" s="151"/>
      <c r="DI571" s="1049"/>
    </row>
    <row r="572" spans="1:114" x14ac:dyDescent="0.25">
      <c r="A572" s="442"/>
      <c r="B572" s="1292" t="s">
        <v>1171</v>
      </c>
      <c r="C572" s="207"/>
      <c r="D572" s="1293"/>
      <c r="E572" s="1293"/>
      <c r="F572" s="1293"/>
      <c r="G572" s="1293"/>
      <c r="H572" s="1293"/>
      <c r="I572" s="1293"/>
      <c r="J572" s="1293"/>
      <c r="K572" s="1293"/>
      <c r="L572" s="1293"/>
      <c r="M572" s="1293"/>
      <c r="N572" s="1293"/>
      <c r="O572" s="1293"/>
      <c r="P572" s="1293"/>
      <c r="Q572" s="1327"/>
      <c r="T572" s="50"/>
      <c r="U572" s="50"/>
      <c r="V572" s="2103" t="str">
        <f>B572</f>
        <v>Ground Source Heat Pumps</v>
      </c>
      <c r="W572" s="2104"/>
      <c r="X572" s="2104"/>
      <c r="Y572" s="2104"/>
      <c r="Z572" s="2104"/>
      <c r="AA572" s="2104"/>
      <c r="AB572" s="2104"/>
      <c r="AC572" s="2106"/>
      <c r="AD572" s="2106"/>
      <c r="AE572" s="2106"/>
      <c r="AF572" s="2106"/>
      <c r="AG572" s="2106"/>
      <c r="AH572" s="2107"/>
      <c r="DG572" s="555"/>
      <c r="DH572" s="151"/>
      <c r="DI572" s="1049"/>
    </row>
    <row r="573" spans="1:114" x14ac:dyDescent="0.25">
      <c r="A573" s="442"/>
      <c r="C573" s="49"/>
      <c r="D573" s="100"/>
      <c r="E573" s="100"/>
      <c r="G573" s="100"/>
      <c r="I573" s="49"/>
      <c r="J573" s="49"/>
      <c r="K573" s="49"/>
      <c r="L573" s="49"/>
      <c r="M573" s="49"/>
      <c r="Q573" s="100"/>
      <c r="T573" s="50"/>
      <c r="U573" s="50"/>
      <c r="V573" s="50"/>
      <c r="AD573" s="39"/>
      <c r="DG573" s="555"/>
      <c r="DH573" s="151"/>
      <c r="DI573" s="1049"/>
    </row>
    <row r="574" spans="1:114" ht="30" x14ac:dyDescent="0.25">
      <c r="A574" s="442"/>
      <c r="C574" s="1300" t="s">
        <v>42</v>
      </c>
      <c r="D574" s="1300" t="s">
        <v>594</v>
      </c>
      <c r="E574" s="1300" t="s">
        <v>44</v>
      </c>
      <c r="F574" s="1300" t="s">
        <v>45</v>
      </c>
      <c r="G574" s="1300" t="s">
        <v>46</v>
      </c>
      <c r="H574" s="1300" t="s">
        <v>47</v>
      </c>
      <c r="I574" s="1300" t="s">
        <v>48</v>
      </c>
      <c r="J574" s="1300" t="s">
        <v>49</v>
      </c>
      <c r="K574" s="1300" t="s">
        <v>50</v>
      </c>
      <c r="L574" s="1300" t="s">
        <v>957</v>
      </c>
      <c r="M574" s="49"/>
      <c r="T574" s="50"/>
      <c r="U574" s="50"/>
      <c r="V574" s="165" t="s">
        <v>52</v>
      </c>
      <c r="W574" s="649" t="e">
        <f>#REF!</f>
        <v>#REF!</v>
      </c>
      <c r="X574" s="649" t="e">
        <f>#REF!</f>
        <v>#REF!</v>
      </c>
      <c r="Y574" s="649" t="e">
        <f>#REF!</f>
        <v>#REF!</v>
      </c>
      <c r="Z574" s="649" t="e">
        <f>#REF!</f>
        <v>#REF!</v>
      </c>
      <c r="AA574" s="649" t="e">
        <f>#REF!</f>
        <v>#REF!</v>
      </c>
      <c r="AB574" s="649" t="e">
        <f>#REF!</f>
        <v>#REF!</v>
      </c>
      <c r="AC574" s="649" t="e">
        <f>#REF!</f>
        <v>#REF!</v>
      </c>
      <c r="AD574" s="649" t="e">
        <f>#REF!</f>
        <v>#REF!</v>
      </c>
      <c r="AE574" s="649" t="e">
        <f>#REF!</f>
        <v>#REF!</v>
      </c>
      <c r="AF574" s="649" t="e">
        <f>#REF!</f>
        <v>#REF!</v>
      </c>
      <c r="AG574" s="649" t="e">
        <f>#REF!</f>
        <v>#REF!</v>
      </c>
      <c r="DG574" s="776" t="e">
        <f>#REF!</f>
        <v>#REF!</v>
      </c>
      <c r="DH574" s="776" t="e">
        <f>#REF!</f>
        <v>#REF!</v>
      </c>
      <c r="DI574" s="1034" t="e">
        <f>#REF!</f>
        <v>#REF!</v>
      </c>
      <c r="DJ574" s="1060" t="e">
        <f>#REF!</f>
        <v>#REF!</v>
      </c>
    </row>
    <row r="575" spans="1:114" x14ac:dyDescent="0.25">
      <c r="A575" s="442"/>
      <c r="B575" s="1384">
        <f t="shared" ref="B575:B590" si="107">VALUE(LEFT(C575,6))</f>
        <v>352050</v>
      </c>
      <c r="C575" s="18" t="s">
        <v>1172</v>
      </c>
      <c r="D575" s="134" t="s">
        <v>857</v>
      </c>
      <c r="E575" s="1297" t="s">
        <v>1173</v>
      </c>
      <c r="F575" s="1001">
        <f>ROUND((($J$643*$J$651*(1/$J$659-1/$J$667))/1000)*$J$675,2)</f>
        <v>1606.94</v>
      </c>
      <c r="G575" s="81" t="s">
        <v>1124</v>
      </c>
      <c r="H575" s="66">
        <f>VLOOKUP(G575,'CP FACTORS'!$A$3:$B$38, 2, FALSE)</f>
        <v>9.4741810000000004E-4</v>
      </c>
      <c r="I575" s="43">
        <f t="shared" ref="I575:I590" si="108">ROUND(F575*H575,6)</f>
        <v>1.5224439999999999</v>
      </c>
      <c r="J575" s="57">
        <v>18</v>
      </c>
      <c r="K575" s="1904">
        <f>VLOOKUP(E575,$F$690:$J$702,5,FALSE)</f>
        <v>10389.878378378377</v>
      </c>
      <c r="L575" s="17">
        <f>K643</f>
        <v>3.993150684931507</v>
      </c>
      <c r="M575" s="542"/>
      <c r="R575" s="521"/>
      <c r="T575" s="50"/>
      <c r="U575" s="50"/>
      <c r="V575" s="1307" t="s">
        <v>45</v>
      </c>
      <c r="W575" s="233">
        <v>1811.005012964564</v>
      </c>
      <c r="X575" s="233">
        <v>1413.8603840319427</v>
      </c>
      <c r="Y575" s="234">
        <v>1413.86</v>
      </c>
      <c r="Z575" s="700">
        <v>1413.86</v>
      </c>
      <c r="AA575" s="700">
        <v>1413.86</v>
      </c>
      <c r="AB575" s="639">
        <v>1387.05</v>
      </c>
      <c r="AC575" s="658">
        <v>1403.37</v>
      </c>
      <c r="AD575" s="901">
        <v>1510.41</v>
      </c>
      <c r="AE575" s="901">
        <v>1603.02</v>
      </c>
      <c r="AF575" s="258">
        <f t="shared" ref="AF575:AF590" si="109">IF(F575&lt;&gt;"",F575,"")</f>
        <v>1606.94</v>
      </c>
      <c r="AG575" s="342"/>
      <c r="AH575" s="115"/>
      <c r="AI575" s="115"/>
      <c r="DG575" s="952">
        <f>(DI575+DI576)/(DJ575+DJ576)</f>
        <v>1.300507010341031</v>
      </c>
      <c r="DH575" s="1298" t="str">
        <f t="shared" ref="DH575:DH586" si="110">CONCATENATE(G575," ",J575," Year EUL")</f>
        <v>Cooling Res 18 Year EUL</v>
      </c>
      <c r="DI575" s="1045">
        <f>(INDEX('Avoided Cost Benefits'!$B$4:$B$866,MATCH(DH575,'Avoided Cost Benefits'!$A$4:$A$866,0)))*F575</f>
        <v>3679.5212355887734</v>
      </c>
      <c r="DJ575" s="1951">
        <f t="shared" ref="DJ575:DJ590" si="111">IFERROR(K575/((1+DiscountRate)^(CurrentYear-DiscountYear)),0)</f>
        <v>10389.878378378377</v>
      </c>
    </row>
    <row r="576" spans="1:114" x14ac:dyDescent="0.25">
      <c r="A576" s="442"/>
      <c r="B576" s="1384">
        <f t="shared" si="107"/>
        <v>352050</v>
      </c>
      <c r="C576" s="18" t="s">
        <v>1174</v>
      </c>
      <c r="D576" s="551" t="s">
        <v>857</v>
      </c>
      <c r="E576" s="1297" t="s">
        <v>1173</v>
      </c>
      <c r="F576" s="1001">
        <f>ROUND((($J$611*$J$619*(1/$J$627-1/$J$635))/1000)*$J$675,2)</f>
        <v>16223.39</v>
      </c>
      <c r="G576" s="81" t="s">
        <v>689</v>
      </c>
      <c r="H576" s="66">
        <f>VLOOKUP(G576,'CP FACTORS'!$A$3:$B$38, 2, FALSE)</f>
        <v>0</v>
      </c>
      <c r="I576" s="43">
        <f t="shared" si="108"/>
        <v>0</v>
      </c>
      <c r="J576" s="57">
        <v>18</v>
      </c>
      <c r="K576" s="1905"/>
      <c r="L576" s="17"/>
      <c r="M576" s="542"/>
      <c r="R576" s="521"/>
      <c r="T576" s="50"/>
      <c r="U576" s="50"/>
      <c r="V576" s="1307" t="s">
        <v>45</v>
      </c>
      <c r="W576" s="233">
        <v>6530.865353107697</v>
      </c>
      <c r="X576" s="235">
        <v>21786.888829533</v>
      </c>
      <c r="Y576" s="234">
        <v>16223.59</v>
      </c>
      <c r="Z576" s="700">
        <v>16223.59</v>
      </c>
      <c r="AA576" s="700">
        <v>16223.59</v>
      </c>
      <c r="AB576" s="639">
        <v>16908.54</v>
      </c>
      <c r="AC576" s="658">
        <v>15839.4</v>
      </c>
      <c r="AD576" s="901">
        <v>16223.39</v>
      </c>
      <c r="AE576" s="1001">
        <v>16223.39</v>
      </c>
      <c r="AF576" s="258">
        <f t="shared" si="109"/>
        <v>16223.39</v>
      </c>
      <c r="AG576" s="342"/>
      <c r="AH576" s="115"/>
      <c r="AI576" s="115"/>
      <c r="DG576" s="1050"/>
      <c r="DH576" s="1299" t="str">
        <f t="shared" si="110"/>
        <v>Heating RES 18 Year EUL</v>
      </c>
      <c r="DI576" s="1049">
        <f>(INDEX('Avoided Cost Benefits'!$B$4:$B$866,MATCH(DH576,'Avoided Cost Benefits'!$A$4:$A$866,0)))*F576</f>
        <v>9832.58843208301</v>
      </c>
      <c r="DJ576" s="1952">
        <f t="shared" si="111"/>
        <v>0</v>
      </c>
    </row>
    <row r="577" spans="1:114" x14ac:dyDescent="0.25">
      <c r="A577" s="442"/>
      <c r="B577" s="1384">
        <f t="shared" si="107"/>
        <v>352100</v>
      </c>
      <c r="C577" s="18" t="s">
        <v>1175</v>
      </c>
      <c r="D577" s="551" t="s">
        <v>857</v>
      </c>
      <c r="E577" s="1297" t="s">
        <v>1176</v>
      </c>
      <c r="F577" s="1001">
        <f>ROUND((($J$644*$J$652*(1/$J$660-1/$J$668))/1000)*$J$675,2)</f>
        <v>4725.7</v>
      </c>
      <c r="G577" s="81" t="s">
        <v>1124</v>
      </c>
      <c r="H577" s="66">
        <f>VLOOKUP(G577,'CP FACTORS'!$A$3:$B$38, 2, FALSE)</f>
        <v>9.4741810000000004E-4</v>
      </c>
      <c r="I577" s="43">
        <f t="shared" si="108"/>
        <v>4.477214</v>
      </c>
      <c r="J577" s="57">
        <v>6</v>
      </c>
      <c r="K577" s="1904">
        <f>VLOOKUP(E577,$F$690:$J$702,5,FALSE)</f>
        <v>10005.779576760684</v>
      </c>
      <c r="L577" s="17">
        <f>K644</f>
        <v>3.8698630136986303</v>
      </c>
      <c r="M577" s="542"/>
      <c r="R577" s="521"/>
      <c r="T577" s="50"/>
      <c r="U577" s="50"/>
      <c r="V577" s="1307" t="s">
        <v>45</v>
      </c>
      <c r="W577" s="233">
        <v>4715.6029411764694</v>
      </c>
      <c r="X577" s="233">
        <v>4824.9949536200738</v>
      </c>
      <c r="Y577" s="234">
        <v>4824.99</v>
      </c>
      <c r="Z577" s="700">
        <v>4824.99</v>
      </c>
      <c r="AA577" s="700">
        <v>4824.99</v>
      </c>
      <c r="AB577" s="639">
        <v>4734.18</v>
      </c>
      <c r="AC577" s="658">
        <v>5417.2</v>
      </c>
      <c r="AD577" s="901">
        <v>4933.84</v>
      </c>
      <c r="AE577" s="1001">
        <v>4933.84</v>
      </c>
      <c r="AF577" s="258">
        <f t="shared" si="109"/>
        <v>4725.7</v>
      </c>
      <c r="AG577" s="342"/>
      <c r="AH577" s="115"/>
      <c r="AI577" s="115"/>
      <c r="DG577" s="1048">
        <f>(DI577+DI578+DI579+DI580)/(DJ577+DJ578+DJ579+DJ580)</f>
        <v>1.6278290817075913</v>
      </c>
      <c r="DH577" s="1298" t="str">
        <f t="shared" si="110"/>
        <v>Cooling Res 6 Year EUL</v>
      </c>
      <c r="DI577" s="1049">
        <f>(INDEX('Avoided Cost Benefits'!$B$4:$B$866,MATCH(DH577,'Avoided Cost Benefits'!$A$4:$A$866,0)))*F577</f>
        <v>4706.0793535244566</v>
      </c>
      <c r="DJ577" s="1952">
        <f t="shared" si="111"/>
        <v>10005.779576760684</v>
      </c>
    </row>
    <row r="578" spans="1:114" x14ac:dyDescent="0.25">
      <c r="A578" s="442"/>
      <c r="B578" s="1384">
        <f t="shared" si="107"/>
        <v>352100</v>
      </c>
      <c r="C578" s="18" t="s">
        <v>1175</v>
      </c>
      <c r="D578" s="551" t="s">
        <v>857</v>
      </c>
      <c r="E578" s="1297" t="s">
        <v>1176</v>
      </c>
      <c r="F578" s="1001">
        <f>ROUND((($J$612*$J$620*(1/$J$628-1/$J$636))/1000)*$J$675,2)</f>
        <v>15784.45</v>
      </c>
      <c r="G578" s="81" t="s">
        <v>689</v>
      </c>
      <c r="H578" s="66">
        <f>VLOOKUP(G578,'CP FACTORS'!$A$3:$B$38, 2, FALSE)</f>
        <v>0</v>
      </c>
      <c r="I578" s="43">
        <f t="shared" si="108"/>
        <v>0</v>
      </c>
      <c r="J578" s="57">
        <v>6</v>
      </c>
      <c r="K578" s="1905"/>
      <c r="L578" s="17"/>
      <c r="M578" s="542"/>
      <c r="R578" s="521"/>
      <c r="T578" s="50"/>
      <c r="U578" s="50"/>
      <c r="V578" s="1307" t="s">
        <v>45</v>
      </c>
      <c r="W578" s="233">
        <v>6530.865353107697</v>
      </c>
      <c r="X578" s="235">
        <v>21786.888829533</v>
      </c>
      <c r="Y578" s="234">
        <v>16223.59</v>
      </c>
      <c r="Z578" s="700">
        <v>16223.59</v>
      </c>
      <c r="AA578" s="700">
        <v>16223.59</v>
      </c>
      <c r="AB578" s="639">
        <v>15550.48</v>
      </c>
      <c r="AC578" s="658">
        <v>16555.189999999999</v>
      </c>
      <c r="AD578" s="901">
        <v>15784.45</v>
      </c>
      <c r="AE578" s="1001">
        <v>15784.45</v>
      </c>
      <c r="AF578" s="258">
        <f t="shared" si="109"/>
        <v>15784.45</v>
      </c>
      <c r="AG578" s="342"/>
      <c r="AH578" s="115"/>
      <c r="AI578" s="115"/>
      <c r="DG578" s="1052"/>
      <c r="DH578" s="1323" t="str">
        <f t="shared" si="110"/>
        <v>Heating RES 6 Year EUL</v>
      </c>
      <c r="DI578" s="1049">
        <f>(INDEX('Avoided Cost Benefits'!$B$4:$B$866,MATCH(DH578,'Avoided Cost Benefits'!$A$4:$A$866,0)))*F578</f>
        <v>4233.0550275767064</v>
      </c>
      <c r="DJ578" s="1952">
        <f t="shared" si="111"/>
        <v>0</v>
      </c>
    </row>
    <row r="579" spans="1:114" x14ac:dyDescent="0.25">
      <c r="A579" s="442"/>
      <c r="B579" s="1384">
        <f t="shared" si="107"/>
        <v>352100</v>
      </c>
      <c r="C579" s="18" t="s">
        <v>1175</v>
      </c>
      <c r="D579" s="551" t="s">
        <v>857</v>
      </c>
      <c r="E579" s="1297" t="s">
        <v>1177</v>
      </c>
      <c r="F579" s="1001">
        <f>ROUND((($J$645*$J$653*(1/$J$661-1/$J$669))/1000)*$J$675,2)</f>
        <v>1557.33</v>
      </c>
      <c r="G579" s="552" t="s">
        <v>1178</v>
      </c>
      <c r="H579" s="66">
        <f>VLOOKUP(G579,'CP FACTORS'!$A$3:$B$38, 2, FALSE)</f>
        <v>9.4741810000000004E-4</v>
      </c>
      <c r="I579" s="43">
        <f t="shared" si="108"/>
        <v>1.4754430000000001</v>
      </c>
      <c r="J579" s="57">
        <v>12</v>
      </c>
      <c r="K579" s="1905"/>
      <c r="L579" s="17"/>
      <c r="M579" s="542"/>
      <c r="R579" s="521"/>
      <c r="T579" s="50"/>
      <c r="U579" s="50"/>
      <c r="V579" s="1307" t="s">
        <v>45</v>
      </c>
      <c r="W579" s="233">
        <v>1716.9631221719455</v>
      </c>
      <c r="X579" s="233">
        <v>1413.8603840319427</v>
      </c>
      <c r="Y579" s="234">
        <v>1413.86</v>
      </c>
      <c r="Z579" s="700">
        <v>1413.86</v>
      </c>
      <c r="AA579" s="700">
        <v>1413.86</v>
      </c>
      <c r="AB579" s="639">
        <v>1603.59</v>
      </c>
      <c r="AC579" s="658">
        <v>1743.88</v>
      </c>
      <c r="AD579" s="901">
        <v>1431.53</v>
      </c>
      <c r="AE579" s="1001">
        <v>1431.53</v>
      </c>
      <c r="AF579" s="258">
        <f t="shared" si="109"/>
        <v>1557.33</v>
      </c>
      <c r="AG579" s="342"/>
      <c r="AH579" s="115"/>
      <c r="AI579" s="115"/>
      <c r="DG579" s="1052"/>
      <c r="DH579" s="1323" t="str">
        <f t="shared" si="110"/>
        <v>Cooling Res ER2 12 Year EUL</v>
      </c>
      <c r="DI579" s="1049">
        <f>(INDEX('Avoided Cost Benefits'!$B$4:$B$866,MATCH(DH579,'Avoided Cost Benefits'!$A$4:$A$866,0)))*F579</f>
        <v>2015.0616830718666</v>
      </c>
      <c r="DJ579" s="1952">
        <f t="shared" si="111"/>
        <v>0</v>
      </c>
    </row>
    <row r="580" spans="1:114" x14ac:dyDescent="0.25">
      <c r="A580" s="442"/>
      <c r="B580" s="1384">
        <f t="shared" si="107"/>
        <v>352100</v>
      </c>
      <c r="C580" s="18" t="s">
        <v>1175</v>
      </c>
      <c r="D580" s="551" t="s">
        <v>857</v>
      </c>
      <c r="E580" s="1297" t="s">
        <v>1177</v>
      </c>
      <c r="F580" s="1001">
        <f>ROUND((($J$613*$J$621*(1/$J$629-1/$J$637))/1000)*$J$675,2)</f>
        <v>15784.45</v>
      </c>
      <c r="G580" s="552" t="s">
        <v>1052</v>
      </c>
      <c r="H580" s="66">
        <f>VLOOKUP(G580,'CP FACTORS'!$A$3:$B$38, 2, FALSE)</f>
        <v>0</v>
      </c>
      <c r="I580" s="43">
        <f t="shared" si="108"/>
        <v>0</v>
      </c>
      <c r="J580" s="57">
        <v>12</v>
      </c>
      <c r="K580" s="1905"/>
      <c r="L580" s="17"/>
      <c r="M580" s="542"/>
      <c r="R580" s="521"/>
      <c r="T580" s="50"/>
      <c r="U580" s="50"/>
      <c r="V580" s="1307" t="s">
        <v>45</v>
      </c>
      <c r="W580" s="233">
        <v>6530.865353107697</v>
      </c>
      <c r="X580" s="235">
        <v>21786.888829533</v>
      </c>
      <c r="Y580" s="234">
        <v>16223.59</v>
      </c>
      <c r="Z580" s="700">
        <v>16223.59</v>
      </c>
      <c r="AA580" s="700">
        <v>16223.59</v>
      </c>
      <c r="AB580" s="639">
        <v>15550.48</v>
      </c>
      <c r="AC580" s="658">
        <v>16555.189999999999</v>
      </c>
      <c r="AD580" s="901">
        <v>15784.45</v>
      </c>
      <c r="AE580" s="1001">
        <v>15784.45</v>
      </c>
      <c r="AF580" s="258">
        <f t="shared" si="109"/>
        <v>15784.45</v>
      </c>
      <c r="AG580" s="342"/>
      <c r="AH580" s="115"/>
      <c r="AI580" s="115"/>
      <c r="DG580" s="1052"/>
      <c r="DH580" s="1299" t="str">
        <f t="shared" si="110"/>
        <v>Heating RES ER2 12 Year EUL</v>
      </c>
      <c r="DI580" s="1049">
        <f>(INDEX('Avoided Cost Benefits'!$B$4:$B$866,MATCH(DH580,'Avoided Cost Benefits'!$A$4:$A$866,0)))*F580</f>
        <v>5333.5029160338872</v>
      </c>
      <c r="DJ580" s="1952">
        <f t="shared" si="111"/>
        <v>0</v>
      </c>
    </row>
    <row r="581" spans="1:114" x14ac:dyDescent="0.25">
      <c r="A581" s="442"/>
      <c r="B581" s="1384">
        <f t="shared" si="107"/>
        <v>352200</v>
      </c>
      <c r="C581" s="18" t="s">
        <v>1179</v>
      </c>
      <c r="D581" s="551" t="s">
        <v>857</v>
      </c>
      <c r="E581" s="1297" t="s">
        <v>1180</v>
      </c>
      <c r="F581" s="1001">
        <f>ROUND(((J646*J654*(1/J662-1/J670))/1000)*$J$675,2)</f>
        <v>4385.8500000000004</v>
      </c>
      <c r="G581" s="81" t="s">
        <v>1124</v>
      </c>
      <c r="H581" s="66">
        <f>VLOOKUP(G581,'CP FACTORS'!$A$3:$B$38, 2, FALSE)</f>
        <v>9.4741810000000004E-4</v>
      </c>
      <c r="I581" s="43">
        <f t="shared" si="108"/>
        <v>4.1552340000000001</v>
      </c>
      <c r="J581" s="57">
        <v>6</v>
      </c>
      <c r="K581" s="1904">
        <f>VLOOKUP(E581,$F$690:$J$702,5,FALSE)</f>
        <v>6248.64477985144</v>
      </c>
      <c r="L581" s="17">
        <f>K646</f>
        <v>3.8698630136986303</v>
      </c>
      <c r="M581" s="542"/>
      <c r="R581" s="521"/>
      <c r="T581" s="50"/>
      <c r="U581" s="50"/>
      <c r="V581" s="1307" t="s">
        <v>45</v>
      </c>
      <c r="W581" s="233">
        <v>4715.6029411764694</v>
      </c>
      <c r="X581" s="233">
        <v>1930.2682563723677</v>
      </c>
      <c r="Y581" s="234">
        <v>1930.27</v>
      </c>
      <c r="Z581" s="700">
        <v>1930.27</v>
      </c>
      <c r="AA581" s="700">
        <v>1930.27</v>
      </c>
      <c r="AB581" s="639">
        <v>2089.52</v>
      </c>
      <c r="AC581" s="658">
        <v>3155.16</v>
      </c>
      <c r="AD581" s="901">
        <v>3557.73</v>
      </c>
      <c r="AE581" s="1001">
        <v>3557.73</v>
      </c>
      <c r="AF581" s="258">
        <f t="shared" si="109"/>
        <v>4385.8500000000004</v>
      </c>
      <c r="AG581" s="342"/>
      <c r="AH581" s="115"/>
      <c r="AI581" s="115"/>
      <c r="DG581" s="1048">
        <f>(DI581+DI582+DI583+DI584)/(DJ581+DJ582+DJ583+DJ584)</f>
        <v>1.4355894503288062</v>
      </c>
      <c r="DH581" s="1298" t="str">
        <f t="shared" si="110"/>
        <v>Cooling Res 6 Year EUL</v>
      </c>
      <c r="DI581" s="1049">
        <f>(INDEX('Avoided Cost Benefits'!$B$4:$B$866,MATCH(DH581,'Avoided Cost Benefits'!$A$4:$A$866,0)))*F581</f>
        <v>4367.6403776488651</v>
      </c>
      <c r="DJ581" s="1952">
        <f t="shared" si="111"/>
        <v>6248.64477985144</v>
      </c>
    </row>
    <row r="582" spans="1:114" x14ac:dyDescent="0.25">
      <c r="A582" s="442"/>
      <c r="B582" s="1384">
        <f t="shared" si="107"/>
        <v>352200</v>
      </c>
      <c r="C582" s="18" t="s">
        <v>1179</v>
      </c>
      <c r="D582" s="551" t="s">
        <v>857</v>
      </c>
      <c r="E582" s="1297" t="s">
        <v>1180</v>
      </c>
      <c r="F582" s="1001">
        <f>ROUND(((J615*J623*(1/J630-1/J639))/1000)*$J$675,2)</f>
        <v>4674.3999999999996</v>
      </c>
      <c r="G582" s="81" t="s">
        <v>689</v>
      </c>
      <c r="H582" s="66">
        <f>VLOOKUP(G582,'CP FACTORS'!$A$3:$B$38, 2, FALSE)</f>
        <v>0</v>
      </c>
      <c r="I582" s="43">
        <f t="shared" si="108"/>
        <v>0</v>
      </c>
      <c r="J582" s="57">
        <v>6</v>
      </c>
      <c r="K582" s="1905"/>
      <c r="L582" s="17"/>
      <c r="M582" s="542"/>
      <c r="R582" s="521"/>
      <c r="T582" s="50"/>
      <c r="U582" s="50"/>
      <c r="V582" s="1307" t="s">
        <v>45</v>
      </c>
      <c r="W582" s="233">
        <v>6530.865353107697</v>
      </c>
      <c r="X582" s="235">
        <v>3650.7555350956377</v>
      </c>
      <c r="Y582" s="234">
        <v>2718.53</v>
      </c>
      <c r="Z582" s="700">
        <v>2718.53</v>
      </c>
      <c r="AA582" s="700">
        <v>2718.53</v>
      </c>
      <c r="AB582" s="639">
        <v>2968.34</v>
      </c>
      <c r="AC582" s="658">
        <v>2827.56</v>
      </c>
      <c r="AD582" s="901">
        <v>2686.03</v>
      </c>
      <c r="AE582" s="1001">
        <v>2686.03</v>
      </c>
      <c r="AF582" s="258">
        <f t="shared" si="109"/>
        <v>4674.3999999999996</v>
      </c>
      <c r="AG582" s="342"/>
      <c r="AH582" s="115"/>
      <c r="AI582" s="115"/>
      <c r="DG582" s="1052"/>
      <c r="DH582" s="1323" t="str">
        <f t="shared" si="110"/>
        <v>Heating RES 6 Year EUL</v>
      </c>
      <c r="DI582" s="1049">
        <f>(INDEX('Avoided Cost Benefits'!$B$4:$B$866,MATCH(DH582,'Avoided Cost Benefits'!$A$4:$A$866,0)))*F582</f>
        <v>1253.5750324467788</v>
      </c>
      <c r="DJ582" s="1952">
        <f t="shared" si="111"/>
        <v>0</v>
      </c>
    </row>
    <row r="583" spans="1:114" x14ac:dyDescent="0.25">
      <c r="A583" s="442"/>
      <c r="B583" s="1384">
        <f t="shared" si="107"/>
        <v>352200</v>
      </c>
      <c r="C583" s="18" t="s">
        <v>1179</v>
      </c>
      <c r="D583" s="551" t="s">
        <v>857</v>
      </c>
      <c r="E583" s="1297" t="s">
        <v>1181</v>
      </c>
      <c r="F583" s="429">
        <f>ROUND(((J646*J654*(1/J664-1/J670))/1000)*$J$675,2)</f>
        <v>1367.79</v>
      </c>
      <c r="G583" s="552" t="s">
        <v>1178</v>
      </c>
      <c r="H583" s="66">
        <f>VLOOKUP(G583,'CP FACTORS'!$A$3:$B$38, 2, FALSE)</f>
        <v>9.4741810000000004E-4</v>
      </c>
      <c r="I583" s="43">
        <f t="shared" si="108"/>
        <v>1.2958689999999999</v>
      </c>
      <c r="J583" s="57">
        <v>12</v>
      </c>
      <c r="K583" s="1905"/>
      <c r="L583" s="17"/>
      <c r="M583" s="542"/>
      <c r="R583" s="521"/>
      <c r="T583" s="50"/>
      <c r="U583" s="50"/>
      <c r="V583" s="1307" t="s">
        <v>45</v>
      </c>
      <c r="W583" s="124">
        <v>1460.3876720901126</v>
      </c>
      <c r="X583" s="124">
        <v>1413.8603840319427</v>
      </c>
      <c r="Y583" s="234">
        <v>1413.86</v>
      </c>
      <c r="Z583" s="700">
        <v>1413.86</v>
      </c>
      <c r="AA583" s="700">
        <v>1413.86</v>
      </c>
      <c r="AB583" s="639">
        <v>1536.02</v>
      </c>
      <c r="AC583" s="658">
        <v>1481.42</v>
      </c>
      <c r="AD583" s="618">
        <v>1431.53</v>
      </c>
      <c r="AE583" s="429">
        <v>1431.53</v>
      </c>
      <c r="AF583" s="258">
        <f t="shared" si="109"/>
        <v>1367.79</v>
      </c>
      <c r="AG583" s="342"/>
      <c r="AH583" s="115"/>
      <c r="AI583" s="115"/>
      <c r="DG583" s="1052"/>
      <c r="DH583" s="1323" t="str">
        <f t="shared" si="110"/>
        <v>Cooling Res ER2 12 Year EUL</v>
      </c>
      <c r="DI583" s="1049">
        <f>(INDEX('Avoided Cost Benefits'!$B$4:$B$866,MATCH(DH583,'Avoided Cost Benefits'!$A$4:$A$866,0)))*F583</f>
        <v>1769.8119342007592</v>
      </c>
      <c r="DJ583" s="1952">
        <f t="shared" si="111"/>
        <v>0</v>
      </c>
    </row>
    <row r="584" spans="1:114" x14ac:dyDescent="0.25">
      <c r="A584" s="442"/>
      <c r="B584" s="1384">
        <f t="shared" si="107"/>
        <v>352200</v>
      </c>
      <c r="C584" s="18" t="s">
        <v>1179</v>
      </c>
      <c r="D584" s="551" t="s">
        <v>857</v>
      </c>
      <c r="E584" s="1297" t="s">
        <v>1181</v>
      </c>
      <c r="F584" s="429">
        <f>ROUND(((J615*J623*(1/J631-1/J639))/1000)*$J$675,2)</f>
        <v>4674.3999999999996</v>
      </c>
      <c r="G584" s="552" t="s">
        <v>1052</v>
      </c>
      <c r="H584" s="66">
        <f>VLOOKUP(G584,'CP FACTORS'!$A$3:$B$38, 2, FALSE)</f>
        <v>0</v>
      </c>
      <c r="I584" s="43">
        <f t="shared" si="108"/>
        <v>0</v>
      </c>
      <c r="J584" s="57">
        <v>12</v>
      </c>
      <c r="K584" s="1905"/>
      <c r="L584" s="17"/>
      <c r="M584" s="542"/>
      <c r="R584" s="521"/>
      <c r="T584" s="50"/>
      <c r="U584" s="50"/>
      <c r="V584" s="1307" t="s">
        <v>45</v>
      </c>
      <c r="W584" s="124">
        <v>6530.865353107697</v>
      </c>
      <c r="X584" s="236">
        <v>2670.177267298056</v>
      </c>
      <c r="Y584" s="234">
        <v>1988.35</v>
      </c>
      <c r="Z584" s="700">
        <v>1988.35</v>
      </c>
      <c r="AA584" s="700">
        <v>1988.35</v>
      </c>
      <c r="AB584" s="639">
        <v>2185.6999999999998</v>
      </c>
      <c r="AC584" s="658">
        <v>2082.04</v>
      </c>
      <c r="AD584" s="618">
        <v>1977.83</v>
      </c>
      <c r="AE584" s="429">
        <v>1977.83</v>
      </c>
      <c r="AF584" s="258">
        <f t="shared" si="109"/>
        <v>4674.3999999999996</v>
      </c>
      <c r="AG584" s="342"/>
      <c r="AH584" s="115"/>
      <c r="AI584" s="115"/>
      <c r="DG584" s="1052"/>
      <c r="DH584" s="1299" t="str">
        <f t="shared" si="110"/>
        <v>Heating RES ER2 12 Year EUL</v>
      </c>
      <c r="DI584" s="1049">
        <f>(INDEX('Avoided Cost Benefits'!$B$4:$B$866,MATCH(DH584,'Avoided Cost Benefits'!$A$4:$A$866,0)))*F584</f>
        <v>1579.4611805104896</v>
      </c>
      <c r="DJ584" s="1952">
        <f t="shared" si="111"/>
        <v>0</v>
      </c>
    </row>
    <row r="585" spans="1:114" x14ac:dyDescent="0.25">
      <c r="A585" s="442"/>
      <c r="B585" s="1384">
        <f t="shared" si="107"/>
        <v>352250</v>
      </c>
      <c r="C585" s="18" t="s">
        <v>1182</v>
      </c>
      <c r="D585" s="551" t="s">
        <v>857</v>
      </c>
      <c r="E585" s="1297" t="s">
        <v>1183</v>
      </c>
      <c r="F585" s="1001">
        <f>ROUND(((J648*J656*(1/J664-1/J672))/1000)*$J$675,2)</f>
        <v>1411.37</v>
      </c>
      <c r="G585" s="81" t="s">
        <v>1124</v>
      </c>
      <c r="H585" s="66">
        <f>VLOOKUP(G585,'CP FACTORS'!$A$3:$B$38, 2, FALSE)</f>
        <v>9.4741810000000004E-4</v>
      </c>
      <c r="I585" s="43">
        <f t="shared" si="108"/>
        <v>1.3371569999999999</v>
      </c>
      <c r="J585" s="57">
        <v>18</v>
      </c>
      <c r="K585" s="1904">
        <f>VLOOKUP(E585,$F$690:$J$702,5,FALSE)</f>
        <v>7508.8881687196081</v>
      </c>
      <c r="L585" s="17">
        <f>K648</f>
        <v>3.993150684931507</v>
      </c>
      <c r="M585" s="542"/>
      <c r="R585" s="521"/>
      <c r="T585" s="50"/>
      <c r="U585" s="50"/>
      <c r="V585" s="1307" t="s">
        <v>45</v>
      </c>
      <c r="W585" s="233">
        <v>1535.655749462109</v>
      </c>
      <c r="X585" s="233">
        <v>1413.8603840319427</v>
      </c>
      <c r="Y585" s="234">
        <v>1413.86</v>
      </c>
      <c r="Z585" s="700">
        <v>1413.86</v>
      </c>
      <c r="AA585" s="700">
        <v>1413.86</v>
      </c>
      <c r="AB585" s="639">
        <v>1553.75</v>
      </c>
      <c r="AC585" s="658">
        <v>1520.53</v>
      </c>
      <c r="AD585" s="901">
        <v>1510.41</v>
      </c>
      <c r="AE585" s="901">
        <v>1603.02</v>
      </c>
      <c r="AF585" s="258">
        <f t="shared" si="109"/>
        <v>1411.37</v>
      </c>
      <c r="AG585" s="342"/>
      <c r="AH585" s="115"/>
      <c r="AI585" s="115"/>
      <c r="DG585" s="1048">
        <f>(DI585+DI586)/(DJ585+DJ586)</f>
        <v>0.81816786649657092</v>
      </c>
      <c r="DH585" s="1298" t="str">
        <f t="shared" si="110"/>
        <v>Cooling Res 18 Year EUL</v>
      </c>
      <c r="DI585" s="1049">
        <f>(INDEX('Avoided Cost Benefits'!$B$4:$B$866,MATCH(DH585,'Avoided Cost Benefits'!$A$4:$A$866,0)))*F585</f>
        <v>3231.7111318860234</v>
      </c>
      <c r="DJ585" s="1952">
        <f t="shared" si="111"/>
        <v>7508.8881687196081</v>
      </c>
    </row>
    <row r="586" spans="1:114" x14ac:dyDescent="0.25">
      <c r="A586" s="442"/>
      <c r="B586" s="1384">
        <f t="shared" si="107"/>
        <v>352250</v>
      </c>
      <c r="C586" s="18" t="s">
        <v>1184</v>
      </c>
      <c r="D586" s="551" t="s">
        <v>857</v>
      </c>
      <c r="E586" s="1297" t="s">
        <v>1183</v>
      </c>
      <c r="F586" s="1001">
        <f>ROUND(((J616*J624*(1/J632-1/J640))/1000)*$J$675,2)</f>
        <v>4804.3900000000003</v>
      </c>
      <c r="G586" s="81" t="s">
        <v>689</v>
      </c>
      <c r="H586" s="66">
        <f>VLOOKUP(G586,'CP FACTORS'!$A$3:$B$38, 2, FALSE)</f>
        <v>0</v>
      </c>
      <c r="I586" s="43">
        <f t="shared" si="108"/>
        <v>0</v>
      </c>
      <c r="J586" s="57">
        <v>18</v>
      </c>
      <c r="K586" s="435"/>
      <c r="L586" s="18"/>
      <c r="M586" s="542"/>
      <c r="R586" s="521"/>
      <c r="T586" s="50"/>
      <c r="U586" s="50"/>
      <c r="V586" s="1307" t="s">
        <v>45</v>
      </c>
      <c r="W586" s="233">
        <v>7008.7335496765554</v>
      </c>
      <c r="X586" s="235">
        <v>2670.177267298056</v>
      </c>
      <c r="Y586" s="234">
        <v>1988.35</v>
      </c>
      <c r="Z586" s="700">
        <v>1988.35</v>
      </c>
      <c r="AA586" s="700">
        <v>1988.35</v>
      </c>
      <c r="AB586" s="639">
        <v>2199.89</v>
      </c>
      <c r="AC586" s="658">
        <v>2128.5500000000002</v>
      </c>
      <c r="AD586" s="901">
        <v>2032.83</v>
      </c>
      <c r="AE586" s="1001">
        <v>2032.83</v>
      </c>
      <c r="AF586" s="258">
        <f t="shared" si="109"/>
        <v>4804.3900000000003</v>
      </c>
      <c r="AG586" s="342"/>
      <c r="AH586" s="115"/>
      <c r="AI586" s="115"/>
      <c r="DG586" s="955"/>
      <c r="DH586" s="1299" t="str">
        <f t="shared" si="110"/>
        <v>Heating RES 18 Year EUL</v>
      </c>
      <c r="DI586" s="1046">
        <f>(INDEX('Avoided Cost Benefits'!$B$4:$B$866,MATCH(DH586,'Avoided Cost Benefits'!$A$4:$A$866,0)))*F586</f>
        <v>2911.8198808766415</v>
      </c>
      <c r="DJ586" s="1952">
        <f t="shared" si="111"/>
        <v>0</v>
      </c>
    </row>
    <row r="587" spans="1:114" s="39" customFormat="1" x14ac:dyDescent="0.25">
      <c r="A587" s="442"/>
      <c r="B587" s="1384">
        <f t="shared" si="107"/>
        <v>352260</v>
      </c>
      <c r="C587" s="18" t="s">
        <v>1185</v>
      </c>
      <c r="D587" s="551" t="s">
        <v>857</v>
      </c>
      <c r="E587" s="1297" t="s">
        <v>1186</v>
      </c>
      <c r="F587" s="429">
        <f>ROUND(((J649*J657*(1/J665-1/J673))/1000)*$J$675,2)</f>
        <v>1557.33</v>
      </c>
      <c r="G587" s="81" t="s">
        <v>1124</v>
      </c>
      <c r="H587" s="66">
        <f>VLOOKUP(G587,'CP FACTORS'!$A$3:$B$38, 2, FALSE)</f>
        <v>9.4741810000000004E-4</v>
      </c>
      <c r="I587" s="43">
        <f t="shared" si="108"/>
        <v>1.4754430000000001</v>
      </c>
      <c r="J587" s="57">
        <v>6</v>
      </c>
      <c r="K587" s="1904">
        <f>VLOOKUP(E587,$F$690:$J$702,5,FALSE)</f>
        <v>6248.64477985144</v>
      </c>
      <c r="L587" s="17">
        <f>K649</f>
        <v>3.8698630136986303</v>
      </c>
      <c r="M587" s="542"/>
      <c r="N587" s="50"/>
      <c r="O587" s="50"/>
      <c r="P587" s="50"/>
      <c r="Q587" s="50"/>
      <c r="R587" s="521"/>
      <c r="S587" s="50"/>
      <c r="V587" s="656"/>
      <c r="W587" s="236"/>
      <c r="X587" s="236"/>
      <c r="Y587" s="234"/>
      <c r="Z587" s="234"/>
      <c r="AA587" s="234"/>
      <c r="AB587" s="639"/>
      <c r="AC587" s="658"/>
      <c r="AD587" s="618"/>
      <c r="AE587" s="618"/>
      <c r="AF587" s="258">
        <f t="shared" si="109"/>
        <v>1557.33</v>
      </c>
      <c r="AG587" s="656"/>
      <c r="AH587" s="696"/>
      <c r="AI587" s="696"/>
      <c r="DG587" s="1048">
        <f>(DI587+DI588+DI589+DI590)/(DJ587+DJ588+DJ589+DJ590)</f>
        <v>0.98480750328554567</v>
      </c>
      <c r="DH587" s="1298" t="str">
        <f t="shared" ref="DH587:DH590" si="112">CONCATENATE(G587," ",J587," Year EUL")</f>
        <v>Cooling Res 6 Year EUL</v>
      </c>
      <c r="DI587" s="1049">
        <f>(INDEX('Avoided Cost Benefits'!$B$4:$B$866,MATCH(DH587,'Avoided Cost Benefits'!$A$4:$A$866,0)))*F587</f>
        <v>1550.8641174057266</v>
      </c>
      <c r="DJ587" s="1952">
        <f t="shared" si="111"/>
        <v>6248.64477985144</v>
      </c>
    </row>
    <row r="588" spans="1:114" s="39" customFormat="1" x14ac:dyDescent="0.25">
      <c r="A588" s="442"/>
      <c r="B588" s="1384">
        <f t="shared" si="107"/>
        <v>352260</v>
      </c>
      <c r="C588" s="18" t="s">
        <v>1185</v>
      </c>
      <c r="D588" s="551" t="s">
        <v>857</v>
      </c>
      <c r="E588" s="1297" t="s">
        <v>1186</v>
      </c>
      <c r="F588" s="429">
        <f>ROUND(((J618*J626*(1/J633-1/J642))/1000)*$J$675,2)</f>
        <v>4674.3999999999996</v>
      </c>
      <c r="G588" s="81" t="s">
        <v>689</v>
      </c>
      <c r="H588" s="66">
        <f>VLOOKUP(G588,'CP FACTORS'!$A$3:$B$38, 2, FALSE)</f>
        <v>0</v>
      </c>
      <c r="I588" s="43">
        <f t="shared" si="108"/>
        <v>0</v>
      </c>
      <c r="J588" s="57">
        <v>6</v>
      </c>
      <c r="K588" s="1905"/>
      <c r="L588" s="17"/>
      <c r="M588" s="542"/>
      <c r="N588" s="50"/>
      <c r="O588" s="50"/>
      <c r="P588" s="50"/>
      <c r="Q588" s="50"/>
      <c r="R588" s="521"/>
      <c r="S588" s="50"/>
      <c r="V588" s="656"/>
      <c r="W588" s="236"/>
      <c r="X588" s="236"/>
      <c r="Y588" s="234"/>
      <c r="Z588" s="234"/>
      <c r="AA588" s="234"/>
      <c r="AB588" s="639"/>
      <c r="AC588" s="658"/>
      <c r="AD588" s="618"/>
      <c r="AE588" s="618"/>
      <c r="AF588" s="258">
        <f t="shared" si="109"/>
        <v>4674.3999999999996</v>
      </c>
      <c r="AG588" s="656"/>
      <c r="AH588" s="696"/>
      <c r="AI588" s="696"/>
      <c r="DG588" s="1052"/>
      <c r="DH588" s="1323" t="str">
        <f t="shared" si="112"/>
        <v>Heating RES 6 Year EUL</v>
      </c>
      <c r="DI588" s="1049">
        <f>(INDEX('Avoided Cost Benefits'!$B$4:$B$866,MATCH(DH588,'Avoided Cost Benefits'!$A$4:$A$866,0)))*F588</f>
        <v>1253.5750324467788</v>
      </c>
      <c r="DJ588" s="1952">
        <f t="shared" si="111"/>
        <v>0</v>
      </c>
    </row>
    <row r="589" spans="1:114" s="39" customFormat="1" x14ac:dyDescent="0.25">
      <c r="A589" s="442"/>
      <c r="B589" s="1384">
        <f t="shared" si="107"/>
        <v>352260</v>
      </c>
      <c r="C589" s="18" t="s">
        <v>1185</v>
      </c>
      <c r="D589" s="551" t="s">
        <v>857</v>
      </c>
      <c r="E589" s="1297" t="s">
        <v>1187</v>
      </c>
      <c r="F589" s="1001">
        <f>ROUND(((J650*J658*(1/J666-1/J674))/1000)*$J$675,2)</f>
        <v>1367.79</v>
      </c>
      <c r="G589" s="552" t="s">
        <v>1178</v>
      </c>
      <c r="H589" s="66">
        <f>VLOOKUP(G589,'CP FACTORS'!$A$3:$B$38, 2, FALSE)</f>
        <v>9.4741810000000004E-4</v>
      </c>
      <c r="I589" s="43">
        <f t="shared" si="108"/>
        <v>1.2958689999999999</v>
      </c>
      <c r="J589" s="57">
        <v>12</v>
      </c>
      <c r="K589" s="1904"/>
      <c r="L589" s="17"/>
      <c r="M589" s="542"/>
      <c r="N589" s="50"/>
      <c r="O589" s="50"/>
      <c r="P589" s="50"/>
      <c r="Q589" s="50"/>
      <c r="R589" s="521"/>
      <c r="S589" s="50"/>
      <c r="V589" s="656"/>
      <c r="W589" s="235"/>
      <c r="X589" s="235"/>
      <c r="Y589" s="234"/>
      <c r="Z589" s="234"/>
      <c r="AA589" s="234"/>
      <c r="AB589" s="639"/>
      <c r="AC589" s="658"/>
      <c r="AD589" s="901"/>
      <c r="AE589" s="901"/>
      <c r="AF589" s="258">
        <f t="shared" si="109"/>
        <v>1367.79</v>
      </c>
      <c r="AG589" s="656"/>
      <c r="AH589" s="696"/>
      <c r="AI589" s="696"/>
      <c r="DG589" s="1052"/>
      <c r="DH589" s="1323" t="str">
        <f t="shared" si="112"/>
        <v>Cooling Res ER2 12 Year EUL</v>
      </c>
      <c r="DI589" s="1049">
        <f>(INDEX('Avoided Cost Benefits'!$B$4:$B$866,MATCH(DH589,'Avoided Cost Benefits'!$A$4:$A$866,0)))*F589</f>
        <v>1769.8119342007592</v>
      </c>
      <c r="DJ589" s="1952">
        <f t="shared" si="111"/>
        <v>0</v>
      </c>
    </row>
    <row r="590" spans="1:114" s="39" customFormat="1" x14ac:dyDescent="0.25">
      <c r="A590" s="442"/>
      <c r="B590" s="1384">
        <f t="shared" si="107"/>
        <v>352260</v>
      </c>
      <c r="C590" s="18" t="s">
        <v>1185</v>
      </c>
      <c r="D590" s="551" t="s">
        <v>857</v>
      </c>
      <c r="E590" s="1297" t="s">
        <v>1187</v>
      </c>
      <c r="F590" s="1001">
        <f>ROUND(((J618*J626*(1/J634-1/J642))/1000)*$J$675,2)</f>
        <v>4674.3999999999996</v>
      </c>
      <c r="G590" s="552" t="s">
        <v>1052</v>
      </c>
      <c r="H590" s="66">
        <f>VLOOKUP(G590,'CP FACTORS'!$A$3:$B$38, 2, FALSE)</f>
        <v>0</v>
      </c>
      <c r="I590" s="43">
        <f t="shared" si="108"/>
        <v>0</v>
      </c>
      <c r="J590" s="57">
        <v>12</v>
      </c>
      <c r="K590" s="435"/>
      <c r="L590" s="18"/>
      <c r="M590" s="542"/>
      <c r="N590" s="50"/>
      <c r="O590" s="50"/>
      <c r="P590" s="50"/>
      <c r="Q590" s="50"/>
      <c r="R590" s="521"/>
      <c r="S590" s="50"/>
      <c r="V590" s="656"/>
      <c r="W590" s="235"/>
      <c r="X590" s="235"/>
      <c r="Y590" s="234"/>
      <c r="Z590" s="234"/>
      <c r="AA590" s="234"/>
      <c r="AB590" s="639"/>
      <c r="AC590" s="658"/>
      <c r="AD590" s="901"/>
      <c r="AE590" s="901"/>
      <c r="AF590" s="258">
        <f t="shared" si="109"/>
        <v>4674.3999999999996</v>
      </c>
      <c r="AG590" s="656"/>
      <c r="AH590" s="696"/>
      <c r="AI590" s="696"/>
      <c r="DG590" s="1052"/>
      <c r="DH590" s="1299" t="str">
        <f t="shared" si="112"/>
        <v>Heating RES ER2 12 Year EUL</v>
      </c>
      <c r="DI590" s="1049">
        <f>(INDEX('Avoided Cost Benefits'!$B$4:$B$866,MATCH(DH590,'Avoided Cost Benefits'!$A$4:$A$866,0)))*F590</f>
        <v>1579.4611805104896</v>
      </c>
      <c r="DJ590" s="1953">
        <f t="shared" si="111"/>
        <v>0</v>
      </c>
    </row>
    <row r="591" spans="1:114" hidden="1" outlineLevel="1" x14ac:dyDescent="0.25">
      <c r="A591" s="442"/>
      <c r="C591" s="553"/>
      <c r="D591" s="74" t="s">
        <v>94</v>
      </c>
      <c r="E591" s="50" t="s">
        <v>1188</v>
      </c>
      <c r="F591" s="100" t="s">
        <v>1115</v>
      </c>
      <c r="G591" s="550"/>
      <c r="H591" s="49"/>
      <c r="I591" s="49"/>
      <c r="J591" s="49"/>
      <c r="K591" s="49"/>
      <c r="L591" s="49"/>
      <c r="M591" s="49"/>
      <c r="T591" s="50"/>
      <c r="U591" s="50"/>
      <c r="V591" s="50"/>
      <c r="DG591" s="555"/>
      <c r="DH591" s="175"/>
      <c r="DI591" s="1049"/>
      <c r="DJ591" s="1127"/>
    </row>
    <row r="592" spans="1:114" hidden="1" outlineLevel="1" x14ac:dyDescent="0.25">
      <c r="A592" s="442"/>
      <c r="C592" s="553"/>
      <c r="D592" s="71" t="s">
        <v>604</v>
      </c>
      <c r="E592" s="100" t="s">
        <v>1132</v>
      </c>
      <c r="F592" s="530"/>
      <c r="G592" s="550"/>
      <c r="H592" s="49"/>
      <c r="I592" s="49"/>
      <c r="J592" s="49"/>
      <c r="K592" s="49"/>
      <c r="L592" s="49"/>
      <c r="M592" s="49"/>
      <c r="T592" s="50"/>
      <c r="U592" s="50"/>
      <c r="V592" s="50"/>
      <c r="DG592" s="555"/>
      <c r="DH592" s="175"/>
      <c r="DI592" s="1049"/>
      <c r="DJ592" s="1127"/>
    </row>
    <row r="593" spans="1:114" hidden="1" outlineLevel="1" x14ac:dyDescent="0.25">
      <c r="A593" s="442"/>
      <c r="C593" s="553"/>
      <c r="D593" s="71"/>
      <c r="E593" s="100" t="s">
        <v>1189</v>
      </c>
      <c r="G593" s="100"/>
      <c r="T593" s="50"/>
      <c r="U593" s="50"/>
      <c r="V593" s="50"/>
      <c r="DG593" s="555"/>
      <c r="DH593" s="175"/>
      <c r="DI593" s="1049"/>
      <c r="DJ593" s="1127"/>
    </row>
    <row r="594" spans="1:114" hidden="1" outlineLevel="1" x14ac:dyDescent="0.25">
      <c r="A594" s="442"/>
      <c r="C594" s="553"/>
      <c r="D594" s="100"/>
      <c r="E594" s="100"/>
      <c r="G594" s="100"/>
      <c r="H594" s="49"/>
      <c r="T594" s="50"/>
      <c r="U594" s="50"/>
      <c r="V594" s="50"/>
      <c r="DG594" s="555"/>
      <c r="DH594" s="175"/>
      <c r="DI594" s="1049"/>
      <c r="DJ594" s="1127"/>
    </row>
    <row r="595" spans="1:114" hidden="1" outlineLevel="1" x14ac:dyDescent="0.25">
      <c r="A595" s="442"/>
      <c r="C595" s="553"/>
      <c r="D595" s="100"/>
      <c r="E595" s="100" t="s">
        <v>1136</v>
      </c>
      <c r="G595" s="100"/>
      <c r="H595" s="49"/>
      <c r="T595" s="50"/>
      <c r="U595" s="50"/>
      <c r="V595" s="50"/>
      <c r="DG595" s="555"/>
      <c r="DH595" s="175"/>
      <c r="DI595" s="1049"/>
      <c r="DJ595" s="1127"/>
    </row>
    <row r="596" spans="1:114" hidden="1" outlineLevel="1" x14ac:dyDescent="0.25">
      <c r="A596" s="442"/>
      <c r="C596" s="553"/>
      <c r="D596" s="100"/>
      <c r="E596" s="100" t="s">
        <v>1190</v>
      </c>
      <c r="G596" s="100"/>
      <c r="H596" s="49"/>
      <c r="T596" s="50"/>
      <c r="U596" s="50"/>
      <c r="V596" s="50"/>
      <c r="DG596" s="555"/>
      <c r="DH596" s="175"/>
      <c r="DI596" s="1049"/>
      <c r="DJ596" s="1127"/>
    </row>
    <row r="597" spans="1:114" hidden="1" outlineLevel="1" x14ac:dyDescent="0.25">
      <c r="A597" s="442"/>
      <c r="C597" s="553"/>
      <c r="D597" s="100"/>
      <c r="E597" s="100" t="s">
        <v>1191</v>
      </c>
      <c r="G597" s="100"/>
      <c r="H597" s="49"/>
      <c r="T597" s="50"/>
      <c r="U597" s="50"/>
      <c r="V597" s="50"/>
      <c r="DG597" s="555"/>
      <c r="DH597" s="175"/>
      <c r="DI597" s="1049"/>
      <c r="DJ597" s="1127"/>
    </row>
    <row r="598" spans="1:114" hidden="1" outlineLevel="1" x14ac:dyDescent="0.25">
      <c r="A598" s="442"/>
      <c r="C598" s="553"/>
      <c r="D598" s="100"/>
      <c r="E598" s="100" t="s">
        <v>1192</v>
      </c>
      <c r="G598" s="100"/>
      <c r="H598" s="49"/>
      <c r="J598" s="100"/>
      <c r="T598" s="50"/>
      <c r="U598" s="50"/>
      <c r="V598" s="50"/>
      <c r="DG598" s="555"/>
      <c r="DH598" s="175"/>
      <c r="DI598" s="1049"/>
      <c r="DJ598" s="1127"/>
    </row>
    <row r="599" spans="1:114" hidden="1" outlineLevel="1" x14ac:dyDescent="0.25">
      <c r="A599" s="442"/>
      <c r="C599" s="553"/>
      <c r="E599" s="100" t="s">
        <v>1193</v>
      </c>
      <c r="G599" s="100"/>
      <c r="H599" s="49"/>
      <c r="T599" s="50"/>
      <c r="U599" s="50"/>
      <c r="V599" s="50"/>
      <c r="DG599" s="555"/>
      <c r="DH599" s="175"/>
      <c r="DI599" s="1049"/>
      <c r="DJ599" s="1127"/>
    </row>
    <row r="600" spans="1:114" hidden="1" outlineLevel="1" x14ac:dyDescent="0.25">
      <c r="A600" s="442"/>
      <c r="C600" s="553"/>
      <c r="D600" s="100"/>
      <c r="E600" s="100"/>
      <c r="G600" s="100"/>
      <c r="H600" s="49"/>
      <c r="T600" s="50"/>
      <c r="U600" s="50"/>
      <c r="V600" s="50"/>
      <c r="DG600" s="555"/>
      <c r="DH600" s="175"/>
      <c r="DI600" s="1049"/>
      <c r="DJ600" s="1127"/>
    </row>
    <row r="601" spans="1:114" hidden="1" outlineLevel="1" x14ac:dyDescent="0.25">
      <c r="A601" s="442"/>
      <c r="C601" s="553"/>
      <c r="D601" s="100"/>
      <c r="E601" s="100" t="s">
        <v>709</v>
      </c>
      <c r="G601" s="100"/>
      <c r="H601" s="49"/>
      <c r="T601" s="50"/>
      <c r="U601" s="50"/>
      <c r="V601" s="50"/>
      <c r="DG601" s="555"/>
      <c r="DH601" s="175"/>
      <c r="DI601" s="1049"/>
      <c r="DJ601" s="1127"/>
    </row>
    <row r="602" spans="1:114" hidden="1" outlineLevel="1" x14ac:dyDescent="0.25">
      <c r="A602" s="442"/>
      <c r="C602" s="553"/>
      <c r="D602" s="100"/>
      <c r="E602" s="100"/>
      <c r="G602" s="100"/>
      <c r="H602" s="49"/>
      <c r="T602" s="50"/>
      <c r="U602" s="50"/>
      <c r="V602" s="50"/>
      <c r="DG602" s="555"/>
      <c r="DH602" s="175"/>
      <c r="DI602" s="1049"/>
      <c r="DJ602" s="1127"/>
    </row>
    <row r="603" spans="1:114" hidden="1" outlineLevel="1" x14ac:dyDescent="0.25">
      <c r="A603" s="442"/>
      <c r="C603" s="553"/>
      <c r="D603" s="100"/>
      <c r="E603" s="100"/>
      <c r="G603" s="100"/>
      <c r="H603" s="49"/>
      <c r="T603" s="50"/>
      <c r="U603" s="50"/>
      <c r="V603" s="50"/>
      <c r="DG603" s="555"/>
      <c r="DH603" s="175"/>
      <c r="DI603" s="1049"/>
      <c r="DJ603" s="1127"/>
    </row>
    <row r="604" spans="1:114" hidden="1" outlineLevel="1" x14ac:dyDescent="0.25">
      <c r="A604" s="442"/>
      <c r="C604" s="553"/>
      <c r="D604" s="100"/>
      <c r="E604" s="100"/>
      <c r="G604" s="100"/>
      <c r="H604" s="49"/>
      <c r="T604" s="50"/>
      <c r="U604" s="50"/>
      <c r="V604" s="50"/>
      <c r="DG604" s="555"/>
      <c r="DH604" s="175"/>
      <c r="DI604" s="1049"/>
      <c r="DJ604" s="1127"/>
    </row>
    <row r="605" spans="1:114" hidden="1" outlineLevel="1" x14ac:dyDescent="0.25">
      <c r="A605" s="442"/>
      <c r="C605" s="553"/>
      <c r="D605" s="100"/>
      <c r="E605" s="100"/>
      <c r="G605" s="100"/>
      <c r="H605" s="49"/>
      <c r="T605" s="50"/>
      <c r="U605" s="50"/>
      <c r="V605" s="50"/>
      <c r="DG605" s="555"/>
      <c r="DH605" s="175"/>
      <c r="DI605" s="1049"/>
      <c r="DJ605" s="1127"/>
    </row>
    <row r="606" spans="1:114" hidden="1" outlineLevel="1" x14ac:dyDescent="0.25">
      <c r="A606" s="442"/>
      <c r="C606" s="553"/>
      <c r="D606" s="100"/>
      <c r="E606" s="100"/>
      <c r="G606" s="100"/>
      <c r="H606" s="49"/>
      <c r="T606" s="50"/>
      <c r="U606" s="50"/>
      <c r="V606" s="50"/>
      <c r="DG606" s="555"/>
      <c r="DH606" s="175"/>
      <c r="DI606" s="1049"/>
      <c r="DJ606" s="1127"/>
    </row>
    <row r="607" spans="1:114" hidden="1" outlineLevel="1" x14ac:dyDescent="0.25">
      <c r="A607" s="442"/>
      <c r="C607" s="553"/>
      <c r="D607" s="100"/>
      <c r="E607" s="100"/>
      <c r="G607" s="100"/>
      <c r="H607" s="49"/>
      <c r="T607" s="50"/>
      <c r="U607" s="50"/>
      <c r="V607" s="50"/>
      <c r="DG607" s="555"/>
      <c r="DH607" s="175"/>
      <c r="DI607" s="1049"/>
      <c r="DJ607" s="1127"/>
    </row>
    <row r="608" spans="1:114" hidden="1" outlineLevel="1" x14ac:dyDescent="0.25">
      <c r="A608" s="442"/>
      <c r="C608" s="553"/>
      <c r="D608" s="100"/>
      <c r="E608" s="100"/>
      <c r="G608" s="100"/>
      <c r="H608" s="49"/>
      <c r="P608" s="143"/>
      <c r="T608" s="50"/>
      <c r="U608" s="50"/>
      <c r="V608" s="50"/>
      <c r="DG608" s="555"/>
      <c r="DH608" s="175"/>
      <c r="DI608" s="1049"/>
      <c r="DJ608" s="1127"/>
    </row>
    <row r="609" spans="1:114" hidden="1" outlineLevel="1" x14ac:dyDescent="0.25">
      <c r="A609" s="442"/>
      <c r="C609" s="553"/>
      <c r="D609" s="100"/>
      <c r="E609" s="100"/>
      <c r="G609" s="100"/>
      <c r="H609" s="49"/>
      <c r="I609" s="49"/>
      <c r="J609" s="49"/>
      <c r="K609" s="49"/>
      <c r="L609" s="49"/>
      <c r="M609" s="49"/>
      <c r="T609" s="50"/>
      <c r="U609" s="50"/>
      <c r="V609" s="50"/>
      <c r="DG609" s="555"/>
      <c r="DH609" s="175"/>
      <c r="DI609" s="1049"/>
      <c r="DJ609" s="1127"/>
    </row>
    <row r="610" spans="1:114" ht="30" hidden="1" outlineLevel="1" x14ac:dyDescent="0.25">
      <c r="A610" s="442"/>
      <c r="C610" s="553"/>
      <c r="D610" s="1373" t="s">
        <v>712</v>
      </c>
      <c r="E610" s="1373" t="s">
        <v>608</v>
      </c>
      <c r="F610" s="2108" t="s">
        <v>609</v>
      </c>
      <c r="G610" s="2108"/>
      <c r="H610" s="2108"/>
      <c r="I610" s="1300" t="s">
        <v>42</v>
      </c>
      <c r="J610" s="1300" t="s">
        <v>610</v>
      </c>
      <c r="K610" s="1300" t="s">
        <v>1004</v>
      </c>
      <c r="L610" s="1300" t="s">
        <v>1005</v>
      </c>
      <c r="Q610" s="1663" t="str">
        <f>B572</f>
        <v>Ground Source Heat Pumps</v>
      </c>
      <c r="T610"/>
      <c r="U610" s="50"/>
      <c r="V610" s="165" t="s">
        <v>52</v>
      </c>
      <c r="W610" s="649">
        <v>43252</v>
      </c>
      <c r="X610" s="649" t="e">
        <f>#REF!</f>
        <v>#REF!</v>
      </c>
      <c r="Y610" s="649" t="e">
        <f>#REF!</f>
        <v>#REF!</v>
      </c>
      <c r="Z610" s="649" t="e">
        <f>#REF!</f>
        <v>#REF!</v>
      </c>
      <c r="AA610" s="649" t="e">
        <f>#REF!</f>
        <v>#REF!</v>
      </c>
      <c r="AB610" s="649" t="e">
        <f>#REF!</f>
        <v>#REF!</v>
      </c>
      <c r="AC610" s="649" t="e">
        <f>#REF!</f>
        <v>#REF!</v>
      </c>
      <c r="AD610" s="649" t="e">
        <f>#REF!</f>
        <v>#REF!</v>
      </c>
      <c r="AE610" s="649" t="e">
        <f>#REF!</f>
        <v>#REF!</v>
      </c>
      <c r="AF610" s="649" t="e">
        <f>#REF!</f>
        <v>#REF!</v>
      </c>
      <c r="AG610" s="649" t="e">
        <f>#REF!</f>
        <v>#REF!</v>
      </c>
      <c r="DG610" s="555"/>
      <c r="DH610" s="175"/>
      <c r="DI610" s="1049"/>
      <c r="DJ610" s="1127"/>
    </row>
    <row r="611" spans="1:114" hidden="1" outlineLevel="1" x14ac:dyDescent="0.25">
      <c r="A611" s="442"/>
      <c r="C611" s="553"/>
      <c r="D611" s="2179" t="s">
        <v>1143</v>
      </c>
      <c r="E611" s="2179" t="s">
        <v>1194</v>
      </c>
      <c r="F611" s="2176" t="str">
        <f>$E$576</f>
        <v>GSHP-EER23-Replace_CAC_ElectricHeat_ROF_SF</v>
      </c>
      <c r="G611" s="2176"/>
      <c r="H611" s="2176"/>
      <c r="I611" s="1326"/>
      <c r="J611" s="1589">
        <v>47729.729729729726</v>
      </c>
      <c r="K611" s="53">
        <f t="shared" ref="K611:K614" si="113">J611/12000</f>
        <v>3.977477477477477</v>
      </c>
      <c r="L611" s="2180" t="s">
        <v>1195</v>
      </c>
      <c r="P611" s="1333"/>
      <c r="T611"/>
      <c r="U611" s="50"/>
      <c r="V611" s="2179" t="s">
        <v>1143</v>
      </c>
      <c r="W611" s="1326">
        <v>49199.999999999993</v>
      </c>
      <c r="X611" s="794">
        <f>3.99*12000</f>
        <v>47880</v>
      </c>
      <c r="Y611" s="794">
        <f>3.98*12000</f>
        <v>47760</v>
      </c>
      <c r="Z611" s="1326">
        <f>3.98*12000</f>
        <v>47760</v>
      </c>
      <c r="AA611" s="1326">
        <f>3.98*12000</f>
        <v>47760</v>
      </c>
      <c r="AB611" s="703">
        <v>49745.454545454544</v>
      </c>
      <c r="AC611" s="703">
        <v>46600</v>
      </c>
      <c r="AD611" s="703">
        <v>47729.729729729726</v>
      </c>
      <c r="AE611" s="1002">
        <v>47729.729729729726</v>
      </c>
      <c r="AF611" s="258">
        <f t="shared" ref="AF611:AF642" si="114">IF(J611&lt;&gt;"",J611,"")</f>
        <v>47729.729729729726</v>
      </c>
      <c r="AG611" s="1326"/>
      <c r="DG611" s="555"/>
      <c r="DH611" s="175"/>
      <c r="DI611" s="1049"/>
      <c r="DJ611" s="1127"/>
    </row>
    <row r="612" spans="1:114" hidden="1" outlineLevel="1" x14ac:dyDescent="0.25">
      <c r="A612" s="442"/>
      <c r="C612" s="553"/>
      <c r="D612" s="2179"/>
      <c r="E612" s="2179"/>
      <c r="F612" s="2176" t="str">
        <f>$E$578</f>
        <v>GSHP-EER23-Replace_CAC_ElectricHeat_ER1_SF</v>
      </c>
      <c r="G612" s="2176"/>
      <c r="H612" s="2176"/>
      <c r="I612" s="1326"/>
      <c r="J612" s="1589">
        <v>46438.356164383564</v>
      </c>
      <c r="K612" s="53">
        <f t="shared" si="113"/>
        <v>3.8698630136986303</v>
      </c>
      <c r="L612" s="2180"/>
      <c r="P612" s="1333"/>
      <c r="R612" s="1897" t="s">
        <v>1196</v>
      </c>
      <c r="S612" s="1896">
        <v>3957</v>
      </c>
      <c r="T612"/>
      <c r="U612" s="50"/>
      <c r="V612" s="2179"/>
      <c r="W612" s="1326">
        <v>49199.999999999993</v>
      </c>
      <c r="X612" s="794">
        <f>3.99*12000</f>
        <v>47880</v>
      </c>
      <c r="Y612" s="794">
        <f t="shared" ref="Y612:AA613" si="115">3.86*12000</f>
        <v>46320</v>
      </c>
      <c r="Z612" s="1326">
        <f t="shared" si="115"/>
        <v>46320</v>
      </c>
      <c r="AA612" s="1326">
        <f t="shared" si="115"/>
        <v>46320</v>
      </c>
      <c r="AB612" s="703">
        <v>45750</v>
      </c>
      <c r="AC612" s="703">
        <v>48705.882352941175</v>
      </c>
      <c r="AD612" s="703">
        <v>46438.356164383564</v>
      </c>
      <c r="AE612" s="1002">
        <v>46438.356164383564</v>
      </c>
      <c r="AF612" s="258">
        <f t="shared" si="114"/>
        <v>46438.356164383564</v>
      </c>
      <c r="AG612" s="1326"/>
      <c r="DG612" s="555"/>
      <c r="DH612" s="175"/>
      <c r="DI612" s="1049"/>
      <c r="DJ612" s="1127"/>
    </row>
    <row r="613" spans="1:114" hidden="1" outlineLevel="1" x14ac:dyDescent="0.25">
      <c r="A613" s="442"/>
      <c r="C613" s="553"/>
      <c r="D613" s="2179"/>
      <c r="E613" s="2179"/>
      <c r="F613" s="2176" t="str">
        <f>$E$580</f>
        <v>GSHP-EER23-Replace_CAC_ElectricHeat_ER2_SF</v>
      </c>
      <c r="G613" s="2176"/>
      <c r="H613" s="2176"/>
      <c r="I613" s="1326"/>
      <c r="J613" s="1603">
        <f>J612</f>
        <v>46438.356164383564</v>
      </c>
      <c r="K613" s="53">
        <f t="shared" si="113"/>
        <v>3.8698630136986303</v>
      </c>
      <c r="L613" s="2180"/>
      <c r="P613" s="545"/>
      <c r="T613"/>
      <c r="U613" s="50"/>
      <c r="V613" s="2179"/>
      <c r="W613" s="1326">
        <v>49199.999999999993</v>
      </c>
      <c r="X613" s="794">
        <f>3.99*12000</f>
        <v>47880</v>
      </c>
      <c r="Y613" s="794">
        <f t="shared" si="115"/>
        <v>46320</v>
      </c>
      <c r="Z613" s="1326">
        <f t="shared" si="115"/>
        <v>46320</v>
      </c>
      <c r="AA613" s="1326">
        <f t="shared" si="115"/>
        <v>46320</v>
      </c>
      <c r="AB613" s="703">
        <v>45750</v>
      </c>
      <c r="AC613" s="703">
        <v>48705.882352941175</v>
      </c>
      <c r="AD613" s="703">
        <v>46438.356164383564</v>
      </c>
      <c r="AE613" s="767">
        <v>46438.356164383564</v>
      </c>
      <c r="AF613" s="258">
        <f t="shared" si="114"/>
        <v>46438.356164383564</v>
      </c>
      <c r="AG613" s="1326"/>
      <c r="DG613" s="555"/>
      <c r="DH613" s="175"/>
      <c r="DI613" s="1049"/>
      <c r="DJ613" s="1127"/>
    </row>
    <row r="614" spans="1:114" hidden="1" outlineLevel="1" x14ac:dyDescent="0.25">
      <c r="A614" s="442"/>
      <c r="C614" s="553"/>
      <c r="D614" s="2179"/>
      <c r="E614" s="2179"/>
      <c r="F614" s="2178" t="str">
        <f>$E$582</f>
        <v>GSHP-EER23-Replace_ASHP_ER1_SF</v>
      </c>
      <c r="G614" s="2178"/>
      <c r="H614" s="2178"/>
      <c r="I614" s="1326"/>
      <c r="J614" s="1603">
        <f>J612</f>
        <v>46438.356164383564</v>
      </c>
      <c r="K614" s="53">
        <f t="shared" si="113"/>
        <v>3.8698630136986303</v>
      </c>
      <c r="L614" s="2180"/>
      <c r="P614" s="545"/>
      <c r="T614"/>
      <c r="U614" s="50"/>
      <c r="V614" s="2179"/>
      <c r="W614" s="1326"/>
      <c r="X614" s="794"/>
      <c r="Y614" s="794"/>
      <c r="Z614" s="1326"/>
      <c r="AA614" s="1326"/>
      <c r="AB614" s="703">
        <v>51319.148936170212</v>
      </c>
      <c r="AC614" s="703">
        <v>48885.24590163934</v>
      </c>
      <c r="AD614" s="703">
        <v>46438.356164383564</v>
      </c>
      <c r="AE614" s="767">
        <v>46438.356164383564</v>
      </c>
      <c r="AF614" s="258">
        <f t="shared" si="114"/>
        <v>46438.356164383564</v>
      </c>
      <c r="AG614" s="1326"/>
      <c r="DG614" s="555"/>
      <c r="DH614" s="175"/>
      <c r="DI614" s="1049"/>
      <c r="DJ614" s="1127"/>
    </row>
    <row r="615" spans="1:114" ht="15" hidden="1" customHeight="1" outlineLevel="1" x14ac:dyDescent="0.25">
      <c r="A615" s="442"/>
      <c r="C615" s="553"/>
      <c r="D615" s="2179"/>
      <c r="E615" s="2179"/>
      <c r="F615" s="2178" t="str">
        <f>$E$584</f>
        <v>GSHP-EER23-Replace_ASHP_ER2_SF</v>
      </c>
      <c r="G615" s="2178"/>
      <c r="H615" s="2178"/>
      <c r="I615" s="1326"/>
      <c r="J615" s="1603">
        <f>J612</f>
        <v>46438.356164383564</v>
      </c>
      <c r="K615" s="53">
        <f>J615/12000</f>
        <v>3.8698630136986303</v>
      </c>
      <c r="L615" s="2180"/>
      <c r="P615" s="545"/>
      <c r="T615"/>
      <c r="U615" s="50"/>
      <c r="V615" s="2179"/>
      <c r="W615" s="1326">
        <v>49199.999999999993</v>
      </c>
      <c r="X615" s="794">
        <f>3.99*12000</f>
        <v>47880</v>
      </c>
      <c r="Y615" s="794">
        <f>4.2*12000</f>
        <v>50400</v>
      </c>
      <c r="Z615" s="1326">
        <f>4.2*12000</f>
        <v>50400</v>
      </c>
      <c r="AA615" s="1326">
        <f>4.2*12000</f>
        <v>50400</v>
      </c>
      <c r="AB615" s="703">
        <v>51319.148936170212</v>
      </c>
      <c r="AC615" s="703">
        <v>48885.24590163934</v>
      </c>
      <c r="AD615" s="703">
        <v>46438.356164383564</v>
      </c>
      <c r="AE615" s="767">
        <v>46438.356164383564</v>
      </c>
      <c r="AF615" s="258">
        <f t="shared" si="114"/>
        <v>46438.356164383564</v>
      </c>
      <c r="AG615" s="1326"/>
      <c r="DG615" s="555"/>
      <c r="DH615" s="175"/>
      <c r="DI615" s="1049"/>
      <c r="DJ615" s="1127"/>
    </row>
    <row r="616" spans="1:114" ht="15.75" hidden="1" customHeight="1" outlineLevel="1" x14ac:dyDescent="0.25">
      <c r="A616" s="442"/>
      <c r="C616" s="553"/>
      <c r="D616" s="2179"/>
      <c r="E616" s="2179"/>
      <c r="F616" s="2178" t="str">
        <f>$E$586</f>
        <v>GSHP-EER23_ROF_SF</v>
      </c>
      <c r="G616" s="2178"/>
      <c r="H616" s="2178"/>
      <c r="I616" s="1326"/>
      <c r="J616" s="1603">
        <f>J611</f>
        <v>47729.729729729726</v>
      </c>
      <c r="K616" s="53">
        <f>J616/12000</f>
        <v>3.977477477477477</v>
      </c>
      <c r="L616" s="2180"/>
      <c r="P616" s="545"/>
      <c r="T616"/>
      <c r="U616" s="50"/>
      <c r="V616" s="2179"/>
      <c r="W616" s="1326">
        <v>52800.000000000007</v>
      </c>
      <c r="X616" s="794">
        <f>3.99*12000</f>
        <v>47880</v>
      </c>
      <c r="Y616" s="794">
        <f>3.93*12000</f>
        <v>47160</v>
      </c>
      <c r="Z616" s="1326">
        <f>3.93*12000</f>
        <v>47160</v>
      </c>
      <c r="AA616" s="1326">
        <f>3.93*12000</f>
        <v>47160</v>
      </c>
      <c r="AB616" s="703">
        <v>51652.173913043473</v>
      </c>
      <c r="AC616" s="703">
        <v>49977.272727272728</v>
      </c>
      <c r="AD616" s="703">
        <v>47729.729729729726</v>
      </c>
      <c r="AE616" s="767">
        <v>47729.729729729726</v>
      </c>
      <c r="AF616" s="258">
        <f t="shared" si="114"/>
        <v>47729.729729729726</v>
      </c>
      <c r="AG616" s="1326"/>
      <c r="DG616" s="555"/>
      <c r="DH616" s="175"/>
      <c r="DI616" s="1049"/>
      <c r="DJ616" s="1127"/>
    </row>
    <row r="617" spans="1:114" s="39" customFormat="1" hidden="1" outlineLevel="1" x14ac:dyDescent="0.25">
      <c r="A617" s="442"/>
      <c r="C617" s="553"/>
      <c r="D617" s="2179"/>
      <c r="E617" s="2179"/>
      <c r="F617" s="2178" t="str">
        <f>$E$587</f>
        <v>GSHP-EER23-Replace_GSHP_ER1_SF</v>
      </c>
      <c r="G617" s="2178"/>
      <c r="H617" s="2178"/>
      <c r="I617" s="1326"/>
      <c r="J617" s="1603">
        <f>J615</f>
        <v>46438.356164383564</v>
      </c>
      <c r="K617" s="53">
        <f t="shared" ref="K617:K618" si="116">J617/12000</f>
        <v>3.8698630136986303</v>
      </c>
      <c r="L617" s="2180"/>
      <c r="M617" s="50"/>
      <c r="N617" s="50"/>
      <c r="O617" s="50"/>
      <c r="P617" s="545"/>
      <c r="Q617" s="50"/>
      <c r="R617" s="50"/>
      <c r="S617" s="50"/>
      <c r="T617" s="196"/>
      <c r="V617" s="2179"/>
      <c r="W617" s="794"/>
      <c r="X617" s="794"/>
      <c r="Y617" s="794"/>
      <c r="Z617" s="794"/>
      <c r="AA617" s="794"/>
      <c r="AB617" s="703"/>
      <c r="AC617" s="703"/>
      <c r="AD617" s="703"/>
      <c r="AE617" s="703"/>
      <c r="AF617" s="258">
        <f t="shared" si="114"/>
        <v>46438.356164383564</v>
      </c>
      <c r="AG617" s="794"/>
      <c r="DG617" s="1490"/>
      <c r="DH617" s="1491"/>
      <c r="DI617" s="1063"/>
      <c r="DJ617" s="1127"/>
    </row>
    <row r="618" spans="1:114" s="39" customFormat="1" hidden="1" outlineLevel="1" x14ac:dyDescent="0.25">
      <c r="A618" s="442"/>
      <c r="C618" s="553"/>
      <c r="D618" s="2179"/>
      <c r="E618" s="2179"/>
      <c r="F618" s="2178" t="str">
        <f>$E$589</f>
        <v>GSHP-EER23-Replace_GSHP_ER2_SF</v>
      </c>
      <c r="G618" s="2178"/>
      <c r="H618" s="2178"/>
      <c r="I618" s="1326"/>
      <c r="J618" s="1603">
        <f>J615</f>
        <v>46438.356164383564</v>
      </c>
      <c r="K618" s="53">
        <f t="shared" si="116"/>
        <v>3.8698630136986303</v>
      </c>
      <c r="L618" s="2180"/>
      <c r="M618" s="50"/>
      <c r="N618" s="50"/>
      <c r="O618" s="50"/>
      <c r="P618" s="545"/>
      <c r="Q618" s="50"/>
      <c r="R618" s="50"/>
      <c r="S618" s="2175" t="s">
        <v>1080</v>
      </c>
      <c r="T618" s="2175"/>
      <c r="V618" s="2179"/>
      <c r="W618" s="794"/>
      <c r="X618" s="794"/>
      <c r="Y618" s="794"/>
      <c r="Z618" s="794"/>
      <c r="AA618" s="794"/>
      <c r="AB618" s="703"/>
      <c r="AC618" s="703"/>
      <c r="AD618" s="703"/>
      <c r="AE618" s="703"/>
      <c r="AF618" s="258">
        <f t="shared" si="114"/>
        <v>46438.356164383564</v>
      </c>
      <c r="AG618" s="794"/>
      <c r="DG618" s="1490"/>
      <c r="DH618" s="1491"/>
      <c r="DI618" s="1063"/>
      <c r="DJ618" s="1127"/>
    </row>
    <row r="619" spans="1:114" ht="15" hidden="1" customHeight="1" outlineLevel="1" x14ac:dyDescent="0.25">
      <c r="A619" s="442"/>
      <c r="C619" s="553"/>
      <c r="D619" s="2179" t="s">
        <v>1146</v>
      </c>
      <c r="E619" s="2179" t="s">
        <v>1147</v>
      </c>
      <c r="F619" s="2176" t="str">
        <f>$E$576</f>
        <v>GSHP-EER23-Replace_CAC_ElectricHeat_ROF_SF</v>
      </c>
      <c r="G619" s="2176"/>
      <c r="H619" s="2176"/>
      <c r="I619" s="1326"/>
      <c r="J619" s="1620">
        <v>1496</v>
      </c>
      <c r="K619" s="53"/>
      <c r="L619" s="2180" t="s">
        <v>1197</v>
      </c>
      <c r="P619" s="545"/>
      <c r="Q619" s="1897" t="s">
        <v>1081</v>
      </c>
      <c r="R619" s="1897" t="s">
        <v>1082</v>
      </c>
      <c r="S619" s="1897" t="s">
        <v>1083</v>
      </c>
      <c r="T619" s="1499" t="s">
        <v>1084</v>
      </c>
      <c r="U619" s="50"/>
      <c r="V619" s="2179" t="s">
        <v>1146</v>
      </c>
      <c r="W619" s="1326">
        <v>2009</v>
      </c>
      <c r="X619" s="1326">
        <v>2009</v>
      </c>
      <c r="Y619" s="794">
        <v>1496</v>
      </c>
      <c r="Z619" s="1326">
        <v>1496</v>
      </c>
      <c r="AA619" s="1326">
        <v>1496</v>
      </c>
      <c r="AB619" s="1326">
        <v>1496</v>
      </c>
      <c r="AC619" s="1326">
        <v>1496</v>
      </c>
      <c r="AD619" s="1326">
        <v>1496</v>
      </c>
      <c r="AE619" s="1326">
        <v>1496</v>
      </c>
      <c r="AF619" s="258">
        <f t="shared" si="114"/>
        <v>1496</v>
      </c>
      <c r="AG619" s="1326"/>
      <c r="DG619" s="555"/>
      <c r="DH619" s="175"/>
      <c r="DI619" s="1049"/>
      <c r="DJ619" s="1127"/>
    </row>
    <row r="620" spans="1:114" ht="15" hidden="1" customHeight="1" outlineLevel="1" x14ac:dyDescent="0.25">
      <c r="A620" s="442"/>
      <c r="C620" s="553"/>
      <c r="D620" s="2179"/>
      <c r="E620" s="2179"/>
      <c r="F620" s="2176" t="str">
        <f>$E$578</f>
        <v>GSHP-EER23-Replace_CAC_ElectricHeat_ER1_SF</v>
      </c>
      <c r="G620" s="2176"/>
      <c r="H620" s="2176"/>
      <c r="I620" s="1326"/>
      <c r="J620" s="1620">
        <v>1496</v>
      </c>
      <c r="K620" s="53"/>
      <c r="L620" s="2180"/>
      <c r="P620" s="545"/>
      <c r="Q620" s="1307" t="s">
        <v>1152</v>
      </c>
      <c r="R620" s="1307" t="s">
        <v>1152</v>
      </c>
      <c r="S620" s="1307">
        <v>6865</v>
      </c>
      <c r="T620" s="68">
        <v>600</v>
      </c>
      <c r="U620" s="50"/>
      <c r="V620" s="2179"/>
      <c r="W620" s="1326">
        <v>2009</v>
      </c>
      <c r="X620" s="1326">
        <v>2009</v>
      </c>
      <c r="Y620" s="794">
        <v>1496</v>
      </c>
      <c r="Z620" s="1326">
        <v>1496</v>
      </c>
      <c r="AA620" s="1326">
        <v>1496</v>
      </c>
      <c r="AB620" s="1326">
        <v>1496</v>
      </c>
      <c r="AC620" s="1326">
        <v>1496</v>
      </c>
      <c r="AD620" s="1326">
        <v>1496</v>
      </c>
      <c r="AE620" s="1326">
        <v>1496</v>
      </c>
      <c r="AF620" s="258">
        <f t="shared" si="114"/>
        <v>1496</v>
      </c>
      <c r="AG620" s="1326"/>
      <c r="DG620" s="555"/>
      <c r="DH620" s="175"/>
      <c r="DI620" s="1049"/>
      <c r="DJ620" s="1127"/>
    </row>
    <row r="621" spans="1:114" ht="15" hidden="1" customHeight="1" outlineLevel="1" x14ac:dyDescent="0.25">
      <c r="A621" s="442"/>
      <c r="C621" s="553"/>
      <c r="D621" s="2179"/>
      <c r="E621" s="2179"/>
      <c r="F621" s="2176" t="str">
        <f>$E$580</f>
        <v>GSHP-EER23-Replace_CAC_ElectricHeat_ER2_SF</v>
      </c>
      <c r="G621" s="2176"/>
      <c r="H621" s="2176"/>
      <c r="I621" s="1326"/>
      <c r="J621" s="1618">
        <v>1496</v>
      </c>
      <c r="K621" s="53"/>
      <c r="L621" s="2180"/>
      <c r="P621" s="545"/>
      <c r="Q621" s="1307" t="s">
        <v>1085</v>
      </c>
      <c r="R621" s="1307" t="s">
        <v>1085</v>
      </c>
      <c r="S621" s="1307">
        <f>2011+3338</f>
        <v>5349</v>
      </c>
      <c r="T621" s="68"/>
      <c r="U621" s="50"/>
      <c r="V621" s="2179"/>
      <c r="W621" s="1326">
        <v>2009</v>
      </c>
      <c r="X621" s="1326">
        <v>2009</v>
      </c>
      <c r="Y621" s="794">
        <v>1496</v>
      </c>
      <c r="Z621" s="1326">
        <v>1496</v>
      </c>
      <c r="AA621" s="1326">
        <v>1496</v>
      </c>
      <c r="AB621" s="1326">
        <v>1496</v>
      </c>
      <c r="AC621" s="1326">
        <v>1496</v>
      </c>
      <c r="AD621" s="1326">
        <v>1496</v>
      </c>
      <c r="AE621" s="1326">
        <v>1496</v>
      </c>
      <c r="AF621" s="258">
        <f t="shared" si="114"/>
        <v>1496</v>
      </c>
      <c r="AG621" s="1326"/>
      <c r="DG621" s="555"/>
      <c r="DH621" s="175"/>
      <c r="DI621" s="1049"/>
      <c r="DJ621" s="1127"/>
    </row>
    <row r="622" spans="1:114" ht="15" hidden="1" customHeight="1" outlineLevel="1" x14ac:dyDescent="0.25">
      <c r="A622" s="442"/>
      <c r="C622" s="553"/>
      <c r="D622" s="2179"/>
      <c r="E622" s="2179"/>
      <c r="F622" s="2178" t="str">
        <f>$E$582</f>
        <v>GSHP-EER23-Replace_ASHP_ER1_SF</v>
      </c>
      <c r="G622" s="2178"/>
      <c r="H622" s="2178"/>
      <c r="I622" s="1326"/>
      <c r="J622" s="1618">
        <v>1496</v>
      </c>
      <c r="K622" s="53"/>
      <c r="L622" s="2180"/>
      <c r="P622" s="545"/>
      <c r="Q622" s="1307" t="s">
        <v>1157</v>
      </c>
      <c r="R622" s="1307" t="s">
        <v>1157</v>
      </c>
      <c r="S622" s="1307">
        <v>7527</v>
      </c>
      <c r="T622" s="68">
        <v>688</v>
      </c>
      <c r="U622" s="50"/>
      <c r="V622" s="2179"/>
      <c r="W622" s="1326"/>
      <c r="X622" s="1326"/>
      <c r="Y622" s="794"/>
      <c r="Z622" s="1326"/>
      <c r="AA622" s="1326"/>
      <c r="AB622" s="794">
        <v>1496</v>
      </c>
      <c r="AC622" s="1326">
        <v>1496</v>
      </c>
      <c r="AD622" s="1326">
        <v>1496</v>
      </c>
      <c r="AE622" s="1326">
        <v>1496</v>
      </c>
      <c r="AF622" s="258">
        <f t="shared" si="114"/>
        <v>1496</v>
      </c>
      <c r="AG622" s="1326"/>
      <c r="DG622" s="555"/>
      <c r="DH622" s="175"/>
      <c r="DI622" s="1049"/>
      <c r="DJ622" s="1127"/>
    </row>
    <row r="623" spans="1:114" ht="15" hidden="1" customHeight="1" outlineLevel="1" x14ac:dyDescent="0.25">
      <c r="A623" s="442"/>
      <c r="C623" s="553"/>
      <c r="D623" s="2179"/>
      <c r="E623" s="2179"/>
      <c r="F623" s="2178" t="str">
        <f>$E$584</f>
        <v>GSHP-EER23-Replace_ASHP_ER2_SF</v>
      </c>
      <c r="G623" s="2178"/>
      <c r="H623" s="2178"/>
      <c r="I623" s="1326"/>
      <c r="J623" s="1618">
        <v>1496</v>
      </c>
      <c r="K623" s="53"/>
      <c r="L623" s="2180"/>
      <c r="P623" s="545"/>
      <c r="Q623" s="1307" t="s">
        <v>1091</v>
      </c>
      <c r="R623" s="1307" t="s">
        <v>1091</v>
      </c>
      <c r="S623" s="1307">
        <f>2296+3670</f>
        <v>5966</v>
      </c>
      <c r="T623" s="68"/>
      <c r="U623" s="50"/>
      <c r="V623" s="2179"/>
      <c r="W623" s="1326">
        <v>2009</v>
      </c>
      <c r="X623" s="1326">
        <v>2009</v>
      </c>
      <c r="Y623" s="794">
        <v>1496</v>
      </c>
      <c r="Z623" s="1326">
        <v>1496</v>
      </c>
      <c r="AA623" s="1326">
        <v>1496</v>
      </c>
      <c r="AB623" s="1326">
        <v>1496</v>
      </c>
      <c r="AC623" s="1326">
        <v>1496</v>
      </c>
      <c r="AD623" s="1326">
        <v>1496</v>
      </c>
      <c r="AE623" s="1326">
        <v>1496</v>
      </c>
      <c r="AF623" s="258">
        <f t="shared" si="114"/>
        <v>1496</v>
      </c>
      <c r="AG623" s="1326"/>
      <c r="DG623" s="555"/>
      <c r="DH623" s="175"/>
      <c r="DI623" s="1049"/>
      <c r="DJ623" s="1127"/>
    </row>
    <row r="624" spans="1:114" ht="15.75" hidden="1" customHeight="1" outlineLevel="1" x14ac:dyDescent="0.25">
      <c r="A624" s="442"/>
      <c r="C624" s="553"/>
      <c r="D624" s="2179"/>
      <c r="E624" s="2179"/>
      <c r="F624" s="2178" t="str">
        <f>$E$586</f>
        <v>GSHP-EER23_ROF_SF</v>
      </c>
      <c r="G624" s="2178"/>
      <c r="H624" s="2178"/>
      <c r="I624" s="1326"/>
      <c r="J624" s="1618">
        <v>1496</v>
      </c>
      <c r="K624" s="53"/>
      <c r="L624" s="2180"/>
      <c r="P624" s="545"/>
      <c r="T624" s="196"/>
      <c r="U624" s="50"/>
      <c r="V624" s="2179"/>
      <c r="W624" s="1326">
        <v>2009</v>
      </c>
      <c r="X624" s="1326">
        <v>2009</v>
      </c>
      <c r="Y624" s="794">
        <v>1496</v>
      </c>
      <c r="Z624" s="1326">
        <v>1496</v>
      </c>
      <c r="AA624" s="1326">
        <v>1496</v>
      </c>
      <c r="AB624" s="1326">
        <v>1496</v>
      </c>
      <c r="AC624" s="1326">
        <v>1496</v>
      </c>
      <c r="AD624" s="1326">
        <v>1496</v>
      </c>
      <c r="AE624" s="1326">
        <v>1496</v>
      </c>
      <c r="AF624" s="258">
        <f t="shared" si="114"/>
        <v>1496</v>
      </c>
      <c r="AG624" s="1326"/>
      <c r="DG624" s="555"/>
      <c r="DH624" s="175"/>
      <c r="DI624" s="1049"/>
      <c r="DJ624" s="1127"/>
    </row>
    <row r="625" spans="1:114" s="39" customFormat="1" hidden="1" outlineLevel="1" x14ac:dyDescent="0.25">
      <c r="A625" s="442"/>
      <c r="C625" s="553"/>
      <c r="D625" s="2179"/>
      <c r="E625" s="2179"/>
      <c r="F625" s="2178" t="str">
        <f>$E$587</f>
        <v>GSHP-EER23-Replace_GSHP_ER1_SF</v>
      </c>
      <c r="G625" s="2178"/>
      <c r="H625" s="2178"/>
      <c r="I625" s="1326"/>
      <c r="J625" s="1618">
        <v>1496</v>
      </c>
      <c r="K625" s="53"/>
      <c r="L625" s="2180"/>
      <c r="M625" s="50"/>
      <c r="N625" s="50"/>
      <c r="O625" s="50"/>
      <c r="P625" s="545"/>
      <c r="Q625" s="50"/>
      <c r="R625" s="1897" t="s">
        <v>1015</v>
      </c>
      <c r="S625" s="1897" t="s">
        <v>610</v>
      </c>
      <c r="T625" s="1499" t="s">
        <v>611</v>
      </c>
      <c r="V625" s="2179"/>
      <c r="W625" s="794"/>
      <c r="X625" s="794"/>
      <c r="Y625" s="794"/>
      <c r="Z625" s="794"/>
      <c r="AA625" s="794"/>
      <c r="AB625" s="794"/>
      <c r="AC625" s="794"/>
      <c r="AD625" s="794"/>
      <c r="AE625" s="794"/>
      <c r="AF625" s="258">
        <f t="shared" si="114"/>
        <v>1496</v>
      </c>
      <c r="AG625" s="794"/>
      <c r="DG625" s="1490"/>
      <c r="DH625" s="1491"/>
      <c r="DI625" s="1063"/>
      <c r="DJ625" s="1127"/>
    </row>
    <row r="626" spans="1:114" s="39" customFormat="1" hidden="1" outlineLevel="1" x14ac:dyDescent="0.25">
      <c r="A626" s="442"/>
      <c r="C626" s="553"/>
      <c r="D626" s="2179"/>
      <c r="E626" s="2179"/>
      <c r="F626" s="2178" t="str">
        <f>$E$589</f>
        <v>GSHP-EER23-Replace_GSHP_ER2_SF</v>
      </c>
      <c r="G626" s="2178"/>
      <c r="H626" s="2178"/>
      <c r="I626" s="1326"/>
      <c r="J626" s="1618">
        <v>1496</v>
      </c>
      <c r="K626" s="53"/>
      <c r="L626" s="2180"/>
      <c r="M626" s="50"/>
      <c r="N626" s="50"/>
      <c r="O626" s="50"/>
      <c r="P626" s="545"/>
      <c r="Q626" s="50"/>
      <c r="R626" s="1307" t="s">
        <v>1016</v>
      </c>
      <c r="S626" s="247">
        <v>2.3128228708516586E-2</v>
      </c>
      <c r="T626" s="68" t="s">
        <v>1017</v>
      </c>
      <c r="V626" s="2179"/>
      <c r="W626" s="794"/>
      <c r="X626" s="794"/>
      <c r="Y626" s="794"/>
      <c r="Z626" s="794"/>
      <c r="AA626" s="794"/>
      <c r="AB626" s="794"/>
      <c r="AC626" s="794"/>
      <c r="AD626" s="794"/>
      <c r="AE626" s="794"/>
      <c r="AF626" s="258">
        <f t="shared" si="114"/>
        <v>1496</v>
      </c>
      <c r="AG626" s="794"/>
      <c r="DG626" s="1490"/>
      <c r="DH626" s="1491"/>
      <c r="DI626" s="1063"/>
      <c r="DJ626" s="1127"/>
    </row>
    <row r="627" spans="1:114" ht="15" hidden="1" customHeight="1" outlineLevel="1" x14ac:dyDescent="0.25">
      <c r="A627" s="442"/>
      <c r="C627" s="553"/>
      <c r="D627" s="2179" t="s">
        <v>1149</v>
      </c>
      <c r="E627" s="2179" t="s">
        <v>1150</v>
      </c>
      <c r="F627" s="2176" t="str">
        <f>$E$576</f>
        <v>GSHP-EER23-Replace_CAC_ElectricHeat_ROF_SF</v>
      </c>
      <c r="G627" s="2176"/>
      <c r="H627" s="2176"/>
      <c r="I627" s="1326"/>
      <c r="J627" s="1616">
        <v>3.41</v>
      </c>
      <c r="K627" s="1371"/>
      <c r="L627" s="2210" t="s">
        <v>1198</v>
      </c>
      <c r="P627" s="545"/>
      <c r="R627" s="1307" t="s">
        <v>1018</v>
      </c>
      <c r="S627" s="1307">
        <v>6</v>
      </c>
      <c r="T627" s="68" t="s">
        <v>1019</v>
      </c>
      <c r="U627" s="50"/>
      <c r="V627" s="2216" t="s">
        <v>1149</v>
      </c>
      <c r="W627" s="1326">
        <v>3.41</v>
      </c>
      <c r="X627" s="1326">
        <v>3.41</v>
      </c>
      <c r="Y627" s="1326">
        <v>3.41</v>
      </c>
      <c r="Z627" s="1326">
        <v>3.41</v>
      </c>
      <c r="AA627" s="1326">
        <v>3.41</v>
      </c>
      <c r="AB627" s="1326">
        <v>3.41</v>
      </c>
      <c r="AC627" s="1326">
        <v>3.41</v>
      </c>
      <c r="AD627" s="1326">
        <v>3.41</v>
      </c>
      <c r="AE627" s="1326">
        <v>3.41</v>
      </c>
      <c r="AF627" s="258">
        <f t="shared" si="114"/>
        <v>3.41</v>
      </c>
      <c r="AG627" s="1326"/>
      <c r="DG627" s="555"/>
      <c r="DH627" s="175"/>
      <c r="DI627" s="1049"/>
      <c r="DJ627" s="1127"/>
    </row>
    <row r="628" spans="1:114" hidden="1" outlineLevel="1" x14ac:dyDescent="0.25">
      <c r="A628" s="442"/>
      <c r="C628" s="553"/>
      <c r="D628" s="2179"/>
      <c r="E628" s="2179"/>
      <c r="F628" s="2176" t="str">
        <f>$E$578</f>
        <v>GSHP-EER23-Replace_CAC_ElectricHeat_ER1_SF</v>
      </c>
      <c r="G628" s="2176"/>
      <c r="H628" s="2176"/>
      <c r="I628" s="1326"/>
      <c r="J628" s="1616">
        <v>3.41</v>
      </c>
      <c r="K628" s="1371"/>
      <c r="L628" s="2211"/>
      <c r="P628" s="61"/>
      <c r="R628" s="1307" t="s">
        <v>1020</v>
      </c>
      <c r="S628" s="189">
        <f>(1-S626)^(S627-1)</f>
        <v>0.88958571378558426</v>
      </c>
      <c r="T628" s="68" t="s">
        <v>1021</v>
      </c>
      <c r="U628" s="50"/>
      <c r="V628" s="2216"/>
      <c r="W628" s="1326">
        <v>3.41</v>
      </c>
      <c r="X628" s="1326">
        <v>3.41</v>
      </c>
      <c r="Y628" s="1326">
        <v>3.41</v>
      </c>
      <c r="Z628" s="1326">
        <v>3.41</v>
      </c>
      <c r="AA628" s="1326">
        <v>3.41</v>
      </c>
      <c r="AB628" s="1326">
        <v>3.41</v>
      </c>
      <c r="AC628" s="1326">
        <v>3.41</v>
      </c>
      <c r="AD628" s="1326">
        <v>3.41</v>
      </c>
      <c r="AE628" s="1326">
        <v>3.41</v>
      </c>
      <c r="AF628" s="258">
        <f t="shared" si="114"/>
        <v>3.41</v>
      </c>
      <c r="AG628" s="1326"/>
      <c r="DG628" s="555"/>
      <c r="DH628" s="175"/>
      <c r="DI628" s="1049"/>
      <c r="DJ628" s="1127"/>
    </row>
    <row r="629" spans="1:114" hidden="1" outlineLevel="1" x14ac:dyDescent="0.25">
      <c r="A629" s="442"/>
      <c r="C629" s="553"/>
      <c r="D629" s="2179"/>
      <c r="E629" s="2179"/>
      <c r="F629" s="2176" t="str">
        <f>$E$580</f>
        <v>GSHP-EER23-Replace_CAC_ElectricHeat_ER2_SF</v>
      </c>
      <c r="G629" s="2176"/>
      <c r="H629" s="2176"/>
      <c r="I629" s="1326"/>
      <c r="J629" s="1616">
        <v>3.41</v>
      </c>
      <c r="K629" s="1371"/>
      <c r="L629" s="2211"/>
      <c r="T629" s="50"/>
      <c r="U629" s="50"/>
      <c r="V629" s="2216"/>
      <c r="W629" s="1326">
        <v>3.41</v>
      </c>
      <c r="X629" s="1326">
        <v>3.41</v>
      </c>
      <c r="Y629" s="1326">
        <v>3.41</v>
      </c>
      <c r="Z629" s="1326">
        <v>3.41</v>
      </c>
      <c r="AA629" s="1326">
        <v>3.41</v>
      </c>
      <c r="AB629" s="1326">
        <v>3.41</v>
      </c>
      <c r="AC629" s="1326">
        <v>3.41</v>
      </c>
      <c r="AD629" s="1326">
        <v>3.41</v>
      </c>
      <c r="AE629" s="1326">
        <v>3.41</v>
      </c>
      <c r="AF629" s="258">
        <f t="shared" si="114"/>
        <v>3.41</v>
      </c>
      <c r="AG629" s="1326"/>
      <c r="DG629" s="555"/>
      <c r="DH629" s="175"/>
      <c r="DI629" s="1049"/>
      <c r="DJ629" s="1127"/>
    </row>
    <row r="630" spans="1:114" hidden="1" outlineLevel="1" x14ac:dyDescent="0.25">
      <c r="A630" s="442"/>
      <c r="C630" s="553"/>
      <c r="D630" s="2179"/>
      <c r="E630" s="2179"/>
      <c r="F630" s="2178" t="str">
        <f>$E$582</f>
        <v>GSHP-EER23-Replace_ASHP_ER1_SF</v>
      </c>
      <c r="G630" s="2178"/>
      <c r="H630" s="2178"/>
      <c r="I630" s="1326"/>
      <c r="J630" s="1616">
        <v>7.5</v>
      </c>
      <c r="K630" s="1371"/>
      <c r="L630" s="2211"/>
      <c r="P630" s="1333"/>
      <c r="T630" s="50"/>
      <c r="U630" s="50"/>
      <c r="V630" s="2216"/>
      <c r="W630" s="1326"/>
      <c r="X630" s="794">
        <v>9.5500000000000007</v>
      </c>
      <c r="Y630" s="1326">
        <v>9.5500000000000007</v>
      </c>
      <c r="Z630" s="1326">
        <v>9.5500000000000007</v>
      </c>
      <c r="AA630" s="1326">
        <v>9.5500000000000007</v>
      </c>
      <c r="AB630" s="1326">
        <v>9.5500000000000007</v>
      </c>
      <c r="AC630" s="1326">
        <v>9.5500000000000007</v>
      </c>
      <c r="AD630" s="1326">
        <v>9.5500000000000007</v>
      </c>
      <c r="AE630" s="1326">
        <v>9.5500000000000007</v>
      </c>
      <c r="AF630" s="258">
        <f t="shared" si="114"/>
        <v>7.5</v>
      </c>
      <c r="AG630" s="1326"/>
      <c r="DG630" s="555"/>
      <c r="DH630" s="175"/>
      <c r="DI630" s="1049"/>
      <c r="DJ630" s="1127"/>
    </row>
    <row r="631" spans="1:114" hidden="1" outlineLevel="1" x14ac:dyDescent="0.25">
      <c r="A631" s="442"/>
      <c r="C631" s="553"/>
      <c r="D631" s="2179"/>
      <c r="E631" s="2179"/>
      <c r="F631" s="2176" t="str">
        <f>$E$584</f>
        <v>GSHP-EER23-Replace_ASHP_ER2_SF</v>
      </c>
      <c r="G631" s="2176"/>
      <c r="H631" s="2176"/>
      <c r="I631" s="1326"/>
      <c r="J631" s="1616">
        <v>7.5</v>
      </c>
      <c r="K631" s="1371"/>
      <c r="L631" s="2211"/>
      <c r="P631" s="634"/>
      <c r="Q631" s="49"/>
      <c r="R631" s="49"/>
      <c r="T631" s="50"/>
      <c r="U631" s="50"/>
      <c r="V631" s="2216"/>
      <c r="W631" s="1326">
        <v>3.41</v>
      </c>
      <c r="X631" s="794">
        <v>10.58</v>
      </c>
      <c r="Y631" s="1326">
        <v>10.58</v>
      </c>
      <c r="Z631" s="1326">
        <v>10.58</v>
      </c>
      <c r="AA631" s="1326">
        <v>10.58</v>
      </c>
      <c r="AB631" s="1326">
        <v>10.58</v>
      </c>
      <c r="AC631" s="1326">
        <v>10.58</v>
      </c>
      <c r="AD631" s="1326">
        <v>10.58</v>
      </c>
      <c r="AE631" s="1326">
        <v>10.58</v>
      </c>
      <c r="AF631" s="258">
        <f t="shared" si="114"/>
        <v>7.5</v>
      </c>
      <c r="AG631" s="1326"/>
      <c r="DG631" s="555"/>
      <c r="DH631" s="175"/>
      <c r="DI631" s="1049"/>
      <c r="DJ631" s="1127"/>
    </row>
    <row r="632" spans="1:114" hidden="1" outlineLevel="1" x14ac:dyDescent="0.25">
      <c r="A632" s="442"/>
      <c r="C632" s="553"/>
      <c r="D632" s="2179"/>
      <c r="E632" s="2179"/>
      <c r="F632" s="2176" t="str">
        <f>$E$586</f>
        <v>GSHP-EER23_ROF_SF</v>
      </c>
      <c r="G632" s="2176"/>
      <c r="H632" s="2176"/>
      <c r="I632" s="1326"/>
      <c r="J632" s="1616">
        <v>7.5</v>
      </c>
      <c r="K632" s="1371"/>
      <c r="L632" s="2211"/>
      <c r="P632" s="634"/>
      <c r="Q632" s="635"/>
      <c r="R632" s="635"/>
      <c r="T632" s="633"/>
      <c r="U632" s="50"/>
      <c r="V632" s="2216"/>
      <c r="W632" s="1326">
        <v>3.41</v>
      </c>
      <c r="X632" s="794">
        <v>10.58</v>
      </c>
      <c r="Y632" s="1326">
        <v>10.58</v>
      </c>
      <c r="Z632" s="1326">
        <v>10.58</v>
      </c>
      <c r="AA632" s="1326">
        <v>10.58</v>
      </c>
      <c r="AB632" s="1326">
        <v>10.58</v>
      </c>
      <c r="AC632" s="1326">
        <v>10.58</v>
      </c>
      <c r="AD632" s="1326">
        <v>10.58</v>
      </c>
      <c r="AE632" s="1326">
        <v>10.58</v>
      </c>
      <c r="AF632" s="258">
        <f t="shared" si="114"/>
        <v>7.5</v>
      </c>
      <c r="AG632" s="1326"/>
      <c r="DG632" s="555"/>
      <c r="DH632" s="175"/>
      <c r="DI632" s="1049"/>
      <c r="DJ632" s="1127"/>
    </row>
    <row r="633" spans="1:114" s="39" customFormat="1" hidden="1" outlineLevel="1" x14ac:dyDescent="0.25">
      <c r="A633" s="442"/>
      <c r="C633" s="553"/>
      <c r="D633" s="2179"/>
      <c r="E633" s="2179"/>
      <c r="F633" s="2178" t="str">
        <f>$E$587</f>
        <v>GSHP-EER23-Replace_GSHP_ER1_SF</v>
      </c>
      <c r="G633" s="2178"/>
      <c r="H633" s="2178"/>
      <c r="I633" s="1326"/>
      <c r="J633" s="1616">
        <v>7.5</v>
      </c>
      <c r="K633" s="1371"/>
      <c r="L633" s="2211"/>
      <c r="M633" s="50"/>
      <c r="N633" s="50"/>
      <c r="O633" s="50"/>
      <c r="P633" s="634"/>
      <c r="Q633" s="635"/>
      <c r="R633" s="635"/>
      <c r="S633" s="50"/>
      <c r="T633" s="1492"/>
      <c r="V633" s="2216"/>
      <c r="W633" s="794"/>
      <c r="X633" s="794"/>
      <c r="Y633" s="794"/>
      <c r="Z633" s="794"/>
      <c r="AA633" s="794"/>
      <c r="AB633" s="794"/>
      <c r="AC633" s="794"/>
      <c r="AD633" s="794"/>
      <c r="AE633" s="794"/>
      <c r="AF633" s="258">
        <f t="shared" si="114"/>
        <v>7.5</v>
      </c>
      <c r="AG633" s="794"/>
      <c r="DG633" s="1490"/>
      <c r="DH633" s="1491"/>
      <c r="DI633" s="1063"/>
      <c r="DJ633" s="1127"/>
    </row>
    <row r="634" spans="1:114" s="39" customFormat="1" hidden="1" outlineLevel="1" x14ac:dyDescent="0.25">
      <c r="A634" s="442"/>
      <c r="C634" s="553"/>
      <c r="D634" s="2179"/>
      <c r="E634" s="2179"/>
      <c r="F634" s="2178" t="str">
        <f>$E$589</f>
        <v>GSHP-EER23-Replace_GSHP_ER2_SF</v>
      </c>
      <c r="G634" s="2178"/>
      <c r="H634" s="2178"/>
      <c r="I634" s="1326"/>
      <c r="J634" s="1616">
        <v>7.5</v>
      </c>
      <c r="K634" s="1371"/>
      <c r="L634" s="2217"/>
      <c r="M634" s="50"/>
      <c r="N634" s="50"/>
      <c r="O634" s="50"/>
      <c r="P634" s="634"/>
      <c r="Q634" s="635"/>
      <c r="R634" s="635"/>
      <c r="S634" s="50"/>
      <c r="T634" s="1492"/>
      <c r="V634" s="2216"/>
      <c r="W634" s="794"/>
      <c r="X634" s="794"/>
      <c r="Y634" s="794"/>
      <c r="Z634" s="794"/>
      <c r="AA634" s="794"/>
      <c r="AB634" s="794"/>
      <c r="AC634" s="794"/>
      <c r="AD634" s="794"/>
      <c r="AE634" s="794"/>
      <c r="AF634" s="258">
        <f t="shared" si="114"/>
        <v>7.5</v>
      </c>
      <c r="AG634" s="794"/>
      <c r="DG634" s="1490"/>
      <c r="DH634" s="1491"/>
      <c r="DI634" s="1063"/>
      <c r="DJ634" s="1127"/>
    </row>
    <row r="635" spans="1:114" ht="15" hidden="1" customHeight="1" outlineLevel="1" x14ac:dyDescent="0.25">
      <c r="A635" s="442"/>
      <c r="C635" s="553"/>
      <c r="D635" s="2179" t="s">
        <v>1153</v>
      </c>
      <c r="E635" s="2179" t="s">
        <v>1199</v>
      </c>
      <c r="F635" s="2176" t="str">
        <f>$E$576</f>
        <v>GSHP-EER23-Replace_CAC_ElectricHeat_ROF_SF</v>
      </c>
      <c r="G635" s="2176"/>
      <c r="H635" s="2176"/>
      <c r="I635" s="1326"/>
      <c r="J635" s="1592">
        <v>15.140400000000001</v>
      </c>
      <c r="K635" s="1371"/>
      <c r="L635" s="2210" t="s">
        <v>1200</v>
      </c>
      <c r="P635" s="634"/>
      <c r="R635" s="636"/>
      <c r="T635" s="50"/>
      <c r="U635" s="50"/>
      <c r="V635" s="2216" t="s">
        <v>1153</v>
      </c>
      <c r="W635" s="1326">
        <f>15.01/3.41</f>
        <v>4.4017595307917885</v>
      </c>
      <c r="X635" s="199">
        <v>14.979294599999999</v>
      </c>
      <c r="Y635" s="794">
        <f>4.44*3.41</f>
        <v>15.140400000000001</v>
      </c>
      <c r="Z635" s="1326">
        <f t="shared" ref="Z635:AA640" si="117">4.44*3.41</f>
        <v>15.140400000000001</v>
      </c>
      <c r="AA635" s="1326">
        <f t="shared" si="117"/>
        <v>15.140400000000001</v>
      </c>
      <c r="AB635" s="198">
        <v>15.140400000000001</v>
      </c>
      <c r="AC635" s="198">
        <v>15.140400000000001</v>
      </c>
      <c r="AD635" s="198">
        <v>15.140400000000001</v>
      </c>
      <c r="AE635" s="198">
        <v>15.140400000000001</v>
      </c>
      <c r="AF635" s="258">
        <f t="shared" si="114"/>
        <v>15.140400000000001</v>
      </c>
      <c r="AG635" s="1326"/>
      <c r="DG635" s="555"/>
      <c r="DH635" s="175"/>
      <c r="DI635" s="1049"/>
      <c r="DJ635" s="1127"/>
    </row>
    <row r="636" spans="1:114" hidden="1" outlineLevel="1" x14ac:dyDescent="0.25">
      <c r="A636" s="442"/>
      <c r="C636" s="553"/>
      <c r="D636" s="2179"/>
      <c r="E636" s="2179"/>
      <c r="F636" s="2176" t="str">
        <f>$E$578</f>
        <v>GSHP-EER23-Replace_CAC_ElectricHeat_ER1_SF</v>
      </c>
      <c r="G636" s="2176"/>
      <c r="H636" s="2176"/>
      <c r="I636" s="1326"/>
      <c r="J636" s="1592">
        <v>15.140400000000001</v>
      </c>
      <c r="K636" s="1371"/>
      <c r="L636" s="2211"/>
      <c r="P636" s="637"/>
      <c r="R636" s="636"/>
      <c r="T636" s="50"/>
      <c r="U636" s="50"/>
      <c r="V636" s="2216"/>
      <c r="W636" s="1326">
        <f>15.01/3.41</f>
        <v>4.4017595307917885</v>
      </c>
      <c r="X636" s="199">
        <v>14.979294599999999</v>
      </c>
      <c r="Y636" s="794">
        <f>4.44*3.41</f>
        <v>15.140400000000001</v>
      </c>
      <c r="Z636" s="1326">
        <f t="shared" si="117"/>
        <v>15.140400000000001</v>
      </c>
      <c r="AA636" s="1326">
        <f t="shared" si="117"/>
        <v>15.140400000000001</v>
      </c>
      <c r="AB636" s="198">
        <v>15.140400000000001</v>
      </c>
      <c r="AC636" s="198">
        <v>15.140400000000001</v>
      </c>
      <c r="AD636" s="198">
        <v>15.140400000000001</v>
      </c>
      <c r="AE636" s="198">
        <v>15.140400000000001</v>
      </c>
      <c r="AF636" s="258">
        <f t="shared" si="114"/>
        <v>15.140400000000001</v>
      </c>
      <c r="AG636" s="1326"/>
      <c r="DG636" s="555"/>
      <c r="DH636" s="175"/>
      <c r="DI636" s="1049"/>
      <c r="DJ636" s="1127"/>
    </row>
    <row r="637" spans="1:114" hidden="1" outlineLevel="1" x14ac:dyDescent="0.25">
      <c r="A637" s="442"/>
      <c r="C637" s="553"/>
      <c r="D637" s="2179"/>
      <c r="E637" s="2179"/>
      <c r="F637" s="2176" t="str">
        <f>$E$580</f>
        <v>GSHP-EER23-Replace_CAC_ElectricHeat_ER2_SF</v>
      </c>
      <c r="G637" s="2176"/>
      <c r="H637" s="2176"/>
      <c r="I637" s="1326"/>
      <c r="J637" s="1592">
        <v>15.140400000000001</v>
      </c>
      <c r="K637" s="1489"/>
      <c r="L637" s="2211"/>
      <c r="P637" s="100"/>
      <c r="T637" s="50"/>
      <c r="U637" s="50"/>
      <c r="V637" s="2216"/>
      <c r="W637" s="1326">
        <f>15.01/3.41</f>
        <v>4.4017595307917885</v>
      </c>
      <c r="X637" s="199">
        <v>14.979294599999999</v>
      </c>
      <c r="Y637" s="794">
        <f>4.44*3.41</f>
        <v>15.140400000000001</v>
      </c>
      <c r="Z637" s="1326">
        <f t="shared" si="117"/>
        <v>15.140400000000001</v>
      </c>
      <c r="AA637" s="1326">
        <f t="shared" si="117"/>
        <v>15.140400000000001</v>
      </c>
      <c r="AB637" s="198">
        <v>15.140400000000001</v>
      </c>
      <c r="AC637" s="198">
        <v>15.140400000000001</v>
      </c>
      <c r="AD637" s="198">
        <v>15.140400000000001</v>
      </c>
      <c r="AE637" s="198">
        <v>15.140400000000001</v>
      </c>
      <c r="AF637" s="258">
        <f t="shared" si="114"/>
        <v>15.140400000000001</v>
      </c>
      <c r="AG637" s="1326"/>
      <c r="DG637" s="555"/>
      <c r="DH637" s="175"/>
      <c r="DI637" s="1049"/>
      <c r="DJ637" s="1127"/>
    </row>
    <row r="638" spans="1:114" hidden="1" outlineLevel="1" x14ac:dyDescent="0.25">
      <c r="A638" s="442"/>
      <c r="C638" s="553"/>
      <c r="D638" s="2179"/>
      <c r="E638" s="2179"/>
      <c r="F638" s="2178" t="str">
        <f>$E$582</f>
        <v>GSHP-EER23-Replace_ASHP_ER1_SF</v>
      </c>
      <c r="G638" s="2178"/>
      <c r="H638" s="2178"/>
      <c r="I638" s="1334"/>
      <c r="J638" s="1592">
        <v>15.140400000000001</v>
      </c>
      <c r="K638" s="1489"/>
      <c r="L638" s="2211"/>
      <c r="P638" s="100"/>
      <c r="T638" s="50"/>
      <c r="U638" s="50"/>
      <c r="V638" s="2216"/>
      <c r="W638" s="1326"/>
      <c r="X638" s="199"/>
      <c r="Y638" s="794"/>
      <c r="Z638" s="1326"/>
      <c r="AA638" s="1326"/>
      <c r="AB638" s="704">
        <v>15.140400000000001</v>
      </c>
      <c r="AC638" s="709">
        <v>15.140400000000001</v>
      </c>
      <c r="AD638" s="709">
        <v>15.140400000000001</v>
      </c>
      <c r="AE638" s="709">
        <v>15.140400000000001</v>
      </c>
      <c r="AF638" s="258">
        <f t="shared" si="114"/>
        <v>15.140400000000001</v>
      </c>
      <c r="AG638" s="1326"/>
      <c r="DG638" s="555"/>
      <c r="DH638" s="175"/>
      <c r="DI638" s="1049"/>
      <c r="DJ638" s="1127"/>
    </row>
    <row r="639" spans="1:114" hidden="1" outlineLevel="1" x14ac:dyDescent="0.25">
      <c r="A639" s="442"/>
      <c r="C639" s="553"/>
      <c r="D639" s="2179"/>
      <c r="E639" s="2179"/>
      <c r="F639" s="2176" t="str">
        <f>$E$584</f>
        <v>GSHP-EER23-Replace_ASHP_ER2_SF</v>
      </c>
      <c r="G639" s="2176"/>
      <c r="H639" s="2176"/>
      <c r="I639" s="1326"/>
      <c r="J639" s="1592">
        <v>15.140400000000001</v>
      </c>
      <c r="K639" s="1489"/>
      <c r="L639" s="2211"/>
      <c r="P639" s="196"/>
      <c r="T639" s="50"/>
      <c r="U639" s="50"/>
      <c r="V639" s="2216"/>
      <c r="W639" s="1326">
        <f>15.01/3.41</f>
        <v>4.4017595307917885</v>
      </c>
      <c r="X639" s="199">
        <v>14.979294599999999</v>
      </c>
      <c r="Y639" s="794">
        <f>4.44*3.41</f>
        <v>15.140400000000001</v>
      </c>
      <c r="Z639" s="1326">
        <f t="shared" si="117"/>
        <v>15.140400000000001</v>
      </c>
      <c r="AA639" s="1326">
        <f t="shared" si="117"/>
        <v>15.140400000000001</v>
      </c>
      <c r="AB639" s="198">
        <v>15.140400000000001</v>
      </c>
      <c r="AC639" s="198">
        <v>15.140400000000001</v>
      </c>
      <c r="AD639" s="198">
        <v>15.140400000000001</v>
      </c>
      <c r="AE639" s="198">
        <v>15.140400000000001</v>
      </c>
      <c r="AF639" s="258">
        <f t="shared" si="114"/>
        <v>15.140400000000001</v>
      </c>
      <c r="AG639" s="1326"/>
      <c r="DG639" s="555"/>
      <c r="DH639" s="175"/>
      <c r="DI639" s="1049"/>
      <c r="DJ639" s="1127"/>
    </row>
    <row r="640" spans="1:114" hidden="1" outlineLevel="1" x14ac:dyDescent="0.25">
      <c r="A640" s="442"/>
      <c r="C640" s="553"/>
      <c r="D640" s="2179"/>
      <c r="E640" s="2179"/>
      <c r="F640" s="2176" t="str">
        <f>$E$586</f>
        <v>GSHP-EER23_ROF_SF</v>
      </c>
      <c r="G640" s="2176"/>
      <c r="H640" s="2176"/>
      <c r="I640" s="1326"/>
      <c r="J640" s="1592">
        <v>15.140400000000001</v>
      </c>
      <c r="K640" s="1489"/>
      <c r="L640" s="2211"/>
      <c r="T640" s="50"/>
      <c r="U640" s="50"/>
      <c r="V640" s="2216"/>
      <c r="W640" s="1326">
        <f>15.01/3.41</f>
        <v>4.4017595307917885</v>
      </c>
      <c r="X640" s="199">
        <v>14.979294599999999</v>
      </c>
      <c r="Y640" s="794">
        <f>4.44*3.41</f>
        <v>15.140400000000001</v>
      </c>
      <c r="Z640" s="1326">
        <f t="shared" si="117"/>
        <v>15.140400000000001</v>
      </c>
      <c r="AA640" s="1326">
        <f t="shared" si="117"/>
        <v>15.140400000000001</v>
      </c>
      <c r="AB640" s="198">
        <v>15.140400000000001</v>
      </c>
      <c r="AC640" s="198">
        <v>15.140400000000001</v>
      </c>
      <c r="AD640" s="198">
        <v>15.140400000000001</v>
      </c>
      <c r="AE640" s="198">
        <v>15.140400000000001</v>
      </c>
      <c r="AF640" s="258">
        <f t="shared" si="114"/>
        <v>15.140400000000001</v>
      </c>
      <c r="AG640" s="1326"/>
      <c r="DG640" s="555"/>
      <c r="DH640" s="175"/>
      <c r="DI640" s="1049"/>
      <c r="DJ640" s="1127"/>
    </row>
    <row r="641" spans="1:114" s="39" customFormat="1" hidden="1" outlineLevel="1" x14ac:dyDescent="0.25">
      <c r="A641" s="442"/>
      <c r="C641" s="553"/>
      <c r="D641" s="2179"/>
      <c r="E641" s="2179"/>
      <c r="F641" s="2178" t="str">
        <f>$E$587</f>
        <v>GSHP-EER23-Replace_GSHP_ER1_SF</v>
      </c>
      <c r="G641" s="2178"/>
      <c r="H641" s="2178"/>
      <c r="I641" s="1326"/>
      <c r="J641" s="1592">
        <v>15.140400000000001</v>
      </c>
      <c r="K641" s="1489"/>
      <c r="L641" s="2211"/>
      <c r="M641" s="50"/>
      <c r="N641" s="50"/>
      <c r="O641" s="50"/>
      <c r="P641" s="50"/>
      <c r="Q641" s="50"/>
      <c r="R641" s="50"/>
      <c r="S641" s="50"/>
      <c r="V641" s="2216"/>
      <c r="W641" s="794"/>
      <c r="X641" s="199"/>
      <c r="Y641" s="794"/>
      <c r="Z641" s="794"/>
      <c r="AA641" s="794"/>
      <c r="AB641" s="199"/>
      <c r="AC641" s="199"/>
      <c r="AD641" s="199"/>
      <c r="AE641" s="199"/>
      <c r="AF641" s="258">
        <f t="shared" si="114"/>
        <v>15.140400000000001</v>
      </c>
      <c r="AG641" s="794"/>
      <c r="DG641" s="1490"/>
      <c r="DH641" s="1491"/>
      <c r="DI641" s="1063"/>
      <c r="DJ641" s="1127"/>
    </row>
    <row r="642" spans="1:114" s="39" customFormat="1" hidden="1" outlineLevel="1" x14ac:dyDescent="0.25">
      <c r="A642" s="442"/>
      <c r="C642" s="553"/>
      <c r="D642" s="2179"/>
      <c r="E642" s="2179"/>
      <c r="F642" s="2178" t="str">
        <f>$E$589</f>
        <v>GSHP-EER23-Replace_GSHP_ER2_SF</v>
      </c>
      <c r="G642" s="2178"/>
      <c r="H642" s="2178"/>
      <c r="I642" s="1326"/>
      <c r="J642" s="1592">
        <v>15.140400000000001</v>
      </c>
      <c r="K642" s="1489"/>
      <c r="L642" s="2217"/>
      <c r="M642" s="50"/>
      <c r="N642" s="50"/>
      <c r="O642" s="50"/>
      <c r="P642" s="50"/>
      <c r="Q642" s="50"/>
      <c r="R642" s="50"/>
      <c r="S642" s="50"/>
      <c r="V642" s="2216"/>
      <c r="W642" s="794"/>
      <c r="X642" s="199"/>
      <c r="Y642" s="794"/>
      <c r="Z642" s="794"/>
      <c r="AA642" s="794"/>
      <c r="AB642" s="199"/>
      <c r="AC642" s="199"/>
      <c r="AD642" s="199"/>
      <c r="AE642" s="199"/>
      <c r="AF642" s="258">
        <f t="shared" si="114"/>
        <v>15.140400000000001</v>
      </c>
      <c r="AG642" s="794"/>
      <c r="DG642" s="1490"/>
      <c r="DH642" s="1491"/>
      <c r="DI642" s="1063"/>
      <c r="DJ642" s="1127"/>
    </row>
    <row r="643" spans="1:114" hidden="1" outlineLevel="1" x14ac:dyDescent="0.25">
      <c r="A643" s="442"/>
      <c r="C643" s="553"/>
      <c r="D643" s="2179" t="s">
        <v>1158</v>
      </c>
      <c r="E643" s="2179" t="s">
        <v>1201</v>
      </c>
      <c r="F643" s="2176" t="str">
        <f>$E$575</f>
        <v>GSHP-EER23-Replace_CAC_ElectricHeat_ROF_SF</v>
      </c>
      <c r="G643" s="2176"/>
      <c r="H643" s="2176"/>
      <c r="I643" s="1326"/>
      <c r="J643" s="1589">
        <v>47917.808219178085</v>
      </c>
      <c r="K643" s="53">
        <f>J643/12000</f>
        <v>3.993150684931507</v>
      </c>
      <c r="L643" s="1593" t="s">
        <v>1025</v>
      </c>
      <c r="T643" s="50"/>
      <c r="U643" s="50"/>
      <c r="V643" s="2179" t="s">
        <v>1158</v>
      </c>
      <c r="W643" s="1326">
        <v>52800.000000000007</v>
      </c>
      <c r="X643" s="794">
        <f>3.99*12000</f>
        <v>47880</v>
      </c>
      <c r="Y643" s="794">
        <f t="shared" ref="Y643:AA644" si="118">Y612</f>
        <v>46320</v>
      </c>
      <c r="Z643" s="1326">
        <f t="shared" si="118"/>
        <v>46320</v>
      </c>
      <c r="AA643" s="1326">
        <f t="shared" si="118"/>
        <v>46320</v>
      </c>
      <c r="AB643" s="703">
        <v>49745.454545454544</v>
      </c>
      <c r="AC643" s="703">
        <v>46600</v>
      </c>
      <c r="AD643" s="703">
        <v>47729.729729729726</v>
      </c>
      <c r="AE643" s="1066">
        <v>50350.515463917523</v>
      </c>
      <c r="AF643" s="258">
        <f t="shared" ref="AF643:AF674" si="119">IF(J643&lt;&gt;"",J643,"")</f>
        <v>47917.808219178085</v>
      </c>
      <c r="AG643" s="1326"/>
      <c r="DG643" s="555"/>
      <c r="DH643" s="175"/>
      <c r="DI643" s="1049"/>
      <c r="DJ643" s="1127"/>
    </row>
    <row r="644" spans="1:114" hidden="1" outlineLevel="1" x14ac:dyDescent="0.25">
      <c r="A644" s="442"/>
      <c r="C644" s="553"/>
      <c r="D644" s="2179"/>
      <c r="E644" s="2179"/>
      <c r="F644" s="2176" t="str">
        <f>$E$577</f>
        <v>GSHP-EER23-Replace_CAC_ElectricHeat_ER1_SF</v>
      </c>
      <c r="G644" s="2176"/>
      <c r="H644" s="2176"/>
      <c r="I644" s="1326"/>
      <c r="J644" s="1589">
        <v>46438.356164383564</v>
      </c>
      <c r="K644" s="53">
        <f>J645/12000</f>
        <v>3.8698630136986303</v>
      </c>
      <c r="L644" s="744" t="s">
        <v>1195</v>
      </c>
      <c r="T644" s="50"/>
      <c r="U644" s="50"/>
      <c r="V644" s="2179"/>
      <c r="W644" s="1326">
        <v>49199.999999999993</v>
      </c>
      <c r="X644" s="794">
        <f>3.99*12000</f>
        <v>47880</v>
      </c>
      <c r="Y644" s="794">
        <f t="shared" si="118"/>
        <v>46320</v>
      </c>
      <c r="Z644" s="1326">
        <f t="shared" si="118"/>
        <v>46320</v>
      </c>
      <c r="AA644" s="1326">
        <f t="shared" si="118"/>
        <v>46320</v>
      </c>
      <c r="AB644" s="703">
        <v>45750</v>
      </c>
      <c r="AC644" s="703">
        <v>48705.882352941175</v>
      </c>
      <c r="AD644" s="703">
        <v>46438.356164383564</v>
      </c>
      <c r="AE644" s="1002">
        <v>46438.356164383564</v>
      </c>
      <c r="AF644" s="258">
        <f t="shared" si="119"/>
        <v>46438.356164383564</v>
      </c>
      <c r="AG644" s="1326"/>
      <c r="DG644" s="555"/>
      <c r="DH644" s="175"/>
      <c r="DI644" s="1049"/>
      <c r="DJ644" s="1127"/>
    </row>
    <row r="645" spans="1:114" hidden="1" outlineLevel="1" x14ac:dyDescent="0.25">
      <c r="A645" s="442"/>
      <c r="C645" s="553"/>
      <c r="D645" s="2179"/>
      <c r="E645" s="2179"/>
      <c r="F645" s="2176" t="str">
        <f>$E$579</f>
        <v>GSHP-EER23-Replace_CAC_ElectricHeat_ER2_SF</v>
      </c>
      <c r="G645" s="2176"/>
      <c r="H645" s="2176"/>
      <c r="I645" s="1326"/>
      <c r="J645" s="1589">
        <f>J644</f>
        <v>46438.356164383564</v>
      </c>
      <c r="K645" s="53">
        <f>J643/12000</f>
        <v>3.993150684931507</v>
      </c>
      <c r="L645" s="744" t="s">
        <v>1195</v>
      </c>
      <c r="T645" s="50"/>
      <c r="U645" s="50"/>
      <c r="V645" s="2179"/>
      <c r="W645" s="1326">
        <v>49199.999999999993</v>
      </c>
      <c r="X645" s="794">
        <f>3.99*12000</f>
        <v>47880</v>
      </c>
      <c r="Y645" s="794">
        <f>Y611</f>
        <v>47760</v>
      </c>
      <c r="Z645" s="1326">
        <f>Z611</f>
        <v>47760</v>
      </c>
      <c r="AA645" s="1326">
        <f>AA611</f>
        <v>47760</v>
      </c>
      <c r="AB645" s="703">
        <v>45750</v>
      </c>
      <c r="AC645" s="703">
        <v>48705.882352941175</v>
      </c>
      <c r="AD645" s="703">
        <v>46438.356164383564</v>
      </c>
      <c r="AE645" s="767">
        <v>46438.356164383564</v>
      </c>
      <c r="AF645" s="258">
        <f t="shared" si="119"/>
        <v>46438.356164383564</v>
      </c>
      <c r="AG645" s="1326"/>
      <c r="DG645" s="555"/>
      <c r="DH645" s="175"/>
      <c r="DI645" s="1049"/>
      <c r="DJ645" s="1127"/>
    </row>
    <row r="646" spans="1:114" hidden="1" outlineLevel="1" x14ac:dyDescent="0.25">
      <c r="A646" s="442"/>
      <c r="C646" s="553"/>
      <c r="D646" s="2179"/>
      <c r="E646" s="2179"/>
      <c r="F646" s="2176" t="str">
        <f>$E$581</f>
        <v>GSHP-EER23-Replace_ASHP_ER1_SF</v>
      </c>
      <c r="G646" s="2176"/>
      <c r="H646" s="2176"/>
      <c r="I646" s="1326"/>
      <c r="J646" s="1589">
        <f>J644</f>
        <v>46438.356164383564</v>
      </c>
      <c r="K646" s="53">
        <f>J646/12000</f>
        <v>3.8698630136986303</v>
      </c>
      <c r="L646" s="744" t="s">
        <v>1195</v>
      </c>
      <c r="T646" s="50"/>
      <c r="U646" s="50"/>
      <c r="V646" s="2179"/>
      <c r="W646" s="1326">
        <v>49199.999999999993</v>
      </c>
      <c r="X646" s="794">
        <f>3.99*12000</f>
        <v>47880</v>
      </c>
      <c r="Y646" s="794">
        <f>Y615</f>
        <v>50400</v>
      </c>
      <c r="Z646" s="1326">
        <f>Z615</f>
        <v>50400</v>
      </c>
      <c r="AA646" s="1326">
        <f>AA615</f>
        <v>50400</v>
      </c>
      <c r="AB646" s="703">
        <v>51319.148936170212</v>
      </c>
      <c r="AC646" s="703">
        <v>48885.24590163934</v>
      </c>
      <c r="AD646" s="703">
        <v>46438.356164383564</v>
      </c>
      <c r="AE646" s="767">
        <v>46438.356164383564</v>
      </c>
      <c r="AF646" s="258">
        <f t="shared" si="119"/>
        <v>46438.356164383564</v>
      </c>
      <c r="AG646" s="1326"/>
      <c r="DG646" s="555"/>
      <c r="DH646" s="175"/>
      <c r="DI646" s="1049"/>
      <c r="DJ646" s="1127"/>
    </row>
    <row r="647" spans="1:114" hidden="1" outlineLevel="1" x14ac:dyDescent="0.25">
      <c r="A647" s="442"/>
      <c r="C647" s="553"/>
      <c r="D647" s="2179"/>
      <c r="E647" s="2179"/>
      <c r="F647" s="2178" t="str">
        <f>$E$583</f>
        <v>GSHP-EER23-Replace_ASHP_ER2_SF</v>
      </c>
      <c r="G647" s="2178"/>
      <c r="H647" s="2178"/>
      <c r="I647" s="1326"/>
      <c r="J647" s="1589">
        <f>J644</f>
        <v>46438.356164383564</v>
      </c>
      <c r="K647" s="53">
        <f>J647/12000</f>
        <v>3.8698630136986303</v>
      </c>
      <c r="L647" s="744" t="s">
        <v>1195</v>
      </c>
      <c r="T647" s="50"/>
      <c r="U647" s="50"/>
      <c r="V647" s="2179"/>
      <c r="W647" s="1326"/>
      <c r="X647" s="794"/>
      <c r="Y647" s="794"/>
      <c r="Z647" s="1326"/>
      <c r="AA647" s="1326"/>
      <c r="AB647" s="703">
        <v>51319.148936170212</v>
      </c>
      <c r="AC647" s="703">
        <v>48885.24590163934</v>
      </c>
      <c r="AD647" s="703">
        <v>46438.356164383564</v>
      </c>
      <c r="AE647" s="767">
        <v>46438.356164383564</v>
      </c>
      <c r="AF647" s="258">
        <f t="shared" si="119"/>
        <v>46438.356164383564</v>
      </c>
      <c r="AG647" s="1326"/>
      <c r="DG647" s="555"/>
      <c r="DH647" s="175"/>
      <c r="DI647" s="1049"/>
      <c r="DJ647" s="1127"/>
    </row>
    <row r="648" spans="1:114" hidden="1" outlineLevel="1" x14ac:dyDescent="0.25">
      <c r="A648" s="442"/>
      <c r="C648" s="553"/>
      <c r="D648" s="2179"/>
      <c r="E648" s="2179"/>
      <c r="F648" s="2176" t="str">
        <f>$E$585</f>
        <v>GSHP-EER23_ROF_SF</v>
      </c>
      <c r="G648" s="2176"/>
      <c r="H648" s="2176"/>
      <c r="I648" s="1326"/>
      <c r="J648" s="1589">
        <v>47917.808219178085</v>
      </c>
      <c r="K648" s="244">
        <f>J648/12000</f>
        <v>3.993150684931507</v>
      </c>
      <c r="L648" s="1593" t="s">
        <v>1025</v>
      </c>
      <c r="T648" s="50"/>
      <c r="U648" s="50"/>
      <c r="V648" s="2179"/>
      <c r="W648" s="1326">
        <v>52800.000000000007</v>
      </c>
      <c r="X648" s="794">
        <f>3.99*12000</f>
        <v>47880</v>
      </c>
      <c r="Y648" s="794">
        <f>Y616</f>
        <v>47160</v>
      </c>
      <c r="Z648" s="1326">
        <f>Z616</f>
        <v>47160</v>
      </c>
      <c r="AA648" s="1326">
        <f>AA616</f>
        <v>47160</v>
      </c>
      <c r="AB648" s="703">
        <v>51652.173913043473</v>
      </c>
      <c r="AC648" s="703">
        <v>49977.272727272728</v>
      </c>
      <c r="AD648" s="703">
        <v>47729.729729729726</v>
      </c>
      <c r="AE648" s="703">
        <v>50350.515463917523</v>
      </c>
      <c r="AF648" s="258">
        <f t="shared" si="119"/>
        <v>47917.808219178085</v>
      </c>
      <c r="AG648" s="1326"/>
      <c r="DG648" s="555"/>
      <c r="DH648" s="175"/>
      <c r="DI648" s="1049"/>
      <c r="DJ648" s="1127"/>
    </row>
    <row r="649" spans="1:114" s="39" customFormat="1" hidden="1" outlineLevel="1" x14ac:dyDescent="0.25">
      <c r="A649" s="442"/>
      <c r="C649" s="553"/>
      <c r="D649" s="2179"/>
      <c r="E649" s="2179"/>
      <c r="F649" s="2178" t="str">
        <f>$E$587</f>
        <v>GSHP-EER23-Replace_GSHP_ER1_SF</v>
      </c>
      <c r="G649" s="2178"/>
      <c r="H649" s="2178"/>
      <c r="I649" s="1326"/>
      <c r="J649" s="1589">
        <f>J647</f>
        <v>46438.356164383564</v>
      </c>
      <c r="K649" s="244">
        <f t="shared" ref="K649:K650" si="120">J649/12000</f>
        <v>3.8698630136986303</v>
      </c>
      <c r="L649" s="1593" t="s">
        <v>1112</v>
      </c>
      <c r="M649" s="50"/>
      <c r="N649" s="50"/>
      <c r="O649" s="50"/>
      <c r="P649" s="50"/>
      <c r="Q649" s="50"/>
      <c r="R649" s="50"/>
      <c r="S649" s="50"/>
      <c r="V649" s="2179"/>
      <c r="W649" s="794"/>
      <c r="X649" s="794"/>
      <c r="Y649" s="794"/>
      <c r="Z649" s="794"/>
      <c r="AA649" s="794"/>
      <c r="AB649" s="703"/>
      <c r="AC649" s="703"/>
      <c r="AD649" s="703"/>
      <c r="AE649" s="703"/>
      <c r="AF649" s="258">
        <f t="shared" si="119"/>
        <v>46438.356164383564</v>
      </c>
      <c r="AG649" s="794"/>
      <c r="DG649" s="1490"/>
      <c r="DH649" s="1491"/>
      <c r="DI649" s="1063"/>
      <c r="DJ649" s="1127"/>
    </row>
    <row r="650" spans="1:114" s="39" customFormat="1" hidden="1" outlineLevel="1" x14ac:dyDescent="0.25">
      <c r="A650" s="442"/>
      <c r="C650" s="553"/>
      <c r="D650" s="2179"/>
      <c r="E650" s="2179"/>
      <c r="F650" s="2178" t="str">
        <f>$E$589</f>
        <v>GSHP-EER23-Replace_GSHP_ER2_SF</v>
      </c>
      <c r="G650" s="2178"/>
      <c r="H650" s="2178"/>
      <c r="I650" s="1326"/>
      <c r="J650" s="1589">
        <f>J647</f>
        <v>46438.356164383564</v>
      </c>
      <c r="K650" s="244">
        <f t="shared" si="120"/>
        <v>3.8698630136986303</v>
      </c>
      <c r="L650" s="1593" t="s">
        <v>1112</v>
      </c>
      <c r="M650" s="50"/>
      <c r="N650" s="50"/>
      <c r="O650" s="50"/>
      <c r="P650" s="50"/>
      <c r="Q650" s="50"/>
      <c r="R650" s="50"/>
      <c r="S650" s="50"/>
      <c r="V650" s="2179"/>
      <c r="W650" s="794"/>
      <c r="X650" s="794"/>
      <c r="Y650" s="794"/>
      <c r="Z650" s="794"/>
      <c r="AA650" s="794"/>
      <c r="AB650" s="703"/>
      <c r="AC650" s="703"/>
      <c r="AD650" s="703"/>
      <c r="AE650" s="703"/>
      <c r="AF650" s="258">
        <f t="shared" si="119"/>
        <v>46438.356164383564</v>
      </c>
      <c r="AG650" s="794"/>
      <c r="DG650" s="1490"/>
      <c r="DH650" s="1491"/>
      <c r="DI650" s="1063"/>
      <c r="DJ650" s="1127"/>
    </row>
    <row r="651" spans="1:114" hidden="1" outlineLevel="1" x14ac:dyDescent="0.25">
      <c r="A651" s="442"/>
      <c r="C651" s="553"/>
      <c r="D651" s="2179" t="s">
        <v>1202</v>
      </c>
      <c r="E651" s="2179" t="s">
        <v>1161</v>
      </c>
      <c r="F651" s="2176" t="str">
        <f>$E$575</f>
        <v>GSHP-EER23-Replace_CAC_ElectricHeat_ROF_SF</v>
      </c>
      <c r="G651" s="2176"/>
      <c r="H651" s="2176"/>
      <c r="I651" s="1326"/>
      <c r="J651" s="1616">
        <v>869</v>
      </c>
      <c r="K651" s="1371"/>
      <c r="L651" s="2177" t="s">
        <v>1203</v>
      </c>
      <c r="T651" s="50"/>
      <c r="U651" s="50"/>
      <c r="V651" s="2179" t="s">
        <v>1202</v>
      </c>
      <c r="W651" s="1326">
        <v>869</v>
      </c>
      <c r="X651" s="1326">
        <v>869</v>
      </c>
      <c r="Y651" s="1326">
        <v>869</v>
      </c>
      <c r="Z651" s="1326">
        <v>869</v>
      </c>
      <c r="AA651" s="1326">
        <v>869</v>
      </c>
      <c r="AB651" s="1326">
        <v>869</v>
      </c>
      <c r="AC651" s="1326">
        <v>869</v>
      </c>
      <c r="AD651" s="1326">
        <v>869</v>
      </c>
      <c r="AE651" s="1326">
        <v>869</v>
      </c>
      <c r="AF651" s="258">
        <f t="shared" si="119"/>
        <v>869</v>
      </c>
      <c r="AG651" s="1326"/>
      <c r="DG651" s="555"/>
      <c r="DH651" s="175"/>
      <c r="DI651" s="1049"/>
      <c r="DJ651" s="1127"/>
    </row>
    <row r="652" spans="1:114" hidden="1" outlineLevel="1" x14ac:dyDescent="0.25">
      <c r="A652" s="442"/>
      <c r="C652" s="553"/>
      <c r="D652" s="2179"/>
      <c r="E652" s="2179"/>
      <c r="F652" s="2176" t="str">
        <f>$E$577</f>
        <v>GSHP-EER23-Replace_CAC_ElectricHeat_ER1_SF</v>
      </c>
      <c r="G652" s="2176"/>
      <c r="H652" s="2176"/>
      <c r="I652" s="1326"/>
      <c r="J652" s="1616">
        <v>869</v>
      </c>
      <c r="K652" s="1371"/>
      <c r="L652" s="2177"/>
      <c r="T652" s="50"/>
      <c r="U652" s="50"/>
      <c r="V652" s="2179"/>
      <c r="W652" s="1326">
        <v>869</v>
      </c>
      <c r="X652" s="1326">
        <v>869</v>
      </c>
      <c r="Y652" s="1326">
        <v>869</v>
      </c>
      <c r="Z652" s="1326">
        <v>869</v>
      </c>
      <c r="AA652" s="1326">
        <v>869</v>
      </c>
      <c r="AB652" s="1326">
        <v>869</v>
      </c>
      <c r="AC652" s="1326">
        <v>869</v>
      </c>
      <c r="AD652" s="1326">
        <v>869</v>
      </c>
      <c r="AE652" s="1326">
        <v>869</v>
      </c>
      <c r="AF652" s="258">
        <f t="shared" si="119"/>
        <v>869</v>
      </c>
      <c r="AG652" s="1326"/>
      <c r="DG652" s="555"/>
      <c r="DH652" s="175"/>
      <c r="DI652" s="1049"/>
      <c r="DJ652" s="1127"/>
    </row>
    <row r="653" spans="1:114" hidden="1" outlineLevel="1" x14ac:dyDescent="0.25">
      <c r="A653" s="442"/>
      <c r="C653" s="553"/>
      <c r="D653" s="2179"/>
      <c r="E653" s="2179"/>
      <c r="F653" s="2176" t="str">
        <f>$E$579</f>
        <v>GSHP-EER23-Replace_CAC_ElectricHeat_ER2_SF</v>
      </c>
      <c r="G653" s="2176"/>
      <c r="H653" s="2176"/>
      <c r="I653" s="1326"/>
      <c r="J653" s="1616">
        <v>869</v>
      </c>
      <c r="K653" s="1371"/>
      <c r="L653" s="2177"/>
      <c r="T653" s="50"/>
      <c r="U653" s="50"/>
      <c r="V653" s="2179"/>
      <c r="W653" s="1326">
        <v>869</v>
      </c>
      <c r="X653" s="1326">
        <v>869</v>
      </c>
      <c r="Y653" s="1326">
        <v>869</v>
      </c>
      <c r="Z653" s="1326">
        <v>869</v>
      </c>
      <c r="AA653" s="1326">
        <v>869</v>
      </c>
      <c r="AB653" s="1326">
        <v>869</v>
      </c>
      <c r="AC653" s="1326">
        <v>869</v>
      </c>
      <c r="AD653" s="1326">
        <v>869</v>
      </c>
      <c r="AE653" s="1326">
        <v>869</v>
      </c>
      <c r="AF653" s="258">
        <f t="shared" si="119"/>
        <v>869</v>
      </c>
      <c r="AG653" s="1326"/>
      <c r="DG653" s="555"/>
      <c r="DH653" s="175"/>
      <c r="DI653" s="1049"/>
      <c r="DJ653" s="1127"/>
    </row>
    <row r="654" spans="1:114" hidden="1" outlineLevel="1" x14ac:dyDescent="0.25">
      <c r="A654" s="442"/>
      <c r="C654" s="553"/>
      <c r="D654" s="2179"/>
      <c r="E654" s="2179"/>
      <c r="F654" s="2176" t="str">
        <f>$E$581</f>
        <v>GSHP-EER23-Replace_ASHP_ER1_SF</v>
      </c>
      <c r="G654" s="2176"/>
      <c r="H654" s="2176"/>
      <c r="I654" s="1326"/>
      <c r="J654" s="1616">
        <v>869</v>
      </c>
      <c r="K654" s="1371"/>
      <c r="L654" s="2177"/>
      <c r="T654" s="50"/>
      <c r="U654" s="50"/>
      <c r="V654" s="2179"/>
      <c r="W654" s="1326">
        <v>869</v>
      </c>
      <c r="X654" s="1326">
        <v>869</v>
      </c>
      <c r="Y654" s="1326">
        <v>869</v>
      </c>
      <c r="Z654" s="1326">
        <v>869</v>
      </c>
      <c r="AA654" s="1326">
        <v>869</v>
      </c>
      <c r="AB654" s="1326">
        <v>869</v>
      </c>
      <c r="AC654" s="1326">
        <v>869</v>
      </c>
      <c r="AD654" s="1326">
        <v>869</v>
      </c>
      <c r="AE654" s="1326">
        <v>869</v>
      </c>
      <c r="AF654" s="258">
        <f t="shared" si="119"/>
        <v>869</v>
      </c>
      <c r="AG654" s="1326"/>
      <c r="DG654" s="555"/>
      <c r="DH654" s="175"/>
      <c r="DI654" s="1049"/>
      <c r="DJ654" s="1127"/>
    </row>
    <row r="655" spans="1:114" hidden="1" outlineLevel="1" x14ac:dyDescent="0.25">
      <c r="A655" s="442"/>
      <c r="C655" s="553"/>
      <c r="D655" s="2179"/>
      <c r="E655" s="2179"/>
      <c r="F655" s="2178" t="str">
        <f>$E$583</f>
        <v>GSHP-EER23-Replace_ASHP_ER2_SF</v>
      </c>
      <c r="G655" s="2178"/>
      <c r="H655" s="2178"/>
      <c r="I655" s="1334"/>
      <c r="J655" s="1616">
        <v>869</v>
      </c>
      <c r="K655" s="1371"/>
      <c r="L655" s="2177"/>
      <c r="T655" s="50"/>
      <c r="U655" s="50"/>
      <c r="V655" s="2179"/>
      <c r="W655" s="1326"/>
      <c r="X655" s="1326"/>
      <c r="Y655" s="1326"/>
      <c r="Z655" s="1326"/>
      <c r="AA655" s="1326"/>
      <c r="AB655" s="926">
        <v>869</v>
      </c>
      <c r="AC655" s="1334">
        <v>869</v>
      </c>
      <c r="AD655" s="1334">
        <v>869</v>
      </c>
      <c r="AE655" s="1334">
        <v>869</v>
      </c>
      <c r="AF655" s="258">
        <f t="shared" si="119"/>
        <v>869</v>
      </c>
      <c r="AG655" s="1326"/>
      <c r="DG655" s="555"/>
      <c r="DH655" s="175"/>
      <c r="DI655" s="1049"/>
      <c r="DJ655" s="1127"/>
    </row>
    <row r="656" spans="1:114" hidden="1" outlineLevel="1" x14ac:dyDescent="0.25">
      <c r="A656" s="442"/>
      <c r="C656" s="553"/>
      <c r="D656" s="2179"/>
      <c r="E656" s="2179"/>
      <c r="F656" s="2176" t="str">
        <f>$E$585</f>
        <v>GSHP-EER23_ROF_SF</v>
      </c>
      <c r="G656" s="2176"/>
      <c r="H656" s="2176"/>
      <c r="I656" s="1326"/>
      <c r="J656" s="1616">
        <v>869</v>
      </c>
      <c r="K656" s="1371"/>
      <c r="L656" s="2177"/>
      <c r="T656" s="50"/>
      <c r="U656" s="50"/>
      <c r="V656" s="2179"/>
      <c r="W656" s="1326">
        <v>869</v>
      </c>
      <c r="X656" s="1326">
        <v>869</v>
      </c>
      <c r="Y656" s="1326">
        <v>869</v>
      </c>
      <c r="Z656" s="1326">
        <v>869</v>
      </c>
      <c r="AA656" s="1326">
        <v>869</v>
      </c>
      <c r="AB656" s="1326">
        <v>869</v>
      </c>
      <c r="AC656" s="1326">
        <v>869</v>
      </c>
      <c r="AD656" s="1326">
        <v>869</v>
      </c>
      <c r="AE656" s="1326">
        <v>869</v>
      </c>
      <c r="AF656" s="258">
        <f t="shared" si="119"/>
        <v>869</v>
      </c>
      <c r="AG656" s="1326"/>
      <c r="DG656" s="555"/>
      <c r="DH656" s="175"/>
      <c r="DI656" s="1049"/>
      <c r="DJ656" s="1127"/>
    </row>
    <row r="657" spans="1:114" s="39" customFormat="1" hidden="1" outlineLevel="1" x14ac:dyDescent="0.25">
      <c r="A657" s="442"/>
      <c r="C657" s="553"/>
      <c r="D657" s="2179"/>
      <c r="E657" s="2179"/>
      <c r="F657" s="2178" t="str">
        <f>$E$587</f>
        <v>GSHP-EER23-Replace_GSHP_ER1_SF</v>
      </c>
      <c r="G657" s="2178"/>
      <c r="H657" s="2178"/>
      <c r="I657" s="1326"/>
      <c r="J657" s="1616">
        <v>869</v>
      </c>
      <c r="K657" s="1371"/>
      <c r="L657" s="2177"/>
      <c r="M657" s="50"/>
      <c r="N657" s="50"/>
      <c r="O657" s="50"/>
      <c r="P657" s="50"/>
      <c r="Q657" s="50"/>
      <c r="R657" s="50"/>
      <c r="S657" s="50"/>
      <c r="V657" s="2179"/>
      <c r="W657" s="794"/>
      <c r="X657" s="794"/>
      <c r="Y657" s="794"/>
      <c r="Z657" s="794"/>
      <c r="AA657" s="794"/>
      <c r="AB657" s="794"/>
      <c r="AC657" s="794"/>
      <c r="AD657" s="794"/>
      <c r="AE657" s="794"/>
      <c r="AF657" s="258">
        <f t="shared" si="119"/>
        <v>869</v>
      </c>
      <c r="AG657" s="794"/>
      <c r="DG657" s="1490"/>
      <c r="DH657" s="1491"/>
      <c r="DI657" s="1063"/>
      <c r="DJ657" s="1127"/>
    </row>
    <row r="658" spans="1:114" s="39" customFormat="1" hidden="1" outlineLevel="1" x14ac:dyDescent="0.25">
      <c r="A658" s="442"/>
      <c r="C658" s="553"/>
      <c r="D658" s="2179"/>
      <c r="E658" s="2179"/>
      <c r="F658" s="2178" t="str">
        <f>$E$589</f>
        <v>GSHP-EER23-Replace_GSHP_ER2_SF</v>
      </c>
      <c r="G658" s="2178"/>
      <c r="H658" s="2178"/>
      <c r="I658" s="1326"/>
      <c r="J658" s="1616">
        <v>869</v>
      </c>
      <c r="K658" s="1371"/>
      <c r="L658" s="2177"/>
      <c r="M658" s="50"/>
      <c r="N658" s="50"/>
      <c r="O658" s="50"/>
      <c r="P658" s="50"/>
      <c r="Q658" s="50"/>
      <c r="R658" s="50"/>
      <c r="S658" s="50"/>
      <c r="V658" s="2179"/>
      <c r="W658" s="794"/>
      <c r="X658" s="794"/>
      <c r="Y658" s="794"/>
      <c r="Z658" s="794"/>
      <c r="AA658" s="794"/>
      <c r="AB658" s="794"/>
      <c r="AC658" s="794"/>
      <c r="AD658" s="794"/>
      <c r="AE658" s="794"/>
      <c r="AF658" s="258">
        <f t="shared" si="119"/>
        <v>869</v>
      </c>
      <c r="AG658" s="794"/>
      <c r="DG658" s="1490"/>
      <c r="DH658" s="1491"/>
      <c r="DI658" s="1063"/>
      <c r="DJ658" s="1127"/>
    </row>
    <row r="659" spans="1:114" ht="15" hidden="1" customHeight="1" outlineLevel="1" x14ac:dyDescent="0.25">
      <c r="A659" s="442"/>
      <c r="C659" s="553"/>
      <c r="D659" s="2179" t="s">
        <v>1204</v>
      </c>
      <c r="E659" s="2179" t="s">
        <v>1163</v>
      </c>
      <c r="F659" s="2176" t="str">
        <f>$E$575</f>
        <v>GSHP-EER23-Replace_CAC_ElectricHeat_ROF_SF</v>
      </c>
      <c r="G659" s="2176"/>
      <c r="H659" s="2176"/>
      <c r="I659" s="1326"/>
      <c r="J659" s="1906">
        <v>13.4</v>
      </c>
      <c r="K659" s="1371"/>
      <c r="L659" s="640" t="s">
        <v>1205</v>
      </c>
      <c r="T659" s="50"/>
      <c r="U659" s="50"/>
      <c r="V659" s="2216" t="s">
        <v>1204</v>
      </c>
      <c r="W659" s="1326">
        <v>13</v>
      </c>
      <c r="X659" s="237">
        <v>14.1</v>
      </c>
      <c r="Y659" s="701">
        <v>14.1</v>
      </c>
      <c r="Z659" s="701">
        <v>14.1</v>
      </c>
      <c r="AA659" s="701">
        <v>14.1</v>
      </c>
      <c r="AB659" s="701">
        <v>14.1</v>
      </c>
      <c r="AC659" s="701">
        <v>14.1</v>
      </c>
      <c r="AD659" s="1494">
        <v>14.1</v>
      </c>
      <c r="AE659" s="1494">
        <v>14.1</v>
      </c>
      <c r="AF659" s="258">
        <f t="shared" si="119"/>
        <v>13.4</v>
      </c>
      <c r="AG659" s="1326"/>
      <c r="DG659" s="555"/>
      <c r="DH659" s="175"/>
      <c r="DI659" s="1049"/>
      <c r="DJ659" s="1127"/>
    </row>
    <row r="660" spans="1:114" hidden="1" outlineLevel="1" x14ac:dyDescent="0.25">
      <c r="A660" s="442"/>
      <c r="C660" s="553"/>
      <c r="D660" s="2179"/>
      <c r="E660" s="2179"/>
      <c r="F660" s="2176" t="str">
        <f>$E$577</f>
        <v>GSHP-EER23-Replace_CAC_ElectricHeat_ER1_SF</v>
      </c>
      <c r="G660" s="2176"/>
      <c r="H660" s="2176"/>
      <c r="I660" s="1326"/>
      <c r="J660" s="1592">
        <v>6.53</v>
      </c>
      <c r="K660" s="1371"/>
      <c r="L660" s="744"/>
      <c r="T660" s="50"/>
      <c r="U660" s="50"/>
      <c r="V660" s="2216"/>
      <c r="W660" s="1326">
        <v>6.8</v>
      </c>
      <c r="X660" s="794">
        <v>6.54</v>
      </c>
      <c r="Y660" s="1326">
        <v>6.54</v>
      </c>
      <c r="Z660" s="1326">
        <v>6.54</v>
      </c>
      <c r="AA660" s="1326">
        <v>6.54</v>
      </c>
      <c r="AB660" s="1326">
        <v>6.54</v>
      </c>
      <c r="AC660" s="199">
        <v>6.3407685330503476</v>
      </c>
      <c r="AD660" s="709">
        <v>6.3407685330503476</v>
      </c>
      <c r="AE660" s="709">
        <v>6.3407685330503476</v>
      </c>
      <c r="AF660" s="258">
        <f t="shared" si="119"/>
        <v>6.53</v>
      </c>
      <c r="AG660" s="1326"/>
      <c r="DG660" s="555"/>
      <c r="DH660" s="175"/>
      <c r="DI660" s="1049"/>
      <c r="DJ660" s="1127"/>
    </row>
    <row r="661" spans="1:114" hidden="1" outlineLevel="1" x14ac:dyDescent="0.25">
      <c r="A661" s="442"/>
      <c r="C661" s="553"/>
      <c r="D661" s="2179"/>
      <c r="E661" s="2179"/>
      <c r="F661" s="2176" t="str">
        <f>$E$579</f>
        <v>GSHP-EER23-Replace_CAC_ElectricHeat_ER2_SF</v>
      </c>
      <c r="G661" s="2176"/>
      <c r="H661" s="2176"/>
      <c r="I661" s="1326"/>
      <c r="J661" s="1616">
        <v>13.4</v>
      </c>
      <c r="K661" s="1371"/>
      <c r="L661" s="640" t="s">
        <v>1205</v>
      </c>
      <c r="T661" s="50"/>
      <c r="U661" s="50"/>
      <c r="V661" s="2216"/>
      <c r="W661" s="1326">
        <v>13</v>
      </c>
      <c r="X661" s="794">
        <v>14.1</v>
      </c>
      <c r="Y661" s="1326">
        <v>14.1</v>
      </c>
      <c r="Z661" s="1326">
        <v>14.1</v>
      </c>
      <c r="AA661" s="1326">
        <v>14.1</v>
      </c>
      <c r="AB661" s="1326">
        <v>14.1</v>
      </c>
      <c r="AC661" s="1326">
        <v>14.1</v>
      </c>
      <c r="AD661" s="1334">
        <v>14.1</v>
      </c>
      <c r="AE661" s="1334">
        <v>14.1</v>
      </c>
      <c r="AF661" s="258">
        <f t="shared" si="119"/>
        <v>13.4</v>
      </c>
      <c r="AG661" s="1326"/>
      <c r="DG661" s="555"/>
      <c r="DH661" s="175"/>
      <c r="DI661" s="1049"/>
      <c r="DJ661" s="1127"/>
    </row>
    <row r="662" spans="1:114" hidden="1" outlineLevel="1" x14ac:dyDescent="0.25">
      <c r="A662" s="442"/>
      <c r="C662" s="553"/>
      <c r="D662" s="2179"/>
      <c r="E662" s="2179"/>
      <c r="F662" s="2176" t="str">
        <f>$E$581</f>
        <v>GSHP-EER23-Replace_ASHP_ER1_SF</v>
      </c>
      <c r="G662" s="2176"/>
      <c r="H662" s="2176"/>
      <c r="I662" s="1326"/>
      <c r="J662" s="1592">
        <v>6.91</v>
      </c>
      <c r="K662" s="1371"/>
      <c r="L662" s="744"/>
      <c r="T662" s="50"/>
      <c r="U662" s="50"/>
      <c r="V662" s="2216"/>
      <c r="W662" s="1326">
        <v>6.8</v>
      </c>
      <c r="X662" s="794">
        <v>12</v>
      </c>
      <c r="Y662" s="1326">
        <v>12</v>
      </c>
      <c r="Z662" s="1326">
        <v>12</v>
      </c>
      <c r="AA662" s="1326">
        <v>12</v>
      </c>
      <c r="AB662" s="1326">
        <v>12</v>
      </c>
      <c r="AC662" s="199">
        <v>9.0644192432638082</v>
      </c>
      <c r="AD662" s="704">
        <v>8.09</v>
      </c>
      <c r="AE662" s="709">
        <v>8.09</v>
      </c>
      <c r="AF662" s="258">
        <f t="shared" si="119"/>
        <v>6.91</v>
      </c>
      <c r="AG662" s="1326"/>
      <c r="DG662" s="555"/>
      <c r="DH662" s="175"/>
      <c r="DI662" s="1049"/>
      <c r="DJ662" s="1127"/>
    </row>
    <row r="663" spans="1:114" hidden="1" outlineLevel="1" x14ac:dyDescent="0.25">
      <c r="A663" s="442"/>
      <c r="C663" s="553"/>
      <c r="D663" s="2179"/>
      <c r="E663" s="2179"/>
      <c r="F663" s="2178" t="str">
        <f>$E$583</f>
        <v>GSHP-EER23-Replace_ASHP_ER2_SF</v>
      </c>
      <c r="G663" s="2178"/>
      <c r="H663" s="2178"/>
      <c r="I663" s="1334"/>
      <c r="J663" s="1616">
        <v>14.3</v>
      </c>
      <c r="K663" s="1307"/>
      <c r="L663" s="744"/>
      <c r="T663" s="50"/>
      <c r="U663" s="50"/>
      <c r="V663" s="2216"/>
      <c r="W663" s="1326"/>
      <c r="X663" s="794"/>
      <c r="Y663" s="1326"/>
      <c r="Z663" s="1326"/>
      <c r="AA663" s="1326"/>
      <c r="AB663" s="926">
        <v>12</v>
      </c>
      <c r="AC663" s="1334">
        <v>12</v>
      </c>
      <c r="AD663" s="1334">
        <v>12</v>
      </c>
      <c r="AE663" s="1334">
        <v>12</v>
      </c>
      <c r="AF663" s="258">
        <f t="shared" si="119"/>
        <v>14.3</v>
      </c>
      <c r="AG663" s="1326"/>
      <c r="DG663" s="555"/>
      <c r="DH663" s="175"/>
      <c r="DI663" s="1049"/>
      <c r="DJ663" s="1127"/>
    </row>
    <row r="664" spans="1:114" hidden="1" outlineLevel="1" x14ac:dyDescent="0.25">
      <c r="A664" s="442"/>
      <c r="C664" s="553"/>
      <c r="D664" s="2179"/>
      <c r="E664" s="2179"/>
      <c r="F664" s="2176" t="str">
        <f>$E$585</f>
        <v>GSHP-EER23_ROF_SF</v>
      </c>
      <c r="G664" s="2176"/>
      <c r="H664" s="2176"/>
      <c r="I664" s="1326"/>
      <c r="J664" s="1616">
        <v>14.3</v>
      </c>
      <c r="K664" s="1371"/>
      <c r="L664" s="744" t="s">
        <v>1206</v>
      </c>
      <c r="T664" s="50"/>
      <c r="U664" s="50"/>
      <c r="V664" s="2216"/>
      <c r="W664" s="1326">
        <v>14.1</v>
      </c>
      <c r="X664" s="794">
        <v>14.1</v>
      </c>
      <c r="Y664" s="1326">
        <v>14.1</v>
      </c>
      <c r="Z664" s="1326">
        <v>14.1</v>
      </c>
      <c r="AA664" s="1326">
        <v>14.1</v>
      </c>
      <c r="AB664" s="1326">
        <v>14.1</v>
      </c>
      <c r="AC664" s="1326">
        <v>14.1</v>
      </c>
      <c r="AD664" s="1334">
        <v>14.1</v>
      </c>
      <c r="AE664" s="1334">
        <v>14.1</v>
      </c>
      <c r="AF664" s="258">
        <f t="shared" si="119"/>
        <v>14.3</v>
      </c>
      <c r="AG664" s="1326"/>
      <c r="DG664" s="555"/>
      <c r="DH664" s="175"/>
      <c r="DI664" s="1049"/>
      <c r="DJ664" s="1127"/>
    </row>
    <row r="665" spans="1:114" s="39" customFormat="1" hidden="1" outlineLevel="1" x14ac:dyDescent="0.25">
      <c r="A665" s="442"/>
      <c r="C665" s="553"/>
      <c r="D665" s="2179"/>
      <c r="E665" s="2179"/>
      <c r="F665" s="2178" t="str">
        <f>$E$587</f>
        <v>GSHP-EER23-Replace_GSHP_ER1_SF</v>
      </c>
      <c r="G665" s="2178"/>
      <c r="H665" s="2178"/>
      <c r="I665" s="1326"/>
      <c r="J665" s="1616">
        <v>13.4</v>
      </c>
      <c r="K665" s="1371"/>
      <c r="L665" s="640" t="s">
        <v>1205</v>
      </c>
      <c r="M665" s="50"/>
      <c r="N665" s="50"/>
      <c r="O665" s="50"/>
      <c r="P665" s="50"/>
      <c r="Q665" s="50"/>
      <c r="R665" s="50"/>
      <c r="S665" s="50"/>
      <c r="V665" s="2216"/>
      <c r="W665" s="794"/>
      <c r="X665" s="794"/>
      <c r="Y665" s="794"/>
      <c r="Z665" s="794"/>
      <c r="AA665" s="794"/>
      <c r="AB665" s="794"/>
      <c r="AC665" s="794"/>
      <c r="AD665" s="926"/>
      <c r="AE665" s="926"/>
      <c r="AF665" s="258">
        <f t="shared" si="119"/>
        <v>13.4</v>
      </c>
      <c r="AG665" s="794"/>
      <c r="DG665" s="1490"/>
      <c r="DH665" s="1491"/>
      <c r="DI665" s="1063"/>
      <c r="DJ665" s="1127"/>
    </row>
    <row r="666" spans="1:114" s="39" customFormat="1" hidden="1" outlineLevel="1" x14ac:dyDescent="0.25">
      <c r="A666" s="442"/>
      <c r="C666" s="553"/>
      <c r="D666" s="2179"/>
      <c r="E666" s="2179"/>
      <c r="F666" s="2178" t="str">
        <f>$E$589</f>
        <v>GSHP-EER23-Replace_GSHP_ER2_SF</v>
      </c>
      <c r="G666" s="2178"/>
      <c r="H666" s="2178"/>
      <c r="I666" s="1326"/>
      <c r="J666" s="1616">
        <v>14.3</v>
      </c>
      <c r="K666" s="1371"/>
      <c r="L666" s="744" t="s">
        <v>1206</v>
      </c>
      <c r="M666" s="50"/>
      <c r="N666" s="50"/>
      <c r="O666" s="50"/>
      <c r="P666" s="50"/>
      <c r="Q666" s="50"/>
      <c r="R666" s="50"/>
      <c r="S666" s="50"/>
      <c r="V666" s="2216"/>
      <c r="W666" s="794"/>
      <c r="X666" s="794"/>
      <c r="Y666" s="794"/>
      <c r="Z666" s="794"/>
      <c r="AA666" s="794"/>
      <c r="AB666" s="794"/>
      <c r="AC666" s="794"/>
      <c r="AD666" s="926"/>
      <c r="AE666" s="926"/>
      <c r="AF666" s="258">
        <f t="shared" si="119"/>
        <v>14.3</v>
      </c>
      <c r="AG666" s="794"/>
      <c r="DG666" s="1490"/>
      <c r="DH666" s="1491"/>
      <c r="DI666" s="1063"/>
      <c r="DJ666" s="1127"/>
    </row>
    <row r="667" spans="1:114" hidden="1" outlineLevel="1" x14ac:dyDescent="0.25">
      <c r="A667" s="442"/>
      <c r="C667" s="553"/>
      <c r="D667" s="2179" t="s">
        <v>1030</v>
      </c>
      <c r="E667" s="2179" t="s">
        <v>1207</v>
      </c>
      <c r="F667" s="2176" t="str">
        <f>$E$575</f>
        <v>GSHP-EER23-Replace_CAC_ElectricHeat_ROF_SF</v>
      </c>
      <c r="G667" s="2176"/>
      <c r="H667" s="2176"/>
      <c r="I667" s="1326"/>
      <c r="J667" s="1604">
        <v>27.75</v>
      </c>
      <c r="K667" s="1307"/>
      <c r="L667" s="2138" t="s">
        <v>1208</v>
      </c>
      <c r="T667" s="50"/>
      <c r="U667" s="50"/>
      <c r="V667" s="2216" t="s">
        <v>1030</v>
      </c>
      <c r="W667" s="1326">
        <v>26.7</v>
      </c>
      <c r="X667" s="794">
        <v>27.07</v>
      </c>
      <c r="Y667" s="237">
        <v>28</v>
      </c>
      <c r="Z667" s="701">
        <v>28</v>
      </c>
      <c r="AA667" s="701">
        <v>28</v>
      </c>
      <c r="AB667" s="708">
        <v>27.751818181818177</v>
      </c>
      <c r="AC667" s="708">
        <v>27.573333333333338</v>
      </c>
      <c r="AD667" s="898">
        <v>28.98</v>
      </c>
      <c r="AE667" s="898">
        <v>29.167010309278364</v>
      </c>
      <c r="AF667" s="258">
        <f t="shared" si="119"/>
        <v>27.75</v>
      </c>
      <c r="AG667" s="1326"/>
      <c r="DG667" s="555"/>
      <c r="DH667" s="175"/>
      <c r="DI667" s="1049"/>
      <c r="DJ667" s="1127"/>
    </row>
    <row r="668" spans="1:114" hidden="1" outlineLevel="1" x14ac:dyDescent="0.25">
      <c r="A668" s="442"/>
      <c r="C668" s="553"/>
      <c r="D668" s="2179"/>
      <c r="E668" s="2179"/>
      <c r="F668" s="2176" t="str">
        <f>$E$577</f>
        <v>GSHP-EER23-Replace_CAC_ElectricHeat_ER1_SF</v>
      </c>
      <c r="G668" s="2176"/>
      <c r="H668" s="2176"/>
      <c r="I668" s="1326"/>
      <c r="J668" s="1604">
        <v>27.75</v>
      </c>
      <c r="K668" s="1307"/>
      <c r="L668" s="2138"/>
      <c r="T668" s="50"/>
      <c r="U668" s="50"/>
      <c r="V668" s="2216"/>
      <c r="W668" s="1326">
        <v>27.2</v>
      </c>
      <c r="X668" s="794">
        <v>27.07</v>
      </c>
      <c r="Y668" s="237">
        <v>28.1</v>
      </c>
      <c r="Z668" s="701">
        <v>28.1</v>
      </c>
      <c r="AA668" s="701">
        <v>28.1</v>
      </c>
      <c r="AB668" s="708">
        <v>29.562499999999996</v>
      </c>
      <c r="AC668" s="708">
        <v>33.647058823529413</v>
      </c>
      <c r="AD668" s="898">
        <v>28.21</v>
      </c>
      <c r="AE668" s="999">
        <v>28.21</v>
      </c>
      <c r="AF668" s="258">
        <f t="shared" si="119"/>
        <v>27.75</v>
      </c>
      <c r="AG668" s="1326"/>
      <c r="DG668" s="555"/>
      <c r="DH668" s="175"/>
      <c r="DI668" s="1049"/>
      <c r="DJ668" s="1127"/>
    </row>
    <row r="669" spans="1:114" hidden="1" outlineLevel="1" x14ac:dyDescent="0.25">
      <c r="A669" s="442"/>
      <c r="C669" s="553"/>
      <c r="D669" s="2179"/>
      <c r="E669" s="2179"/>
      <c r="F669" s="2176" t="str">
        <f>$E$579</f>
        <v>GSHP-EER23-Replace_CAC_ElectricHeat_ER2_SF</v>
      </c>
      <c r="G669" s="2176"/>
      <c r="H669" s="2176"/>
      <c r="I669" s="1326"/>
      <c r="J669" s="1604">
        <v>27.75</v>
      </c>
      <c r="K669" s="244"/>
      <c r="L669" s="2138"/>
      <c r="T669" s="50"/>
      <c r="U669" s="50"/>
      <c r="V669" s="2216"/>
      <c r="W669" s="1326">
        <v>27.2</v>
      </c>
      <c r="X669" s="794">
        <v>27.07</v>
      </c>
      <c r="Y669" s="237">
        <v>28.1</v>
      </c>
      <c r="Z669" s="701">
        <v>28.1</v>
      </c>
      <c r="AA669" s="701">
        <v>28.1</v>
      </c>
      <c r="AB669" s="708">
        <v>29.562499999999996</v>
      </c>
      <c r="AC669" s="708">
        <v>33.647058823529413</v>
      </c>
      <c r="AD669" s="898">
        <v>28.213698630136992</v>
      </c>
      <c r="AE669" s="999">
        <v>28.21</v>
      </c>
      <c r="AF669" s="258">
        <f t="shared" si="119"/>
        <v>27.75</v>
      </c>
      <c r="AG669" s="1326"/>
      <c r="DG669" s="555"/>
      <c r="DH669" s="175"/>
      <c r="DI669" s="1049"/>
      <c r="DJ669" s="1127"/>
    </row>
    <row r="670" spans="1:114" hidden="1" outlineLevel="1" x14ac:dyDescent="0.25">
      <c r="A670" s="442"/>
      <c r="C670" s="553"/>
      <c r="D670" s="2179"/>
      <c r="E670" s="2179"/>
      <c r="F670" s="2176" t="str">
        <f>$E$581</f>
        <v>GSHP-EER23-Replace_ASHP_ER1_SF</v>
      </c>
      <c r="G670" s="2176"/>
      <c r="H670" s="2176"/>
      <c r="I670" s="1326"/>
      <c r="J670" s="1604">
        <v>27.75</v>
      </c>
      <c r="K670" s="244"/>
      <c r="L670" s="2138"/>
      <c r="T670" s="50"/>
      <c r="U670" s="50"/>
      <c r="V670" s="2216"/>
      <c r="W670" s="1326">
        <v>27.2</v>
      </c>
      <c r="X670" s="794">
        <v>27.07</v>
      </c>
      <c r="Y670" s="237">
        <v>28</v>
      </c>
      <c r="Z670" s="701">
        <v>28</v>
      </c>
      <c r="AA670" s="701">
        <v>28</v>
      </c>
      <c r="AB670" s="708">
        <v>27.412765957446812</v>
      </c>
      <c r="AC670" s="708">
        <v>27.739508196721314</v>
      </c>
      <c r="AD670" s="898">
        <v>28.213698630136992</v>
      </c>
      <c r="AE670" s="999">
        <v>28.21</v>
      </c>
      <c r="AF670" s="258">
        <f t="shared" si="119"/>
        <v>27.75</v>
      </c>
      <c r="AG670" s="1326"/>
      <c r="DG670" s="555"/>
      <c r="DH670" s="175"/>
      <c r="DI670" s="1049"/>
      <c r="DJ670" s="1127"/>
    </row>
    <row r="671" spans="1:114" hidden="1" outlineLevel="1" x14ac:dyDescent="0.25">
      <c r="A671" s="442"/>
      <c r="C671" s="553"/>
      <c r="D671" s="2179"/>
      <c r="E671" s="2179"/>
      <c r="F671" s="2178" t="str">
        <f>$E$583</f>
        <v>GSHP-EER23-Replace_ASHP_ER2_SF</v>
      </c>
      <c r="G671" s="2178"/>
      <c r="H671" s="2178"/>
      <c r="I671" s="1326"/>
      <c r="J671" s="1604">
        <v>27.75</v>
      </c>
      <c r="K671" s="244"/>
      <c r="L671" s="2138"/>
      <c r="T671" s="50"/>
      <c r="U671" s="50"/>
      <c r="V671" s="2216"/>
      <c r="W671" s="1326"/>
      <c r="X671" s="794"/>
      <c r="Y671" s="237"/>
      <c r="Z671" s="701"/>
      <c r="AA671" s="701"/>
      <c r="AB671" s="708">
        <v>27.412765957446812</v>
      </c>
      <c r="AC671" s="708">
        <v>27.739508196721314</v>
      </c>
      <c r="AD671" s="898">
        <v>28.213698630136992</v>
      </c>
      <c r="AE671" s="999">
        <v>28.21</v>
      </c>
      <c r="AF671" s="258">
        <f t="shared" si="119"/>
        <v>27.75</v>
      </c>
      <c r="AG671" s="1326"/>
      <c r="DG671" s="555"/>
      <c r="DH671" s="175"/>
      <c r="DI671" s="1049"/>
      <c r="DJ671" s="1127"/>
    </row>
    <row r="672" spans="1:114" hidden="1" outlineLevel="1" x14ac:dyDescent="0.25">
      <c r="A672" s="442"/>
      <c r="C672" s="553"/>
      <c r="D672" s="2179"/>
      <c r="E672" s="2179"/>
      <c r="F672" s="2176" t="str">
        <f>$E$585</f>
        <v>GSHP-EER23_ROF_SF</v>
      </c>
      <c r="G672" s="2176"/>
      <c r="H672" s="2176"/>
      <c r="I672" s="1326"/>
      <c r="J672" s="1604">
        <v>27.75</v>
      </c>
      <c r="K672" s="244"/>
      <c r="L672" s="2138"/>
      <c r="T672" s="50"/>
      <c r="U672" s="50"/>
      <c r="V672" s="2216"/>
      <c r="W672" s="1326">
        <v>26.7</v>
      </c>
      <c r="X672" s="794">
        <v>27.07</v>
      </c>
      <c r="Y672" s="237">
        <v>28</v>
      </c>
      <c r="Z672" s="701">
        <v>28</v>
      </c>
      <c r="AA672" s="701">
        <v>28</v>
      </c>
      <c r="AB672" s="708">
        <v>27.543478260869559</v>
      </c>
      <c r="AC672" s="708">
        <v>27.846590909090903</v>
      </c>
      <c r="AD672" s="898">
        <v>28.98468468468467</v>
      </c>
      <c r="AE672" s="898">
        <v>29.167010309278364</v>
      </c>
      <c r="AF672" s="258">
        <f t="shared" si="119"/>
        <v>27.75</v>
      </c>
      <c r="AG672" s="1326"/>
      <c r="DG672" s="555"/>
      <c r="DH672" s="175"/>
      <c r="DI672" s="1049"/>
      <c r="DJ672" s="1127"/>
    </row>
    <row r="673" spans="1:114" s="39" customFormat="1" hidden="1" outlineLevel="1" x14ac:dyDescent="0.25">
      <c r="A673" s="442"/>
      <c r="C673" s="553"/>
      <c r="D673" s="2179"/>
      <c r="E673" s="2179"/>
      <c r="F673" s="2178" t="str">
        <f>$E$587</f>
        <v>GSHP-EER23-Replace_GSHP_ER1_SF</v>
      </c>
      <c r="G673" s="2178"/>
      <c r="H673" s="2178"/>
      <c r="I673" s="1326"/>
      <c r="J673" s="1604">
        <v>27.75</v>
      </c>
      <c r="K673" s="244"/>
      <c r="L673" s="2138"/>
      <c r="M673" s="50"/>
      <c r="N673" s="50"/>
      <c r="O673" s="50"/>
      <c r="P673" s="50"/>
      <c r="Q673" s="50"/>
      <c r="R673" s="50"/>
      <c r="S673" s="50"/>
      <c r="V673" s="2216"/>
      <c r="W673" s="794"/>
      <c r="X673" s="794"/>
      <c r="Y673" s="237"/>
      <c r="Z673" s="237"/>
      <c r="AA673" s="237"/>
      <c r="AB673" s="708"/>
      <c r="AC673" s="708"/>
      <c r="AD673" s="898"/>
      <c r="AE673" s="898"/>
      <c r="AF673" s="258">
        <f t="shared" si="119"/>
        <v>27.75</v>
      </c>
      <c r="AG673" s="794"/>
      <c r="DG673" s="1490"/>
      <c r="DH673" s="1491"/>
      <c r="DI673" s="1063"/>
      <c r="DJ673" s="1127"/>
    </row>
    <row r="674" spans="1:114" s="39" customFormat="1" hidden="1" outlineLevel="1" x14ac:dyDescent="0.25">
      <c r="A674" s="442"/>
      <c r="C674" s="553"/>
      <c r="D674" s="2179"/>
      <c r="E674" s="2179"/>
      <c r="F674" s="2178" t="str">
        <f>$E$589</f>
        <v>GSHP-EER23-Replace_GSHP_ER2_SF</v>
      </c>
      <c r="G674" s="2178"/>
      <c r="H674" s="2178"/>
      <c r="I674" s="1326"/>
      <c r="J674" s="1604">
        <v>27.75</v>
      </c>
      <c r="K674" s="244"/>
      <c r="L674" s="2138"/>
      <c r="M674" s="50"/>
      <c r="N674" s="50"/>
      <c r="O674" s="50"/>
      <c r="P674" s="50"/>
      <c r="Q674" s="50"/>
      <c r="R674" s="50"/>
      <c r="S674" s="50"/>
      <c r="V674" s="2216"/>
      <c r="W674" s="794"/>
      <c r="X674" s="794"/>
      <c r="Y674" s="237"/>
      <c r="Z674" s="237"/>
      <c r="AA674" s="237"/>
      <c r="AB674" s="708"/>
      <c r="AC674" s="708"/>
      <c r="AD674" s="898"/>
      <c r="AE674" s="898"/>
      <c r="AF674" s="258">
        <f t="shared" si="119"/>
        <v>27.75</v>
      </c>
      <c r="AG674" s="794"/>
      <c r="DG674" s="1490"/>
      <c r="DH674" s="1491"/>
      <c r="DI674" s="1063"/>
      <c r="DJ674" s="1127"/>
    </row>
    <row r="675" spans="1:114" ht="26.25" hidden="1" customHeight="1" outlineLevel="1" x14ac:dyDescent="0.25">
      <c r="A675" s="442"/>
      <c r="C675" s="553"/>
      <c r="D675" s="1306" t="s">
        <v>104</v>
      </c>
      <c r="E675" s="1306" t="s">
        <v>951</v>
      </c>
      <c r="F675" s="2188" t="s">
        <v>734</v>
      </c>
      <c r="G675" s="2188"/>
      <c r="H675" s="2188"/>
      <c r="I675" s="1334"/>
      <c r="J675" s="1560">
        <v>1</v>
      </c>
      <c r="K675" s="244"/>
      <c r="L675" s="744" t="s">
        <v>1037</v>
      </c>
      <c r="T675" s="39"/>
      <c r="U675" s="39"/>
      <c r="V675" s="1306" t="s">
        <v>104</v>
      </c>
      <c r="W675" s="926"/>
      <c r="X675" s="926"/>
      <c r="Y675" s="708"/>
      <c r="Z675" s="926"/>
      <c r="AA675" s="1495"/>
      <c r="AB675" s="1496">
        <v>1</v>
      </c>
      <c r="AC675" s="1109">
        <v>1</v>
      </c>
      <c r="AD675" s="1109">
        <v>1</v>
      </c>
      <c r="AE675" s="1109">
        <v>1</v>
      </c>
      <c r="AF675" s="258">
        <f t="shared" ref="AF675:AF703" si="121">IF(J675&lt;&gt;"",J675,"")</f>
        <v>1</v>
      </c>
      <c r="AG675" s="926"/>
      <c r="AH675" s="39"/>
      <c r="AI675" s="39"/>
      <c r="AJ675" s="39"/>
      <c r="AK675" s="39"/>
      <c r="AL675" s="39"/>
      <c r="AM675" s="39"/>
      <c r="AN675" s="39"/>
      <c r="AO675" s="39"/>
      <c r="AP675" s="39"/>
      <c r="AQ675" s="39"/>
      <c r="AR675" s="39"/>
      <c r="AS675" s="39"/>
      <c r="AT675" s="39"/>
      <c r="AU675" s="39"/>
      <c r="AV675" s="39"/>
      <c r="AW675" s="39"/>
      <c r="AX675" s="39"/>
      <c r="DG675" s="555"/>
      <c r="DH675" s="175"/>
      <c r="DI675" s="1049"/>
      <c r="DJ675" s="1127"/>
    </row>
    <row r="676" spans="1:114" hidden="1" outlineLevel="1" x14ac:dyDescent="0.25">
      <c r="A676" s="442"/>
      <c r="B676" s="169"/>
      <c r="C676" s="553"/>
      <c r="D676" s="2179" t="s">
        <v>49</v>
      </c>
      <c r="E676" s="2179" t="s">
        <v>792</v>
      </c>
      <c r="F676" s="2176" t="str">
        <f t="shared" ref="F676:F687" si="122">E575</f>
        <v>GSHP-EER23-Replace_CAC_ElectricHeat_ROF_SF</v>
      </c>
      <c r="G676" s="2176"/>
      <c r="H676" s="2176"/>
      <c r="I676" s="1326"/>
      <c r="J676" s="1522">
        <v>25</v>
      </c>
      <c r="K676" s="1371"/>
      <c r="L676" s="2210" t="s">
        <v>1209</v>
      </c>
      <c r="T676" s="50"/>
      <c r="U676" s="50"/>
      <c r="V676" s="2179" t="s">
        <v>49</v>
      </c>
      <c r="W676" s="1326">
        <v>18</v>
      </c>
      <c r="X676" s="1326">
        <v>18</v>
      </c>
      <c r="Y676" s="1326">
        <v>18</v>
      </c>
      <c r="Z676" s="1326">
        <v>18</v>
      </c>
      <c r="AA676" s="1326">
        <v>18</v>
      </c>
      <c r="AB676" s="1326">
        <v>18</v>
      </c>
      <c r="AC676" s="1326">
        <v>18</v>
      </c>
      <c r="AD676" s="1326">
        <v>18</v>
      </c>
      <c r="AE676" s="1326">
        <v>18</v>
      </c>
      <c r="AF676" s="258">
        <f t="shared" si="121"/>
        <v>25</v>
      </c>
      <c r="AG676" s="1326"/>
      <c r="DG676" s="555"/>
      <c r="DH676" s="175"/>
      <c r="DI676" s="1049"/>
      <c r="DJ676" s="1127"/>
    </row>
    <row r="677" spans="1:114" hidden="1" outlineLevel="1" x14ac:dyDescent="0.25">
      <c r="A677" s="442"/>
      <c r="B677" s="169"/>
      <c r="C677" s="553"/>
      <c r="D677" s="2179"/>
      <c r="E677" s="2179"/>
      <c r="F677" s="2176" t="str">
        <f t="shared" si="122"/>
        <v>GSHP-EER23-Replace_CAC_ElectricHeat_ROF_SF</v>
      </c>
      <c r="G677" s="2176"/>
      <c r="H677" s="2176"/>
      <c r="I677" s="1326"/>
      <c r="J677" s="1522">
        <v>25</v>
      </c>
      <c r="K677" s="1371"/>
      <c r="L677" s="2211"/>
      <c r="T677" s="50"/>
      <c r="U677" s="50"/>
      <c r="V677" s="2179"/>
      <c r="W677" s="1326">
        <v>18</v>
      </c>
      <c r="X677" s="1326">
        <v>18</v>
      </c>
      <c r="Y677" s="1326">
        <v>18</v>
      </c>
      <c r="Z677" s="1326">
        <v>18</v>
      </c>
      <c r="AA677" s="1326">
        <v>18</v>
      </c>
      <c r="AB677" s="1326">
        <v>18</v>
      </c>
      <c r="AC677" s="1326">
        <v>18</v>
      </c>
      <c r="AD677" s="1326">
        <v>18</v>
      </c>
      <c r="AE677" s="1326">
        <v>18</v>
      </c>
      <c r="AF677" s="258">
        <f t="shared" si="121"/>
        <v>25</v>
      </c>
      <c r="AG677" s="1326"/>
      <c r="DG677" s="555"/>
      <c r="DH677" s="175"/>
      <c r="DI677" s="1049"/>
      <c r="DJ677" s="1127"/>
    </row>
    <row r="678" spans="1:114" hidden="1" outlineLevel="1" x14ac:dyDescent="0.25">
      <c r="A678" s="442"/>
      <c r="B678" s="169"/>
      <c r="C678" s="553"/>
      <c r="D678" s="2179"/>
      <c r="E678" s="2179"/>
      <c r="F678" s="2176" t="str">
        <f t="shared" si="122"/>
        <v>GSHP-EER23-Replace_CAC_ElectricHeat_ER1_SF</v>
      </c>
      <c r="G678" s="2176"/>
      <c r="H678" s="2176"/>
      <c r="I678" s="1326"/>
      <c r="J678" s="1522">
        <v>6</v>
      </c>
      <c r="K678" s="1489"/>
      <c r="L678" s="2211"/>
      <c r="T678" s="50"/>
      <c r="U678" s="50"/>
      <c r="V678" s="2179"/>
      <c r="W678" s="1326">
        <v>6</v>
      </c>
      <c r="X678" s="1326">
        <v>6</v>
      </c>
      <c r="Y678" s="1326">
        <v>6</v>
      </c>
      <c r="Z678" s="1326">
        <v>6</v>
      </c>
      <c r="AA678" s="1326">
        <v>6</v>
      </c>
      <c r="AB678" s="1326">
        <v>6</v>
      </c>
      <c r="AC678" s="1326">
        <v>6</v>
      </c>
      <c r="AD678" s="1326">
        <v>6</v>
      </c>
      <c r="AE678" s="1326">
        <v>6</v>
      </c>
      <c r="AF678" s="258">
        <f t="shared" si="121"/>
        <v>6</v>
      </c>
      <c r="AG678" s="1326"/>
      <c r="DG678" s="555"/>
      <c r="DH678" s="175"/>
      <c r="DI678" s="1049"/>
      <c r="DJ678" s="1127"/>
    </row>
    <row r="679" spans="1:114" hidden="1" outlineLevel="1" x14ac:dyDescent="0.25">
      <c r="A679" s="442"/>
      <c r="B679" s="169"/>
      <c r="C679" s="553"/>
      <c r="D679" s="2179"/>
      <c r="E679" s="2179"/>
      <c r="F679" s="2176" t="str">
        <f t="shared" si="122"/>
        <v>GSHP-EER23-Replace_CAC_ElectricHeat_ER1_SF</v>
      </c>
      <c r="G679" s="2176"/>
      <c r="H679" s="2176"/>
      <c r="I679" s="1326"/>
      <c r="J679" s="1522">
        <v>6</v>
      </c>
      <c r="K679" s="1489"/>
      <c r="L679" s="2211"/>
      <c r="T679" s="50"/>
      <c r="U679" s="50"/>
      <c r="V679" s="2179"/>
      <c r="W679" s="1326">
        <v>6</v>
      </c>
      <c r="X679" s="1326">
        <v>6</v>
      </c>
      <c r="Y679" s="1326">
        <v>6</v>
      </c>
      <c r="Z679" s="1326">
        <v>6</v>
      </c>
      <c r="AA679" s="1326">
        <v>6</v>
      </c>
      <c r="AB679" s="1326">
        <v>6</v>
      </c>
      <c r="AC679" s="1326">
        <v>6</v>
      </c>
      <c r="AD679" s="1326">
        <v>6</v>
      </c>
      <c r="AE679" s="1326">
        <v>6</v>
      </c>
      <c r="AF679" s="258">
        <f t="shared" si="121"/>
        <v>6</v>
      </c>
      <c r="AG679" s="1326"/>
      <c r="DG679" s="555"/>
      <c r="DH679" s="175"/>
      <c r="DI679" s="1049"/>
      <c r="DJ679" s="1127"/>
    </row>
    <row r="680" spans="1:114" hidden="1" outlineLevel="1" x14ac:dyDescent="0.25">
      <c r="A680" s="442"/>
      <c r="B680" s="169"/>
      <c r="C680" s="553"/>
      <c r="D680" s="2179"/>
      <c r="E680" s="2179"/>
      <c r="F680" s="2176" t="str">
        <f t="shared" si="122"/>
        <v>GSHP-EER23-Replace_CAC_ElectricHeat_ER2_SF</v>
      </c>
      <c r="G680" s="2176"/>
      <c r="H680" s="2176"/>
      <c r="I680" s="1326"/>
      <c r="J680" s="1522">
        <f>25-6</f>
        <v>19</v>
      </c>
      <c r="K680" s="1371"/>
      <c r="L680" s="2211"/>
      <c r="T680" s="50"/>
      <c r="U680" s="50"/>
      <c r="V680" s="2179"/>
      <c r="W680" s="1326">
        <v>12</v>
      </c>
      <c r="X680" s="1326">
        <v>12</v>
      </c>
      <c r="Y680" s="1326">
        <v>12</v>
      </c>
      <c r="Z680" s="1326">
        <v>12</v>
      </c>
      <c r="AA680" s="1326">
        <v>12</v>
      </c>
      <c r="AB680" s="1326">
        <v>12</v>
      </c>
      <c r="AC680" s="1326">
        <v>12</v>
      </c>
      <c r="AD680" s="1326">
        <v>12</v>
      </c>
      <c r="AE680" s="1326">
        <v>12</v>
      </c>
      <c r="AF680" s="258">
        <f t="shared" si="121"/>
        <v>19</v>
      </c>
      <c r="AG680" s="1326"/>
      <c r="DG680" s="555"/>
      <c r="DH680" s="175"/>
      <c r="DI680" s="1049"/>
      <c r="DJ680" s="1127"/>
    </row>
    <row r="681" spans="1:114" hidden="1" outlineLevel="1" x14ac:dyDescent="0.25">
      <c r="A681" s="442"/>
      <c r="B681" s="169"/>
      <c r="C681" s="553"/>
      <c r="D681" s="2179"/>
      <c r="E681" s="2179"/>
      <c r="F681" s="2176" t="str">
        <f t="shared" si="122"/>
        <v>GSHP-EER23-Replace_CAC_ElectricHeat_ER2_SF</v>
      </c>
      <c r="G681" s="2176"/>
      <c r="H681" s="2176"/>
      <c r="I681" s="1326"/>
      <c r="J681" s="1522">
        <f>25-6</f>
        <v>19</v>
      </c>
      <c r="K681" s="1371"/>
      <c r="L681" s="2211"/>
      <c r="T681" s="50"/>
      <c r="U681" s="50"/>
      <c r="V681" s="2179"/>
      <c r="W681" s="1326">
        <v>12</v>
      </c>
      <c r="X681" s="1326">
        <v>12</v>
      </c>
      <c r="Y681" s="1326">
        <v>12</v>
      </c>
      <c r="Z681" s="1326">
        <v>12</v>
      </c>
      <c r="AA681" s="1326">
        <v>12</v>
      </c>
      <c r="AB681" s="1326">
        <v>12</v>
      </c>
      <c r="AC681" s="1326">
        <v>12</v>
      </c>
      <c r="AD681" s="1326">
        <v>12</v>
      </c>
      <c r="AE681" s="1326">
        <v>12</v>
      </c>
      <c r="AF681" s="258">
        <f t="shared" si="121"/>
        <v>19</v>
      </c>
      <c r="AG681" s="1326"/>
      <c r="DG681" s="555"/>
      <c r="DH681" s="175"/>
      <c r="DI681" s="1049"/>
      <c r="DJ681" s="1127"/>
    </row>
    <row r="682" spans="1:114" hidden="1" outlineLevel="1" x14ac:dyDescent="0.25">
      <c r="A682" s="442"/>
      <c r="B682" s="169"/>
      <c r="C682" s="553"/>
      <c r="D682" s="2179"/>
      <c r="E682" s="2179"/>
      <c r="F682" s="2176" t="str">
        <f t="shared" si="122"/>
        <v>GSHP-EER23-Replace_ASHP_ER1_SF</v>
      </c>
      <c r="G682" s="2176"/>
      <c r="H682" s="2176"/>
      <c r="I682" s="1326"/>
      <c r="J682" s="1522">
        <v>6</v>
      </c>
      <c r="K682" s="1489"/>
      <c r="L682" s="2211"/>
      <c r="T682" s="50"/>
      <c r="U682" s="50"/>
      <c r="V682" s="2179"/>
      <c r="W682" s="1326">
        <v>6</v>
      </c>
      <c r="X682" s="1326">
        <v>6</v>
      </c>
      <c r="Y682" s="1326">
        <v>6</v>
      </c>
      <c r="Z682" s="1326">
        <v>6</v>
      </c>
      <c r="AA682" s="1326">
        <v>6</v>
      </c>
      <c r="AB682" s="1326">
        <v>6</v>
      </c>
      <c r="AC682" s="1326">
        <v>6</v>
      </c>
      <c r="AD682" s="1326">
        <v>6</v>
      </c>
      <c r="AE682" s="1326">
        <v>6</v>
      </c>
      <c r="AF682" s="258">
        <f t="shared" si="121"/>
        <v>6</v>
      </c>
      <c r="AG682" s="1326"/>
      <c r="DG682" s="555"/>
      <c r="DH682" s="175"/>
      <c r="DI682" s="1049"/>
      <c r="DJ682" s="1127"/>
    </row>
    <row r="683" spans="1:114" hidden="1" outlineLevel="1" x14ac:dyDescent="0.25">
      <c r="A683" s="442"/>
      <c r="B683" s="169"/>
      <c r="C683" s="553"/>
      <c r="D683" s="2179"/>
      <c r="E683" s="2179"/>
      <c r="F683" s="2176" t="str">
        <f t="shared" si="122"/>
        <v>GSHP-EER23-Replace_ASHP_ER1_SF</v>
      </c>
      <c r="G683" s="2176"/>
      <c r="H683" s="2176"/>
      <c r="I683" s="1326"/>
      <c r="J683" s="1522">
        <v>6</v>
      </c>
      <c r="K683" s="1489"/>
      <c r="L683" s="2211"/>
      <c r="T683" s="50"/>
      <c r="U683" s="50"/>
      <c r="V683" s="2179"/>
      <c r="W683" s="1326">
        <v>6</v>
      </c>
      <c r="X683" s="1326">
        <v>6</v>
      </c>
      <c r="Y683" s="1326">
        <v>6</v>
      </c>
      <c r="Z683" s="1326">
        <v>6</v>
      </c>
      <c r="AA683" s="1326">
        <v>6</v>
      </c>
      <c r="AB683" s="1326">
        <v>6</v>
      </c>
      <c r="AC683" s="1326">
        <v>6</v>
      </c>
      <c r="AD683" s="1326">
        <v>6</v>
      </c>
      <c r="AE683" s="1326">
        <v>6</v>
      </c>
      <c r="AF683" s="258">
        <f t="shared" si="121"/>
        <v>6</v>
      </c>
      <c r="AG683" s="1326"/>
      <c r="DG683" s="555"/>
      <c r="DH683" s="175"/>
      <c r="DI683" s="1049"/>
      <c r="DJ683" s="1127"/>
    </row>
    <row r="684" spans="1:114" hidden="1" outlineLevel="1" x14ac:dyDescent="0.25">
      <c r="A684" s="442"/>
      <c r="B684" s="169"/>
      <c r="C684" s="553"/>
      <c r="D684" s="2179"/>
      <c r="E684" s="2179"/>
      <c r="F684" s="2176" t="str">
        <f t="shared" si="122"/>
        <v>GSHP-EER23-Replace_ASHP_ER2_SF</v>
      </c>
      <c r="G684" s="2176"/>
      <c r="H684" s="2176"/>
      <c r="I684" s="1326"/>
      <c r="J684" s="1522">
        <f>25-6</f>
        <v>19</v>
      </c>
      <c r="K684" s="1371"/>
      <c r="L684" s="2211"/>
      <c r="T684" s="50"/>
      <c r="U684" s="50"/>
      <c r="V684" s="2179"/>
      <c r="W684" s="1326">
        <v>12</v>
      </c>
      <c r="X684" s="1326">
        <v>12</v>
      </c>
      <c r="Y684" s="1326">
        <v>12</v>
      </c>
      <c r="Z684" s="1326">
        <v>12</v>
      </c>
      <c r="AA684" s="1326">
        <v>12</v>
      </c>
      <c r="AB684" s="1326">
        <v>12</v>
      </c>
      <c r="AC684" s="1326">
        <v>12</v>
      </c>
      <c r="AD684" s="1326">
        <v>12</v>
      </c>
      <c r="AE684" s="1326">
        <v>12</v>
      </c>
      <c r="AF684" s="258">
        <f t="shared" si="121"/>
        <v>19</v>
      </c>
      <c r="AG684" s="1326"/>
      <c r="DG684" s="555"/>
      <c r="DH684" s="175"/>
      <c r="DI684" s="1049"/>
      <c r="DJ684" s="1127"/>
    </row>
    <row r="685" spans="1:114" hidden="1" outlineLevel="1" x14ac:dyDescent="0.25">
      <c r="A685" s="442"/>
      <c r="B685" s="169"/>
      <c r="C685" s="553"/>
      <c r="D685" s="2179"/>
      <c r="E685" s="2179"/>
      <c r="F685" s="2176" t="str">
        <f t="shared" si="122"/>
        <v>GSHP-EER23-Replace_ASHP_ER2_SF</v>
      </c>
      <c r="G685" s="2176"/>
      <c r="H685" s="2176"/>
      <c r="I685" s="1326"/>
      <c r="J685" s="1522">
        <f>25-6</f>
        <v>19</v>
      </c>
      <c r="K685" s="1489"/>
      <c r="L685" s="2211"/>
      <c r="T685" s="50"/>
      <c r="U685" s="50"/>
      <c r="V685" s="2179"/>
      <c r="W685" s="1326">
        <v>12</v>
      </c>
      <c r="X685" s="1326">
        <v>12</v>
      </c>
      <c r="Y685" s="1326">
        <v>12</v>
      </c>
      <c r="Z685" s="1326">
        <v>12</v>
      </c>
      <c r="AA685" s="1326">
        <v>12</v>
      </c>
      <c r="AB685" s="1326">
        <v>12</v>
      </c>
      <c r="AC685" s="1326">
        <v>12</v>
      </c>
      <c r="AD685" s="1326">
        <v>12</v>
      </c>
      <c r="AE685" s="1326">
        <v>12</v>
      </c>
      <c r="AF685" s="258">
        <f t="shared" si="121"/>
        <v>19</v>
      </c>
      <c r="AG685" s="1326"/>
      <c r="DG685" s="555"/>
      <c r="DH685" s="175"/>
      <c r="DI685" s="1049"/>
      <c r="DJ685" s="1127"/>
    </row>
    <row r="686" spans="1:114" hidden="1" outlineLevel="1" x14ac:dyDescent="0.25">
      <c r="A686" s="442"/>
      <c r="B686" s="169"/>
      <c r="C686" s="553"/>
      <c r="D686" s="2179"/>
      <c r="E686" s="2179"/>
      <c r="F686" s="2176" t="str">
        <f t="shared" si="122"/>
        <v>GSHP-EER23_ROF_SF</v>
      </c>
      <c r="G686" s="2176"/>
      <c r="H686" s="2176"/>
      <c r="I686" s="1326"/>
      <c r="J686" s="1522">
        <v>25</v>
      </c>
      <c r="K686" s="1489"/>
      <c r="L686" s="2211"/>
      <c r="T686" s="50"/>
      <c r="U686" s="50"/>
      <c r="V686" s="2179"/>
      <c r="W686" s="1326">
        <v>18</v>
      </c>
      <c r="X686" s="1326">
        <v>18</v>
      </c>
      <c r="Y686" s="1326">
        <v>18</v>
      </c>
      <c r="Z686" s="1326">
        <v>18</v>
      </c>
      <c r="AA686" s="1326">
        <v>18</v>
      </c>
      <c r="AB686" s="1326">
        <v>18</v>
      </c>
      <c r="AC686" s="1326">
        <v>18</v>
      </c>
      <c r="AD686" s="1326">
        <v>18</v>
      </c>
      <c r="AE686" s="1326">
        <v>18</v>
      </c>
      <c r="AF686" s="258">
        <f t="shared" si="121"/>
        <v>25</v>
      </c>
      <c r="AG686" s="1326"/>
      <c r="DG686" s="555"/>
      <c r="DH686" s="175"/>
      <c r="DI686" s="1049"/>
      <c r="DJ686" s="1127"/>
    </row>
    <row r="687" spans="1:114" hidden="1" outlineLevel="1" x14ac:dyDescent="0.25">
      <c r="A687" s="442"/>
      <c r="B687" s="169"/>
      <c r="C687" s="553"/>
      <c r="D687" s="2179"/>
      <c r="E687" s="2179"/>
      <c r="F687" s="2176" t="str">
        <f t="shared" si="122"/>
        <v>GSHP-EER23_ROF_SF</v>
      </c>
      <c r="G687" s="2176"/>
      <c r="H687" s="2176"/>
      <c r="I687" s="1326"/>
      <c r="J687" s="1522">
        <v>25</v>
      </c>
      <c r="K687" s="1489"/>
      <c r="L687" s="2211"/>
      <c r="T687" s="50"/>
      <c r="U687" s="50"/>
      <c r="V687" s="2179"/>
      <c r="W687" s="1326">
        <v>18</v>
      </c>
      <c r="X687" s="1326">
        <v>18</v>
      </c>
      <c r="Y687" s="1326">
        <v>18</v>
      </c>
      <c r="Z687" s="1326">
        <v>18</v>
      </c>
      <c r="AA687" s="1326">
        <v>18</v>
      </c>
      <c r="AB687" s="1326">
        <v>18</v>
      </c>
      <c r="AC687" s="1326">
        <v>18</v>
      </c>
      <c r="AD687" s="1326">
        <v>18</v>
      </c>
      <c r="AE687" s="1326">
        <v>18</v>
      </c>
      <c r="AF687" s="258">
        <f t="shared" si="121"/>
        <v>25</v>
      </c>
      <c r="AG687" s="1326"/>
      <c r="DG687" s="555"/>
      <c r="DH687" s="175"/>
      <c r="DI687" s="1049"/>
      <c r="DJ687" s="1127"/>
    </row>
    <row r="688" spans="1:114" s="39" customFormat="1" hidden="1" outlineLevel="1" x14ac:dyDescent="0.25">
      <c r="A688" s="442"/>
      <c r="B688" s="145"/>
      <c r="C688" s="553"/>
      <c r="D688" s="2179"/>
      <c r="E688" s="2179"/>
      <c r="F688" s="2178" t="str">
        <f>$E$587</f>
        <v>GSHP-EER23-Replace_GSHP_ER1_SF</v>
      </c>
      <c r="G688" s="2178"/>
      <c r="H688" s="2178"/>
      <c r="I688" s="1326"/>
      <c r="J688" s="1522">
        <v>6</v>
      </c>
      <c r="K688" s="1489"/>
      <c r="L688" s="2211"/>
      <c r="M688" s="50"/>
      <c r="N688" s="50"/>
      <c r="O688" s="50"/>
      <c r="P688" s="50"/>
      <c r="Q688" s="50"/>
      <c r="R688" s="50"/>
      <c r="S688" s="50"/>
      <c r="V688" s="2179"/>
      <c r="W688" s="794"/>
      <c r="X688" s="794"/>
      <c r="Y688" s="794"/>
      <c r="Z688" s="794"/>
      <c r="AA688" s="794"/>
      <c r="AB688" s="794"/>
      <c r="AC688" s="794"/>
      <c r="AD688" s="794"/>
      <c r="AE688" s="794"/>
      <c r="AF688" s="258">
        <f t="shared" si="121"/>
        <v>6</v>
      </c>
      <c r="AG688" s="794"/>
      <c r="DG688" s="1490"/>
      <c r="DH688" s="1491"/>
      <c r="DI688" s="1063"/>
      <c r="DJ688" s="1127"/>
    </row>
    <row r="689" spans="1:114" s="39" customFormat="1" hidden="1" outlineLevel="1" x14ac:dyDescent="0.25">
      <c r="A689" s="442"/>
      <c r="B689" s="145"/>
      <c r="C689" s="553"/>
      <c r="D689" s="2179"/>
      <c r="E689" s="2179"/>
      <c r="F689" s="2178" t="str">
        <f>$E$589</f>
        <v>GSHP-EER23-Replace_GSHP_ER2_SF</v>
      </c>
      <c r="G689" s="2178"/>
      <c r="H689" s="2178"/>
      <c r="I689" s="1326"/>
      <c r="J689" s="1522">
        <f>25-6</f>
        <v>19</v>
      </c>
      <c r="K689" s="1489"/>
      <c r="L689" s="2217"/>
      <c r="M689" s="50"/>
      <c r="N689" s="50"/>
      <c r="O689" s="50"/>
      <c r="P689" s="50"/>
      <c r="Q689" s="50"/>
      <c r="R689" s="50"/>
      <c r="S689" s="50"/>
      <c r="V689" s="2179"/>
      <c r="W689" s="794"/>
      <c r="X689" s="794"/>
      <c r="Y689" s="794"/>
      <c r="Z689" s="794"/>
      <c r="AA689" s="794"/>
      <c r="AB689" s="794"/>
      <c r="AC689" s="794"/>
      <c r="AD689" s="794"/>
      <c r="AE689" s="794"/>
      <c r="AF689" s="258">
        <f t="shared" si="121"/>
        <v>19</v>
      </c>
      <c r="AG689" s="794"/>
      <c r="DG689" s="1490"/>
      <c r="DH689" s="1491"/>
      <c r="DI689" s="1063"/>
      <c r="DJ689" s="1127"/>
    </row>
    <row r="690" spans="1:114" hidden="1" outlineLevel="1" x14ac:dyDescent="0.25">
      <c r="A690" s="442"/>
      <c r="B690" s="169"/>
      <c r="C690" s="553"/>
      <c r="D690" s="2179" t="s">
        <v>50</v>
      </c>
      <c r="E690" s="2179" t="s">
        <v>819</v>
      </c>
      <c r="F690" s="2176" t="str">
        <f t="shared" ref="F690:F701" si="123">E575</f>
        <v>GSHP-EER23-Replace_CAC_ElectricHeat_ROF_SF</v>
      </c>
      <c r="G690" s="2176"/>
      <c r="H690" s="2176"/>
      <c r="I690" s="1326"/>
      <c r="J690" s="1613">
        <f>K690*S$612-(S$621+T$621*K690)</f>
        <v>10389.878378378377</v>
      </c>
      <c r="K690" s="1176">
        <f>VLOOKUP(F690,F$611:K$618,6,FALSE)</f>
        <v>3.977477477477477</v>
      </c>
      <c r="L690" s="887"/>
      <c r="T690" s="50"/>
      <c r="U690" s="50"/>
      <c r="V690" s="2179" t="s">
        <v>50</v>
      </c>
      <c r="W690" s="231">
        <v>4717</v>
      </c>
      <c r="X690" s="231">
        <v>4717</v>
      </c>
      <c r="Y690" s="231">
        <v>4717</v>
      </c>
      <c r="Z690" s="231">
        <v>4717</v>
      </c>
      <c r="AA690" s="231">
        <v>4717</v>
      </c>
      <c r="AB690" s="231">
        <v>4717</v>
      </c>
      <c r="AC690" s="231">
        <v>4717</v>
      </c>
      <c r="AD690" s="231">
        <v>4717</v>
      </c>
      <c r="AE690" s="231">
        <v>4717</v>
      </c>
      <c r="AF690" s="258">
        <f t="shared" si="121"/>
        <v>10389.878378378377</v>
      </c>
      <c r="AG690" s="231"/>
      <c r="DG690" s="555"/>
      <c r="DH690" s="175"/>
      <c r="DI690" s="1049"/>
      <c r="DJ690" s="1127"/>
    </row>
    <row r="691" spans="1:114" hidden="1" outlineLevel="1" x14ac:dyDescent="0.25">
      <c r="A691" s="442"/>
      <c r="B691" s="169"/>
      <c r="C691" s="553"/>
      <c r="D691" s="2179"/>
      <c r="E691" s="2179"/>
      <c r="F691" s="2176" t="str">
        <f t="shared" si="123"/>
        <v>GSHP-EER23-Replace_CAC_ElectricHeat_ROF_SF</v>
      </c>
      <c r="G691" s="2176"/>
      <c r="H691" s="2176"/>
      <c r="I691" s="1326"/>
      <c r="J691" s="1614"/>
      <c r="K691" s="1371"/>
      <c r="L691" s="887"/>
      <c r="T691" s="50"/>
      <c r="U691" s="50"/>
      <c r="V691" s="2179"/>
      <c r="W691" s="231"/>
      <c r="X691" s="231"/>
      <c r="Y691" s="231"/>
      <c r="Z691" s="231"/>
      <c r="AA691" s="231"/>
      <c r="AB691" s="231"/>
      <c r="AC691" s="231"/>
      <c r="AD691" s="231"/>
      <c r="AE691" s="231"/>
      <c r="AF691" s="258" t="str">
        <f t="shared" si="121"/>
        <v/>
      </c>
      <c r="AG691" s="231"/>
      <c r="DG691" s="555"/>
      <c r="DH691" s="175"/>
      <c r="DI691" s="1049"/>
      <c r="DJ691" s="1127"/>
    </row>
    <row r="692" spans="1:114" hidden="1" outlineLevel="1" x14ac:dyDescent="0.25">
      <c r="A692" s="442"/>
      <c r="B692" s="169"/>
      <c r="C692" s="553"/>
      <c r="D692" s="2179"/>
      <c r="E692" s="2179"/>
      <c r="F692" s="2176" t="str">
        <f t="shared" si="123"/>
        <v>GSHP-EER23-Replace_CAC_ElectricHeat_ER1_SF</v>
      </c>
      <c r="G692" s="2176"/>
      <c r="H692" s="2176"/>
      <c r="I692" s="1326"/>
      <c r="J692" s="1613">
        <f>K692*S$612-(S$623+T$623*K692)*S$628</f>
        <v>10005.779576760684</v>
      </c>
      <c r="K692" s="1176">
        <f>VLOOKUP(F692,F$611:K$618,6,FALSE)</f>
        <v>3.8698630136986303</v>
      </c>
      <c r="L692" s="887"/>
      <c r="T692" s="50"/>
      <c r="U692" s="50"/>
      <c r="V692" s="2179"/>
      <c r="W692" s="231">
        <v>5250</v>
      </c>
      <c r="X692" s="231">
        <v>5250</v>
      </c>
      <c r="Y692" s="231">
        <v>5250</v>
      </c>
      <c r="Z692" s="231">
        <v>5250</v>
      </c>
      <c r="AA692" s="231">
        <v>5250</v>
      </c>
      <c r="AB692" s="231">
        <v>5250</v>
      </c>
      <c r="AC692" s="231">
        <v>5250</v>
      </c>
      <c r="AD692" s="231">
        <v>5250</v>
      </c>
      <c r="AE692" s="231">
        <v>5250</v>
      </c>
      <c r="AF692" s="258">
        <f t="shared" si="121"/>
        <v>10005.779576760684</v>
      </c>
      <c r="AG692" s="231"/>
      <c r="DG692" s="555"/>
      <c r="DH692" s="175"/>
      <c r="DI692" s="1049"/>
      <c r="DJ692" s="1127"/>
    </row>
    <row r="693" spans="1:114" hidden="1" outlineLevel="1" x14ac:dyDescent="0.25">
      <c r="A693" s="442"/>
      <c r="B693" s="169"/>
      <c r="C693" s="553"/>
      <c r="D693" s="2179"/>
      <c r="E693" s="2179"/>
      <c r="F693" s="2176" t="str">
        <f t="shared" si="123"/>
        <v>GSHP-EER23-Replace_CAC_ElectricHeat_ER1_SF</v>
      </c>
      <c r="G693" s="2176"/>
      <c r="H693" s="2176"/>
      <c r="I693" s="1326"/>
      <c r="J693" s="1614"/>
      <c r="K693" s="1489"/>
      <c r="L693" s="887"/>
      <c r="T693" s="50"/>
      <c r="U693" s="50"/>
      <c r="V693" s="2179"/>
      <c r="W693" s="231"/>
      <c r="X693" s="231"/>
      <c r="Y693" s="231"/>
      <c r="Z693" s="231"/>
      <c r="AA693" s="231"/>
      <c r="AB693" s="231"/>
      <c r="AC693" s="231"/>
      <c r="AD693" s="231"/>
      <c r="AE693" s="231"/>
      <c r="AF693" s="258" t="str">
        <f t="shared" si="121"/>
        <v/>
      </c>
      <c r="AG693" s="231"/>
      <c r="DG693" s="555"/>
      <c r="DH693" s="175"/>
      <c r="DI693" s="1049"/>
      <c r="DJ693" s="1127"/>
    </row>
    <row r="694" spans="1:114" hidden="1" outlineLevel="1" x14ac:dyDescent="0.25">
      <c r="A694" s="442"/>
      <c r="B694" s="169"/>
      <c r="C694" s="553"/>
      <c r="D694" s="2179"/>
      <c r="E694" s="2179"/>
      <c r="F694" s="2176" t="str">
        <f t="shared" si="123"/>
        <v>GSHP-EER23-Replace_CAC_ElectricHeat_ER2_SF</v>
      </c>
      <c r="G694" s="2176"/>
      <c r="H694" s="2176"/>
      <c r="I694" s="1326"/>
      <c r="J694" s="1614"/>
      <c r="K694" s="1371"/>
      <c r="L694" s="887"/>
      <c r="T694" s="50"/>
      <c r="U694" s="50"/>
      <c r="V694" s="2179"/>
      <c r="W694" s="231"/>
      <c r="X694" s="231"/>
      <c r="Y694" s="231"/>
      <c r="Z694" s="231"/>
      <c r="AA694" s="231"/>
      <c r="AB694" s="231"/>
      <c r="AC694" s="231"/>
      <c r="AD694" s="231"/>
      <c r="AE694" s="231"/>
      <c r="AF694" s="258" t="str">
        <f t="shared" si="121"/>
        <v/>
      </c>
      <c r="AG694" s="231"/>
      <c r="DG694" s="555"/>
      <c r="DH694" s="175"/>
      <c r="DI694" s="1049"/>
      <c r="DJ694" s="1127"/>
    </row>
    <row r="695" spans="1:114" hidden="1" outlineLevel="1" x14ac:dyDescent="0.25">
      <c r="A695" s="442"/>
      <c r="B695" s="169"/>
      <c r="C695" s="553"/>
      <c r="D695" s="2179"/>
      <c r="E695" s="2179"/>
      <c r="F695" s="2176" t="str">
        <f t="shared" si="123"/>
        <v>GSHP-EER23-Replace_CAC_ElectricHeat_ER2_SF</v>
      </c>
      <c r="G695" s="2176"/>
      <c r="H695" s="2176"/>
      <c r="I695" s="1326"/>
      <c r="J695" s="1614"/>
      <c r="K695" s="1371"/>
      <c r="L695" s="887"/>
      <c r="T695" s="50"/>
      <c r="U695" s="50"/>
      <c r="V695" s="2179"/>
      <c r="W695" s="231"/>
      <c r="X695" s="231"/>
      <c r="Y695" s="231"/>
      <c r="Z695" s="231"/>
      <c r="AA695" s="231"/>
      <c r="AB695" s="231"/>
      <c r="AC695" s="231"/>
      <c r="AD695" s="231"/>
      <c r="AE695" s="231"/>
      <c r="AF695" s="258" t="str">
        <f t="shared" si="121"/>
        <v/>
      </c>
      <c r="AG695" s="231"/>
      <c r="DG695" s="555"/>
      <c r="DH695" s="175"/>
      <c r="DI695" s="1049"/>
      <c r="DJ695" s="1127"/>
    </row>
    <row r="696" spans="1:114" hidden="1" outlineLevel="1" x14ac:dyDescent="0.25">
      <c r="A696" s="442"/>
      <c r="B696" s="169"/>
      <c r="C696" s="553"/>
      <c r="D696" s="2179"/>
      <c r="E696" s="2179"/>
      <c r="F696" s="2176" t="str">
        <f t="shared" si="123"/>
        <v>GSHP-EER23-Replace_ASHP_ER1_SF</v>
      </c>
      <c r="G696" s="2176"/>
      <c r="H696" s="2176"/>
      <c r="I696" s="1326"/>
      <c r="J696" s="1613">
        <f>K696*S$612-(S$622+T$622*K696)*S$628</f>
        <v>6248.64477985144</v>
      </c>
      <c r="K696" s="1176">
        <f>VLOOKUP(F696,F$611:K$618,6,FALSE)</f>
        <v>3.8698630136986303</v>
      </c>
      <c r="L696" s="887"/>
      <c r="T696" s="50"/>
      <c r="U696" s="50"/>
      <c r="V696" s="2179"/>
      <c r="W696" s="231">
        <v>4859</v>
      </c>
      <c r="X696" s="231">
        <v>4859</v>
      </c>
      <c r="Y696" s="231">
        <v>4859</v>
      </c>
      <c r="Z696" s="231">
        <v>4859</v>
      </c>
      <c r="AA696" s="231">
        <v>4859</v>
      </c>
      <c r="AB696" s="231">
        <v>4859</v>
      </c>
      <c r="AC696" s="231">
        <v>4859</v>
      </c>
      <c r="AD696" s="231">
        <v>4859</v>
      </c>
      <c r="AE696" s="231">
        <v>4859</v>
      </c>
      <c r="AF696" s="258">
        <f t="shared" si="121"/>
        <v>6248.64477985144</v>
      </c>
      <c r="AG696" s="231"/>
      <c r="DG696" s="555"/>
      <c r="DH696" s="175"/>
      <c r="DI696" s="1049"/>
      <c r="DJ696" s="1127"/>
    </row>
    <row r="697" spans="1:114" hidden="1" outlineLevel="1" x14ac:dyDescent="0.25">
      <c r="A697" s="442"/>
      <c r="B697" s="169"/>
      <c r="C697" s="553"/>
      <c r="D697" s="2179"/>
      <c r="E697" s="2179"/>
      <c r="F697" s="2176" t="str">
        <f t="shared" si="123"/>
        <v>GSHP-EER23-Replace_ASHP_ER1_SF</v>
      </c>
      <c r="G697" s="2176"/>
      <c r="H697" s="2176"/>
      <c r="I697" s="1326"/>
      <c r="J697" s="1614"/>
      <c r="K697" s="1489"/>
      <c r="L697" s="887"/>
      <c r="T697" s="50"/>
      <c r="U697" s="50"/>
      <c r="V697" s="2179"/>
      <c r="W697" s="231"/>
      <c r="X697" s="231"/>
      <c r="Y697" s="231"/>
      <c r="Z697" s="231"/>
      <c r="AA697" s="231"/>
      <c r="AB697" s="231"/>
      <c r="AC697" s="231"/>
      <c r="AD697" s="231"/>
      <c r="AE697" s="231"/>
      <c r="AF697" s="258" t="str">
        <f t="shared" si="121"/>
        <v/>
      </c>
      <c r="AG697" s="231"/>
      <c r="DG697" s="555"/>
      <c r="DH697" s="175"/>
      <c r="DI697" s="1049"/>
      <c r="DJ697" s="1127"/>
    </row>
    <row r="698" spans="1:114" hidden="1" outlineLevel="1" x14ac:dyDescent="0.25">
      <c r="A698" s="442"/>
      <c r="B698" s="169"/>
      <c r="C698" s="553"/>
      <c r="D698" s="2179"/>
      <c r="E698" s="2179"/>
      <c r="F698" s="2176" t="str">
        <f t="shared" si="123"/>
        <v>GSHP-EER23-Replace_ASHP_ER2_SF</v>
      </c>
      <c r="G698" s="2176"/>
      <c r="H698" s="2176"/>
      <c r="I698" s="1326"/>
      <c r="J698" s="1614"/>
      <c r="K698" s="1371"/>
      <c r="L698" s="887"/>
      <c r="T698" s="50"/>
      <c r="U698" s="50"/>
      <c r="V698" s="2179"/>
      <c r="W698" s="231"/>
      <c r="X698" s="231"/>
      <c r="Y698" s="231"/>
      <c r="Z698" s="231"/>
      <c r="AA698" s="231"/>
      <c r="AB698" s="231"/>
      <c r="AC698" s="231"/>
      <c r="AD698" s="231"/>
      <c r="AE698" s="231"/>
      <c r="AF698" s="258" t="str">
        <f t="shared" si="121"/>
        <v/>
      </c>
      <c r="AG698" s="231"/>
      <c r="DG698" s="555"/>
      <c r="DH698" s="175"/>
      <c r="DI698" s="1049"/>
      <c r="DJ698" s="1127"/>
    </row>
    <row r="699" spans="1:114" hidden="1" outlineLevel="1" x14ac:dyDescent="0.25">
      <c r="A699" s="442"/>
      <c r="B699" s="169"/>
      <c r="C699" s="553"/>
      <c r="D699" s="2179"/>
      <c r="E699" s="2179"/>
      <c r="F699" s="2176" t="str">
        <f t="shared" si="123"/>
        <v>GSHP-EER23-Replace_ASHP_ER2_SF</v>
      </c>
      <c r="G699" s="2176"/>
      <c r="H699" s="2176"/>
      <c r="I699" s="1326"/>
      <c r="J699" s="1614"/>
      <c r="K699" s="1489"/>
      <c r="L699" s="887"/>
      <c r="T699" s="50"/>
      <c r="U699" s="50"/>
      <c r="V699" s="2179"/>
      <c r="W699" s="231"/>
      <c r="X699" s="231"/>
      <c r="Y699" s="231"/>
      <c r="Z699" s="231"/>
      <c r="AA699" s="231"/>
      <c r="AB699" s="231"/>
      <c r="AC699" s="231"/>
      <c r="AD699" s="231"/>
      <c r="AE699" s="231"/>
      <c r="AF699" s="258" t="str">
        <f t="shared" si="121"/>
        <v/>
      </c>
      <c r="AG699" s="231"/>
      <c r="DG699" s="555"/>
      <c r="DH699" s="175"/>
      <c r="DI699" s="1049"/>
      <c r="DJ699" s="1127"/>
    </row>
    <row r="700" spans="1:114" hidden="1" outlineLevel="1" x14ac:dyDescent="0.25">
      <c r="A700" s="442"/>
      <c r="B700" s="169"/>
      <c r="C700" s="553"/>
      <c r="D700" s="2179"/>
      <c r="E700" s="2179"/>
      <c r="F700" s="2176" t="str">
        <f t="shared" si="123"/>
        <v>GSHP-EER23_ROF_SF</v>
      </c>
      <c r="G700" s="2176"/>
      <c r="H700" s="2176"/>
      <c r="I700" s="1326"/>
      <c r="J700" s="1613">
        <f>K700*S$612-(S$620+T$620*K700)*S$628</f>
        <v>7508.8881687196081</v>
      </c>
      <c r="K700" s="1176">
        <f>VLOOKUP(F700,F$611:K$618,6,FALSE)</f>
        <v>3.977477477477477</v>
      </c>
      <c r="L700" s="887"/>
      <c r="T700" s="50"/>
      <c r="U700" s="50"/>
      <c r="V700" s="2179"/>
      <c r="W700" s="231">
        <v>3200</v>
      </c>
      <c r="X700" s="231">
        <v>3200</v>
      </c>
      <c r="Y700" s="231">
        <v>3200</v>
      </c>
      <c r="Z700" s="231">
        <v>3200</v>
      </c>
      <c r="AA700" s="231">
        <v>3200</v>
      </c>
      <c r="AB700" s="231">
        <v>3200</v>
      </c>
      <c r="AC700" s="231">
        <v>3200</v>
      </c>
      <c r="AD700" s="231">
        <v>3200</v>
      </c>
      <c r="AE700" s="231">
        <v>3200</v>
      </c>
      <c r="AF700" s="258">
        <f t="shared" si="121"/>
        <v>7508.8881687196081</v>
      </c>
      <c r="AG700" s="231"/>
      <c r="DG700" s="555"/>
      <c r="DH700" s="175"/>
      <c r="DI700" s="1049"/>
      <c r="DJ700" s="1127"/>
    </row>
    <row r="701" spans="1:114" hidden="1" outlineLevel="1" x14ac:dyDescent="0.25">
      <c r="A701" s="442"/>
      <c r="B701" s="169"/>
      <c r="C701" s="553"/>
      <c r="D701" s="2179"/>
      <c r="E701" s="2179"/>
      <c r="F701" s="2176" t="str">
        <f t="shared" si="123"/>
        <v>GSHP-EER23_ROF_SF</v>
      </c>
      <c r="G701" s="2176"/>
      <c r="H701" s="2176"/>
      <c r="I701" s="1326"/>
      <c r="J701" s="1614"/>
      <c r="K701" s="1489"/>
      <c r="L701" s="887"/>
      <c r="T701" s="50"/>
      <c r="U701" s="50"/>
      <c r="V701" s="2179"/>
      <c r="W701" s="231"/>
      <c r="X701" s="231"/>
      <c r="Y701" s="231"/>
      <c r="Z701" s="231"/>
      <c r="AA701" s="231"/>
      <c r="AB701" s="231"/>
      <c r="AC701" s="231"/>
      <c r="AD701" s="231"/>
      <c r="AE701" s="231"/>
      <c r="AF701" s="258" t="str">
        <f t="shared" si="121"/>
        <v/>
      </c>
      <c r="AG701" s="231"/>
      <c r="DG701" s="555"/>
      <c r="DH701" s="175"/>
      <c r="DI701" s="1049"/>
      <c r="DJ701" s="1127"/>
    </row>
    <row r="702" spans="1:114" s="39" customFormat="1" hidden="1" outlineLevel="1" x14ac:dyDescent="0.25">
      <c r="A702" s="442"/>
      <c r="B702" s="145"/>
      <c r="C702" s="553"/>
      <c r="D702" s="2179"/>
      <c r="E702" s="2179"/>
      <c r="F702" s="2178" t="str">
        <f>$E$587</f>
        <v>GSHP-EER23-Replace_GSHP_ER1_SF</v>
      </c>
      <c r="G702" s="2178"/>
      <c r="H702" s="2178"/>
      <c r="I702" s="1326"/>
      <c r="J702" s="1613">
        <f>K702*S$612-(S$622+T$622*K702)*S$628</f>
        <v>6248.64477985144</v>
      </c>
      <c r="K702" s="1176">
        <f>VLOOKUP(F702,F$611:K$618,6,FALSE)</f>
        <v>3.8698630136986303</v>
      </c>
      <c r="L702" s="887"/>
      <c r="M702" s="50"/>
      <c r="N702" s="50"/>
      <c r="O702" s="50"/>
      <c r="P702" s="50"/>
      <c r="Q702" s="50"/>
      <c r="R702" s="50"/>
      <c r="S702" s="50"/>
      <c r="V702" s="2179"/>
      <c r="W702" s="230"/>
      <c r="X702" s="230"/>
      <c r="Y702" s="230"/>
      <c r="Z702" s="230"/>
      <c r="AA702" s="230"/>
      <c r="AB702" s="230"/>
      <c r="AC702" s="230"/>
      <c r="AD702" s="230"/>
      <c r="AE702" s="230"/>
      <c r="AF702" s="258">
        <f t="shared" si="121"/>
        <v>6248.64477985144</v>
      </c>
      <c r="AG702" s="230"/>
      <c r="DG702" s="1490"/>
      <c r="DH702" s="1491"/>
      <c r="DI702" s="1063"/>
      <c r="DJ702" s="1127"/>
    </row>
    <row r="703" spans="1:114" s="39" customFormat="1" hidden="1" outlineLevel="1" x14ac:dyDescent="0.25">
      <c r="A703" s="442"/>
      <c r="B703" s="145"/>
      <c r="C703" s="553"/>
      <c r="D703" s="2179"/>
      <c r="E703" s="2179"/>
      <c r="F703" s="2178" t="str">
        <f>$E$589</f>
        <v>GSHP-EER23-Replace_GSHP_ER2_SF</v>
      </c>
      <c r="G703" s="2178"/>
      <c r="H703" s="2178"/>
      <c r="I703" s="1326"/>
      <c r="J703" s="1614"/>
      <c r="K703" s="1489"/>
      <c r="L703" s="887"/>
      <c r="M703" s="50"/>
      <c r="N703" s="50"/>
      <c r="O703" s="50"/>
      <c r="P703" s="50"/>
      <c r="Q703" s="50"/>
      <c r="R703" s="50"/>
      <c r="S703" s="50"/>
      <c r="V703" s="2179"/>
      <c r="W703" s="230"/>
      <c r="X703" s="230"/>
      <c r="Y703" s="230"/>
      <c r="Z703" s="230"/>
      <c r="AA703" s="230"/>
      <c r="AB703" s="230"/>
      <c r="AC703" s="230"/>
      <c r="AD703" s="230"/>
      <c r="AE703" s="230"/>
      <c r="AF703" s="258" t="str">
        <f t="shared" si="121"/>
        <v/>
      </c>
      <c r="AG703" s="230"/>
      <c r="DG703" s="1490"/>
      <c r="DH703" s="1491"/>
      <c r="DI703" s="1063"/>
      <c r="DJ703" s="1127"/>
    </row>
    <row r="704" spans="1:114" collapsed="1" x14ac:dyDescent="0.25">
      <c r="A704" s="442"/>
      <c r="C704" s="553"/>
      <c r="D704" s="143"/>
      <c r="E704" s="143"/>
      <c r="F704" s="531"/>
      <c r="G704" s="143"/>
      <c r="H704" s="531"/>
      <c r="I704" s="169"/>
      <c r="J704" s="531"/>
      <c r="K704" s="531"/>
      <c r="L704" s="531"/>
      <c r="Q704" s="100"/>
      <c r="T704" s="50"/>
      <c r="U704" s="50"/>
      <c r="V704" s="50"/>
      <c r="DG704" s="555"/>
      <c r="DH704" s="175"/>
      <c r="DI704" s="1049"/>
    </row>
    <row r="705" spans="1:117" x14ac:dyDescent="0.25">
      <c r="A705" s="442"/>
      <c r="C705" s="49"/>
      <c r="D705" s="100"/>
      <c r="E705" s="143"/>
      <c r="F705" s="531"/>
      <c r="G705" s="143"/>
      <c r="H705" s="531"/>
      <c r="I705" s="531"/>
      <c r="J705" s="531"/>
      <c r="K705" s="531"/>
      <c r="L705" s="531"/>
      <c r="M705" s="531"/>
      <c r="N705" s="531"/>
      <c r="O705" s="232"/>
      <c r="P705" s="232"/>
      <c r="Q705" s="100"/>
      <c r="T705" s="50"/>
      <c r="U705" s="50"/>
      <c r="V705" s="50"/>
      <c r="DG705" s="555"/>
      <c r="DH705" s="151"/>
      <c r="DI705" s="1049"/>
    </row>
    <row r="706" spans="1:117" x14ac:dyDescent="0.25">
      <c r="A706" s="442"/>
      <c r="B706" s="1292" t="s">
        <v>1210</v>
      </c>
      <c r="C706" s="207"/>
      <c r="D706" s="1293"/>
      <c r="E706" s="1293"/>
      <c r="F706" s="1293"/>
      <c r="G706" s="1293"/>
      <c r="H706" s="1293"/>
      <c r="I706" s="1293"/>
      <c r="J706" s="1293"/>
      <c r="K706" s="1293"/>
      <c r="L706" s="1293"/>
      <c r="M706" s="1293"/>
      <c r="N706" s="1293"/>
      <c r="O706" s="1293"/>
      <c r="P706" s="1293"/>
      <c r="Q706" s="1327"/>
      <c r="T706" s="50"/>
      <c r="U706" s="50"/>
      <c r="V706" s="2103" t="str">
        <f>B706</f>
        <v>Air Source Heat Pumps</v>
      </c>
      <c r="W706" s="2104"/>
      <c r="X706" s="2104"/>
      <c r="Y706" s="2104"/>
      <c r="Z706" s="2104"/>
      <c r="AA706" s="2104"/>
      <c r="AB706" s="2104"/>
      <c r="AC706" s="2106"/>
      <c r="AD706" s="2106"/>
      <c r="AE706" s="2106"/>
      <c r="AF706" s="2106"/>
      <c r="AG706" s="2106"/>
      <c r="AH706" s="2107"/>
      <c r="DG706" s="555"/>
      <c r="DH706" s="151"/>
      <c r="DI706" s="1049"/>
    </row>
    <row r="707" spans="1:117" x14ac:dyDescent="0.25">
      <c r="A707" s="442"/>
      <c r="C707" s="49"/>
      <c r="D707" s="100"/>
      <c r="E707" s="100"/>
      <c r="G707" s="100"/>
      <c r="H707" s="49"/>
      <c r="I707" s="49"/>
      <c r="J707" s="49"/>
      <c r="K707" s="49"/>
      <c r="L707" s="49"/>
      <c r="M707" s="49"/>
      <c r="Q707" s="100"/>
      <c r="T707" s="50"/>
      <c r="U707" s="50"/>
      <c r="V707" s="50"/>
      <c r="DG707" s="555"/>
      <c r="DH707" s="151"/>
      <c r="DI707" s="1049"/>
    </row>
    <row r="708" spans="1:117" ht="30" x14ac:dyDescent="0.25">
      <c r="A708" s="442"/>
      <c r="C708" s="1300" t="s">
        <v>42</v>
      </c>
      <c r="D708" s="1300" t="s">
        <v>594</v>
      </c>
      <c r="E708" s="1300" t="s">
        <v>44</v>
      </c>
      <c r="F708" s="1300" t="s">
        <v>45</v>
      </c>
      <c r="G708" s="106" t="s">
        <v>46</v>
      </c>
      <c r="H708" s="1300" t="s">
        <v>47</v>
      </c>
      <c r="I708" s="1300" t="s">
        <v>48</v>
      </c>
      <c r="J708" s="1312" t="s">
        <v>49</v>
      </c>
      <c r="K708" s="1300" t="s">
        <v>50</v>
      </c>
      <c r="L708" s="1300" t="s">
        <v>957</v>
      </c>
      <c r="M708" s="49"/>
      <c r="N708" s="554"/>
      <c r="T708" s="555"/>
      <c r="U708" s="50"/>
      <c r="V708" s="165" t="str">
        <f>V574</f>
        <v>REVISION DATE</v>
      </c>
      <c r="W708" s="649" t="e">
        <f>#REF!</f>
        <v>#REF!</v>
      </c>
      <c r="X708" s="649" t="e">
        <f>#REF!</f>
        <v>#REF!</v>
      </c>
      <c r="Y708" s="649" t="e">
        <f>#REF!</f>
        <v>#REF!</v>
      </c>
      <c r="Z708" s="649" t="e">
        <f>#REF!</f>
        <v>#REF!</v>
      </c>
      <c r="AA708" s="649" t="e">
        <f>#REF!</f>
        <v>#REF!</v>
      </c>
      <c r="AB708" s="649" t="e">
        <f>#REF!</f>
        <v>#REF!</v>
      </c>
      <c r="AC708" s="649" t="e">
        <f>#REF!</f>
        <v>#REF!</v>
      </c>
      <c r="AD708" s="649" t="e">
        <f>#REF!</f>
        <v>#REF!</v>
      </c>
      <c r="AE708" s="649" t="e">
        <f>#REF!</f>
        <v>#REF!</v>
      </c>
      <c r="AF708" s="649" t="e">
        <f>#REF!</f>
        <v>#REF!</v>
      </c>
      <c r="AG708" s="649" t="e">
        <f>#REF!</f>
        <v>#REF!</v>
      </c>
      <c r="DG708" s="776" t="e">
        <f>#REF!</f>
        <v>#REF!</v>
      </c>
      <c r="DH708" s="776" t="e">
        <f>#REF!</f>
        <v>#REF!</v>
      </c>
      <c r="DI708" s="1034" t="e">
        <f>#REF!</f>
        <v>#REF!</v>
      </c>
      <c r="DJ708" s="1060" t="e">
        <f>#REF!</f>
        <v>#REF!</v>
      </c>
      <c r="DM708" s="1333"/>
    </row>
    <row r="709" spans="1:117" x14ac:dyDescent="0.25">
      <c r="A709" s="442"/>
      <c r="B709" s="1384">
        <f t="shared" ref="B709:B742" si="124">VALUE(LEFT(C709,6))</f>
        <v>352300</v>
      </c>
      <c r="C709" s="18" t="s">
        <v>1211</v>
      </c>
      <c r="D709" s="1331" t="s">
        <v>857</v>
      </c>
      <c r="E709" s="1298" t="s">
        <v>1212</v>
      </c>
      <c r="F709" s="212">
        <f>ROUND(((K1269*K1359*(1/K1449-1/K1539)*K1629)/1000)*$K$1719,2)</f>
        <v>2004.34</v>
      </c>
      <c r="G709" s="552" t="s">
        <v>1124</v>
      </c>
      <c r="H709" s="66">
        <f>VLOOKUP(G709,'CP FACTORS'!$A$3:$B$38, 2, FALSE)</f>
        <v>9.4741810000000004E-4</v>
      </c>
      <c r="I709" s="985">
        <f t="shared" ref="I709:I746" si="125">ROUND(F709*H709,6)</f>
        <v>1.8989480000000001</v>
      </c>
      <c r="J709" s="57">
        <f t="shared" ref="J709:J724" si="126">K1720</f>
        <v>6</v>
      </c>
      <c r="K709" s="155">
        <f t="shared" ref="K709:K740" si="127">IF(C709&lt;&gt;C708,VLOOKUP(C709,$J$1900:$K$2097,2,FALSE),0)</f>
        <v>3236.3220917485878</v>
      </c>
      <c r="L709" s="242">
        <f>L909</f>
        <v>2.5726507669889709</v>
      </c>
      <c r="M709" s="542"/>
      <c r="N709" s="554"/>
      <c r="O709" s="403"/>
      <c r="R709" s="521"/>
      <c r="T709" s="50"/>
      <c r="U709" s="556"/>
      <c r="V709" s="1371" t="s">
        <v>45</v>
      </c>
      <c r="W709" s="923">
        <v>2360.2134787689906</v>
      </c>
      <c r="X709" s="238">
        <v>1720.2653061224485</v>
      </c>
      <c r="Y709" s="214">
        <v>1628.99</v>
      </c>
      <c r="Z709" s="212">
        <v>1628.99</v>
      </c>
      <c r="AA709" s="212">
        <v>1628.99</v>
      </c>
      <c r="AB709" s="983">
        <v>2165.13</v>
      </c>
      <c r="AC709" s="214">
        <v>1696.71</v>
      </c>
      <c r="AD709" s="214">
        <v>2105.67</v>
      </c>
      <c r="AE709" s="214">
        <v>2004.34</v>
      </c>
      <c r="AF709" s="258">
        <f t="shared" ref="AF709:AF742" si="128">IF(F709&lt;&gt;"",F709,"")</f>
        <v>2004.34</v>
      </c>
      <c r="AG709" s="923"/>
      <c r="AH709" s="115"/>
      <c r="AK709" s="924"/>
      <c r="DF709" s="1502" t="str">
        <f>E709</f>
        <v>ASHP-SEER15-Replace_CAC_ElectricHeat_ER1_SF</v>
      </c>
      <c r="DG709" s="1062">
        <f>(DI709+DI710+DI711+DI712)/(DJ709+DJ710+DJ711+DJ712)</f>
        <v>2.2774505609007343</v>
      </c>
      <c r="DH709" s="1298" t="str">
        <f t="shared" ref="DH709:DH746" si="129">CONCATENATE(G709," ",J709," Year EUL")</f>
        <v>Cooling Res 6 Year EUL</v>
      </c>
      <c r="DI709" s="1045">
        <f>(INDEX('Avoided Cost Benefits'!$B$4:$B$866,MATCH(DH709,'Avoided Cost Benefits'!$A$4:$A$866,0)))*F709</f>
        <v>1996.0181753905683</v>
      </c>
      <c r="DJ709" s="1951">
        <f t="shared" ref="DJ709:DJ742" si="130">IFERROR(K709/((1+DiscountRate)^(CurrentYear-DiscountYear)),0)</f>
        <v>3236.3220917485878</v>
      </c>
      <c r="DM709" s="239"/>
    </row>
    <row r="710" spans="1:117" x14ac:dyDescent="0.25">
      <c r="A710" s="442"/>
      <c r="B710" s="1384">
        <f t="shared" si="124"/>
        <v>352300</v>
      </c>
      <c r="C710" s="18" t="s">
        <v>1211</v>
      </c>
      <c r="D710" s="1331" t="s">
        <v>857</v>
      </c>
      <c r="E710" s="1323" t="s">
        <v>1212</v>
      </c>
      <c r="F710" s="170">
        <f>ROUND(((K909*K999*(1/K1089-1/K1179)*K1629)/1000)*$K$1719,2)</f>
        <v>8299.2199999999993</v>
      </c>
      <c r="G710" s="552" t="s">
        <v>1125</v>
      </c>
      <c r="H710" s="66">
        <f>VLOOKUP(G710,'CP FACTORS'!$A$3:$B$38, 2, FALSE)</f>
        <v>0</v>
      </c>
      <c r="I710" s="985">
        <f t="shared" si="125"/>
        <v>0</v>
      </c>
      <c r="J710" s="57">
        <f t="shared" si="126"/>
        <v>6</v>
      </c>
      <c r="K710" s="155">
        <f t="shared" si="127"/>
        <v>0</v>
      </c>
      <c r="L710" s="242"/>
      <c r="M710" s="542"/>
      <c r="N710" s="554"/>
      <c r="O710" s="403"/>
      <c r="R710" s="521"/>
      <c r="T710" s="50"/>
      <c r="U710" s="556"/>
      <c r="V710" s="1371" t="s">
        <v>45</v>
      </c>
      <c r="W710" s="923">
        <v>12036.528668217206</v>
      </c>
      <c r="X710" s="238">
        <v>9788.00163331972</v>
      </c>
      <c r="Y710" s="214">
        <v>9262.39</v>
      </c>
      <c r="Z710" s="212">
        <v>9262.39</v>
      </c>
      <c r="AA710" s="212">
        <v>9262.39</v>
      </c>
      <c r="AB710" s="983">
        <v>9075</v>
      </c>
      <c r="AC710" s="214">
        <v>9228.66</v>
      </c>
      <c r="AD710" s="214">
        <v>8749.4599999999991</v>
      </c>
      <c r="AE710" s="214">
        <v>8299.2199999999993</v>
      </c>
      <c r="AF710" s="258">
        <f t="shared" si="128"/>
        <v>8299.2199999999993</v>
      </c>
      <c r="AG710" s="923"/>
      <c r="AH710" s="115"/>
      <c r="AK710" s="924"/>
      <c r="DF710" s="1502" t="str">
        <f t="shared" ref="DF710:DF742" si="131">E710</f>
        <v>ASHP-SEER15-Replace_CAC_ElectricHeat_ER1_SF</v>
      </c>
      <c r="DG710" s="1052"/>
      <c r="DH710" s="1323" t="str">
        <f t="shared" si="129"/>
        <v>Heating Res 6 Year EUL</v>
      </c>
      <c r="DI710" s="1063">
        <f>(INDEX('Avoided Cost Benefits'!$B$4:$B$866,MATCH(DH710,'Avoided Cost Benefits'!$A$4:$A$866,0)))*F710</f>
        <v>2225.6749488240107</v>
      </c>
      <c r="DJ710" s="1952">
        <f t="shared" si="130"/>
        <v>0</v>
      </c>
      <c r="DM710" s="239"/>
    </row>
    <row r="711" spans="1:117" x14ac:dyDescent="0.25">
      <c r="A711" s="442"/>
      <c r="B711" s="1384">
        <f t="shared" si="124"/>
        <v>352300</v>
      </c>
      <c r="C711" s="18" t="s">
        <v>1211</v>
      </c>
      <c r="D711" s="1331" t="s">
        <v>857</v>
      </c>
      <c r="E711" s="1323" t="s">
        <v>1213</v>
      </c>
      <c r="F711" s="212">
        <f>ROUND(((K1270*K1360*(1/K1450-1/K1540)*K1630)/1000)*$K$1719,2)</f>
        <v>266.32</v>
      </c>
      <c r="G711" s="552" t="s">
        <v>1178</v>
      </c>
      <c r="H711" s="66">
        <f>VLOOKUP(G711,'CP FACTORS'!$A$3:$B$38, 2, FALSE)</f>
        <v>9.4741810000000004E-4</v>
      </c>
      <c r="I711" s="985">
        <f t="shared" si="125"/>
        <v>0.25231599999999998</v>
      </c>
      <c r="J711" s="57">
        <f t="shared" si="126"/>
        <v>12</v>
      </c>
      <c r="K711" s="155">
        <f t="shared" si="127"/>
        <v>0</v>
      </c>
      <c r="L711" s="242"/>
      <c r="M711" s="542"/>
      <c r="N711" s="554"/>
      <c r="O711" s="403"/>
      <c r="R711" s="521"/>
      <c r="T711" s="50"/>
      <c r="U711" s="556"/>
      <c r="V711" s="1371" t="s">
        <v>45</v>
      </c>
      <c r="W711" s="923">
        <v>312.36189505858374</v>
      </c>
      <c r="X711" s="238">
        <v>344.16219780219757</v>
      </c>
      <c r="Y711" s="214">
        <v>324.83999999999997</v>
      </c>
      <c r="Z711" s="212">
        <v>324.83999999999997</v>
      </c>
      <c r="AA711" s="212">
        <v>324.83999999999997</v>
      </c>
      <c r="AB711" s="983">
        <v>324.12</v>
      </c>
      <c r="AC711" s="214">
        <v>324.06</v>
      </c>
      <c r="AD711" s="214">
        <v>334.51</v>
      </c>
      <c r="AE711" s="214">
        <v>166.32</v>
      </c>
      <c r="AF711" s="258">
        <f t="shared" si="128"/>
        <v>266.32</v>
      </c>
      <c r="AG711" s="923"/>
      <c r="AH711" s="115"/>
      <c r="AK711" s="924"/>
      <c r="DF711" s="1502" t="str">
        <f t="shared" si="131"/>
        <v>ASHP-SEER15-Replace_CAC_ElectricHeat_ER2_SF</v>
      </c>
      <c r="DG711" s="1052"/>
      <c r="DH711" s="1323" t="str">
        <f t="shared" si="129"/>
        <v>Cooling Res ER2 12 Year EUL</v>
      </c>
      <c r="DI711" s="1049">
        <f>(INDEX('Avoided Cost Benefits'!$B$4:$B$866,MATCH(DH711,'Avoided Cost Benefits'!$A$4:$A$866,0)))*F711</f>
        <v>344.59698807298355</v>
      </c>
      <c r="DJ711" s="1952">
        <f t="shared" si="130"/>
        <v>0</v>
      </c>
      <c r="DM711" s="239"/>
    </row>
    <row r="712" spans="1:117" x14ac:dyDescent="0.25">
      <c r="A712" s="442"/>
      <c r="B712" s="1384">
        <f t="shared" si="124"/>
        <v>352300</v>
      </c>
      <c r="C712" s="18" t="s">
        <v>1211</v>
      </c>
      <c r="D712" s="1331" t="s">
        <v>857</v>
      </c>
      <c r="E712" s="1299" t="s">
        <v>1213</v>
      </c>
      <c r="F712" s="170">
        <f>ROUND(((K910*K1000*(1/K1090-1/K1180)*K1630)/1000)*$K$1719,2)</f>
        <v>8299.2199999999993</v>
      </c>
      <c r="G712" s="552" t="s">
        <v>1214</v>
      </c>
      <c r="H712" s="66">
        <f>VLOOKUP(G712,'CP FACTORS'!$A$3:$B$38, 2, FALSE)</f>
        <v>0</v>
      </c>
      <c r="I712" s="985">
        <f t="shared" si="125"/>
        <v>0</v>
      </c>
      <c r="J712" s="57">
        <f t="shared" si="126"/>
        <v>12</v>
      </c>
      <c r="K712" s="155">
        <f t="shared" si="127"/>
        <v>0</v>
      </c>
      <c r="L712" s="242"/>
      <c r="M712" s="542"/>
      <c r="N712" s="554"/>
      <c r="O712" s="403"/>
      <c r="R712" s="521"/>
      <c r="T712" s="50"/>
      <c r="U712" s="556"/>
      <c r="V712" s="1371" t="s">
        <v>45</v>
      </c>
      <c r="W712" s="923">
        <v>12036.528668217206</v>
      </c>
      <c r="X712" s="238">
        <v>9788.00163331972</v>
      </c>
      <c r="Y712" s="214">
        <v>9262.39</v>
      </c>
      <c r="Z712" s="212">
        <v>9262.39</v>
      </c>
      <c r="AA712" s="212">
        <v>9262.39</v>
      </c>
      <c r="AB712" s="983">
        <v>9075</v>
      </c>
      <c r="AC712" s="214">
        <v>9228.66</v>
      </c>
      <c r="AD712" s="214">
        <v>8749.4599999999991</v>
      </c>
      <c r="AE712" s="214">
        <v>8299.2199999999993</v>
      </c>
      <c r="AF712" s="258">
        <f t="shared" si="128"/>
        <v>8299.2199999999993</v>
      </c>
      <c r="AG712" s="923"/>
      <c r="AH712" s="115"/>
      <c r="AK712" s="924"/>
      <c r="DF712" s="1502" t="str">
        <f t="shared" si="131"/>
        <v>ASHP-SEER15-Replace_CAC_ElectricHeat_ER2_SF</v>
      </c>
      <c r="DG712" s="1052"/>
      <c r="DH712" s="1299" t="str">
        <f t="shared" si="129"/>
        <v>Heating Res ER2 12 Year EUL</v>
      </c>
      <c r="DI712" s="1063">
        <f>(INDEX('Avoided Cost Benefits'!$B$4:$B$866,MATCH(DH712,'Avoided Cost Benefits'!$A$4:$A$866,0)))*F712</f>
        <v>2804.2734508206968</v>
      </c>
      <c r="DJ712" s="1952">
        <f t="shared" si="130"/>
        <v>0</v>
      </c>
      <c r="DM712" s="239"/>
    </row>
    <row r="713" spans="1:117" x14ac:dyDescent="0.25">
      <c r="A713" s="442"/>
      <c r="B713" s="1384">
        <f t="shared" si="124"/>
        <v>352310</v>
      </c>
      <c r="C713" s="18" t="s">
        <v>1215</v>
      </c>
      <c r="D713" s="1331" t="s">
        <v>857</v>
      </c>
      <c r="E713" s="1323" t="s">
        <v>1216</v>
      </c>
      <c r="F713" s="212">
        <f>ROUND(((K1271*K1361*(1/K1451-1/K1541)*K1631)/1000)*$K$1719,2)</f>
        <v>2004.34</v>
      </c>
      <c r="G713" s="552" t="s">
        <v>1124</v>
      </c>
      <c r="H713" s="66">
        <f>VLOOKUP(G713,'CP FACTORS'!$A$3:$B$38, 2, FALSE)</f>
        <v>9.4741810000000004E-4</v>
      </c>
      <c r="I713" s="985">
        <f t="shared" si="125"/>
        <v>1.8989480000000001</v>
      </c>
      <c r="J713" s="57">
        <f t="shared" si="126"/>
        <v>6</v>
      </c>
      <c r="K713" s="155">
        <f t="shared" si="127"/>
        <v>389.45085461679935</v>
      </c>
      <c r="L713" s="242">
        <f>L911</f>
        <v>2.5726507669889709</v>
      </c>
      <c r="M713" s="542"/>
      <c r="N713" s="554"/>
      <c r="O713" s="403"/>
      <c r="R713" s="521"/>
      <c r="T713" s="50"/>
      <c r="U713" s="556"/>
      <c r="V713" s="1371" t="s">
        <v>45</v>
      </c>
      <c r="W713" s="923"/>
      <c r="X713" s="238"/>
      <c r="Y713" s="214"/>
      <c r="Z713" s="212"/>
      <c r="AA713" s="212"/>
      <c r="AB713" s="983"/>
      <c r="AC713" s="214">
        <v>1696.71</v>
      </c>
      <c r="AD713" s="214">
        <v>2105.67</v>
      </c>
      <c r="AE713" s="214">
        <v>2004.34</v>
      </c>
      <c r="AF713" s="258">
        <f t="shared" si="128"/>
        <v>2004.34</v>
      </c>
      <c r="AG713" s="923"/>
      <c r="AH713" s="115"/>
      <c r="AK713" s="924"/>
      <c r="DF713" s="1502" t="str">
        <f t="shared" si="131"/>
        <v>ASHP-SEER15-Replace_CAC_NonElectricHeat_ER1_SF</v>
      </c>
      <c r="DG713" s="952">
        <f>(DI713+DI714+DI715+DI716)/(DJ713+DJ714+DJ715+DJ716)</f>
        <v>6.0100398695147375</v>
      </c>
      <c r="DH713" s="1323" t="str">
        <f t="shared" si="129"/>
        <v>Cooling Res 6 Year EUL</v>
      </c>
      <c r="DI713" s="1049">
        <f>(INDEX('Avoided Cost Benefits'!$B$4:$B$866,MATCH(DH713,'Avoided Cost Benefits'!$A$4:$A$866,0)))*F713</f>
        <v>1996.0181753905683</v>
      </c>
      <c r="DJ713" s="1952">
        <f t="shared" si="130"/>
        <v>389.45085461679935</v>
      </c>
      <c r="DM713" s="239"/>
    </row>
    <row r="714" spans="1:117" x14ac:dyDescent="0.25">
      <c r="A714" s="442"/>
      <c r="B714" s="1384">
        <f t="shared" si="124"/>
        <v>352310</v>
      </c>
      <c r="C714" s="18" t="s">
        <v>1215</v>
      </c>
      <c r="D714" s="1331" t="s">
        <v>857</v>
      </c>
      <c r="E714" s="1323" t="s">
        <v>1216</v>
      </c>
      <c r="F714" s="212">
        <f>0</f>
        <v>0</v>
      </c>
      <c r="G714" s="552" t="s">
        <v>1125</v>
      </c>
      <c r="H714" s="66">
        <f>VLOOKUP(G714,'CP FACTORS'!$A$3:$B$38, 2, FALSE)</f>
        <v>0</v>
      </c>
      <c r="I714" s="985">
        <f t="shared" si="125"/>
        <v>0</v>
      </c>
      <c r="J714" s="57">
        <f t="shared" si="126"/>
        <v>6</v>
      </c>
      <c r="K714" s="155">
        <f t="shared" si="127"/>
        <v>0</v>
      </c>
      <c r="L714" s="242"/>
      <c r="M714" s="542"/>
      <c r="N714" s="554"/>
      <c r="O714" s="403"/>
      <c r="R714" s="521"/>
      <c r="T714" s="50"/>
      <c r="U714" s="556"/>
      <c r="V714" s="1371" t="s">
        <v>45</v>
      </c>
      <c r="W714" s="923"/>
      <c r="X714" s="238"/>
      <c r="Y714" s="214"/>
      <c r="Z714" s="212"/>
      <c r="AA714" s="212"/>
      <c r="AB714" s="983"/>
      <c r="AC714" s="214">
        <v>0</v>
      </c>
      <c r="AD714" s="212">
        <v>0</v>
      </c>
      <c r="AE714" s="212">
        <v>0</v>
      </c>
      <c r="AF714" s="258">
        <f t="shared" si="128"/>
        <v>0</v>
      </c>
      <c r="AG714" s="923"/>
      <c r="AH714" s="115"/>
      <c r="AK714" s="924"/>
      <c r="DF714" s="1502" t="str">
        <f t="shared" si="131"/>
        <v>ASHP-SEER15-Replace_CAC_NonElectricHeat_ER1_SF</v>
      </c>
      <c r="DG714" s="1052"/>
      <c r="DH714" s="1323" t="str">
        <f t="shared" si="129"/>
        <v>Heating Res 6 Year EUL</v>
      </c>
      <c r="DI714" s="1049">
        <f>(INDEX('Avoided Cost Benefits'!$B$4:$B$866,MATCH(DH714,'Avoided Cost Benefits'!$A$4:$A$866,0)))*F714</f>
        <v>0</v>
      </c>
      <c r="DJ714" s="1952">
        <f t="shared" si="130"/>
        <v>0</v>
      </c>
      <c r="DM714" s="239"/>
    </row>
    <row r="715" spans="1:117" x14ac:dyDescent="0.25">
      <c r="A715" s="442"/>
      <c r="B715" s="1384">
        <f t="shared" si="124"/>
        <v>352310</v>
      </c>
      <c r="C715" s="18" t="s">
        <v>1215</v>
      </c>
      <c r="D715" s="1331" t="s">
        <v>857</v>
      </c>
      <c r="E715" s="1323" t="s">
        <v>1217</v>
      </c>
      <c r="F715" s="212">
        <f>ROUND(((K1272*K1362*(1/K1452-1/K1542)*K1632)/1000)*$K$1719,2)</f>
        <v>266.32</v>
      </c>
      <c r="G715" s="552" t="s">
        <v>1178</v>
      </c>
      <c r="H715" s="66">
        <f>VLOOKUP(G715,'CP FACTORS'!$A$3:$B$38, 2, FALSE)</f>
        <v>9.4741810000000004E-4</v>
      </c>
      <c r="I715" s="985">
        <f t="shared" si="125"/>
        <v>0.25231599999999998</v>
      </c>
      <c r="J715" s="57">
        <f t="shared" si="126"/>
        <v>12</v>
      </c>
      <c r="K715" s="155">
        <f t="shared" si="127"/>
        <v>0</v>
      </c>
      <c r="L715" s="242"/>
      <c r="M715" s="542"/>
      <c r="N715" s="554"/>
      <c r="O715" s="403"/>
      <c r="R715" s="521"/>
      <c r="T715" s="50"/>
      <c r="U715" s="556"/>
      <c r="V715" s="1371" t="s">
        <v>45</v>
      </c>
      <c r="W715" s="923"/>
      <c r="X715" s="238"/>
      <c r="Y715" s="214"/>
      <c r="Z715" s="212"/>
      <c r="AA715" s="212"/>
      <c r="AB715" s="983"/>
      <c r="AC715" s="214">
        <v>324.06</v>
      </c>
      <c r="AD715" s="214">
        <v>334.51</v>
      </c>
      <c r="AE715" s="214">
        <v>166.32</v>
      </c>
      <c r="AF715" s="258">
        <f t="shared" si="128"/>
        <v>266.32</v>
      </c>
      <c r="AG715" s="923"/>
      <c r="AH715" s="115"/>
      <c r="AK715" s="924"/>
      <c r="DF715" s="1502" t="str">
        <f t="shared" si="131"/>
        <v>ASHP-SEER15-Replace_CAC_NonElectricHeat_ER2_SF</v>
      </c>
      <c r="DG715" s="1052"/>
      <c r="DH715" s="1323" t="str">
        <f t="shared" si="129"/>
        <v>Cooling Res ER2 12 Year EUL</v>
      </c>
      <c r="DI715" s="1049">
        <f>(INDEX('Avoided Cost Benefits'!$B$4:$B$866,MATCH(DH715,'Avoided Cost Benefits'!$A$4:$A$866,0)))*F715</f>
        <v>344.59698807298355</v>
      </c>
      <c r="DJ715" s="1952">
        <f t="shared" si="130"/>
        <v>0</v>
      </c>
      <c r="DM715" s="239"/>
    </row>
    <row r="716" spans="1:117" x14ac:dyDescent="0.25">
      <c r="A716" s="442"/>
      <c r="B716" s="1384">
        <f t="shared" si="124"/>
        <v>352310</v>
      </c>
      <c r="C716" s="18" t="s">
        <v>1215</v>
      </c>
      <c r="D716" s="1331" t="s">
        <v>857</v>
      </c>
      <c r="E716" s="1323" t="s">
        <v>1217</v>
      </c>
      <c r="F716" s="212">
        <f>0</f>
        <v>0</v>
      </c>
      <c r="G716" s="552" t="s">
        <v>1214</v>
      </c>
      <c r="H716" s="66">
        <f>VLOOKUP(G716,'CP FACTORS'!$A$3:$B$38, 2, FALSE)</f>
        <v>0</v>
      </c>
      <c r="I716" s="985">
        <f t="shared" si="125"/>
        <v>0</v>
      </c>
      <c r="J716" s="57">
        <f t="shared" si="126"/>
        <v>12</v>
      </c>
      <c r="K716" s="155">
        <f t="shared" si="127"/>
        <v>0</v>
      </c>
      <c r="L716" s="242"/>
      <c r="M716" s="542"/>
      <c r="N716" s="554"/>
      <c r="O716" s="403"/>
      <c r="R716" s="521"/>
      <c r="T716" s="50"/>
      <c r="U716" s="556"/>
      <c r="V716" s="1371" t="s">
        <v>45</v>
      </c>
      <c r="W716" s="923"/>
      <c r="X716" s="238"/>
      <c r="Y716" s="214"/>
      <c r="Z716" s="212"/>
      <c r="AA716" s="212"/>
      <c r="AB716" s="983"/>
      <c r="AC716" s="214">
        <v>0</v>
      </c>
      <c r="AD716" s="212">
        <v>0</v>
      </c>
      <c r="AE716" s="212">
        <v>0</v>
      </c>
      <c r="AF716" s="258">
        <f t="shared" si="128"/>
        <v>0</v>
      </c>
      <c r="AG716" s="923"/>
      <c r="AH716" s="115"/>
      <c r="AK716" s="924"/>
      <c r="DF716" s="1502" t="str">
        <f t="shared" si="131"/>
        <v>ASHP-SEER15-Replace_CAC_NonElectricHeat_ER2_SF</v>
      </c>
      <c r="DG716" s="1052"/>
      <c r="DH716" s="1323" t="str">
        <f t="shared" si="129"/>
        <v>Heating Res ER2 12 Year EUL</v>
      </c>
      <c r="DI716" s="1049">
        <f>(INDEX('Avoided Cost Benefits'!$B$4:$B$866,MATCH(DH716,'Avoided Cost Benefits'!$A$4:$A$866,0)))*F716</f>
        <v>0</v>
      </c>
      <c r="DJ716" s="1952">
        <f t="shared" si="130"/>
        <v>0</v>
      </c>
      <c r="DM716" s="239"/>
    </row>
    <row r="717" spans="1:117" x14ac:dyDescent="0.25">
      <c r="A717" s="442"/>
      <c r="B717" s="1384">
        <f t="shared" si="124"/>
        <v>352350</v>
      </c>
      <c r="C717" s="18" t="s">
        <v>1218</v>
      </c>
      <c r="D717" s="1331" t="s">
        <v>857</v>
      </c>
      <c r="E717" s="1298" t="s">
        <v>1219</v>
      </c>
      <c r="F717" s="212">
        <f>ROUND(((K1273*K1363*(1/K1453-1/K1543)*K1633)/1000)*$K$1719,2)</f>
        <v>2004.34</v>
      </c>
      <c r="G717" s="552" t="s">
        <v>1124</v>
      </c>
      <c r="H717" s="66">
        <f>VLOOKUP(G717,'CP FACTORS'!$A$3:$B$38, 2, FALSE)</f>
        <v>9.4741810000000004E-4</v>
      </c>
      <c r="I717" s="985">
        <f t="shared" si="125"/>
        <v>1.8989480000000001</v>
      </c>
      <c r="J717" s="57">
        <f t="shared" si="126"/>
        <v>6</v>
      </c>
      <c r="K717" s="155">
        <f t="shared" si="127"/>
        <v>131.69764772075905</v>
      </c>
      <c r="L717" s="242">
        <f>L913</f>
        <v>2.5726507669889709</v>
      </c>
      <c r="M717" s="542"/>
      <c r="N717" s="554"/>
      <c r="O717" s="403"/>
      <c r="R717" s="521"/>
      <c r="T717" s="50"/>
      <c r="U717" s="556"/>
      <c r="V717" s="1371" t="s">
        <v>45</v>
      </c>
      <c r="W717" s="923">
        <v>2348.9856512141278</v>
      </c>
      <c r="X717" s="238">
        <v>1720.2653061224485</v>
      </c>
      <c r="Y717" s="214">
        <v>1647.18</v>
      </c>
      <c r="Z717" s="212">
        <v>1647.18</v>
      </c>
      <c r="AA717" s="212">
        <v>1647.18</v>
      </c>
      <c r="AB717" s="983">
        <v>2190.89</v>
      </c>
      <c r="AC717" s="214">
        <v>1735.46</v>
      </c>
      <c r="AD717" s="214">
        <v>2105.67</v>
      </c>
      <c r="AE717" s="214">
        <v>2004.34</v>
      </c>
      <c r="AF717" s="258">
        <f t="shared" si="128"/>
        <v>2004.34</v>
      </c>
      <c r="AG717" s="923"/>
      <c r="AH717" s="115"/>
      <c r="AK717" s="924"/>
      <c r="DF717" s="1502" t="str">
        <f t="shared" si="131"/>
        <v>ASHP-SEER15_ER1_SF</v>
      </c>
      <c r="DG717" s="1048">
        <f>(DI717+DI718+DI719+DI720)/(DJ717+DJ718+DJ719+DJ720)</f>
        <v>22.286283086578191</v>
      </c>
      <c r="DH717" s="1298" t="str">
        <f t="shared" si="129"/>
        <v>Cooling Res 6 Year EUL</v>
      </c>
      <c r="DI717" s="1049">
        <f>(INDEX('Avoided Cost Benefits'!$B$4:$B$866,MATCH(DH717,'Avoided Cost Benefits'!$A$4:$A$866,0)))*F717</f>
        <v>1996.0181753905683</v>
      </c>
      <c r="DJ717" s="1952">
        <f t="shared" si="130"/>
        <v>131.69764772075905</v>
      </c>
      <c r="DM717" s="239"/>
    </row>
    <row r="718" spans="1:117" x14ac:dyDescent="0.25">
      <c r="A718" s="442"/>
      <c r="B718" s="1384">
        <f t="shared" si="124"/>
        <v>352350</v>
      </c>
      <c r="C718" s="18" t="s">
        <v>1218</v>
      </c>
      <c r="D718" s="1331" t="s">
        <v>857</v>
      </c>
      <c r="E718" s="1323" t="s">
        <v>1219</v>
      </c>
      <c r="F718" s="212">
        <f>ROUND(((K913*K1003*(1/K1093-1/K1183)*K1633)/1000)*$K$1719,2)</f>
        <v>1774.34</v>
      </c>
      <c r="G718" s="552" t="s">
        <v>1125</v>
      </c>
      <c r="H718" s="66">
        <f>VLOOKUP(G718,'CP FACTORS'!$A$3:$B$38, 2, FALSE)</f>
        <v>0</v>
      </c>
      <c r="I718" s="985">
        <f t="shared" si="125"/>
        <v>0</v>
      </c>
      <c r="J718" s="57">
        <f t="shared" si="126"/>
        <v>6</v>
      </c>
      <c r="K718" s="155">
        <f t="shared" si="127"/>
        <v>0</v>
      </c>
      <c r="L718" s="242"/>
      <c r="M718" s="542"/>
      <c r="N718" s="554"/>
      <c r="O718" s="403"/>
      <c r="R718" s="521"/>
      <c r="T718" s="50"/>
      <c r="U718" s="556"/>
      <c r="V718" s="1371" t="s">
        <v>45</v>
      </c>
      <c r="W718" s="923">
        <v>5147.8078093306267</v>
      </c>
      <c r="X718" s="238">
        <v>2027.0807587241729</v>
      </c>
      <c r="Y718" s="214">
        <v>1982.47</v>
      </c>
      <c r="Z718" s="212">
        <v>1982.47</v>
      </c>
      <c r="AA718" s="212">
        <v>1982.47</v>
      </c>
      <c r="AB718" s="983">
        <v>1893.17</v>
      </c>
      <c r="AC718" s="214">
        <v>2167.42</v>
      </c>
      <c r="AD718" s="214">
        <v>1855.9</v>
      </c>
      <c r="AE718" s="214">
        <v>1774.34</v>
      </c>
      <c r="AF718" s="258">
        <f t="shared" si="128"/>
        <v>1774.34</v>
      </c>
      <c r="AG718" s="923"/>
      <c r="AH718" s="115"/>
      <c r="AK718" s="924"/>
      <c r="DF718" s="1502" t="str">
        <f t="shared" si="131"/>
        <v>ASHP-SEER15_ER1_SF</v>
      </c>
      <c r="DG718" s="1052"/>
      <c r="DH718" s="1323" t="str">
        <f t="shared" si="129"/>
        <v>Heating Res 6 Year EUL</v>
      </c>
      <c r="DI718" s="1049">
        <f>(INDEX('Avoided Cost Benefits'!$B$4:$B$866,MATCH(DH718,'Avoided Cost Benefits'!$A$4:$A$866,0)))*F718</f>
        <v>475.84039086762311</v>
      </c>
      <c r="DJ718" s="1952">
        <f t="shared" si="130"/>
        <v>0</v>
      </c>
      <c r="DM718" s="239"/>
    </row>
    <row r="719" spans="1:117" x14ac:dyDescent="0.25">
      <c r="A719" s="442"/>
      <c r="B719" s="1384">
        <f t="shared" si="124"/>
        <v>352350</v>
      </c>
      <c r="C719" s="18" t="s">
        <v>1218</v>
      </c>
      <c r="D719" s="1331" t="s">
        <v>857</v>
      </c>
      <c r="E719" s="1323" t="s">
        <v>1220</v>
      </c>
      <c r="F719" s="212">
        <f>ROUND(((K1274*K1364*(1/K1454-1/K1544)*K1634)/1000)*$K$1719,2)</f>
        <v>119.46</v>
      </c>
      <c r="G719" s="552" t="s">
        <v>1178</v>
      </c>
      <c r="H719" s="66">
        <f>VLOOKUP(G719,'CP FACTORS'!$A$3:$B$38, 2, FALSE)</f>
        <v>9.4741810000000004E-4</v>
      </c>
      <c r="I719" s="985">
        <f t="shared" si="125"/>
        <v>0.113179</v>
      </c>
      <c r="J719" s="57">
        <f t="shared" si="126"/>
        <v>12</v>
      </c>
      <c r="K719" s="155">
        <f t="shared" si="127"/>
        <v>0</v>
      </c>
      <c r="L719" s="242"/>
      <c r="M719" s="542"/>
      <c r="N719" s="554"/>
      <c r="O719" s="403"/>
      <c r="R719" s="521"/>
      <c r="T719" s="50"/>
      <c r="U719" s="556"/>
      <c r="V719" s="1371" t="s">
        <v>45</v>
      </c>
      <c r="W719" s="923">
        <v>168.20946073793726</v>
      </c>
      <c r="X719" s="238">
        <v>168.83428571428527</v>
      </c>
      <c r="Y719" s="214">
        <v>161.66</v>
      </c>
      <c r="Z719" s="212">
        <v>161.66</v>
      </c>
      <c r="AA719" s="212">
        <v>161.66</v>
      </c>
      <c r="AB719" s="983">
        <v>171.72</v>
      </c>
      <c r="AC719" s="214">
        <v>175.54</v>
      </c>
      <c r="AD719" s="214">
        <v>164.86</v>
      </c>
      <c r="AE719" s="214">
        <v>17.43</v>
      </c>
      <c r="AF719" s="258">
        <f t="shared" si="128"/>
        <v>119.46</v>
      </c>
      <c r="AG719" s="923"/>
      <c r="AH719" s="115"/>
      <c r="AK719" s="924"/>
      <c r="DF719" s="1502" t="str">
        <f t="shared" si="131"/>
        <v>ASHP-SEER15_ER2_SF</v>
      </c>
      <c r="DG719" s="1052"/>
      <c r="DH719" s="1323" t="str">
        <f t="shared" si="129"/>
        <v>Cooling Res ER2 12 Year EUL</v>
      </c>
      <c r="DI719" s="1049">
        <f>(INDEX('Avoided Cost Benefits'!$B$4:$B$866,MATCH(DH719,'Avoided Cost Benefits'!$A$4:$A$866,0)))*F719</f>
        <v>154.57177904475299</v>
      </c>
      <c r="DJ719" s="1952">
        <f t="shared" si="130"/>
        <v>0</v>
      </c>
      <c r="DM719" s="239"/>
    </row>
    <row r="720" spans="1:117" x14ac:dyDescent="0.25">
      <c r="A720" s="442"/>
      <c r="B720" s="1384">
        <f t="shared" si="124"/>
        <v>352350</v>
      </c>
      <c r="C720" s="18" t="s">
        <v>1218</v>
      </c>
      <c r="D720" s="1331" t="s">
        <v>857</v>
      </c>
      <c r="E720" s="1299" t="s">
        <v>1220</v>
      </c>
      <c r="F720" s="212">
        <f>ROUND(((K914*K1004*(1/K1094-1/K1184)*K1634)/1000)*$K$1719,2)</f>
        <v>913.36</v>
      </c>
      <c r="G720" s="552" t="s">
        <v>1214</v>
      </c>
      <c r="H720" s="66">
        <f>VLOOKUP(G720,'CP FACTORS'!$A$3:$B$38, 2, FALSE)</f>
        <v>0</v>
      </c>
      <c r="I720" s="985">
        <f t="shared" si="125"/>
        <v>0</v>
      </c>
      <c r="J720" s="57">
        <f t="shared" si="126"/>
        <v>12</v>
      </c>
      <c r="K720" s="155">
        <f t="shared" si="127"/>
        <v>0</v>
      </c>
      <c r="L720" s="242"/>
      <c r="M720" s="542"/>
      <c r="N720" s="554"/>
      <c r="O720" s="403"/>
      <c r="R720" s="521"/>
      <c r="T720" s="50"/>
      <c r="U720" s="556"/>
      <c r="V720" s="1371" t="s">
        <v>45</v>
      </c>
      <c r="W720" s="923">
        <v>523.79310344827582</v>
      </c>
      <c r="X720" s="238">
        <v>377.74325409076874</v>
      </c>
      <c r="Y720" s="214">
        <v>403.2</v>
      </c>
      <c r="Z720" s="212">
        <v>403.2</v>
      </c>
      <c r="AA720" s="212">
        <v>403.2</v>
      </c>
      <c r="AB720" s="983">
        <v>221.27</v>
      </c>
      <c r="AC720" s="214">
        <v>483.92</v>
      </c>
      <c r="AD720" s="214">
        <v>390.89</v>
      </c>
      <c r="AE720" s="214">
        <v>125.72</v>
      </c>
      <c r="AF720" s="258">
        <f t="shared" si="128"/>
        <v>913.36</v>
      </c>
      <c r="AG720" s="923"/>
      <c r="AH720" s="115"/>
      <c r="AK720" s="924"/>
      <c r="DF720" s="1502" t="str">
        <f t="shared" si="131"/>
        <v>ASHP-SEER15_ER2_SF</v>
      </c>
      <c r="DG720" s="1052"/>
      <c r="DH720" s="1299" t="str">
        <f t="shared" si="129"/>
        <v>Heating Res ER2 12 Year EUL</v>
      </c>
      <c r="DI720" s="1049">
        <f>(INDEX('Avoided Cost Benefits'!$B$4:$B$866,MATCH(DH720,'Avoided Cost Benefits'!$A$4:$A$866,0)))*F720</f>
        <v>308.62071363834093</v>
      </c>
      <c r="DJ720" s="1952">
        <f t="shared" si="130"/>
        <v>0</v>
      </c>
      <c r="DM720" s="239"/>
    </row>
    <row r="721" spans="1:117" x14ac:dyDescent="0.25">
      <c r="A721" s="442"/>
      <c r="B721" s="1384">
        <f t="shared" si="124"/>
        <v>352400</v>
      </c>
      <c r="C721" s="18" t="s">
        <v>1221</v>
      </c>
      <c r="D721" s="1331" t="s">
        <v>857</v>
      </c>
      <c r="E721" s="202" t="s">
        <v>1222</v>
      </c>
      <c r="F721" s="212">
        <f>ROUND(((K1275*K1365*(1/K1455-1/K1545)*K1635)/1000)*$K$1719,2)</f>
        <v>273.67</v>
      </c>
      <c r="G721" s="552" t="s">
        <v>1124</v>
      </c>
      <c r="H721" s="66">
        <f>VLOOKUP(G721,'CP FACTORS'!$A$3:$B$38, 2, FALSE)</f>
        <v>9.4741810000000004E-4</v>
      </c>
      <c r="I721" s="985">
        <f t="shared" si="125"/>
        <v>0.25928000000000001</v>
      </c>
      <c r="J721" s="57">
        <f t="shared" si="126"/>
        <v>18</v>
      </c>
      <c r="K721" s="155">
        <f t="shared" si="127"/>
        <v>3334.5954220882886</v>
      </c>
      <c r="L721" s="242">
        <f>L915</f>
        <v>2.8059923701471465</v>
      </c>
      <c r="M721" s="542"/>
      <c r="N721" s="554"/>
      <c r="O721" s="403"/>
      <c r="R721" s="521"/>
      <c r="T721" s="50"/>
      <c r="U721" s="556"/>
      <c r="V721" s="1371" t="s">
        <v>45</v>
      </c>
      <c r="W721" s="923">
        <v>301.86315789473701</v>
      </c>
      <c r="X721" s="238">
        <v>344.16219780219757</v>
      </c>
      <c r="Y721" s="214">
        <v>320.36</v>
      </c>
      <c r="Z721" s="212">
        <v>320.36</v>
      </c>
      <c r="AA721" s="212">
        <v>320.36</v>
      </c>
      <c r="AB721" s="983">
        <v>345.06</v>
      </c>
      <c r="AC721" s="214">
        <v>349.89</v>
      </c>
      <c r="AD721" s="214">
        <v>351.14</v>
      </c>
      <c r="AE721" s="214">
        <v>171.42</v>
      </c>
      <c r="AF721" s="258">
        <f t="shared" si="128"/>
        <v>273.67</v>
      </c>
      <c r="AG721" s="923"/>
      <c r="AH721" s="115"/>
      <c r="DF721" s="1502" t="str">
        <f t="shared" si="131"/>
        <v>ASHP-SEER15-Replace_CAC_ElectricHeat_ROF_SF</v>
      </c>
      <c r="DG721" s="1048">
        <f>(DI721+DI722)/(DJ721+DJ722)</f>
        <v>1.8162501539997935</v>
      </c>
      <c r="DH721" s="202" t="str">
        <f t="shared" si="129"/>
        <v>Cooling Res 18 Year EUL</v>
      </c>
      <c r="DI721" s="1049">
        <f>(INDEX('Avoided Cost Benefits'!$B$4:$B$866,MATCH(DH721,'Avoided Cost Benefits'!$A$4:$A$866,0)))*F721</f>
        <v>626.64105476469535</v>
      </c>
      <c r="DJ721" s="1952">
        <f t="shared" si="130"/>
        <v>3334.5954220882886</v>
      </c>
      <c r="DM721" s="239"/>
    </row>
    <row r="722" spans="1:117" x14ac:dyDescent="0.25">
      <c r="A722" s="442"/>
      <c r="B722" s="1384">
        <f t="shared" si="124"/>
        <v>352400</v>
      </c>
      <c r="C722" s="18" t="s">
        <v>1221</v>
      </c>
      <c r="D722" s="1331" t="s">
        <v>857</v>
      </c>
      <c r="E722" s="240" t="s">
        <v>1222</v>
      </c>
      <c r="F722" s="212">
        <f>ROUND(((K915*K1005*(1/K1095-1/K1185)*K1635)/1000)*$K$1719,2)</f>
        <v>8958.99</v>
      </c>
      <c r="G722" s="552" t="s">
        <v>1125</v>
      </c>
      <c r="H722" s="66">
        <f>VLOOKUP(G722,'CP FACTORS'!$A$3:$B$38, 2, FALSE)</f>
        <v>0</v>
      </c>
      <c r="I722" s="985">
        <f t="shared" si="125"/>
        <v>0</v>
      </c>
      <c r="J722" s="57">
        <f t="shared" si="126"/>
        <v>18</v>
      </c>
      <c r="K722" s="155">
        <f t="shared" si="127"/>
        <v>0</v>
      </c>
      <c r="L722" s="242"/>
      <c r="M722" s="542"/>
      <c r="N722" s="554"/>
      <c r="O722" s="403"/>
      <c r="R722" s="521"/>
      <c r="T722" s="50"/>
      <c r="U722" s="556"/>
      <c r="V722" s="1371" t="s">
        <v>45</v>
      </c>
      <c r="W722" s="923">
        <v>11093.001159380752</v>
      </c>
      <c r="X722" s="238">
        <v>9788.00163331972</v>
      </c>
      <c r="Y722" s="214">
        <v>9127.7999999999993</v>
      </c>
      <c r="Z722" s="212">
        <v>9127.7999999999993</v>
      </c>
      <c r="AA722" s="212">
        <v>9127.7999999999993</v>
      </c>
      <c r="AB722" s="983">
        <v>9372.23</v>
      </c>
      <c r="AC722" s="214">
        <v>9964.14</v>
      </c>
      <c r="AD722" s="214">
        <v>9046.66</v>
      </c>
      <c r="AE722" s="214">
        <v>8958.99</v>
      </c>
      <c r="AF722" s="258">
        <f t="shared" si="128"/>
        <v>8958.99</v>
      </c>
      <c r="AG722" s="923"/>
      <c r="AH722" s="115"/>
      <c r="AK722" s="924"/>
      <c r="DF722" s="1502" t="str">
        <f t="shared" si="131"/>
        <v>ASHP-SEER15-Replace_CAC_ElectricHeat_ROF_SF</v>
      </c>
      <c r="DG722" s="1050"/>
      <c r="DH722" s="240" t="str">
        <f t="shared" si="129"/>
        <v>Heating Res 18 Year EUL</v>
      </c>
      <c r="DI722" s="1049">
        <f>(INDEX('Avoided Cost Benefits'!$B$4:$B$866,MATCH(DH722,'Avoided Cost Benefits'!$A$4:$A$866,0)))*F722</f>
        <v>5429.818394130165</v>
      </c>
      <c r="DJ722" s="1952">
        <f t="shared" si="130"/>
        <v>0</v>
      </c>
      <c r="DM722" s="239"/>
    </row>
    <row r="723" spans="1:117" x14ac:dyDescent="0.25">
      <c r="A723" s="442"/>
      <c r="B723" s="1384">
        <f t="shared" si="124"/>
        <v>352410</v>
      </c>
      <c r="C723" s="18" t="s">
        <v>1223</v>
      </c>
      <c r="D723" s="1331" t="s">
        <v>857</v>
      </c>
      <c r="E723" s="792" t="s">
        <v>1224</v>
      </c>
      <c r="F723" s="212">
        <f>ROUND(((K1276*K1366*(1/K1456-1/K1546)*K1636)/1000)*$K$1719,2)</f>
        <v>273.67</v>
      </c>
      <c r="G723" s="552" t="s">
        <v>1124</v>
      </c>
      <c r="H723" s="66">
        <f>VLOOKUP(G723,'CP FACTORS'!$A$3:$B$38, 2, FALSE)</f>
        <v>9.4741810000000004E-4</v>
      </c>
      <c r="I723" s="985">
        <f t="shared" si="125"/>
        <v>0.25928000000000001</v>
      </c>
      <c r="J723" s="57">
        <f t="shared" si="126"/>
        <v>18</v>
      </c>
      <c r="K723" s="155">
        <f t="shared" si="127"/>
        <v>98.842449430922628</v>
      </c>
      <c r="L723" s="242">
        <f>L916</f>
        <v>2.8059923701471465</v>
      </c>
      <c r="M723" s="542"/>
      <c r="N723" s="554"/>
      <c r="O723" s="403"/>
      <c r="R723" s="521"/>
      <c r="T723" s="50"/>
      <c r="U723" s="556"/>
      <c r="V723" s="1371" t="s">
        <v>45</v>
      </c>
      <c r="W723" s="923"/>
      <c r="X723" s="238"/>
      <c r="Y723" s="214"/>
      <c r="Z723" s="212"/>
      <c r="AA723" s="212"/>
      <c r="AB723" s="983"/>
      <c r="AC723" s="214">
        <v>349.89</v>
      </c>
      <c r="AD723" s="214">
        <v>351.14</v>
      </c>
      <c r="AE723" s="214">
        <v>171.42</v>
      </c>
      <c r="AF723" s="258">
        <f t="shared" si="128"/>
        <v>273.67</v>
      </c>
      <c r="AG723" s="923"/>
      <c r="AH723" s="115"/>
      <c r="AK723" s="924"/>
      <c r="DF723" s="1502" t="str">
        <f t="shared" si="131"/>
        <v>ASHP-SEER15-Replace_CAC_NonElectricHeat_ROF_SF</v>
      </c>
      <c r="DG723" s="1048">
        <f>(DI723+DI724)/(DJ723+DJ724)</f>
        <v>6.3397969027733563</v>
      </c>
      <c r="DH723" s="792" t="str">
        <f t="shared" si="129"/>
        <v>Cooling Res 18 Year EUL</v>
      </c>
      <c r="DI723" s="1049">
        <f>(INDEX('Avoided Cost Benefits'!$B$4:$B$866,MATCH(DH723,'Avoided Cost Benefits'!$A$4:$A$866,0)))*F723</f>
        <v>626.64105476469535</v>
      </c>
      <c r="DJ723" s="1952">
        <f t="shared" si="130"/>
        <v>98.842449430922628</v>
      </c>
      <c r="DM723" s="239"/>
    </row>
    <row r="724" spans="1:117" x14ac:dyDescent="0.25">
      <c r="A724" s="442"/>
      <c r="B724" s="1384">
        <f t="shared" si="124"/>
        <v>352410</v>
      </c>
      <c r="C724" s="18" t="s">
        <v>1223</v>
      </c>
      <c r="D724" s="1331" t="s">
        <v>857</v>
      </c>
      <c r="E724" s="792" t="s">
        <v>1224</v>
      </c>
      <c r="F724" s="212">
        <f>0</f>
        <v>0</v>
      </c>
      <c r="G724" s="552" t="s">
        <v>1125</v>
      </c>
      <c r="H724" s="66">
        <f>VLOOKUP(G724,'CP FACTORS'!$A$3:$B$38, 2, FALSE)</f>
        <v>0</v>
      </c>
      <c r="I724" s="985">
        <f t="shared" si="125"/>
        <v>0</v>
      </c>
      <c r="J724" s="57">
        <f t="shared" si="126"/>
        <v>18</v>
      </c>
      <c r="K724" s="155">
        <f t="shared" si="127"/>
        <v>0</v>
      </c>
      <c r="L724" s="242"/>
      <c r="M724" s="542"/>
      <c r="N724" s="554"/>
      <c r="O724" s="403"/>
      <c r="R724" s="521"/>
      <c r="T724" s="50"/>
      <c r="U724" s="556"/>
      <c r="V724" s="1371" t="s">
        <v>45</v>
      </c>
      <c r="W724" s="923"/>
      <c r="X724" s="238"/>
      <c r="Y724" s="214"/>
      <c r="Z724" s="212"/>
      <c r="AA724" s="212"/>
      <c r="AB724" s="983"/>
      <c r="AC724" s="214">
        <v>0</v>
      </c>
      <c r="AD724" s="212">
        <v>0</v>
      </c>
      <c r="AE724" s="212">
        <v>0</v>
      </c>
      <c r="AF724" s="258">
        <f t="shared" si="128"/>
        <v>0</v>
      </c>
      <c r="AG724" s="923"/>
      <c r="AH724" s="115"/>
      <c r="AK724" s="924"/>
      <c r="DF724" s="1502" t="str">
        <f t="shared" si="131"/>
        <v>ASHP-SEER15-Replace_CAC_NonElectricHeat_ROF_SF</v>
      </c>
      <c r="DG724" s="1050"/>
      <c r="DH724" s="792" t="str">
        <f t="shared" si="129"/>
        <v>Heating Res 18 Year EUL</v>
      </c>
      <c r="DI724" s="1049">
        <f>(INDEX('Avoided Cost Benefits'!$B$4:$B$866,MATCH(DH724,'Avoided Cost Benefits'!$A$4:$A$866,0)))*F724</f>
        <v>0</v>
      </c>
      <c r="DJ724" s="1952">
        <f t="shared" si="130"/>
        <v>0</v>
      </c>
      <c r="DM724" s="239"/>
    </row>
    <row r="725" spans="1:117" x14ac:dyDescent="0.25">
      <c r="A725" s="442"/>
      <c r="B725" s="1384">
        <f t="shared" si="124"/>
        <v>352500</v>
      </c>
      <c r="C725" s="18" t="s">
        <v>1225</v>
      </c>
      <c r="D725" s="551" t="s">
        <v>686</v>
      </c>
      <c r="E725" s="1298" t="s">
        <v>1226</v>
      </c>
      <c r="F725" s="212">
        <f>ROUND(((K1277*K1367*(1/K1457-1/K1547)*K1637)/1000)*$K$1719,2)</f>
        <v>2150.16</v>
      </c>
      <c r="G725" s="552" t="s">
        <v>1124</v>
      </c>
      <c r="H725" s="66">
        <f>VLOOKUP(G725,'CP FACTORS'!$A$3:$B$38, 2, FALSE)</f>
        <v>9.4741810000000004E-4</v>
      </c>
      <c r="I725" s="985">
        <f t="shared" si="125"/>
        <v>2.0371009999999998</v>
      </c>
      <c r="J725" s="57">
        <f t="shared" ref="J725:J738" si="132">K1736</f>
        <v>6</v>
      </c>
      <c r="K725" s="155">
        <f t="shared" si="127"/>
        <v>3497.3493799102171</v>
      </c>
      <c r="L725" s="242">
        <f>L917</f>
        <v>2.5310295805916874</v>
      </c>
      <c r="M725" s="542"/>
      <c r="N725" s="554"/>
      <c r="O725" s="403"/>
      <c r="R725" s="521"/>
      <c r="T725" s="50"/>
      <c r="U725" s="556"/>
      <c r="V725" s="1371" t="s">
        <v>45</v>
      </c>
      <c r="W725" s="923">
        <v>2733.5161764705886</v>
      </c>
      <c r="X725" s="238">
        <v>1836.3388775510205</v>
      </c>
      <c r="Y725" s="214">
        <v>1908.35</v>
      </c>
      <c r="Z725" s="212">
        <v>1908.35</v>
      </c>
      <c r="AA725" s="212">
        <v>1908.35</v>
      </c>
      <c r="AB725" s="983">
        <v>2277.63</v>
      </c>
      <c r="AC725" s="214">
        <v>1835.16</v>
      </c>
      <c r="AD725" s="214">
        <v>2194.71</v>
      </c>
      <c r="AE725" s="214">
        <v>2031.51</v>
      </c>
      <c r="AF725" s="258">
        <f t="shared" si="128"/>
        <v>2150.16</v>
      </c>
      <c r="AG725" s="923"/>
      <c r="AH725" s="115"/>
      <c r="AK725" s="924"/>
      <c r="DF725" s="1502" t="str">
        <f t="shared" si="131"/>
        <v>ASHP-SEER16-Replace_CAC_ElectricHeat_ER1_SF</v>
      </c>
      <c r="DG725" s="1048">
        <f>(DI725+DI726+DI727+DI728)/(DJ725+DJ726+DJ727+DJ728)</f>
        <v>2.2019497986351224</v>
      </c>
      <c r="DH725" s="1298" t="str">
        <f t="shared" si="129"/>
        <v>Cooling Res 6 Year EUL</v>
      </c>
      <c r="DI725" s="1049">
        <f>(INDEX('Avoided Cost Benefits'!$B$4:$B$866,MATCH(DH725,'Avoided Cost Benefits'!$A$4:$A$866,0)))*F725</f>
        <v>2141.2327449423674</v>
      </c>
      <c r="DJ725" s="1952">
        <f t="shared" si="130"/>
        <v>3497.3493799102171</v>
      </c>
      <c r="DM725" s="239"/>
    </row>
    <row r="726" spans="1:117" x14ac:dyDescent="0.25">
      <c r="A726" s="442"/>
      <c r="B726" s="1384">
        <f t="shared" si="124"/>
        <v>352500</v>
      </c>
      <c r="C726" s="18" t="s">
        <v>1225</v>
      </c>
      <c r="D726" s="551" t="s">
        <v>686</v>
      </c>
      <c r="E726" s="1323" t="s">
        <v>1226</v>
      </c>
      <c r="F726" s="212">
        <f>ROUND(((K917*K1007*(1/K1097-1/K1187)*K1637)/1000)*$K$1719,2)</f>
        <v>8346.27</v>
      </c>
      <c r="G726" s="552" t="s">
        <v>1125</v>
      </c>
      <c r="H726" s="66">
        <f>VLOOKUP(G726,'CP FACTORS'!$A$3:$B$38, 2, FALSE)</f>
        <v>0</v>
      </c>
      <c r="I726" s="985">
        <f t="shared" si="125"/>
        <v>0</v>
      </c>
      <c r="J726" s="57">
        <f t="shared" si="132"/>
        <v>6</v>
      </c>
      <c r="K726" s="155">
        <f t="shared" si="127"/>
        <v>0</v>
      </c>
      <c r="L726" s="242"/>
      <c r="M726" s="542"/>
      <c r="N726" s="554"/>
      <c r="O726" s="403"/>
      <c r="R726" s="521"/>
      <c r="T726" s="50"/>
      <c r="U726" s="556"/>
      <c r="V726" s="1371" t="s">
        <v>45</v>
      </c>
      <c r="W726" s="923">
        <v>13965.852998065762</v>
      </c>
      <c r="X726" s="238">
        <v>9788.00163331972</v>
      </c>
      <c r="Y726" s="214">
        <v>10635.56</v>
      </c>
      <c r="Z726" s="212">
        <v>10635.56</v>
      </c>
      <c r="AA726" s="212">
        <v>10635.56</v>
      </c>
      <c r="AB726" s="983">
        <v>9240.1</v>
      </c>
      <c r="AC726" s="214">
        <v>9585.06</v>
      </c>
      <c r="AD726" s="214">
        <v>9041.35</v>
      </c>
      <c r="AE726" s="214">
        <v>8346.27</v>
      </c>
      <c r="AF726" s="258">
        <f t="shared" si="128"/>
        <v>8346.27</v>
      </c>
      <c r="AG726" s="923"/>
      <c r="AH726" s="115"/>
      <c r="AK726" s="924"/>
      <c r="DF726" s="1502" t="str">
        <f t="shared" si="131"/>
        <v>ASHP-SEER16-Replace_CAC_ElectricHeat_ER1_SF</v>
      </c>
      <c r="DG726" s="1052"/>
      <c r="DH726" s="1323" t="str">
        <f t="shared" si="129"/>
        <v>Heating Res 6 Year EUL</v>
      </c>
      <c r="DI726" s="1049">
        <f>(INDEX('Avoided Cost Benefits'!$B$4:$B$866,MATCH(DH726,'Avoided Cost Benefits'!$A$4:$A$866,0)))*F726</f>
        <v>2238.292761864534</v>
      </c>
      <c r="DJ726" s="1952">
        <f t="shared" si="130"/>
        <v>0</v>
      </c>
      <c r="DM726" s="239"/>
    </row>
    <row r="727" spans="1:117" x14ac:dyDescent="0.25">
      <c r="A727" s="442"/>
      <c r="B727" s="1384">
        <f t="shared" si="124"/>
        <v>352500</v>
      </c>
      <c r="C727" s="18" t="s">
        <v>1225</v>
      </c>
      <c r="D727" s="551" t="s">
        <v>686</v>
      </c>
      <c r="E727" s="1323" t="s">
        <v>1227</v>
      </c>
      <c r="F727" s="212">
        <f>ROUND(((K1278*K1368*(1/K1458-1/K1548)*K1638)/1000)*$K$1719,2)</f>
        <v>387.42</v>
      </c>
      <c r="G727" s="552" t="s">
        <v>1178</v>
      </c>
      <c r="H727" s="66">
        <f>VLOOKUP(G727,'CP FACTORS'!$A$3:$B$38, 2, FALSE)</f>
        <v>9.4741810000000004E-4</v>
      </c>
      <c r="I727" s="985">
        <f t="shared" si="125"/>
        <v>0.36704900000000001</v>
      </c>
      <c r="J727" s="57">
        <f t="shared" si="132"/>
        <v>12</v>
      </c>
      <c r="K727" s="155">
        <f t="shared" si="127"/>
        <v>0</v>
      </c>
      <c r="L727" s="242"/>
      <c r="M727" s="542"/>
      <c r="N727" s="554"/>
      <c r="O727" s="403"/>
      <c r="R727" s="521"/>
      <c r="T727" s="50"/>
      <c r="U727" s="556"/>
      <c r="V727" s="1371" t="s">
        <v>45</v>
      </c>
      <c r="W727" s="923">
        <v>466.25192307692322</v>
      </c>
      <c r="X727" s="238">
        <v>460.23576923076939</v>
      </c>
      <c r="Y727" s="214">
        <v>478.28</v>
      </c>
      <c r="Z727" s="212">
        <v>478.28</v>
      </c>
      <c r="AA727" s="212">
        <v>478.28</v>
      </c>
      <c r="AB727" s="983">
        <v>473.24</v>
      </c>
      <c r="AC727" s="214">
        <v>447.63</v>
      </c>
      <c r="AD727" s="214">
        <v>452.14</v>
      </c>
      <c r="AE727" s="214">
        <v>280.11</v>
      </c>
      <c r="AF727" s="258">
        <f t="shared" si="128"/>
        <v>387.42</v>
      </c>
      <c r="AG727" s="923"/>
      <c r="AH727" s="115"/>
      <c r="AK727" s="924"/>
      <c r="DF727" s="1502" t="str">
        <f t="shared" si="131"/>
        <v>ASHP-SEER16-Replace_CAC_ElectricHeat_ER2_SF</v>
      </c>
      <c r="DG727" s="1052"/>
      <c r="DH727" s="1323" t="str">
        <f t="shared" si="129"/>
        <v>Cooling Res ER2 12 Year EUL</v>
      </c>
      <c r="DI727" s="1049">
        <f>(INDEX('Avoided Cost Benefits'!$B$4:$B$866,MATCH(DH727,'Avoided Cost Benefits'!$A$4:$A$866,0)))*F727</f>
        <v>501.29079723353601</v>
      </c>
      <c r="DJ727" s="1952">
        <f t="shared" si="130"/>
        <v>0</v>
      </c>
      <c r="DM727" s="239"/>
    </row>
    <row r="728" spans="1:117" x14ac:dyDescent="0.25">
      <c r="A728" s="442"/>
      <c r="B728" s="1384">
        <f t="shared" si="124"/>
        <v>352500</v>
      </c>
      <c r="C728" s="18" t="s">
        <v>1225</v>
      </c>
      <c r="D728" s="551" t="s">
        <v>686</v>
      </c>
      <c r="E728" s="1299" t="s">
        <v>1227</v>
      </c>
      <c r="F728" s="212">
        <f>ROUND(((K918*K1008*(1/K1098-1/K1188)*K1638)/1000)*$K$1719,2)</f>
        <v>8346.27</v>
      </c>
      <c r="G728" s="552" t="s">
        <v>1214</v>
      </c>
      <c r="H728" s="66">
        <f>VLOOKUP(G728,'CP FACTORS'!$A$3:$B$38, 2, FALSE)</f>
        <v>0</v>
      </c>
      <c r="I728" s="985">
        <f t="shared" si="125"/>
        <v>0</v>
      </c>
      <c r="J728" s="57">
        <f t="shared" si="132"/>
        <v>12</v>
      </c>
      <c r="K728" s="155">
        <f t="shared" si="127"/>
        <v>0</v>
      </c>
      <c r="L728" s="242"/>
      <c r="M728" s="542"/>
      <c r="N728" s="554"/>
      <c r="O728" s="403"/>
      <c r="R728" s="521"/>
      <c r="T728" s="50"/>
      <c r="U728" s="556"/>
      <c r="V728" s="1371" t="s">
        <v>45</v>
      </c>
      <c r="W728" s="923">
        <v>13965.852998065762</v>
      </c>
      <c r="X728" s="238">
        <v>9788.00163331972</v>
      </c>
      <c r="Y728" s="214">
        <v>10635.56</v>
      </c>
      <c r="Z728" s="212">
        <v>10635.56</v>
      </c>
      <c r="AA728" s="212">
        <v>10635.56</v>
      </c>
      <c r="AB728" s="983">
        <v>9240.1</v>
      </c>
      <c r="AC728" s="214">
        <v>9585.06</v>
      </c>
      <c r="AD728" s="214">
        <v>9041.35</v>
      </c>
      <c r="AE728" s="214">
        <v>8346.27</v>
      </c>
      <c r="AF728" s="258">
        <f t="shared" si="128"/>
        <v>8346.27</v>
      </c>
      <c r="AG728" s="923"/>
      <c r="AH728" s="115"/>
      <c r="AK728" s="924"/>
      <c r="DF728" s="1502" t="str">
        <f t="shared" si="131"/>
        <v>ASHP-SEER16-Replace_CAC_ElectricHeat_ER2_SF</v>
      </c>
      <c r="DG728" s="1052"/>
      <c r="DH728" s="1299" t="str">
        <f t="shared" si="129"/>
        <v>Heating Res ER2 12 Year EUL</v>
      </c>
      <c r="DI728" s="1049">
        <f>(INDEX('Avoided Cost Benefits'!$B$4:$B$866,MATCH(DH728,'Avoided Cost Benefits'!$A$4:$A$866,0)))*F728</f>
        <v>2820.1714588095342</v>
      </c>
      <c r="DJ728" s="1952">
        <f t="shared" si="130"/>
        <v>0</v>
      </c>
      <c r="DM728" s="239"/>
    </row>
    <row r="729" spans="1:117" x14ac:dyDescent="0.25">
      <c r="A729" s="442"/>
      <c r="B729" s="1384">
        <f t="shared" si="124"/>
        <v>352510</v>
      </c>
      <c r="C729" s="18" t="s">
        <v>1228</v>
      </c>
      <c r="D729" s="551" t="s">
        <v>857</v>
      </c>
      <c r="E729" s="1323" t="s">
        <v>1229</v>
      </c>
      <c r="F729" s="212">
        <f>ROUND(((K1279*K1369*(1/K1459-1/K1549)*K1639)/1000)*$K$1719,2)</f>
        <v>2150.16</v>
      </c>
      <c r="G729" s="552" t="s">
        <v>1124</v>
      </c>
      <c r="H729" s="66">
        <f>VLOOKUP(G729,'CP FACTORS'!$A$3:$B$38, 2, FALSE)</f>
        <v>9.4741810000000004E-4</v>
      </c>
      <c r="I729" s="985">
        <f t="shared" si="125"/>
        <v>2.0371009999999998</v>
      </c>
      <c r="J729" s="57">
        <f t="shared" si="132"/>
        <v>6</v>
      </c>
      <c r="K729" s="155">
        <f t="shared" si="127"/>
        <v>461.50538007420482</v>
      </c>
      <c r="L729" s="242">
        <f>L919</f>
        <v>2.5310295805916874</v>
      </c>
      <c r="M729" s="542"/>
      <c r="N729" s="554"/>
      <c r="O729" s="403"/>
      <c r="R729" s="521"/>
      <c r="T729" s="50"/>
      <c r="U729" s="556"/>
      <c r="V729" s="1371" t="s">
        <v>45</v>
      </c>
      <c r="W729" s="923"/>
      <c r="X729" s="238"/>
      <c r="Y729" s="214"/>
      <c r="Z729" s="212"/>
      <c r="AA729" s="212"/>
      <c r="AB729" s="983"/>
      <c r="AC729" s="214">
        <v>1835.16</v>
      </c>
      <c r="AD729" s="214">
        <v>2194.71</v>
      </c>
      <c r="AE729" s="214">
        <v>2031.51</v>
      </c>
      <c r="AF729" s="258">
        <f t="shared" si="128"/>
        <v>2150.16</v>
      </c>
      <c r="AG729" s="923"/>
      <c r="AH729" s="115"/>
      <c r="AK729" s="924"/>
      <c r="DF729" s="1502" t="str">
        <f t="shared" si="131"/>
        <v>ASHP-SEER16-Replace_CAC_NonElectricHeat_ER1_SF</v>
      </c>
      <c r="DG729" s="1048">
        <f>(DI729+DI730+DI731+DI732)/(DJ729+DJ730+DJ731+DJ732)</f>
        <v>5.7258780856487865</v>
      </c>
      <c r="DH729" s="1323" t="str">
        <f t="shared" si="129"/>
        <v>Cooling Res 6 Year EUL</v>
      </c>
      <c r="DI729" s="1049">
        <f>(INDEX('Avoided Cost Benefits'!$B$4:$B$866,MATCH(DH729,'Avoided Cost Benefits'!$A$4:$A$866,0)))*F729</f>
        <v>2141.2327449423674</v>
      </c>
      <c r="DJ729" s="1952">
        <f t="shared" si="130"/>
        <v>461.50538007420482</v>
      </c>
      <c r="DM729" s="239"/>
    </row>
    <row r="730" spans="1:117" x14ac:dyDescent="0.25">
      <c r="A730" s="442"/>
      <c r="B730" s="1384">
        <f t="shared" si="124"/>
        <v>352510</v>
      </c>
      <c r="C730" s="18" t="s">
        <v>1228</v>
      </c>
      <c r="D730" s="551" t="s">
        <v>857</v>
      </c>
      <c r="E730" s="1323" t="s">
        <v>1229</v>
      </c>
      <c r="F730" s="212">
        <v>0</v>
      </c>
      <c r="G730" s="552" t="s">
        <v>1125</v>
      </c>
      <c r="H730" s="66">
        <f>VLOOKUP(G730,'CP FACTORS'!$A$3:$B$38, 2, FALSE)</f>
        <v>0</v>
      </c>
      <c r="I730" s="985">
        <f t="shared" si="125"/>
        <v>0</v>
      </c>
      <c r="J730" s="57">
        <f t="shared" si="132"/>
        <v>6</v>
      </c>
      <c r="K730" s="155">
        <f t="shared" si="127"/>
        <v>0</v>
      </c>
      <c r="L730" s="242"/>
      <c r="M730" s="542"/>
      <c r="N730" s="554"/>
      <c r="O730" s="403"/>
      <c r="R730" s="521"/>
      <c r="T730" s="50"/>
      <c r="U730" s="556"/>
      <c r="V730" s="1371" t="s">
        <v>45</v>
      </c>
      <c r="W730" s="923"/>
      <c r="X730" s="238"/>
      <c r="Y730" s="214"/>
      <c r="Z730" s="212"/>
      <c r="AA730" s="212"/>
      <c r="AB730" s="983"/>
      <c r="AC730" s="214">
        <v>0</v>
      </c>
      <c r="AD730" s="212">
        <v>0</v>
      </c>
      <c r="AE730" s="212">
        <v>0</v>
      </c>
      <c r="AF730" s="258">
        <f t="shared" si="128"/>
        <v>0</v>
      </c>
      <c r="AG730" s="923"/>
      <c r="AH730" s="115"/>
      <c r="AK730" s="924"/>
      <c r="DF730" s="1502" t="str">
        <f t="shared" si="131"/>
        <v>ASHP-SEER16-Replace_CAC_NonElectricHeat_ER1_SF</v>
      </c>
      <c r="DG730" s="1052"/>
      <c r="DH730" s="1323" t="str">
        <f t="shared" si="129"/>
        <v>Heating Res 6 Year EUL</v>
      </c>
      <c r="DI730" s="1049">
        <f>(INDEX('Avoided Cost Benefits'!$B$4:$B$866,MATCH(DH730,'Avoided Cost Benefits'!$A$4:$A$866,0)))*F730</f>
        <v>0</v>
      </c>
      <c r="DJ730" s="1952">
        <f t="shared" si="130"/>
        <v>0</v>
      </c>
      <c r="DM730" s="239"/>
    </row>
    <row r="731" spans="1:117" x14ac:dyDescent="0.25">
      <c r="A731" s="442"/>
      <c r="B731" s="1384">
        <f t="shared" si="124"/>
        <v>352510</v>
      </c>
      <c r="C731" s="18" t="s">
        <v>1228</v>
      </c>
      <c r="D731" s="551" t="s">
        <v>857</v>
      </c>
      <c r="E731" s="1323" t="s">
        <v>1230</v>
      </c>
      <c r="F731" s="212">
        <f>ROUND(((K1280*K1370*(1/K1460-1/K1550)*K1640)/1000)*$K$1719,2)</f>
        <v>387.42</v>
      </c>
      <c r="G731" s="552" t="s">
        <v>1178</v>
      </c>
      <c r="H731" s="66">
        <f>VLOOKUP(G731,'CP FACTORS'!$A$3:$B$38, 2, FALSE)</f>
        <v>9.4741810000000004E-4</v>
      </c>
      <c r="I731" s="985">
        <f t="shared" si="125"/>
        <v>0.36704900000000001</v>
      </c>
      <c r="J731" s="57">
        <f t="shared" si="132"/>
        <v>12</v>
      </c>
      <c r="K731" s="155">
        <f t="shared" si="127"/>
        <v>0</v>
      </c>
      <c r="L731" s="242"/>
      <c r="M731" s="542"/>
      <c r="N731" s="554"/>
      <c r="O731" s="403"/>
      <c r="R731" s="521"/>
      <c r="T731" s="50"/>
      <c r="U731" s="556"/>
      <c r="V731" s="1371" t="s">
        <v>45</v>
      </c>
      <c r="W731" s="923"/>
      <c r="X731" s="238"/>
      <c r="Y731" s="214"/>
      <c r="Z731" s="212"/>
      <c r="AA731" s="212"/>
      <c r="AB731" s="983"/>
      <c r="AC731" s="214">
        <v>447.63</v>
      </c>
      <c r="AD731" s="214">
        <v>452.14</v>
      </c>
      <c r="AE731" s="214">
        <v>280.11</v>
      </c>
      <c r="AF731" s="258">
        <f t="shared" si="128"/>
        <v>387.42</v>
      </c>
      <c r="AG731" s="923"/>
      <c r="AH731" s="115"/>
      <c r="AK731" s="924"/>
      <c r="DF731" s="1502" t="str">
        <f t="shared" si="131"/>
        <v>ASHP-SEER16-Replace_CAC_NonElectricHeat_ER2_SF</v>
      </c>
      <c r="DG731" s="1052"/>
      <c r="DH731" s="1323" t="str">
        <f t="shared" si="129"/>
        <v>Cooling Res ER2 12 Year EUL</v>
      </c>
      <c r="DI731" s="1049">
        <f>(INDEX('Avoided Cost Benefits'!$B$4:$B$866,MATCH(DH731,'Avoided Cost Benefits'!$A$4:$A$866,0)))*F731</f>
        <v>501.29079723353601</v>
      </c>
      <c r="DJ731" s="1952">
        <f t="shared" si="130"/>
        <v>0</v>
      </c>
      <c r="DM731" s="239"/>
    </row>
    <row r="732" spans="1:117" x14ac:dyDescent="0.25">
      <c r="A732" s="442"/>
      <c r="B732" s="1384">
        <f t="shared" si="124"/>
        <v>352510</v>
      </c>
      <c r="C732" s="18" t="s">
        <v>1228</v>
      </c>
      <c r="D732" s="551" t="s">
        <v>857</v>
      </c>
      <c r="E732" s="1323" t="s">
        <v>1230</v>
      </c>
      <c r="F732" s="212">
        <f>0</f>
        <v>0</v>
      </c>
      <c r="G732" s="552" t="s">
        <v>1214</v>
      </c>
      <c r="H732" s="66">
        <f>VLOOKUP(G732,'CP FACTORS'!$A$3:$B$38, 2, FALSE)</f>
        <v>0</v>
      </c>
      <c r="I732" s="985">
        <f t="shared" si="125"/>
        <v>0</v>
      </c>
      <c r="J732" s="57">
        <f t="shared" si="132"/>
        <v>12</v>
      </c>
      <c r="K732" s="155">
        <f t="shared" si="127"/>
        <v>0</v>
      </c>
      <c r="L732" s="242"/>
      <c r="M732" s="542"/>
      <c r="N732" s="554"/>
      <c r="O732" s="403"/>
      <c r="R732" s="521"/>
      <c r="T732" s="50"/>
      <c r="U732" s="556"/>
      <c r="V732" s="1371" t="s">
        <v>45</v>
      </c>
      <c r="W732" s="923"/>
      <c r="X732" s="238"/>
      <c r="Y732" s="214"/>
      <c r="Z732" s="212"/>
      <c r="AA732" s="212"/>
      <c r="AB732" s="983"/>
      <c r="AC732" s="214">
        <v>0</v>
      </c>
      <c r="AD732" s="212">
        <v>0</v>
      </c>
      <c r="AE732" s="212">
        <v>0</v>
      </c>
      <c r="AF732" s="258">
        <f t="shared" si="128"/>
        <v>0</v>
      </c>
      <c r="AG732" s="923"/>
      <c r="AH732" s="115"/>
      <c r="AK732" s="924"/>
      <c r="DF732" s="1502" t="str">
        <f t="shared" si="131"/>
        <v>ASHP-SEER16-Replace_CAC_NonElectricHeat_ER2_SF</v>
      </c>
      <c r="DG732" s="1052"/>
      <c r="DH732" s="1323" t="str">
        <f t="shared" si="129"/>
        <v>Heating Res ER2 12 Year EUL</v>
      </c>
      <c r="DI732" s="1049">
        <f>(INDEX('Avoided Cost Benefits'!$B$4:$B$866,MATCH(DH732,'Avoided Cost Benefits'!$A$4:$A$866,0)))*F732</f>
        <v>0</v>
      </c>
      <c r="DJ732" s="1952">
        <f t="shared" si="130"/>
        <v>0</v>
      </c>
      <c r="DM732" s="239"/>
    </row>
    <row r="733" spans="1:117" x14ac:dyDescent="0.25">
      <c r="A733" s="442"/>
      <c r="B733" s="1384">
        <f t="shared" si="124"/>
        <v>352550</v>
      </c>
      <c r="C733" s="18" t="s">
        <v>1231</v>
      </c>
      <c r="D733" s="551" t="s">
        <v>686</v>
      </c>
      <c r="E733" s="1298" t="s">
        <v>1232</v>
      </c>
      <c r="F733" s="212">
        <f>ROUND(((K1281*K1371*(1/K1461-1/K1551)*K1641)/1000)*$K$1719,2)</f>
        <v>2150.16</v>
      </c>
      <c r="G733" s="552" t="s">
        <v>1124</v>
      </c>
      <c r="H733" s="66">
        <f>VLOOKUP(G733,'CP FACTORS'!$A$3:$B$38, 2, FALSE)</f>
        <v>9.4741810000000004E-4</v>
      </c>
      <c r="I733" s="985">
        <f t="shared" si="125"/>
        <v>2.0371009999999998</v>
      </c>
      <c r="J733" s="57">
        <f t="shared" si="132"/>
        <v>6</v>
      </c>
      <c r="K733" s="155">
        <f t="shared" si="127"/>
        <v>417.68019891621225</v>
      </c>
      <c r="L733" s="242">
        <f>L921</f>
        <v>2.5310295805916874</v>
      </c>
      <c r="M733" s="542"/>
      <c r="N733" s="554"/>
      <c r="O733" s="403"/>
      <c r="R733" s="521"/>
      <c r="T733" s="50"/>
      <c r="U733" s="556"/>
      <c r="V733" s="1371" t="s">
        <v>45</v>
      </c>
      <c r="W733" s="923">
        <v>2628.7249999999999</v>
      </c>
      <c r="X733" s="238">
        <v>1836.3388775510205</v>
      </c>
      <c r="Y733" s="214">
        <v>1890.35</v>
      </c>
      <c r="Z733" s="212">
        <v>1890.35</v>
      </c>
      <c r="AA733" s="212">
        <v>1890.35</v>
      </c>
      <c r="AB733" s="983">
        <v>2180.1</v>
      </c>
      <c r="AC733" s="214">
        <v>1797.54</v>
      </c>
      <c r="AD733" s="214">
        <v>2194.71</v>
      </c>
      <c r="AE733" s="214">
        <v>2031.51</v>
      </c>
      <c r="AF733" s="258">
        <f t="shared" si="128"/>
        <v>2150.16</v>
      </c>
      <c r="AG733" s="923"/>
      <c r="AH733" s="115"/>
      <c r="AK733" s="924"/>
      <c r="DF733" s="1502" t="str">
        <f t="shared" si="131"/>
        <v>ASHP-SEER16_ER1_SF</v>
      </c>
      <c r="DG733" s="1048">
        <f>(DI733+DI734+DI735+DI736)/(DJ733+DJ734+DJ735+DJ736)</f>
        <v>7.9800104070902824</v>
      </c>
      <c r="DH733" s="1298" t="str">
        <f t="shared" si="129"/>
        <v>Cooling Res 6 Year EUL</v>
      </c>
      <c r="DI733" s="1049">
        <f>(INDEX('Avoided Cost Benefits'!$B$4:$B$866,MATCH(DH733,'Avoided Cost Benefits'!$A$4:$A$866,0)))*F733</f>
        <v>2141.2327449423674</v>
      </c>
      <c r="DJ733" s="1952">
        <f t="shared" si="130"/>
        <v>417.68019891621225</v>
      </c>
      <c r="DM733" s="239"/>
    </row>
    <row r="734" spans="1:117" x14ac:dyDescent="0.25">
      <c r="A734" s="442"/>
      <c r="B734" s="1384">
        <f t="shared" si="124"/>
        <v>352550</v>
      </c>
      <c r="C734" s="18" t="s">
        <v>1231</v>
      </c>
      <c r="D734" s="551" t="s">
        <v>686</v>
      </c>
      <c r="E734" s="1323" t="s">
        <v>1232</v>
      </c>
      <c r="F734" s="212">
        <f>ROUND(((K921*K1011*(1/K1101-1/K1191)*K1641)/1000)*$K$1719,2)</f>
        <v>1926.94</v>
      </c>
      <c r="G734" s="552" t="s">
        <v>1125</v>
      </c>
      <c r="H734" s="66">
        <f>VLOOKUP(G734,'CP FACTORS'!$A$3:$B$38, 2, FALSE)</f>
        <v>0</v>
      </c>
      <c r="I734" s="985">
        <f t="shared" si="125"/>
        <v>0</v>
      </c>
      <c r="J734" s="57">
        <f t="shared" si="132"/>
        <v>6</v>
      </c>
      <c r="K734" s="155">
        <f t="shared" si="127"/>
        <v>0</v>
      </c>
      <c r="L734" s="242"/>
      <c r="M734" s="542"/>
      <c r="N734" s="554"/>
      <c r="O734" s="403"/>
      <c r="R734" s="521"/>
      <c r="T734" s="50"/>
      <c r="U734" s="556"/>
      <c r="V734" s="1371" t="s">
        <v>45</v>
      </c>
      <c r="W734" s="923">
        <v>6249.9803405572748</v>
      </c>
      <c r="X734" s="238">
        <v>2027.0807587241729</v>
      </c>
      <c r="Y734" s="214">
        <v>2533.08</v>
      </c>
      <c r="Z734" s="212">
        <v>2533.08</v>
      </c>
      <c r="AA734" s="212">
        <v>2533.08</v>
      </c>
      <c r="AB734" s="983">
        <v>2201.9299999999998</v>
      </c>
      <c r="AC734" s="214">
        <v>2313.4299999999998</v>
      </c>
      <c r="AD734" s="214">
        <v>2055.86</v>
      </c>
      <c r="AE734" s="214">
        <v>1926.94</v>
      </c>
      <c r="AF734" s="258">
        <f t="shared" si="128"/>
        <v>1926.94</v>
      </c>
      <c r="AG734" s="923"/>
      <c r="AH734" s="115"/>
      <c r="AK734" s="924"/>
      <c r="DF734" s="1502" t="str">
        <f t="shared" si="131"/>
        <v>ASHP-SEER16_ER1_SF</v>
      </c>
      <c r="DG734" s="1052"/>
      <c r="DH734" s="1323" t="str">
        <f t="shared" si="129"/>
        <v>Heating Res 6 Year EUL</v>
      </c>
      <c r="DI734" s="1049">
        <f>(INDEX('Avoided Cost Benefits'!$B$4:$B$866,MATCH(DH734,'Avoided Cost Benefits'!$A$4:$A$866,0)))*F734</f>
        <v>516.76447737099863</v>
      </c>
      <c r="DJ734" s="1952">
        <f t="shared" si="130"/>
        <v>0</v>
      </c>
      <c r="DM734" s="239"/>
    </row>
    <row r="735" spans="1:117" x14ac:dyDescent="0.25">
      <c r="A735" s="442"/>
      <c r="B735" s="1384">
        <f t="shared" si="124"/>
        <v>352550</v>
      </c>
      <c r="C735" s="18" t="s">
        <v>1231</v>
      </c>
      <c r="D735" s="551" t="s">
        <v>686</v>
      </c>
      <c r="E735" s="1323" t="s">
        <v>1233</v>
      </c>
      <c r="F735" s="212">
        <f>ROUND(((K1282*K1372*(1/K1462-1/K1552)*K1642)/1000)*$K$1719,2)</f>
        <v>239.74</v>
      </c>
      <c r="G735" s="552" t="s">
        <v>1178</v>
      </c>
      <c r="H735" s="66">
        <f>VLOOKUP(G735,'CP FACTORS'!$A$3:$B$38, 2, FALSE)</f>
        <v>9.4741810000000004E-4</v>
      </c>
      <c r="I735" s="985">
        <f t="shared" si="125"/>
        <v>0.227134</v>
      </c>
      <c r="J735" s="57">
        <f t="shared" si="132"/>
        <v>12</v>
      </c>
      <c r="K735" s="155">
        <f t="shared" si="127"/>
        <v>0</v>
      </c>
      <c r="L735" s="242"/>
      <c r="M735" s="542"/>
      <c r="N735" s="554"/>
      <c r="O735" s="403"/>
      <c r="R735" s="521"/>
      <c r="T735" s="50"/>
      <c r="U735" s="556"/>
      <c r="V735" s="1371" t="s">
        <v>45</v>
      </c>
      <c r="W735" s="923">
        <v>307.25357142857132</v>
      </c>
      <c r="X735" s="238">
        <v>284.90785714285704</v>
      </c>
      <c r="Y735" s="214">
        <v>293.29000000000002</v>
      </c>
      <c r="Z735" s="212">
        <v>293.29000000000002</v>
      </c>
      <c r="AA735" s="212">
        <v>293.29000000000002</v>
      </c>
      <c r="AB735" s="983">
        <v>333.47</v>
      </c>
      <c r="AC735" s="214">
        <v>297.11</v>
      </c>
      <c r="AD735" s="214">
        <v>282.74</v>
      </c>
      <c r="AE735" s="214">
        <v>133.91</v>
      </c>
      <c r="AF735" s="258">
        <f t="shared" si="128"/>
        <v>239.74</v>
      </c>
      <c r="AG735" s="923"/>
      <c r="AH735" s="115"/>
      <c r="AK735" s="924"/>
      <c r="DF735" s="1502" t="str">
        <f t="shared" si="131"/>
        <v>ASHP-SEER16_ER2_SF</v>
      </c>
      <c r="DG735" s="1052"/>
      <c r="DH735" s="1323" t="str">
        <f t="shared" si="129"/>
        <v>Cooling Res ER2 12 Year EUL</v>
      </c>
      <c r="DI735" s="1049">
        <f>(INDEX('Avoided Cost Benefits'!$B$4:$B$866,MATCH(DH735,'Avoided Cost Benefits'!$A$4:$A$866,0)))*F735</f>
        <v>310.20457314740571</v>
      </c>
      <c r="DJ735" s="1952">
        <f t="shared" si="130"/>
        <v>0</v>
      </c>
      <c r="DM735" s="239"/>
    </row>
    <row r="736" spans="1:117" x14ac:dyDescent="0.25">
      <c r="A736" s="442"/>
      <c r="B736" s="1384">
        <f t="shared" si="124"/>
        <v>352550</v>
      </c>
      <c r="C736" s="18" t="s">
        <v>1231</v>
      </c>
      <c r="D736" s="551" t="s">
        <v>686</v>
      </c>
      <c r="E736" s="1299" t="s">
        <v>1233</v>
      </c>
      <c r="F736" s="212">
        <f>ROUND(((K922*K1012*(1/K1102-1/K1192)*K1642)/1000)*$K$1719,2)</f>
        <v>1079.8900000000001</v>
      </c>
      <c r="G736" s="552" t="s">
        <v>1214</v>
      </c>
      <c r="H736" s="66">
        <f>VLOOKUP(G736,'CP FACTORS'!$A$3:$B$38, 2, FALSE)</f>
        <v>0</v>
      </c>
      <c r="I736" s="985">
        <f t="shared" si="125"/>
        <v>0</v>
      </c>
      <c r="J736" s="57">
        <f t="shared" si="132"/>
        <v>12</v>
      </c>
      <c r="K736" s="155">
        <f t="shared" si="127"/>
        <v>0</v>
      </c>
      <c r="L736" s="242"/>
      <c r="M736" s="542"/>
      <c r="N736" s="554"/>
      <c r="O736" s="403"/>
      <c r="R736" s="521"/>
      <c r="T736" s="50"/>
      <c r="U736" s="556"/>
      <c r="V736" s="1371" t="s">
        <v>45</v>
      </c>
      <c r="W736" s="923">
        <v>1327.6421052631592</v>
      </c>
      <c r="X736" s="238">
        <v>377.74325409076874</v>
      </c>
      <c r="Y736" s="214">
        <v>835.23</v>
      </c>
      <c r="Z736" s="212">
        <v>835.23</v>
      </c>
      <c r="AA736" s="212">
        <v>835.23</v>
      </c>
      <c r="AB736" s="983">
        <v>525.75</v>
      </c>
      <c r="AC736" s="214">
        <v>672.35</v>
      </c>
      <c r="AD736" s="214">
        <v>571.32000000000005</v>
      </c>
      <c r="AE736" s="214">
        <v>305</v>
      </c>
      <c r="AF736" s="258">
        <f t="shared" si="128"/>
        <v>1079.8900000000001</v>
      </c>
      <c r="AG736" s="923"/>
      <c r="AH736" s="115"/>
      <c r="AK736" s="924"/>
      <c r="DF736" s="1502" t="str">
        <f t="shared" si="131"/>
        <v>ASHP-SEER16_ER2_SF</v>
      </c>
      <c r="DG736" s="1052"/>
      <c r="DH736" s="1299" t="str">
        <f t="shared" si="129"/>
        <v>Heating Res ER2 12 Year EUL</v>
      </c>
      <c r="DI736" s="1049">
        <f>(INDEX('Avoided Cost Benefits'!$B$4:$B$866,MATCH(DH736,'Avoided Cost Benefits'!$A$4:$A$866,0)))*F736</f>
        <v>364.8905387261409</v>
      </c>
      <c r="DJ736" s="1952">
        <f t="shared" si="130"/>
        <v>0</v>
      </c>
      <c r="DM736" s="239"/>
    </row>
    <row r="737" spans="1:117" x14ac:dyDescent="0.25">
      <c r="A737" s="442"/>
      <c r="B737" s="1384">
        <f t="shared" si="124"/>
        <v>352600</v>
      </c>
      <c r="C737" s="18" t="s">
        <v>1234</v>
      </c>
      <c r="D737" s="551" t="s">
        <v>686</v>
      </c>
      <c r="E737" s="202" t="s">
        <v>1235</v>
      </c>
      <c r="F737" s="212">
        <f>ROUND(((K1283*K1373*(1/K1463-1/K1553)*K1643)/1000)*$K$1719,2)</f>
        <v>394.62</v>
      </c>
      <c r="G737" s="552" t="s">
        <v>1124</v>
      </c>
      <c r="H737" s="66">
        <f>VLOOKUP(G737,'CP FACTORS'!$A$3:$B$38, 2, FALSE)</f>
        <v>9.4741810000000004E-4</v>
      </c>
      <c r="I737" s="985">
        <f t="shared" si="125"/>
        <v>0.37386999999999998</v>
      </c>
      <c r="J737" s="57">
        <f t="shared" si="132"/>
        <v>18</v>
      </c>
      <c r="K737" s="155">
        <f t="shared" si="127"/>
        <v>3623.261297181818</v>
      </c>
      <c r="L737" s="242">
        <f>L923</f>
        <v>2.8104354953030306</v>
      </c>
      <c r="M737" s="542"/>
      <c r="N737" s="554"/>
      <c r="O737" s="403"/>
      <c r="R737" s="521"/>
      <c r="T737" s="50"/>
      <c r="U737" s="556"/>
      <c r="V737" s="1371" t="s">
        <v>45</v>
      </c>
      <c r="W737" s="923">
        <v>481.29230769230787</v>
      </c>
      <c r="X737" s="238">
        <v>460.23576923076939</v>
      </c>
      <c r="Y737" s="214">
        <v>467.76</v>
      </c>
      <c r="Z737" s="212">
        <v>467.76</v>
      </c>
      <c r="AA737" s="212">
        <v>467.76</v>
      </c>
      <c r="AB737" s="983">
        <v>463.89</v>
      </c>
      <c r="AC737" s="214">
        <v>506.78</v>
      </c>
      <c r="AD737" s="214">
        <v>480.91</v>
      </c>
      <c r="AE737" s="214">
        <v>292.10000000000002</v>
      </c>
      <c r="AF737" s="258">
        <f t="shared" si="128"/>
        <v>394.62</v>
      </c>
      <c r="AG737" s="923"/>
      <c r="AH737" s="115"/>
      <c r="AK737" s="924"/>
      <c r="DF737" s="1502" t="str">
        <f t="shared" si="131"/>
        <v>ASHP-SEER16-Replace_CAC_ElectricHeat_ROF_SF</v>
      </c>
      <c r="DG737" s="1048">
        <f>(DI737+DI738)/(DJ737+DJ738)</f>
        <v>1.7837950310688742</v>
      </c>
      <c r="DH737" s="202" t="str">
        <f t="shared" si="129"/>
        <v>Cooling Res 18 Year EUL</v>
      </c>
      <c r="DI737" s="1049">
        <f>(INDEX('Avoided Cost Benefits'!$B$4:$B$866,MATCH(DH737,'Avoided Cost Benefits'!$A$4:$A$866,0)))*F737</f>
        <v>903.58860317624908</v>
      </c>
      <c r="DJ737" s="1952">
        <f t="shared" si="130"/>
        <v>3623.261297181818</v>
      </c>
      <c r="DM737" s="239"/>
    </row>
    <row r="738" spans="1:117" x14ac:dyDescent="0.25">
      <c r="A738" s="442"/>
      <c r="B738" s="1384">
        <f t="shared" si="124"/>
        <v>352600</v>
      </c>
      <c r="C738" s="18" t="s">
        <v>1234</v>
      </c>
      <c r="D738" s="551" t="s">
        <v>686</v>
      </c>
      <c r="E738" s="240" t="s">
        <v>1235</v>
      </c>
      <c r="F738" s="212">
        <f>ROUND(((K923*K1013*(1/K1103-1/K1193)*K1643)/1000)*$K$1719,2)</f>
        <v>9173.07</v>
      </c>
      <c r="G738" s="552" t="s">
        <v>1125</v>
      </c>
      <c r="H738" s="66">
        <f>VLOOKUP(G738,'CP FACTORS'!$A$3:$B$38, 2, FALSE)</f>
        <v>0</v>
      </c>
      <c r="I738" s="985">
        <f t="shared" si="125"/>
        <v>0</v>
      </c>
      <c r="J738" s="57">
        <f t="shared" si="132"/>
        <v>18</v>
      </c>
      <c r="K738" s="155">
        <f t="shared" si="127"/>
        <v>0</v>
      </c>
      <c r="L738" s="242"/>
      <c r="M738" s="542"/>
      <c r="N738" s="554"/>
      <c r="O738" s="403"/>
      <c r="R738" s="521"/>
      <c r="T738" s="50"/>
      <c r="U738" s="556"/>
      <c r="V738" s="1371" t="s">
        <v>45</v>
      </c>
      <c r="W738" s="923">
        <v>14670.188469329136</v>
      </c>
      <c r="X738" s="238">
        <v>9788.00163331972</v>
      </c>
      <c r="Y738" s="214">
        <v>10452.1</v>
      </c>
      <c r="Z738" s="212">
        <v>10452.1</v>
      </c>
      <c r="AA738" s="212">
        <v>10452.1</v>
      </c>
      <c r="AB738" s="983">
        <v>9504.2099999999991</v>
      </c>
      <c r="AC738" s="214">
        <v>9883.59</v>
      </c>
      <c r="AD738" s="214">
        <v>9811.7099999999991</v>
      </c>
      <c r="AE738" s="214">
        <v>9173.07</v>
      </c>
      <c r="AF738" s="258">
        <f t="shared" si="128"/>
        <v>9173.07</v>
      </c>
      <c r="AG738" s="923"/>
      <c r="AH738" s="115"/>
      <c r="AK738" s="924"/>
      <c r="DF738" s="1502" t="str">
        <f t="shared" si="131"/>
        <v>ASHP-SEER16-Replace_CAC_ElectricHeat_ROF_SF</v>
      </c>
      <c r="DG738" s="1050"/>
      <c r="DH738" s="240" t="str">
        <f t="shared" si="129"/>
        <v>Heating Res 18 Year EUL</v>
      </c>
      <c r="DI738" s="1049">
        <f>(INDEX('Avoided Cost Benefits'!$B$4:$B$866,MATCH(DH738,'Avoided Cost Benefits'!$A$4:$A$866,0)))*F738</f>
        <v>5559.5668950008412</v>
      </c>
      <c r="DJ738" s="1952">
        <f t="shared" si="130"/>
        <v>0</v>
      </c>
      <c r="DM738" s="239"/>
    </row>
    <row r="739" spans="1:117" x14ac:dyDescent="0.25">
      <c r="A739" s="442"/>
      <c r="B739" s="1384">
        <f t="shared" si="124"/>
        <v>352610</v>
      </c>
      <c r="C739" s="18" t="s">
        <v>1236</v>
      </c>
      <c r="D739" s="551" t="s">
        <v>857</v>
      </c>
      <c r="E739" s="202" t="s">
        <v>1237</v>
      </c>
      <c r="F739" s="212">
        <f>ROUND(((K1284*K1374*(1/K1464-1/K1554)*K1644)/1000)*$K$1719,2)</f>
        <v>394.62</v>
      </c>
      <c r="G739" s="552" t="s">
        <v>1124</v>
      </c>
      <c r="H739" s="66">
        <f>VLOOKUP(G739,'CP FACTORS'!$A$3:$B$38, 2, FALSE)</f>
        <v>9.4741810000000004E-4</v>
      </c>
      <c r="I739" s="985">
        <f>ROUND(F739*H739,6)</f>
        <v>0.37386999999999998</v>
      </c>
      <c r="J739" s="57">
        <f>K1752</f>
        <v>18</v>
      </c>
      <c r="K739" s="155">
        <f t="shared" si="127"/>
        <v>149.4416492480305</v>
      </c>
      <c r="L739" s="242">
        <f>L924</f>
        <v>2.8104354953030306</v>
      </c>
      <c r="M739" s="542"/>
      <c r="N739" s="554"/>
      <c r="O739" s="403"/>
      <c r="R739" s="521"/>
      <c r="T739" s="50"/>
      <c r="U739" s="556"/>
      <c r="V739" s="1371" t="s">
        <v>45</v>
      </c>
      <c r="W739" s="923"/>
      <c r="X739" s="238"/>
      <c r="Y739" s="214"/>
      <c r="Z739" s="212"/>
      <c r="AA739" s="212"/>
      <c r="AB739" s="983"/>
      <c r="AC739" s="214"/>
      <c r="AD739" s="214">
        <v>480.91</v>
      </c>
      <c r="AE739" s="214">
        <v>292.10000000000002</v>
      </c>
      <c r="AF739" s="258">
        <f t="shared" si="128"/>
        <v>394.62</v>
      </c>
      <c r="AG739" s="923"/>
      <c r="AH739" s="115"/>
      <c r="AK739" s="924"/>
      <c r="DF739" s="1502" t="str">
        <f t="shared" si="131"/>
        <v>ASHP-SEER16-Replace_CAC_NonElectricHeat_ROF_SF</v>
      </c>
      <c r="DG739" s="1048">
        <f>(DI739+DI740)/(DJ739+DJ740)</f>
        <v>6.0464308827089415</v>
      </c>
      <c r="DH739" s="202" t="str">
        <f>CONCATENATE(G739," ",J739," Year EUL")</f>
        <v>Cooling Res 18 Year EUL</v>
      </c>
      <c r="DI739" s="1049">
        <f>(INDEX('Avoided Cost Benefits'!$B$4:$B$866,MATCH(DH739,'Avoided Cost Benefits'!$A$4:$A$866,0)))*F739</f>
        <v>903.58860317624908</v>
      </c>
      <c r="DJ739" s="1952">
        <f t="shared" si="130"/>
        <v>149.4416492480305</v>
      </c>
      <c r="DM739" s="239"/>
    </row>
    <row r="740" spans="1:117" x14ac:dyDescent="0.25">
      <c r="A740" s="442"/>
      <c r="B740" s="1384">
        <f t="shared" si="124"/>
        <v>352610</v>
      </c>
      <c r="C740" s="18" t="s">
        <v>1236</v>
      </c>
      <c r="D740" s="551" t="s">
        <v>857</v>
      </c>
      <c r="E740" s="240" t="s">
        <v>1237</v>
      </c>
      <c r="F740" s="212">
        <f>0</f>
        <v>0</v>
      </c>
      <c r="G740" s="552" t="s">
        <v>1125</v>
      </c>
      <c r="H740" s="66">
        <f>VLOOKUP(G740,'CP FACTORS'!$A$3:$B$38, 2, FALSE)</f>
        <v>0</v>
      </c>
      <c r="I740" s="985">
        <f>ROUND(F740*H740,6)</f>
        <v>0</v>
      </c>
      <c r="J740" s="57">
        <f>K1753</f>
        <v>18</v>
      </c>
      <c r="K740" s="155">
        <f t="shared" si="127"/>
        <v>0</v>
      </c>
      <c r="L740" s="242"/>
      <c r="M740" s="542"/>
      <c r="N740" s="554"/>
      <c r="O740" s="403"/>
      <c r="R740" s="521"/>
      <c r="T740" s="50"/>
      <c r="U740" s="556"/>
      <c r="V740" s="1371" t="s">
        <v>45</v>
      </c>
      <c r="W740" s="923"/>
      <c r="X740" s="238"/>
      <c r="Y740" s="214"/>
      <c r="Z740" s="212"/>
      <c r="AA740" s="212"/>
      <c r="AB740" s="983"/>
      <c r="AC740" s="214"/>
      <c r="AD740" s="214">
        <v>0</v>
      </c>
      <c r="AE740" s="212">
        <v>0</v>
      </c>
      <c r="AF740" s="258">
        <f t="shared" si="128"/>
        <v>0</v>
      </c>
      <c r="AG740" s="923"/>
      <c r="AH740" s="115"/>
      <c r="AK740" s="924"/>
      <c r="DF740" s="1502" t="str">
        <f t="shared" si="131"/>
        <v>ASHP-SEER16-Replace_CAC_NonElectricHeat_ROF_SF</v>
      </c>
      <c r="DG740" s="1050"/>
      <c r="DH740" s="240" t="str">
        <f>CONCATENATE(G740," ",J740," Year EUL")</f>
        <v>Heating Res 18 Year EUL</v>
      </c>
      <c r="DI740" s="1049">
        <f>(INDEX('Avoided Cost Benefits'!$B$4:$B$866,MATCH(DH740,'Avoided Cost Benefits'!$A$4:$A$866,0)))*F740</f>
        <v>0</v>
      </c>
      <c r="DJ740" s="1952">
        <f t="shared" si="130"/>
        <v>0</v>
      </c>
      <c r="DM740" s="239"/>
    </row>
    <row r="741" spans="1:117" x14ac:dyDescent="0.25">
      <c r="A741" s="442"/>
      <c r="B741" s="1384">
        <f t="shared" si="124"/>
        <v>352650</v>
      </c>
      <c r="C741" s="18" t="s">
        <v>1238</v>
      </c>
      <c r="D741" s="551" t="s">
        <v>686</v>
      </c>
      <c r="E741" s="202" t="s">
        <v>1239</v>
      </c>
      <c r="F741" s="212">
        <f>ROUND(((K1285*K1375*(1/K1465-1/K1555)*K1645)/1000)*$K$1719,2)</f>
        <v>244.06</v>
      </c>
      <c r="G741" s="552" t="s">
        <v>1124</v>
      </c>
      <c r="H741" s="66">
        <f>VLOOKUP(G741,'CP FACTORS'!$A$3:$B$38, 2, FALSE)</f>
        <v>9.4741810000000004E-4</v>
      </c>
      <c r="I741" s="985">
        <f t="shared" si="125"/>
        <v>0.23122699999999999</v>
      </c>
      <c r="J741" s="57">
        <f t="shared" ref="J741:J742" si="133">K1752</f>
        <v>18</v>
      </c>
      <c r="K741" s="155">
        <f t="shared" ref="K741:K772" si="134">IF(C741&lt;&gt;C740,VLOOKUP(C741,$J$1900:$K$2097,2,FALSE),0)</f>
        <v>421</v>
      </c>
      <c r="L741" s="242">
        <f>L925</f>
        <v>2.8104354953030306</v>
      </c>
      <c r="M741" s="542"/>
      <c r="N741" s="554"/>
      <c r="O741" s="403"/>
      <c r="R741" s="521"/>
      <c r="T741" s="50"/>
      <c r="U741" s="556"/>
      <c r="V741" s="1371" t="s">
        <v>45</v>
      </c>
      <c r="W741" s="923">
        <v>307.25357142857132</v>
      </c>
      <c r="X741" s="238">
        <v>284.90785714285704</v>
      </c>
      <c r="Y741" s="214">
        <v>302.60000000000002</v>
      </c>
      <c r="Z741" s="212">
        <v>302.60000000000002</v>
      </c>
      <c r="AA741" s="212">
        <v>302.60000000000002</v>
      </c>
      <c r="AB741" s="984">
        <v>302.60000000000002</v>
      </c>
      <c r="AC741" s="214">
        <v>292.86</v>
      </c>
      <c r="AD741" s="214">
        <v>300.64</v>
      </c>
      <c r="AE741" s="214">
        <v>139.44999999999999</v>
      </c>
      <c r="AF741" s="258">
        <f t="shared" si="128"/>
        <v>244.06</v>
      </c>
      <c r="AG741" s="923"/>
      <c r="AH741" s="115"/>
      <c r="AK741" s="924"/>
      <c r="DF741" s="1502" t="str">
        <f t="shared" si="131"/>
        <v>ASHP-SEER16_ROF_SF</v>
      </c>
      <c r="DG741" s="1048">
        <f>(DI741+DI742)/(DJ741+DJ742)</f>
        <v>2.9175319659047343</v>
      </c>
      <c r="DH741" s="202" t="str">
        <f t="shared" si="129"/>
        <v>Cooling Res 18 Year EUL</v>
      </c>
      <c r="DI741" s="1049">
        <f>(INDEX('Avoided Cost Benefits'!$B$4:$B$866,MATCH(DH741,'Avoided Cost Benefits'!$A$4:$A$866,0)))*F741</f>
        <v>558.84099764633152</v>
      </c>
      <c r="DJ741" s="1952">
        <f t="shared" si="130"/>
        <v>421</v>
      </c>
      <c r="DM741" s="239"/>
    </row>
    <row r="742" spans="1:117" x14ac:dyDescent="0.25">
      <c r="A742" s="442"/>
      <c r="B742" s="1384">
        <f t="shared" si="124"/>
        <v>352650</v>
      </c>
      <c r="C742" s="18" t="s">
        <v>1238</v>
      </c>
      <c r="D742" s="551" t="s">
        <v>686</v>
      </c>
      <c r="E742" s="240" t="s">
        <v>1239</v>
      </c>
      <c r="F742" s="212">
        <f>ROUND(((K925*K1015*(1/K1105-1/K1195)*K1645)/1000)*$K$1719,2)</f>
        <v>1104.55</v>
      </c>
      <c r="G742" s="552" t="s">
        <v>1125</v>
      </c>
      <c r="H742" s="66">
        <f>VLOOKUP(G742,'CP FACTORS'!$A$3:$B$38, 2, FALSE)</f>
        <v>0</v>
      </c>
      <c r="I742" s="985">
        <f t="shared" si="125"/>
        <v>0</v>
      </c>
      <c r="J742" s="57">
        <f t="shared" si="133"/>
        <v>18</v>
      </c>
      <c r="K742" s="155">
        <f t="shared" si="134"/>
        <v>0</v>
      </c>
      <c r="L742" s="242"/>
      <c r="M742" s="542"/>
      <c r="N742" s="554"/>
      <c r="O742" s="403"/>
      <c r="R742" s="521"/>
      <c r="T742" s="50"/>
      <c r="U742" s="556"/>
      <c r="V742" s="1371" t="s">
        <v>45</v>
      </c>
      <c r="W742" s="923">
        <v>1584.0000000000018</v>
      </c>
      <c r="X742" s="238">
        <v>377.74325409076874</v>
      </c>
      <c r="Y742" s="214">
        <v>928.06</v>
      </c>
      <c r="Z742" s="212">
        <v>928.06</v>
      </c>
      <c r="AA742" s="212">
        <v>928.06</v>
      </c>
      <c r="AB742" s="984">
        <v>928.06</v>
      </c>
      <c r="AC742" s="214">
        <v>637.16</v>
      </c>
      <c r="AD742" s="214">
        <v>677.46</v>
      </c>
      <c r="AE742" s="214">
        <v>244.11</v>
      </c>
      <c r="AF742" s="258">
        <f t="shared" si="128"/>
        <v>1104.55</v>
      </c>
      <c r="AG742" s="923"/>
      <c r="AH742" s="115"/>
      <c r="AK742" s="924"/>
      <c r="DF742" s="1502" t="str">
        <f t="shared" si="131"/>
        <v>ASHP-SEER16_ROF_SF</v>
      </c>
      <c r="DG742" s="1050"/>
      <c r="DH742" s="240" t="str">
        <f t="shared" si="129"/>
        <v>Heating Res 18 Year EUL</v>
      </c>
      <c r="DI742" s="1049">
        <f>(INDEX('Avoided Cost Benefits'!$B$4:$B$866,MATCH(DH742,'Avoided Cost Benefits'!$A$4:$A$866,0)))*F742</f>
        <v>669.43995999956167</v>
      </c>
      <c r="DJ742" s="1952">
        <f t="shared" si="130"/>
        <v>0</v>
      </c>
      <c r="DM742" s="239"/>
    </row>
    <row r="743" spans="1:117" x14ac:dyDescent="0.25">
      <c r="A743" s="442"/>
      <c r="B743" s="1384">
        <f t="shared" ref="B743:B754" si="135">VALUE(LEFT(C743,6))</f>
        <v>353000</v>
      </c>
      <c r="C743" s="18" t="s">
        <v>1240</v>
      </c>
      <c r="D743" s="551" t="s">
        <v>600</v>
      </c>
      <c r="E743" s="1298" t="s">
        <v>1241</v>
      </c>
      <c r="F743" s="233">
        <f>ROUND(((K1286*K1376*(1/K1466-1/K1556)*K1646)/1000)*$K$1719,2)</f>
        <v>2088.29</v>
      </c>
      <c r="G743" s="552" t="s">
        <v>1124</v>
      </c>
      <c r="H743" s="66">
        <f>VLOOKUP(G743,'CP FACTORS'!$A$3:$B$38, 2, FALSE)</f>
        <v>9.4741810000000004E-4</v>
      </c>
      <c r="I743" s="985">
        <f t="shared" si="125"/>
        <v>1.9784839999999999</v>
      </c>
      <c r="J743" s="57">
        <f t="shared" ref="J743:J774" si="136">K1754</f>
        <v>6</v>
      </c>
      <c r="K743" s="155">
        <f t="shared" si="134"/>
        <v>3682.0649648885365</v>
      </c>
      <c r="L743" s="242">
        <f>L926</f>
        <v>2.8388888888888886</v>
      </c>
      <c r="M743" s="542"/>
      <c r="N743" s="554"/>
      <c r="O743" s="403"/>
      <c r="R743" s="521"/>
      <c r="T743" s="50"/>
      <c r="U743" s="556"/>
      <c r="V743" s="1371" t="s">
        <v>45</v>
      </c>
      <c r="W743" s="923">
        <v>1776.7855147058826</v>
      </c>
      <c r="X743" s="238">
        <v>1209.2231497599041</v>
      </c>
      <c r="Y743" s="212">
        <v>1209.22</v>
      </c>
      <c r="Z743" s="212">
        <v>1209.22</v>
      </c>
      <c r="AA743" s="212">
        <v>1209.22</v>
      </c>
      <c r="AB743" s="983">
        <v>1329.6</v>
      </c>
      <c r="AC743" s="214">
        <v>1169.45</v>
      </c>
      <c r="AD743" s="214">
        <v>2088.29</v>
      </c>
      <c r="AE743" s="923">
        <v>2088.29</v>
      </c>
      <c r="AF743" s="258">
        <f t="shared" ref="AF743:AF754" si="137">IF(F743&lt;&gt;"",F743,"")</f>
        <v>2088.29</v>
      </c>
      <c r="AG743" s="923"/>
      <c r="AH743" s="115"/>
      <c r="AK743" s="924"/>
      <c r="DF743" s="1502" t="str">
        <f t="shared" ref="DF743:DF754" si="138">E743</f>
        <v>ASHP-SEER16-Replace_CAC_ElectricHeat_ER1_MF</v>
      </c>
      <c r="DG743" s="1048">
        <f>(DI743+DI744+DI745+DI746)/(DJ743+DJ744+DJ745+DJ746)</f>
        <v>2.2602983121092279</v>
      </c>
      <c r="DH743" s="1298" t="str">
        <f t="shared" si="129"/>
        <v>Cooling Res 6 Year EUL</v>
      </c>
      <c r="DI743" s="1049">
        <f>(INDEX('Avoided Cost Benefits'!$B$4:$B$866,MATCH(DH743,'Avoided Cost Benefits'!$A$4:$A$866,0)))*F743</f>
        <v>2079.619623160926</v>
      </c>
      <c r="DJ743" s="1952">
        <f t="shared" ref="DJ743:DJ754" si="139">IFERROR(K743/((1+DiscountRate)^(CurrentYear-DiscountYear)),0)</f>
        <v>3682.0649648885365</v>
      </c>
      <c r="DM743" s="239"/>
    </row>
    <row r="744" spans="1:117" x14ac:dyDescent="0.25">
      <c r="A744" s="442"/>
      <c r="B744" s="1384">
        <f t="shared" si="135"/>
        <v>353000</v>
      </c>
      <c r="C744" s="18" t="s">
        <v>1240</v>
      </c>
      <c r="D744" s="551" t="s">
        <v>600</v>
      </c>
      <c r="E744" s="1323" t="s">
        <v>1241</v>
      </c>
      <c r="F744" s="233">
        <f>ROUND(((K926*K1016*(1/K1106-1/K1196)*K1646)/1000)*$K$1719,2)</f>
        <v>9445.69</v>
      </c>
      <c r="G744" s="552" t="s">
        <v>1125</v>
      </c>
      <c r="H744" s="66">
        <f>VLOOKUP(G744,'CP FACTORS'!$A$3:$B$38, 2, FALSE)</f>
        <v>0</v>
      </c>
      <c r="I744" s="985">
        <f t="shared" si="125"/>
        <v>0</v>
      </c>
      <c r="J744" s="57">
        <f t="shared" si="136"/>
        <v>6</v>
      </c>
      <c r="K744" s="155">
        <f t="shared" si="134"/>
        <v>0</v>
      </c>
      <c r="L744" s="242"/>
      <c r="M744" s="542"/>
      <c r="N744" s="554"/>
      <c r="O744" s="403"/>
      <c r="R744" s="521"/>
      <c r="T744" s="50"/>
      <c r="U744" s="556"/>
      <c r="V744" s="1371" t="s">
        <v>45</v>
      </c>
      <c r="W744" s="923">
        <v>9077.8044487427451</v>
      </c>
      <c r="X744" s="238">
        <v>6759.7787234042544</v>
      </c>
      <c r="Y744" s="212">
        <v>6759.78</v>
      </c>
      <c r="Z744" s="212">
        <v>6759.78</v>
      </c>
      <c r="AA744" s="212">
        <v>6759.78</v>
      </c>
      <c r="AB744" s="983">
        <v>6102.76</v>
      </c>
      <c r="AC744" s="214">
        <v>4250.8</v>
      </c>
      <c r="AD744" s="214">
        <v>9445.69</v>
      </c>
      <c r="AE744" s="923">
        <v>9445.69</v>
      </c>
      <c r="AF744" s="258">
        <f t="shared" si="137"/>
        <v>9445.69</v>
      </c>
      <c r="AG744" s="923"/>
      <c r="AH744" s="115"/>
      <c r="AK744" s="924"/>
      <c r="DF744" s="1502" t="str">
        <f t="shared" si="138"/>
        <v>ASHP-SEER16-Replace_CAC_ElectricHeat_ER1_MF</v>
      </c>
      <c r="DG744" s="1052"/>
      <c r="DH744" s="1323" t="str">
        <f t="shared" si="129"/>
        <v>Heating Res 6 Year EUL</v>
      </c>
      <c r="DI744" s="1049">
        <f>(INDEX('Avoided Cost Benefits'!$B$4:$B$866,MATCH(DH744,'Avoided Cost Benefits'!$A$4:$A$866,0)))*F744</f>
        <v>2533.1339098562839</v>
      </c>
      <c r="DJ744" s="1952">
        <f t="shared" si="139"/>
        <v>0</v>
      </c>
      <c r="DM744" s="239"/>
    </row>
    <row r="745" spans="1:117" x14ac:dyDescent="0.25">
      <c r="A745" s="442"/>
      <c r="B745" s="1384">
        <f t="shared" si="135"/>
        <v>353000</v>
      </c>
      <c r="C745" s="18" t="s">
        <v>1240</v>
      </c>
      <c r="D745" s="551" t="s">
        <v>600</v>
      </c>
      <c r="E745" s="1323" t="s">
        <v>1242</v>
      </c>
      <c r="F745" s="233">
        <f>ROUND(((K1287*K1377*(1/K1467-1/K1557)*K1647)/1000)*$K$1719,2)</f>
        <v>400.45</v>
      </c>
      <c r="G745" s="552" t="s">
        <v>1178</v>
      </c>
      <c r="H745" s="66">
        <f>VLOOKUP(G745,'CP FACTORS'!$A$3:$B$38, 2, FALSE)</f>
        <v>9.4741810000000004E-4</v>
      </c>
      <c r="I745" s="985">
        <f t="shared" si="125"/>
        <v>0.37939400000000001</v>
      </c>
      <c r="J745" s="57">
        <f t="shared" si="136"/>
        <v>12</v>
      </c>
      <c r="K745" s="155">
        <f t="shared" si="134"/>
        <v>0</v>
      </c>
      <c r="L745" s="242"/>
      <c r="M745" s="542"/>
      <c r="N745" s="554"/>
      <c r="O745" s="403"/>
      <c r="R745" s="521"/>
      <c r="T745" s="50"/>
      <c r="U745" s="556"/>
      <c r="V745" s="1371" t="s">
        <v>45</v>
      </c>
      <c r="W745" s="923">
        <v>303.06375000000014</v>
      </c>
      <c r="X745" s="241">
        <v>303.06375000000014</v>
      </c>
      <c r="Y745" s="212">
        <v>303.06</v>
      </c>
      <c r="Z745" s="212">
        <v>303.06</v>
      </c>
      <c r="AA745" s="212">
        <v>303.06</v>
      </c>
      <c r="AB745" s="983">
        <v>364.98</v>
      </c>
      <c r="AC745" s="214">
        <v>195.53</v>
      </c>
      <c r="AD745" s="214">
        <v>476.28</v>
      </c>
      <c r="AE745" s="235">
        <v>294.83999999999997</v>
      </c>
      <c r="AF745" s="258">
        <f t="shared" si="137"/>
        <v>400.45</v>
      </c>
      <c r="AG745" s="923"/>
      <c r="AH745" s="115"/>
      <c r="AK745" s="924"/>
      <c r="DF745" s="1502" t="str">
        <f t="shared" si="138"/>
        <v>ASHP-SEER16-Replace_CAC_ElectricHeat_ER2_MF</v>
      </c>
      <c r="DG745" s="1052"/>
      <c r="DH745" s="1323" t="str">
        <f t="shared" si="129"/>
        <v>Cooling Res ER2 12 Year EUL</v>
      </c>
      <c r="DI745" s="1049">
        <f>(INDEX('Avoided Cost Benefits'!$B$4:$B$866,MATCH(DH745,'Avoided Cost Benefits'!$A$4:$A$866,0)))*F745</f>
        <v>518.15058528772261</v>
      </c>
      <c r="DJ745" s="1952">
        <f t="shared" si="139"/>
        <v>0</v>
      </c>
      <c r="DM745" s="239"/>
    </row>
    <row r="746" spans="1:117" x14ac:dyDescent="0.25">
      <c r="A746" s="442"/>
      <c r="B746" s="1384">
        <f t="shared" si="135"/>
        <v>353000</v>
      </c>
      <c r="C746" s="18" t="s">
        <v>1240</v>
      </c>
      <c r="D746" s="551" t="s">
        <v>600</v>
      </c>
      <c r="E746" s="1299" t="s">
        <v>1242</v>
      </c>
      <c r="F746" s="233">
        <f>ROUND(((K927*K1017*(1/K1107-1/K1197)*K1647)/1000)*$K$1719,2)</f>
        <v>9445.69</v>
      </c>
      <c r="G746" s="552" t="s">
        <v>1214</v>
      </c>
      <c r="H746" s="66">
        <f>VLOOKUP(G746,'CP FACTORS'!$A$3:$B$38, 2, FALSE)</f>
        <v>0</v>
      </c>
      <c r="I746" s="985">
        <f t="shared" si="125"/>
        <v>0</v>
      </c>
      <c r="J746" s="57">
        <f t="shared" si="136"/>
        <v>12</v>
      </c>
      <c r="K746" s="155">
        <f t="shared" si="134"/>
        <v>0</v>
      </c>
      <c r="L746" s="242"/>
      <c r="M746" s="542"/>
      <c r="N746" s="554"/>
      <c r="O746" s="403"/>
      <c r="R746" s="521"/>
      <c r="T746" s="50"/>
      <c r="U746" s="556"/>
      <c r="V746" s="1371" t="s">
        <v>45</v>
      </c>
      <c r="W746" s="923">
        <v>9077.8044487427451</v>
      </c>
      <c r="X746" s="238">
        <v>6759.7787234042544</v>
      </c>
      <c r="Y746" s="212">
        <v>6759.78</v>
      </c>
      <c r="Z746" s="212">
        <v>6759.78</v>
      </c>
      <c r="AA746" s="212">
        <v>6759.78</v>
      </c>
      <c r="AB746" s="983">
        <v>6102.76</v>
      </c>
      <c r="AC746" s="214">
        <v>4250.8</v>
      </c>
      <c r="AD746" s="214">
        <v>9445.69</v>
      </c>
      <c r="AE746" s="923">
        <v>9445.69</v>
      </c>
      <c r="AF746" s="258">
        <f t="shared" si="137"/>
        <v>9445.69</v>
      </c>
      <c r="AG746" s="923"/>
      <c r="AH746" s="115"/>
      <c r="AK746" s="924"/>
      <c r="DF746" s="1502" t="str">
        <f t="shared" si="138"/>
        <v>ASHP-SEER16-Replace_CAC_ElectricHeat_ER2_MF</v>
      </c>
      <c r="DG746" s="1052"/>
      <c r="DH746" s="1299" t="str">
        <f t="shared" si="129"/>
        <v>Heating Res ER2 12 Year EUL</v>
      </c>
      <c r="DI746" s="1049">
        <f>(INDEX('Avoided Cost Benefits'!$B$4:$B$866,MATCH(DH746,'Avoided Cost Benefits'!$A$4:$A$866,0)))*F746</f>
        <v>3191.6611069091496</v>
      </c>
      <c r="DJ746" s="1952">
        <f t="shared" si="139"/>
        <v>0</v>
      </c>
      <c r="DM746" s="239"/>
    </row>
    <row r="747" spans="1:117" x14ac:dyDescent="0.25">
      <c r="A747" s="442"/>
      <c r="B747" s="1384">
        <f t="shared" si="135"/>
        <v>353100</v>
      </c>
      <c r="C747" s="18" t="s">
        <v>1243</v>
      </c>
      <c r="D747" s="551" t="s">
        <v>686</v>
      </c>
      <c r="E747" s="202" t="s">
        <v>1244</v>
      </c>
      <c r="F747" s="212">
        <f>ROUND(((K1288*K1378*(1/K1468-1/K1558)*K1648)/1000)*$K$1719,2)</f>
        <v>510.45</v>
      </c>
      <c r="G747" s="552" t="s">
        <v>1124</v>
      </c>
      <c r="H747" s="66">
        <f>VLOOKUP(G747,'CP FACTORS'!$A$3:$B$38, 2, FALSE)</f>
        <v>9.4741810000000004E-4</v>
      </c>
      <c r="I747" s="1115">
        <f t="shared" ref="I747:I770" si="140">ROUND(F747*H747,6)</f>
        <v>0.48360999999999998</v>
      </c>
      <c r="J747" s="57">
        <f t="shared" si="136"/>
        <v>18</v>
      </c>
      <c r="K747" s="155">
        <f t="shared" si="134"/>
        <v>4073.1981423529414</v>
      </c>
      <c r="L747" s="242">
        <f>L928</f>
        <v>3.2119969039215692</v>
      </c>
      <c r="M747" s="542"/>
      <c r="N747" s="554"/>
      <c r="O747" s="403"/>
      <c r="R747" s="521"/>
      <c r="T747" s="50"/>
      <c r="U747" s="556"/>
      <c r="V747" s="1371" t="s">
        <v>45</v>
      </c>
      <c r="W747" s="923">
        <v>2576.329411764706</v>
      </c>
      <c r="X747" s="238">
        <v>1787.6571428571426</v>
      </c>
      <c r="Y747" s="214">
        <v>528.48</v>
      </c>
      <c r="Z747" s="212">
        <v>528.48</v>
      </c>
      <c r="AA747" s="212">
        <v>528.48</v>
      </c>
      <c r="AB747" s="984">
        <v>528.48</v>
      </c>
      <c r="AC747" s="214">
        <v>538.32000000000005</v>
      </c>
      <c r="AD747" s="214">
        <v>605.63</v>
      </c>
      <c r="AE747" s="214">
        <v>424.08</v>
      </c>
      <c r="AF747" s="258">
        <f t="shared" si="137"/>
        <v>510.45</v>
      </c>
      <c r="AG747" s="923"/>
      <c r="AH747" s="115"/>
      <c r="AK747" s="924"/>
      <c r="DF747" s="1502" t="str">
        <f t="shared" si="138"/>
        <v>ASHP-SEER17-Replace_CAC_ElectricHeat_ROF_SF</v>
      </c>
      <c r="DG747" s="1048">
        <f>(DI747+DI748)/(DJ747+DJ748)</f>
        <v>1.8931507853865068</v>
      </c>
      <c r="DH747" s="202" t="str">
        <f t="shared" ref="DH747:DH768" si="141">CONCATENATE(G747," ",J747," Year EUL")</f>
        <v>Cooling Res 18 Year EUL</v>
      </c>
      <c r="DI747" s="1049">
        <f>(INDEX('Avoided Cost Benefits'!$B$4:$B$866,MATCH(DH747,'Avoided Cost Benefits'!$A$4:$A$866,0)))*F747</f>
        <v>1168.8125348216417</v>
      </c>
      <c r="DJ747" s="1952">
        <f t="shared" si="139"/>
        <v>4073.1981423529414</v>
      </c>
      <c r="DM747" s="239"/>
    </row>
    <row r="748" spans="1:117" x14ac:dyDescent="0.25">
      <c r="A748" s="442"/>
      <c r="B748" s="1384">
        <f t="shared" si="135"/>
        <v>353100</v>
      </c>
      <c r="C748" s="18" t="s">
        <v>1243</v>
      </c>
      <c r="D748" s="551" t="s">
        <v>686</v>
      </c>
      <c r="E748" s="240" t="s">
        <v>1244</v>
      </c>
      <c r="F748" s="212">
        <f>ROUND(((K928*K1018*(1/K1108-1/K1198)*K1648)/1000)*$K$1719,2)</f>
        <v>10794.65</v>
      </c>
      <c r="G748" s="552" t="s">
        <v>1125</v>
      </c>
      <c r="H748" s="66">
        <f>VLOOKUP(G748,'CP FACTORS'!$A$3:$B$38, 2, FALSE)</f>
        <v>0</v>
      </c>
      <c r="I748" s="1115">
        <f t="shared" si="140"/>
        <v>0</v>
      </c>
      <c r="J748" s="57">
        <f t="shared" si="136"/>
        <v>18</v>
      </c>
      <c r="K748" s="155">
        <f t="shared" si="134"/>
        <v>0</v>
      </c>
      <c r="L748" s="242"/>
      <c r="M748" s="542"/>
      <c r="N748" s="554"/>
      <c r="O748" s="403"/>
      <c r="R748" s="521"/>
      <c r="T748" s="50"/>
      <c r="U748" s="556"/>
      <c r="V748" s="1371" t="s">
        <v>45</v>
      </c>
      <c r="W748" s="923">
        <v>12836.414910662994</v>
      </c>
      <c r="X748" s="238">
        <v>9558.6245427336198</v>
      </c>
      <c r="Y748" s="212">
        <v>9558.6200000000008</v>
      </c>
      <c r="Z748" s="212">
        <v>9558.6200000000008</v>
      </c>
      <c r="AA748" s="212">
        <v>9558.6200000000008</v>
      </c>
      <c r="AB748" s="984">
        <v>9558.6200000000008</v>
      </c>
      <c r="AC748" s="214">
        <v>9112.0499999999993</v>
      </c>
      <c r="AD748" s="214">
        <v>9907.98</v>
      </c>
      <c r="AE748" s="214">
        <v>10794.65</v>
      </c>
      <c r="AF748" s="258">
        <f t="shared" si="137"/>
        <v>10794.65</v>
      </c>
      <c r="AG748" s="923"/>
      <c r="AH748" s="115"/>
      <c r="AK748" s="924"/>
      <c r="DF748" s="1502" t="str">
        <f t="shared" si="138"/>
        <v>ASHP-SEER17-Replace_CAC_ElectricHeat_ROF_SF</v>
      </c>
      <c r="DG748" s="1050"/>
      <c r="DH748" s="240" t="str">
        <f t="shared" si="141"/>
        <v>Heating Res 18 Year EUL</v>
      </c>
      <c r="DI748" s="1049">
        <f>(INDEX('Avoided Cost Benefits'!$B$4:$B$866,MATCH(DH748,'Avoided Cost Benefits'!$A$4:$A$866,0)))*F748</f>
        <v>6542.36572740869</v>
      </c>
      <c r="DJ748" s="1952">
        <f t="shared" si="139"/>
        <v>0</v>
      </c>
      <c r="DM748" s="239"/>
    </row>
    <row r="749" spans="1:117" x14ac:dyDescent="0.25">
      <c r="A749" s="442"/>
      <c r="B749" s="1384">
        <f t="shared" si="135"/>
        <v>353110</v>
      </c>
      <c r="C749" s="18" t="s">
        <v>1245</v>
      </c>
      <c r="D749" s="551" t="s">
        <v>857</v>
      </c>
      <c r="E749" s="202" t="s">
        <v>1246</v>
      </c>
      <c r="F749" s="212">
        <f>ROUND(((K1289*K1379*(1/K1469-1/K1559)*K1649)/1000)*$K$1719,2)</f>
        <v>510.45</v>
      </c>
      <c r="G749" s="552" t="s">
        <v>1124</v>
      </c>
      <c r="H749" s="66">
        <f>VLOOKUP(G749,'CP FACTORS'!$A$3:$B$38, 2, FALSE)</f>
        <v>9.4741810000000004E-4</v>
      </c>
      <c r="I749" s="1115">
        <f t="shared" si="140"/>
        <v>0.48360999999999998</v>
      </c>
      <c r="J749" s="57">
        <f t="shared" si="136"/>
        <v>18</v>
      </c>
      <c r="K749" s="155">
        <f t="shared" si="134"/>
        <v>183.91380808343658</v>
      </c>
      <c r="L749" s="242">
        <f>L929</f>
        <v>3.2119969039215692</v>
      </c>
      <c r="M749" s="542"/>
      <c r="N749" s="554"/>
      <c r="O749" s="403"/>
      <c r="R749" s="521"/>
      <c r="T749" s="50"/>
      <c r="U749" s="556"/>
      <c r="V749" s="1371" t="s">
        <v>45</v>
      </c>
      <c r="W749" s="923"/>
      <c r="X749" s="238"/>
      <c r="Y749" s="214"/>
      <c r="Z749" s="212"/>
      <c r="AA749" s="212"/>
      <c r="AB749" s="983"/>
      <c r="AC749" s="214"/>
      <c r="AD749" s="214">
        <v>605.63</v>
      </c>
      <c r="AE749" s="214">
        <v>424.08</v>
      </c>
      <c r="AF749" s="258">
        <f t="shared" si="137"/>
        <v>510.45</v>
      </c>
      <c r="AG749" s="923"/>
      <c r="AH749" s="115"/>
      <c r="AK749" s="924"/>
      <c r="DF749" s="1502" t="str">
        <f t="shared" si="138"/>
        <v>ASHP-SEER17-Replace_CAC_NonElectricHeat_ROF_SF</v>
      </c>
      <c r="DG749" s="1048">
        <f>(DI749+DI750)/(DJ749+DJ750)</f>
        <v>6.3552190398416633</v>
      </c>
      <c r="DH749" s="202" t="str">
        <f>CONCATENATE(G749," ",J749," Year EUL")</f>
        <v>Cooling Res 18 Year EUL</v>
      </c>
      <c r="DI749" s="1049">
        <f>(INDEX('Avoided Cost Benefits'!$B$4:$B$866,MATCH(DH749,'Avoided Cost Benefits'!$A$4:$A$866,0)))*F749</f>
        <v>1168.8125348216417</v>
      </c>
      <c r="DJ749" s="1952">
        <f t="shared" si="139"/>
        <v>183.91380808343658</v>
      </c>
      <c r="DM749" s="239"/>
    </row>
    <row r="750" spans="1:117" x14ac:dyDescent="0.25">
      <c r="A750" s="442"/>
      <c r="B750" s="1384">
        <f t="shared" si="135"/>
        <v>353110</v>
      </c>
      <c r="C750" s="18" t="s">
        <v>1245</v>
      </c>
      <c r="D750" s="551" t="s">
        <v>857</v>
      </c>
      <c r="E750" s="240" t="s">
        <v>1246</v>
      </c>
      <c r="F750" s="212">
        <f>0</f>
        <v>0</v>
      </c>
      <c r="G750" s="552" t="s">
        <v>1125</v>
      </c>
      <c r="H750" s="66">
        <f>VLOOKUP(G750,'CP FACTORS'!$A$3:$B$38, 2, FALSE)</f>
        <v>0</v>
      </c>
      <c r="I750" s="1115">
        <f t="shared" si="140"/>
        <v>0</v>
      </c>
      <c r="J750" s="57">
        <f t="shared" si="136"/>
        <v>18</v>
      </c>
      <c r="K750" s="155">
        <f t="shared" si="134"/>
        <v>0</v>
      </c>
      <c r="L750" s="242"/>
      <c r="M750" s="542"/>
      <c r="N750" s="554"/>
      <c r="O750" s="403"/>
      <c r="R750" s="521"/>
      <c r="T750" s="50"/>
      <c r="U750" s="556"/>
      <c r="V750" s="1371" t="s">
        <v>45</v>
      </c>
      <c r="W750" s="923"/>
      <c r="X750" s="238"/>
      <c r="Y750" s="214"/>
      <c r="Z750" s="212"/>
      <c r="AA750" s="212"/>
      <c r="AB750" s="983"/>
      <c r="AC750" s="214"/>
      <c r="AD750" s="214">
        <v>0</v>
      </c>
      <c r="AE750" s="212">
        <v>0</v>
      </c>
      <c r="AF750" s="258">
        <f t="shared" si="137"/>
        <v>0</v>
      </c>
      <c r="AG750" s="923"/>
      <c r="AH750" s="115"/>
      <c r="AK750" s="924"/>
      <c r="DF750" s="1502" t="str">
        <f t="shared" si="138"/>
        <v>ASHP-SEER17-Replace_CAC_NonElectricHeat_ROF_SF</v>
      </c>
      <c r="DG750" s="1050"/>
      <c r="DH750" s="240" t="str">
        <f>CONCATENATE(G750," ",J750," Year EUL")</f>
        <v>Heating Res 18 Year EUL</v>
      </c>
      <c r="DI750" s="1049">
        <f>(INDEX('Avoided Cost Benefits'!$B$4:$B$866,MATCH(DH750,'Avoided Cost Benefits'!$A$4:$A$866,0)))*F750</f>
        <v>0</v>
      </c>
      <c r="DJ750" s="1952">
        <f t="shared" si="139"/>
        <v>0</v>
      </c>
      <c r="DM750" s="239"/>
    </row>
    <row r="751" spans="1:117" x14ac:dyDescent="0.25">
      <c r="A751" s="442"/>
      <c r="B751" s="1384">
        <f t="shared" si="135"/>
        <v>353200</v>
      </c>
      <c r="C751" s="18" t="s">
        <v>1247</v>
      </c>
      <c r="D751" s="551" t="s">
        <v>686</v>
      </c>
      <c r="E751" s="202" t="s">
        <v>1248</v>
      </c>
      <c r="F751" s="212">
        <f>ROUND(((K1290*K1380*(1/K1470-1/K1560)*K1650)/1000)*$K$1719,2)</f>
        <v>700.49</v>
      </c>
      <c r="G751" s="552" t="s">
        <v>1124</v>
      </c>
      <c r="H751" s="66">
        <f>VLOOKUP(G751,'CP FACTORS'!$A$3:$B$38, 2, FALSE)</f>
        <v>9.4741810000000004E-4</v>
      </c>
      <c r="I751" s="1115">
        <f t="shared" si="140"/>
        <v>0.66365700000000005</v>
      </c>
      <c r="J751" s="57">
        <f t="shared" si="136"/>
        <v>18</v>
      </c>
      <c r="K751" s="155">
        <f t="shared" si="134"/>
        <v>4172.2222220000003</v>
      </c>
      <c r="L751" s="242">
        <f>L930</f>
        <v>3.0020370366666667</v>
      </c>
      <c r="M751" s="542"/>
      <c r="N751" s="554"/>
      <c r="O751" s="403"/>
      <c r="R751" s="521"/>
      <c r="T751" s="50"/>
      <c r="U751" s="556"/>
      <c r="V751" s="1371" t="s">
        <v>45</v>
      </c>
      <c r="W751" s="923">
        <v>2671.7490196078434</v>
      </c>
      <c r="X751" s="238">
        <v>1883.0767507002802</v>
      </c>
      <c r="Y751" s="214">
        <v>623.9</v>
      </c>
      <c r="Z751" s="212">
        <v>623.9</v>
      </c>
      <c r="AA751" s="212">
        <v>623.9</v>
      </c>
      <c r="AB751" s="983">
        <v>759.94</v>
      </c>
      <c r="AC751" s="214">
        <v>651.29999999999995</v>
      </c>
      <c r="AD751" s="214">
        <v>707.23</v>
      </c>
      <c r="AE751" s="214">
        <v>496.2</v>
      </c>
      <c r="AF751" s="258">
        <f t="shared" si="137"/>
        <v>700.49</v>
      </c>
      <c r="AG751" s="923"/>
      <c r="AH751" s="115"/>
      <c r="AK751" s="924"/>
      <c r="DF751" s="1502" t="str">
        <f t="shared" si="138"/>
        <v>ASHP-SEER18-Replace_CAC_ElectricHeat_ROF_SF</v>
      </c>
      <c r="DG751" s="1048">
        <f>(DI751+DI752)/(DJ751+DJ752)</f>
        <v>1.8891171859742262</v>
      </c>
      <c r="DH751" s="202" t="str">
        <f t="shared" si="141"/>
        <v>Cooling Res 18 Year EUL</v>
      </c>
      <c r="DI751" s="1049">
        <f>(INDEX('Avoided Cost Benefits'!$B$4:$B$866,MATCH(DH751,'Avoided Cost Benefits'!$A$4:$A$866,0)))*F751</f>
        <v>1603.9602165093779</v>
      </c>
      <c r="DJ751" s="1952">
        <f t="shared" si="139"/>
        <v>4172.2222220000003</v>
      </c>
      <c r="DM751" s="239"/>
    </row>
    <row r="752" spans="1:117" x14ac:dyDescent="0.25">
      <c r="A752" s="442"/>
      <c r="B752" s="1384">
        <f t="shared" si="135"/>
        <v>353200</v>
      </c>
      <c r="C752" s="18" t="s">
        <v>1247</v>
      </c>
      <c r="D752" s="551" t="s">
        <v>686</v>
      </c>
      <c r="E752" s="240" t="s">
        <v>1248</v>
      </c>
      <c r="F752" s="212">
        <f>ROUND(((K930*K1020*(1/K1110-1/K1200)*K1650)/1000)*$K$1719,2)</f>
        <v>10358.219999999999</v>
      </c>
      <c r="G752" s="552" t="s">
        <v>1125</v>
      </c>
      <c r="H752" s="66">
        <f>VLOOKUP(G752,'CP FACTORS'!$A$3:$B$38, 2, FALSE)</f>
        <v>0</v>
      </c>
      <c r="I752" s="1115">
        <f t="shared" si="140"/>
        <v>0</v>
      </c>
      <c r="J752" s="57">
        <f t="shared" si="136"/>
        <v>18</v>
      </c>
      <c r="K752" s="155">
        <f t="shared" si="134"/>
        <v>0</v>
      </c>
      <c r="L752" s="242"/>
      <c r="M752" s="542"/>
      <c r="N752" s="554"/>
      <c r="O752" s="403"/>
      <c r="R752" s="521"/>
      <c r="T752" s="50"/>
      <c r="U752" s="556"/>
      <c r="V752" s="1371" t="s">
        <v>45</v>
      </c>
      <c r="W752" s="923">
        <v>12836.414910662994</v>
      </c>
      <c r="X752" s="238">
        <v>9558.6245427336198</v>
      </c>
      <c r="Y752" s="212">
        <v>9558.6200000000008</v>
      </c>
      <c r="Z752" s="212">
        <v>9558.6200000000008</v>
      </c>
      <c r="AA752" s="212">
        <v>9558.6200000000008</v>
      </c>
      <c r="AB752" s="983">
        <v>10664.41</v>
      </c>
      <c r="AC752" s="214">
        <v>10428.83</v>
      </c>
      <c r="AD752" s="214">
        <v>10917.73</v>
      </c>
      <c r="AE752" s="214">
        <v>10358.219999999999</v>
      </c>
      <c r="AF752" s="258">
        <f t="shared" si="137"/>
        <v>10358.219999999999</v>
      </c>
      <c r="AG752" s="923"/>
      <c r="AH752" s="115"/>
      <c r="AK752" s="924"/>
      <c r="DF752" s="1502" t="str">
        <f t="shared" si="138"/>
        <v>ASHP-SEER18-Replace_CAC_ElectricHeat_ROF_SF</v>
      </c>
      <c r="DG752" s="1050"/>
      <c r="DH752" s="240" t="str">
        <f t="shared" si="141"/>
        <v>Heating Res 18 Year EUL</v>
      </c>
      <c r="DI752" s="1049">
        <f>(INDEX('Avoided Cost Benefits'!$B$4:$B$866,MATCH(DH752,'Avoided Cost Benefits'!$A$4:$A$866,0)))*F752</f>
        <v>6277.8564867743962</v>
      </c>
      <c r="DJ752" s="1952">
        <f t="shared" si="139"/>
        <v>0</v>
      </c>
      <c r="DM752" s="239"/>
    </row>
    <row r="753" spans="1:117" x14ac:dyDescent="0.25">
      <c r="A753" s="442"/>
      <c r="B753" s="1384">
        <f t="shared" si="135"/>
        <v>353210</v>
      </c>
      <c r="C753" s="18" t="s">
        <v>1249</v>
      </c>
      <c r="D753" s="551" t="s">
        <v>857</v>
      </c>
      <c r="E753" s="202" t="s">
        <v>1250</v>
      </c>
      <c r="F753" s="212">
        <f>ROUND(((K1291*K1381*(1/K1471-1/K1561)*K1651)/1000)*$K$1719,2)</f>
        <v>700.49</v>
      </c>
      <c r="G753" s="552" t="s">
        <v>1124</v>
      </c>
      <c r="H753" s="66">
        <f>VLOOKUP(G753,'CP FACTORS'!$A$3:$B$38, 2, FALSE)</f>
        <v>9.4741810000000004E-4</v>
      </c>
      <c r="I753" s="1115">
        <f t="shared" si="140"/>
        <v>0.66365700000000005</v>
      </c>
      <c r="J753" s="57">
        <f t="shared" si="136"/>
        <v>18</v>
      </c>
      <c r="K753" s="155">
        <f t="shared" si="134"/>
        <v>264.28036762775952</v>
      </c>
      <c r="L753" s="242">
        <f>L931</f>
        <v>3.0020370366666667</v>
      </c>
      <c r="M753" s="542"/>
      <c r="N753" s="554"/>
      <c r="O753" s="403"/>
      <c r="R753" s="521"/>
      <c r="T753" s="50"/>
      <c r="U753" s="556"/>
      <c r="V753" s="1371" t="s">
        <v>45</v>
      </c>
      <c r="W753" s="923"/>
      <c r="X753" s="238"/>
      <c r="Y753" s="214"/>
      <c r="Z753" s="212"/>
      <c r="AA753" s="212"/>
      <c r="AB753" s="983"/>
      <c r="AC753" s="214"/>
      <c r="AD753" s="214">
        <v>707.23</v>
      </c>
      <c r="AE753" s="214">
        <v>496.2</v>
      </c>
      <c r="AF753" s="258">
        <f t="shared" si="137"/>
        <v>700.49</v>
      </c>
      <c r="AG753" s="923"/>
      <c r="AH753" s="115"/>
      <c r="AK753" s="924"/>
      <c r="DF753" s="1502" t="str">
        <f t="shared" si="138"/>
        <v>ASHP-SEER18-Replace_CAC_NonElectricHeat_ROF_SF</v>
      </c>
      <c r="DG753" s="1048">
        <f>(DI753+DI754)/(DJ753+DJ754)</f>
        <v>6.0691614398257743</v>
      </c>
      <c r="DH753" s="202" t="str">
        <f>CONCATENATE(G753," ",J753," Year EUL")</f>
        <v>Cooling Res 18 Year EUL</v>
      </c>
      <c r="DI753" s="1049">
        <f>(INDEX('Avoided Cost Benefits'!$B$4:$B$866,MATCH(DH753,'Avoided Cost Benefits'!$A$4:$A$866,0)))*F753</f>
        <v>1603.9602165093779</v>
      </c>
      <c r="DJ753" s="1952">
        <f t="shared" si="139"/>
        <v>264.28036762775952</v>
      </c>
      <c r="DM753" s="239"/>
    </row>
    <row r="754" spans="1:117" x14ac:dyDescent="0.25">
      <c r="A754" s="442"/>
      <c r="B754" s="1384">
        <f t="shared" si="135"/>
        <v>353210</v>
      </c>
      <c r="C754" s="18" t="s">
        <v>1249</v>
      </c>
      <c r="D754" s="551" t="s">
        <v>857</v>
      </c>
      <c r="E754" s="240" t="s">
        <v>1250</v>
      </c>
      <c r="F754" s="212">
        <f>0</f>
        <v>0</v>
      </c>
      <c r="G754" s="552" t="s">
        <v>1125</v>
      </c>
      <c r="H754" s="66">
        <f>VLOOKUP(G754,'CP FACTORS'!$A$3:$B$38, 2, FALSE)</f>
        <v>0</v>
      </c>
      <c r="I754" s="1115">
        <f t="shared" si="140"/>
        <v>0</v>
      </c>
      <c r="J754" s="57">
        <f t="shared" si="136"/>
        <v>18</v>
      </c>
      <c r="K754" s="155">
        <f t="shared" si="134"/>
        <v>0</v>
      </c>
      <c r="L754" s="242"/>
      <c r="M754" s="542"/>
      <c r="N754" s="554"/>
      <c r="O754" s="403"/>
      <c r="R754" s="521"/>
      <c r="T754" s="50"/>
      <c r="U754" s="556"/>
      <c r="V754" s="1371" t="s">
        <v>45</v>
      </c>
      <c r="W754" s="923"/>
      <c r="X754" s="238"/>
      <c r="Y754" s="214"/>
      <c r="Z754" s="212"/>
      <c r="AA754" s="212"/>
      <c r="AB754" s="983"/>
      <c r="AC754" s="214"/>
      <c r="AD754" s="214">
        <v>0</v>
      </c>
      <c r="AE754" s="214">
        <v>0</v>
      </c>
      <c r="AF754" s="258">
        <f t="shared" si="137"/>
        <v>0</v>
      </c>
      <c r="AG754" s="923"/>
      <c r="AH754" s="115"/>
      <c r="AK754" s="924"/>
      <c r="DF754" s="1502" t="str">
        <f t="shared" si="138"/>
        <v>ASHP-SEER18-Replace_CAC_NonElectricHeat_ROF_SF</v>
      </c>
      <c r="DG754" s="1050"/>
      <c r="DH754" s="240" t="str">
        <f>CONCATENATE(G754," ",J754," Year EUL")</f>
        <v>Heating Res 18 Year EUL</v>
      </c>
      <c r="DI754" s="1049">
        <f>(INDEX('Avoided Cost Benefits'!$B$4:$B$866,MATCH(DH754,'Avoided Cost Benefits'!$A$4:$A$866,0)))*F754</f>
        <v>0</v>
      </c>
      <c r="DJ754" s="1952">
        <f t="shared" si="139"/>
        <v>0</v>
      </c>
      <c r="DM754" s="239"/>
    </row>
    <row r="755" spans="1:117" x14ac:dyDescent="0.25">
      <c r="A755" s="442"/>
      <c r="B755" s="1384">
        <f t="shared" ref="B755:B786" si="142">VALUE(LEFT(C755,6))</f>
        <v>353300</v>
      </c>
      <c r="C755" s="18" t="s">
        <v>1251</v>
      </c>
      <c r="D755" s="551" t="s">
        <v>686</v>
      </c>
      <c r="E755" s="202" t="s">
        <v>1252</v>
      </c>
      <c r="F755" s="212">
        <f>ROUND(((K1292*K1382*(1/K1472-1/K1562)*K1652)/1000)*$K$1719,2)</f>
        <v>838.11</v>
      </c>
      <c r="G755" s="552" t="s">
        <v>1124</v>
      </c>
      <c r="H755" s="66">
        <f>VLOOKUP(G755,'CP FACTORS'!$A$3:$B$38, 2, FALSE)</f>
        <v>9.4741810000000004E-4</v>
      </c>
      <c r="I755" s="1115">
        <f t="shared" si="140"/>
        <v>0.794041</v>
      </c>
      <c r="J755" s="57">
        <f t="shared" si="136"/>
        <v>18</v>
      </c>
      <c r="K755" s="155">
        <f t="shared" si="134"/>
        <v>4392.2197803846157</v>
      </c>
      <c r="L755" s="242">
        <f>L932</f>
        <v>2.9920329673076922</v>
      </c>
      <c r="M755" s="542"/>
      <c r="N755" s="554"/>
      <c r="O755" s="403"/>
      <c r="R755" s="521"/>
      <c r="T755" s="50"/>
      <c r="U755" s="556"/>
      <c r="V755" s="1371" t="s">
        <v>45</v>
      </c>
      <c r="W755" s="923">
        <v>2757.1244582043346</v>
      </c>
      <c r="X755" s="238">
        <v>1968.4521892967714</v>
      </c>
      <c r="Y755" s="214">
        <v>709.27</v>
      </c>
      <c r="Z755" s="212">
        <v>709.27</v>
      </c>
      <c r="AA755" s="212">
        <v>709.27</v>
      </c>
      <c r="AB755" s="984">
        <v>709.27</v>
      </c>
      <c r="AC755" s="214">
        <v>1013.25</v>
      </c>
      <c r="AD755" s="214">
        <v>895.2</v>
      </c>
      <c r="AE755" s="214">
        <v>699.07</v>
      </c>
      <c r="AF755" s="258">
        <f t="shared" ref="AF755:AF786" si="143">IF(F755&lt;&gt;"",F755,"")</f>
        <v>838.11</v>
      </c>
      <c r="AG755" s="923"/>
      <c r="AH755" s="115"/>
      <c r="AK755" s="924"/>
      <c r="DF755" s="1502" t="str">
        <f t="shared" ref="DF755:DF786" si="144">E755</f>
        <v>ASHP-SEER19-Replace_CAC_ElectricHeat_ROF_SF</v>
      </c>
      <c r="DG755" s="1048">
        <f>(DI755+DI756)/(DJ755+DJ756)</f>
        <v>1.8777423512379938</v>
      </c>
      <c r="DH755" s="202" t="str">
        <f t="shared" si="141"/>
        <v>Cooling Res 18 Year EUL</v>
      </c>
      <c r="DI755" s="1049">
        <f>(INDEX('Avoided Cost Benefits'!$B$4:$B$866,MATCH(DH755,'Avoided Cost Benefits'!$A$4:$A$866,0)))*F755</f>
        <v>1919.0782124779435</v>
      </c>
      <c r="DJ755" s="1952">
        <f t="shared" ref="DJ755:DJ786" si="145">IFERROR(K755/((1+DiscountRate)^(CurrentYear-DiscountYear)),0)</f>
        <v>4392.2197803846157</v>
      </c>
      <c r="DM755" s="239"/>
    </row>
    <row r="756" spans="1:117" x14ac:dyDescent="0.25">
      <c r="A756" s="442"/>
      <c r="B756" s="1384">
        <f t="shared" si="142"/>
        <v>353300</v>
      </c>
      <c r="C756" s="18" t="s">
        <v>1251</v>
      </c>
      <c r="D756" s="551" t="s">
        <v>686</v>
      </c>
      <c r="E756" s="240" t="s">
        <v>1252</v>
      </c>
      <c r="F756" s="212">
        <f>ROUND(((K932*K1022*(1/K1112-1/K1202)*K1652)/1000)*$K$1719,2)</f>
        <v>10441.58</v>
      </c>
      <c r="G756" s="552" t="s">
        <v>1125</v>
      </c>
      <c r="H756" s="66">
        <f>VLOOKUP(G756,'CP FACTORS'!$A$3:$B$38, 2, FALSE)</f>
        <v>0</v>
      </c>
      <c r="I756" s="1115">
        <f t="shared" si="140"/>
        <v>0</v>
      </c>
      <c r="J756" s="57">
        <f t="shared" si="136"/>
        <v>18</v>
      </c>
      <c r="K756" s="155">
        <f t="shared" si="134"/>
        <v>0</v>
      </c>
      <c r="L756" s="242"/>
      <c r="M756" s="542"/>
      <c r="N756" s="554"/>
      <c r="O756" s="403"/>
      <c r="R756" s="521"/>
      <c r="T756" s="50"/>
      <c r="U756" s="556"/>
      <c r="V756" s="1371" t="s">
        <v>45</v>
      </c>
      <c r="W756" s="923">
        <v>12836.414910662994</v>
      </c>
      <c r="X756" s="238">
        <v>9558.6245427336198</v>
      </c>
      <c r="Y756" s="212">
        <v>9558.6200000000008</v>
      </c>
      <c r="Z756" s="212">
        <v>9558.6200000000008</v>
      </c>
      <c r="AA756" s="212">
        <v>9558.6200000000008</v>
      </c>
      <c r="AB756" s="984">
        <v>9558.6200000000008</v>
      </c>
      <c r="AC756" s="214">
        <v>14530.06</v>
      </c>
      <c r="AD756" s="214">
        <v>10441.58</v>
      </c>
      <c r="AE756" s="212">
        <v>10441.58</v>
      </c>
      <c r="AF756" s="258">
        <f t="shared" si="143"/>
        <v>10441.58</v>
      </c>
      <c r="AG756" s="923"/>
      <c r="AH756" s="115"/>
      <c r="AK756" s="924"/>
      <c r="DF756" s="1502" t="str">
        <f t="shared" si="144"/>
        <v>ASHP-SEER19-Replace_CAC_ElectricHeat_ROF_SF</v>
      </c>
      <c r="DG756" s="1050"/>
      <c r="DH756" s="240" t="str">
        <f t="shared" si="141"/>
        <v>Heating Res 18 Year EUL</v>
      </c>
      <c r="DI756" s="1049">
        <f>(INDEX('Avoided Cost Benefits'!$B$4:$B$866,MATCH(DH756,'Avoided Cost Benefits'!$A$4:$A$866,0)))*F756</f>
        <v>6328.3788850954897</v>
      </c>
      <c r="DJ756" s="1952">
        <f t="shared" si="145"/>
        <v>0</v>
      </c>
      <c r="DM756" s="239"/>
    </row>
    <row r="757" spans="1:117" x14ac:dyDescent="0.25">
      <c r="A757" s="442"/>
      <c r="B757" s="1384">
        <f t="shared" si="142"/>
        <v>353310</v>
      </c>
      <c r="C757" s="18" t="s">
        <v>1253</v>
      </c>
      <c r="D757" s="551" t="s">
        <v>857</v>
      </c>
      <c r="E757" s="202" t="s">
        <v>1254</v>
      </c>
      <c r="F757" s="212">
        <f>ROUND(((K1293*K1383*(1/K1473-1/K1563)*K1653)/1000)*$K$1719,2)</f>
        <v>838.11</v>
      </c>
      <c r="G757" s="552" t="s">
        <v>1124</v>
      </c>
      <c r="H757" s="66">
        <f>VLOOKUP(G757,'CP FACTORS'!$A$3:$B$38, 2, FALSE)</f>
        <v>9.4741810000000004E-4</v>
      </c>
      <c r="I757" s="1115">
        <f t="shared" si="140"/>
        <v>0.794041</v>
      </c>
      <c r="J757" s="57">
        <f t="shared" si="136"/>
        <v>18</v>
      </c>
      <c r="K757" s="155">
        <f t="shared" si="134"/>
        <v>326.35323489724897</v>
      </c>
      <c r="L757" s="242">
        <f>L933</f>
        <v>2.9920329673076922</v>
      </c>
      <c r="M757" s="542"/>
      <c r="N757" s="554"/>
      <c r="O757" s="403"/>
      <c r="R757" s="521"/>
      <c r="T757" s="50"/>
      <c r="U757" s="556"/>
      <c r="V757" s="1371" t="s">
        <v>45</v>
      </c>
      <c r="W757" s="923"/>
      <c r="X757" s="238"/>
      <c r="Y757" s="214"/>
      <c r="Z757" s="212"/>
      <c r="AA757" s="212"/>
      <c r="AB757" s="983"/>
      <c r="AC757" s="214"/>
      <c r="AD757" s="214">
        <v>895.2</v>
      </c>
      <c r="AE757" s="214">
        <v>699.07</v>
      </c>
      <c r="AF757" s="258">
        <f t="shared" si="143"/>
        <v>838.11</v>
      </c>
      <c r="AG757" s="923"/>
      <c r="AH757" s="115"/>
      <c r="AK757" s="924"/>
      <c r="DF757" s="1502" t="str">
        <f t="shared" si="144"/>
        <v>ASHP-SEER19-Replace_CAC_NonElectricHeat_ROF_SF</v>
      </c>
      <c r="DG757" s="1048">
        <f>(DI757+DI758)/(DJ757+DJ758)</f>
        <v>5.8803713500255563</v>
      </c>
      <c r="DH757" s="202" t="str">
        <f>CONCATENATE(G757," ",J757," Year EUL")</f>
        <v>Cooling Res 18 Year EUL</v>
      </c>
      <c r="DI757" s="1049">
        <f>(INDEX('Avoided Cost Benefits'!$B$4:$B$866,MATCH(DH757,'Avoided Cost Benefits'!$A$4:$A$866,0)))*F757</f>
        <v>1919.0782124779435</v>
      </c>
      <c r="DJ757" s="1952">
        <f t="shared" si="145"/>
        <v>326.35323489724897</v>
      </c>
      <c r="DM757" s="239"/>
    </row>
    <row r="758" spans="1:117" x14ac:dyDescent="0.25">
      <c r="A758" s="442"/>
      <c r="B758" s="1384">
        <f t="shared" si="142"/>
        <v>353310</v>
      </c>
      <c r="C758" s="18" t="s">
        <v>1253</v>
      </c>
      <c r="D758" s="551" t="s">
        <v>857</v>
      </c>
      <c r="E758" s="240" t="s">
        <v>1254</v>
      </c>
      <c r="F758" s="212">
        <f>0</f>
        <v>0</v>
      </c>
      <c r="G758" s="552" t="s">
        <v>1125</v>
      </c>
      <c r="H758" s="66">
        <f>VLOOKUP(G758,'CP FACTORS'!$A$3:$B$38, 2, FALSE)</f>
        <v>0</v>
      </c>
      <c r="I758" s="1115">
        <f t="shared" si="140"/>
        <v>0</v>
      </c>
      <c r="J758" s="57">
        <f t="shared" si="136"/>
        <v>18</v>
      </c>
      <c r="K758" s="155">
        <f t="shared" si="134"/>
        <v>0</v>
      </c>
      <c r="L758" s="242"/>
      <c r="M758" s="542"/>
      <c r="N758" s="554"/>
      <c r="O758" s="403"/>
      <c r="R758" s="521"/>
      <c r="T758" s="50"/>
      <c r="U758" s="556"/>
      <c r="V758" s="1371" t="s">
        <v>45</v>
      </c>
      <c r="W758" s="923"/>
      <c r="X758" s="238"/>
      <c r="Y758" s="214"/>
      <c r="Z758" s="212"/>
      <c r="AA758" s="212"/>
      <c r="AB758" s="983"/>
      <c r="AC758" s="214"/>
      <c r="AD758" s="214">
        <v>0</v>
      </c>
      <c r="AE758" s="212">
        <v>0</v>
      </c>
      <c r="AF758" s="258">
        <f t="shared" si="143"/>
        <v>0</v>
      </c>
      <c r="AG758" s="923"/>
      <c r="AH758" s="115"/>
      <c r="AK758" s="924"/>
      <c r="DF758" s="1502" t="str">
        <f t="shared" si="144"/>
        <v>ASHP-SEER19-Replace_CAC_NonElectricHeat_ROF_SF</v>
      </c>
      <c r="DG758" s="1050"/>
      <c r="DH758" s="240" t="str">
        <f>CONCATENATE(G758," ",J758," Year EUL")</f>
        <v>Heating Res 18 Year EUL</v>
      </c>
      <c r="DI758" s="1049">
        <f>(INDEX('Avoided Cost Benefits'!$B$4:$B$866,MATCH(DH758,'Avoided Cost Benefits'!$A$4:$A$866,0)))*F758</f>
        <v>0</v>
      </c>
      <c r="DJ758" s="1952">
        <f t="shared" si="145"/>
        <v>0</v>
      </c>
      <c r="DM758" s="239"/>
    </row>
    <row r="759" spans="1:117" x14ac:dyDescent="0.25">
      <c r="A759" s="442"/>
      <c r="B759" s="1384">
        <f t="shared" si="142"/>
        <v>353400</v>
      </c>
      <c r="C759" s="18" t="s">
        <v>1255</v>
      </c>
      <c r="D759" s="551" t="s">
        <v>686</v>
      </c>
      <c r="E759" s="1298" t="s">
        <v>1256</v>
      </c>
      <c r="F759" s="212">
        <f>ROUND(((K1294*K1384*(1/K1474-1/K1564)*K1654)/1000)*$K$1719,2)</f>
        <v>2257.71</v>
      </c>
      <c r="G759" s="552" t="s">
        <v>1124</v>
      </c>
      <c r="H759" s="66">
        <f>VLOOKUP(G759,'CP FACTORS'!$A$3:$B$38, 2, FALSE)</f>
        <v>9.4741810000000004E-4</v>
      </c>
      <c r="I759" s="1115">
        <f t="shared" si="140"/>
        <v>2.138995</v>
      </c>
      <c r="J759" s="57">
        <f t="shared" si="136"/>
        <v>6</v>
      </c>
      <c r="K759" s="155">
        <f t="shared" si="134"/>
        <v>4188.7510221369221</v>
      </c>
      <c r="L759" s="242">
        <f>L934</f>
        <v>2.5833656509695291</v>
      </c>
      <c r="M759" s="542"/>
      <c r="N759" s="554"/>
      <c r="O759" s="403"/>
      <c r="R759" s="521"/>
      <c r="T759" s="50"/>
      <c r="U759" s="556"/>
      <c r="V759" s="1371" t="s">
        <v>45</v>
      </c>
      <c r="W759" s="923">
        <v>3137.6011764705886</v>
      </c>
      <c r="X759" s="238">
        <v>2264.428307322929</v>
      </c>
      <c r="Y759" s="212">
        <v>2264.4299999999998</v>
      </c>
      <c r="Z759" s="212">
        <v>2264.4299999999998</v>
      </c>
      <c r="AA759" s="212">
        <v>2264.4299999999998</v>
      </c>
      <c r="AB759" s="984">
        <v>2264.4299999999998</v>
      </c>
      <c r="AC759" s="214">
        <v>2197.42</v>
      </c>
      <c r="AD759" s="214">
        <v>2594.98</v>
      </c>
      <c r="AE759" s="214">
        <v>2567.77</v>
      </c>
      <c r="AF759" s="258">
        <f t="shared" si="143"/>
        <v>2257.71</v>
      </c>
      <c r="AG759" s="923"/>
      <c r="AH759" s="115"/>
      <c r="AK759" s="924"/>
      <c r="DF759" s="1502" t="str">
        <f t="shared" si="144"/>
        <v>ASHP-SEER20-Replace_CAC_ElectricHeat_ER1_SF</v>
      </c>
      <c r="DG759" s="1048">
        <f>(DI759+DI760+DI761+DI762)/(DJ759+DJ760+DJ761+DJ762)</f>
        <v>2.0913445621339002</v>
      </c>
      <c r="DH759" s="1298" t="str">
        <f t="shared" si="141"/>
        <v>Cooling Res 6 Year EUL</v>
      </c>
      <c r="DI759" s="1049">
        <f>(INDEX('Avoided Cost Benefits'!$B$4:$B$866,MATCH(DH759,'Avoided Cost Benefits'!$A$4:$A$866,0)))*F759</f>
        <v>2248.3362078095734</v>
      </c>
      <c r="DJ759" s="1952">
        <f t="shared" si="145"/>
        <v>4188.7510221369221</v>
      </c>
      <c r="DM759" s="239"/>
    </row>
    <row r="760" spans="1:117" x14ac:dyDescent="0.25">
      <c r="A760" s="442"/>
      <c r="B760" s="1384">
        <f t="shared" si="142"/>
        <v>353400</v>
      </c>
      <c r="C760" s="18" t="s">
        <v>1255</v>
      </c>
      <c r="D760" s="551" t="s">
        <v>686</v>
      </c>
      <c r="E760" s="1323" t="s">
        <v>1256</v>
      </c>
      <c r="F760" s="212">
        <f>ROUND(((K934*K1024*(1/K1114-1/K1204)*K1654)/1000)*$K$1719,2)</f>
        <v>9124.58</v>
      </c>
      <c r="G760" s="552" t="s">
        <v>1125</v>
      </c>
      <c r="H760" s="66">
        <f>VLOOKUP(G760,'CP FACTORS'!$A$3:$B$38, 2, FALSE)</f>
        <v>0</v>
      </c>
      <c r="I760" s="1115">
        <f t="shared" si="140"/>
        <v>0</v>
      </c>
      <c r="J760" s="57">
        <f t="shared" si="136"/>
        <v>6</v>
      </c>
      <c r="K760" s="155">
        <f t="shared" si="134"/>
        <v>0</v>
      </c>
      <c r="L760" s="242"/>
      <c r="M760" s="542"/>
      <c r="N760" s="554"/>
      <c r="O760" s="403"/>
      <c r="R760" s="521"/>
      <c r="T760" s="50"/>
      <c r="U760" s="556"/>
      <c r="V760" s="1371" t="s">
        <v>45</v>
      </c>
      <c r="W760" s="923">
        <v>13965.852998065762</v>
      </c>
      <c r="X760" s="238">
        <v>10399.659574468084</v>
      </c>
      <c r="Y760" s="212">
        <v>10399.66</v>
      </c>
      <c r="Z760" s="212">
        <v>10399.66</v>
      </c>
      <c r="AA760" s="212">
        <v>10399.66</v>
      </c>
      <c r="AB760" s="984">
        <v>10399.66</v>
      </c>
      <c r="AC760" s="214">
        <v>10941.66</v>
      </c>
      <c r="AD760" s="214">
        <v>9717.92</v>
      </c>
      <c r="AE760" s="214">
        <v>9124.58</v>
      </c>
      <c r="AF760" s="258">
        <f t="shared" si="143"/>
        <v>9124.58</v>
      </c>
      <c r="AG760" s="923"/>
      <c r="AH760" s="115"/>
      <c r="AK760" s="924"/>
      <c r="DF760" s="1502" t="str">
        <f t="shared" si="144"/>
        <v>ASHP-SEER20-Replace_CAC_ElectricHeat_ER1_SF</v>
      </c>
      <c r="DG760" s="1052"/>
      <c r="DH760" s="1323" t="str">
        <f t="shared" si="141"/>
        <v>Heating Res 6 Year EUL</v>
      </c>
      <c r="DI760" s="1049">
        <f>(INDEX('Avoided Cost Benefits'!$B$4:$B$866,MATCH(DH760,'Avoided Cost Benefits'!$A$4:$A$866,0)))*F760</f>
        <v>2447.0190119722806</v>
      </c>
      <c r="DJ760" s="1952">
        <f t="shared" si="145"/>
        <v>0</v>
      </c>
      <c r="DM760" s="239"/>
    </row>
    <row r="761" spans="1:117" x14ac:dyDescent="0.25">
      <c r="A761" s="442"/>
      <c r="B761" s="1384">
        <f t="shared" si="142"/>
        <v>353400</v>
      </c>
      <c r="C761" s="18" t="s">
        <v>1255</v>
      </c>
      <c r="D761" s="551" t="s">
        <v>686</v>
      </c>
      <c r="E761" s="1323" t="s">
        <v>1257</v>
      </c>
      <c r="F761" s="212">
        <f>ROUND(((K1295*K1385*(1/K1475-1/K1565)*K1655)/1000)*$K$1719,2)</f>
        <v>758.63</v>
      </c>
      <c r="G761" s="552" t="s">
        <v>1178</v>
      </c>
      <c r="H761" s="66">
        <f>VLOOKUP(G761,'CP FACTORS'!$A$3:$B$38, 2, FALSE)</f>
        <v>9.4741810000000004E-4</v>
      </c>
      <c r="I761" s="1115">
        <f t="shared" si="140"/>
        <v>0.71874000000000005</v>
      </c>
      <c r="J761" s="57">
        <f t="shared" si="136"/>
        <v>12</v>
      </c>
      <c r="K761" s="155">
        <f t="shared" si="134"/>
        <v>0</v>
      </c>
      <c r="L761" s="242"/>
      <c r="M761" s="542"/>
      <c r="N761" s="554"/>
      <c r="O761" s="403"/>
      <c r="R761" s="521"/>
      <c r="T761" s="50"/>
      <c r="U761" s="556"/>
      <c r="V761" s="1371" t="s">
        <v>45</v>
      </c>
      <c r="W761" s="923">
        <v>870.33692307692309</v>
      </c>
      <c r="X761" s="241">
        <v>870.33692307692309</v>
      </c>
      <c r="Y761" s="212">
        <v>870.34</v>
      </c>
      <c r="Z761" s="212">
        <v>870.34</v>
      </c>
      <c r="AA761" s="212">
        <v>870.34</v>
      </c>
      <c r="AB761" s="984">
        <v>870.34</v>
      </c>
      <c r="AC761" s="214">
        <v>842.26</v>
      </c>
      <c r="AD761" s="214">
        <v>862.58</v>
      </c>
      <c r="AE761" s="214">
        <v>717.86</v>
      </c>
      <c r="AF761" s="258">
        <f t="shared" si="143"/>
        <v>758.63</v>
      </c>
      <c r="AG761" s="923"/>
      <c r="AH761" s="115"/>
      <c r="AK761" s="924"/>
      <c r="DF761" s="1502" t="str">
        <f t="shared" si="144"/>
        <v>ASHP-SEER20-Replace_CAC_ElectricHeat_ER2_SF</v>
      </c>
      <c r="DG761" s="1052"/>
      <c r="DH761" s="1323" t="str">
        <f t="shared" si="141"/>
        <v>Cooling Res ER2 12 Year EUL</v>
      </c>
      <c r="DI761" s="1049">
        <f>(INDEX('Avoided Cost Benefits'!$B$4:$B$866,MATCH(DH761,'Avoided Cost Benefits'!$A$4:$A$866,0)))*F761</f>
        <v>981.60713826151823</v>
      </c>
      <c r="DJ761" s="1952">
        <f t="shared" si="145"/>
        <v>0</v>
      </c>
      <c r="DM761" s="239"/>
    </row>
    <row r="762" spans="1:117" x14ac:dyDescent="0.25">
      <c r="A762" s="442"/>
      <c r="B762" s="1384">
        <f t="shared" si="142"/>
        <v>353400</v>
      </c>
      <c r="C762" s="18" t="s">
        <v>1255</v>
      </c>
      <c r="D762" s="551" t="s">
        <v>686</v>
      </c>
      <c r="E762" s="1299" t="s">
        <v>1257</v>
      </c>
      <c r="F762" s="212">
        <f>ROUND(((K935*K1025*(1/K1115-1/K1205)*K1655)/1000)*$K$1719,2)</f>
        <v>9124.58</v>
      </c>
      <c r="G762" s="552" t="s">
        <v>1214</v>
      </c>
      <c r="H762" s="66">
        <f>VLOOKUP(G762,'CP FACTORS'!$A$3:$B$38, 2, FALSE)</f>
        <v>0</v>
      </c>
      <c r="I762" s="1115">
        <f t="shared" si="140"/>
        <v>0</v>
      </c>
      <c r="J762" s="57">
        <f t="shared" si="136"/>
        <v>12</v>
      </c>
      <c r="K762" s="155">
        <f t="shared" si="134"/>
        <v>0</v>
      </c>
      <c r="L762" s="242"/>
      <c r="M762" s="542"/>
      <c r="N762" s="554"/>
      <c r="O762" s="403"/>
      <c r="R762" s="521"/>
      <c r="T762" s="50"/>
      <c r="U762" s="556"/>
      <c r="V762" s="1371" t="s">
        <v>45</v>
      </c>
      <c r="W762" s="923">
        <v>13965.852998065762</v>
      </c>
      <c r="X762" s="238">
        <v>10399.659574468084</v>
      </c>
      <c r="Y762" s="212">
        <v>10399.66</v>
      </c>
      <c r="Z762" s="212">
        <v>10399.66</v>
      </c>
      <c r="AA762" s="212">
        <v>10399.66</v>
      </c>
      <c r="AB762" s="984">
        <v>10399.66</v>
      </c>
      <c r="AC762" s="214">
        <v>10941.66</v>
      </c>
      <c r="AD762" s="214">
        <v>9717.92</v>
      </c>
      <c r="AE762" s="214">
        <v>9124.58</v>
      </c>
      <c r="AF762" s="258">
        <f t="shared" si="143"/>
        <v>9124.58</v>
      </c>
      <c r="AG762" s="923"/>
      <c r="AH762" s="115"/>
      <c r="AK762" s="924"/>
      <c r="DF762" s="1502" t="str">
        <f t="shared" si="144"/>
        <v>ASHP-SEER20-Replace_CAC_ElectricHeat_ER2_SF</v>
      </c>
      <c r="DG762" s="1052"/>
      <c r="DH762" s="1299" t="str">
        <f t="shared" si="141"/>
        <v>Heating Res ER2 12 Year EUL</v>
      </c>
      <c r="DI762" s="1049">
        <f>(INDEX('Avoided Cost Benefits'!$B$4:$B$866,MATCH(DH762,'Avoided Cost Benefits'!$A$4:$A$866,0)))*F762</f>
        <v>3083.1593142354964</v>
      </c>
      <c r="DJ762" s="1952">
        <f t="shared" si="145"/>
        <v>0</v>
      </c>
      <c r="DM762" s="239"/>
    </row>
    <row r="763" spans="1:117" x14ac:dyDescent="0.25">
      <c r="A763" s="442"/>
      <c r="B763" s="1384">
        <f t="shared" si="142"/>
        <v>353410</v>
      </c>
      <c r="C763" s="18" t="s">
        <v>1258</v>
      </c>
      <c r="D763" s="551" t="s">
        <v>857</v>
      </c>
      <c r="E763" s="1323" t="s">
        <v>1259</v>
      </c>
      <c r="F763" s="212">
        <f>ROUND(((K1296*K1386*(1/K1476-1/K1566)*K1656)/1000)*$K$1719,2)</f>
        <v>2257.71</v>
      </c>
      <c r="G763" s="552" t="s">
        <v>1124</v>
      </c>
      <c r="H763" s="66">
        <f>VLOOKUP(G763,'CP FACTORS'!$A$3:$B$38, 2, FALSE)</f>
        <v>9.4741810000000004E-4</v>
      </c>
      <c r="I763" s="1115">
        <f t="shared" si="140"/>
        <v>2.138995</v>
      </c>
      <c r="J763" s="57">
        <f t="shared" si="136"/>
        <v>6</v>
      </c>
      <c r="K763" s="155">
        <f t="shared" si="134"/>
        <v>594.14061546225037</v>
      </c>
      <c r="L763" s="242">
        <f>L936</f>
        <v>2.5833656509695291</v>
      </c>
      <c r="M763" s="542"/>
      <c r="N763" s="554"/>
      <c r="O763" s="403"/>
      <c r="R763" s="521"/>
      <c r="T763" s="50"/>
      <c r="U763" s="556"/>
      <c r="V763" s="1371" t="s">
        <v>45</v>
      </c>
      <c r="W763" s="923"/>
      <c r="X763" s="238"/>
      <c r="Y763" s="212"/>
      <c r="Z763" s="212"/>
      <c r="AA763" s="212"/>
      <c r="AB763" s="984"/>
      <c r="AC763" s="214">
        <v>2197.42</v>
      </c>
      <c r="AD763" s="214">
        <v>2594.98</v>
      </c>
      <c r="AE763" s="214">
        <v>2567.77</v>
      </c>
      <c r="AF763" s="258">
        <f t="shared" si="143"/>
        <v>2257.71</v>
      </c>
      <c r="AG763" s="923"/>
      <c r="AH763" s="115"/>
      <c r="AK763" s="924"/>
      <c r="DF763" s="1502" t="str">
        <f t="shared" si="144"/>
        <v>ASHP-SEER20-Replace_CAC_NonElectricHeat_ER1_SF</v>
      </c>
      <c r="DG763" s="1048">
        <f>(DI763+DI764+DI765+DI766)/(DJ763+DJ764+DJ765+DJ766)</f>
        <v>5.4363281385133835</v>
      </c>
      <c r="DH763" s="1323" t="str">
        <f t="shared" si="141"/>
        <v>Cooling Res 6 Year EUL</v>
      </c>
      <c r="DI763" s="1049">
        <f>(INDEX('Avoided Cost Benefits'!$B$4:$B$866,MATCH(DH763,'Avoided Cost Benefits'!$A$4:$A$866,0)))*F763</f>
        <v>2248.3362078095734</v>
      </c>
      <c r="DJ763" s="1952">
        <f t="shared" si="145"/>
        <v>594.14061546225037</v>
      </c>
      <c r="DM763" s="239"/>
    </row>
    <row r="764" spans="1:117" x14ac:dyDescent="0.25">
      <c r="A764" s="442"/>
      <c r="B764" s="1384">
        <f t="shared" si="142"/>
        <v>353410</v>
      </c>
      <c r="C764" s="18" t="s">
        <v>1258</v>
      </c>
      <c r="D764" s="551" t="s">
        <v>857</v>
      </c>
      <c r="E764" s="1323" t="s">
        <v>1259</v>
      </c>
      <c r="F764" s="212">
        <v>0</v>
      </c>
      <c r="G764" s="552" t="s">
        <v>1125</v>
      </c>
      <c r="H764" s="66">
        <f>VLOOKUP(G764,'CP FACTORS'!$A$3:$B$38, 2, FALSE)</f>
        <v>0</v>
      </c>
      <c r="I764" s="1115">
        <f t="shared" si="140"/>
        <v>0</v>
      </c>
      <c r="J764" s="57">
        <f t="shared" si="136"/>
        <v>6</v>
      </c>
      <c r="K764" s="155">
        <f t="shared" si="134"/>
        <v>0</v>
      </c>
      <c r="L764" s="242"/>
      <c r="M764" s="542"/>
      <c r="N764" s="554"/>
      <c r="O764" s="403"/>
      <c r="R764" s="521"/>
      <c r="T764" s="50"/>
      <c r="U764" s="556"/>
      <c r="V764" s="1371" t="s">
        <v>45</v>
      </c>
      <c r="W764" s="923"/>
      <c r="X764" s="238"/>
      <c r="Y764" s="212"/>
      <c r="Z764" s="212"/>
      <c r="AA764" s="212"/>
      <c r="AB764" s="984"/>
      <c r="AC764" s="214">
        <v>0</v>
      </c>
      <c r="AD764" s="214">
        <v>0</v>
      </c>
      <c r="AE764" s="212">
        <v>0</v>
      </c>
      <c r="AF764" s="258">
        <f t="shared" si="143"/>
        <v>0</v>
      </c>
      <c r="AG764" s="923"/>
      <c r="AH764" s="115"/>
      <c r="AK764" s="924"/>
      <c r="DF764" s="1502" t="str">
        <f t="shared" si="144"/>
        <v>ASHP-SEER20-Replace_CAC_NonElectricHeat_ER1_SF</v>
      </c>
      <c r="DG764" s="1052"/>
      <c r="DH764" s="1323" t="str">
        <f t="shared" si="141"/>
        <v>Heating Res 6 Year EUL</v>
      </c>
      <c r="DI764" s="1049">
        <f>(INDEX('Avoided Cost Benefits'!$B$4:$B$866,MATCH(DH764,'Avoided Cost Benefits'!$A$4:$A$866,0)))*F764</f>
        <v>0</v>
      </c>
      <c r="DJ764" s="1952">
        <f t="shared" si="145"/>
        <v>0</v>
      </c>
      <c r="DM764" s="239"/>
    </row>
    <row r="765" spans="1:117" x14ac:dyDescent="0.25">
      <c r="A765" s="442"/>
      <c r="B765" s="1384">
        <f t="shared" si="142"/>
        <v>353410</v>
      </c>
      <c r="C765" s="18" t="s">
        <v>1258</v>
      </c>
      <c r="D765" s="551" t="s">
        <v>857</v>
      </c>
      <c r="E765" s="1323" t="s">
        <v>1260</v>
      </c>
      <c r="F765" s="212">
        <f>ROUND(((K1297*K1387*(1/K1477-1/K1567)*K1657)/1000)*$K$1719,2)</f>
        <v>758.63</v>
      </c>
      <c r="G765" s="552" t="s">
        <v>1178</v>
      </c>
      <c r="H765" s="66">
        <f>VLOOKUP(G765,'CP FACTORS'!$A$3:$B$38, 2, FALSE)</f>
        <v>9.4741810000000004E-4</v>
      </c>
      <c r="I765" s="1115">
        <f t="shared" si="140"/>
        <v>0.71874000000000005</v>
      </c>
      <c r="J765" s="57">
        <f t="shared" si="136"/>
        <v>12</v>
      </c>
      <c r="K765" s="155">
        <f t="shared" si="134"/>
        <v>0</v>
      </c>
      <c r="L765" s="242"/>
      <c r="M765" s="542"/>
      <c r="N765" s="554"/>
      <c r="O765" s="403"/>
      <c r="R765" s="521"/>
      <c r="T765" s="50"/>
      <c r="U765" s="556"/>
      <c r="V765" s="1371" t="s">
        <v>45</v>
      </c>
      <c r="W765" s="923"/>
      <c r="X765" s="238"/>
      <c r="Y765" s="212"/>
      <c r="Z765" s="212"/>
      <c r="AA765" s="212"/>
      <c r="AB765" s="984"/>
      <c r="AC765" s="214">
        <v>842.26</v>
      </c>
      <c r="AD765" s="214">
        <v>862.58</v>
      </c>
      <c r="AE765" s="214">
        <v>717.86</v>
      </c>
      <c r="AF765" s="258">
        <f t="shared" si="143"/>
        <v>758.63</v>
      </c>
      <c r="AG765" s="923"/>
      <c r="AH765" s="115"/>
      <c r="AK765" s="924"/>
      <c r="DF765" s="1502" t="str">
        <f t="shared" si="144"/>
        <v>ASHP-SEER20-Replace_CAC_NonElectricHeat_ER2_SF</v>
      </c>
      <c r="DG765" s="1052"/>
      <c r="DH765" s="1323" t="str">
        <f t="shared" si="141"/>
        <v>Cooling Res ER2 12 Year EUL</v>
      </c>
      <c r="DI765" s="1049">
        <f>(INDEX('Avoided Cost Benefits'!$B$4:$B$866,MATCH(DH765,'Avoided Cost Benefits'!$A$4:$A$866,0)))*F765</f>
        <v>981.60713826151823</v>
      </c>
      <c r="DJ765" s="1952">
        <f t="shared" si="145"/>
        <v>0</v>
      </c>
      <c r="DM765" s="239"/>
    </row>
    <row r="766" spans="1:117" x14ac:dyDescent="0.25">
      <c r="A766" s="442"/>
      <c r="B766" s="1384">
        <f t="shared" si="142"/>
        <v>353410</v>
      </c>
      <c r="C766" s="18" t="s">
        <v>1258</v>
      </c>
      <c r="D766" s="551" t="s">
        <v>857</v>
      </c>
      <c r="E766" s="1323" t="s">
        <v>1260</v>
      </c>
      <c r="F766" s="212">
        <f>0</f>
        <v>0</v>
      </c>
      <c r="G766" s="552" t="s">
        <v>1214</v>
      </c>
      <c r="H766" s="66">
        <f>VLOOKUP(G766,'CP FACTORS'!$A$3:$B$38, 2, FALSE)</f>
        <v>0</v>
      </c>
      <c r="I766" s="1115">
        <f t="shared" si="140"/>
        <v>0</v>
      </c>
      <c r="J766" s="57">
        <f t="shared" si="136"/>
        <v>12</v>
      </c>
      <c r="K766" s="155">
        <f t="shared" si="134"/>
        <v>0</v>
      </c>
      <c r="L766" s="242"/>
      <c r="M766" s="542"/>
      <c r="N766" s="554"/>
      <c r="O766" s="403"/>
      <c r="R766" s="521"/>
      <c r="T766" s="50"/>
      <c r="U766" s="556"/>
      <c r="V766" s="1371" t="s">
        <v>45</v>
      </c>
      <c r="W766" s="923"/>
      <c r="X766" s="238"/>
      <c r="Y766" s="212"/>
      <c r="Z766" s="212"/>
      <c r="AA766" s="212"/>
      <c r="AB766" s="984"/>
      <c r="AC766" s="214">
        <v>0</v>
      </c>
      <c r="AD766" s="214">
        <v>0</v>
      </c>
      <c r="AE766" s="212">
        <v>0</v>
      </c>
      <c r="AF766" s="258">
        <f t="shared" si="143"/>
        <v>0</v>
      </c>
      <c r="AG766" s="923"/>
      <c r="AH766" s="115"/>
      <c r="AK766" s="924"/>
      <c r="DF766" s="1502" t="str">
        <f t="shared" si="144"/>
        <v>ASHP-SEER20-Replace_CAC_NonElectricHeat_ER2_SF</v>
      </c>
      <c r="DG766" s="1052"/>
      <c r="DH766" s="1323" t="str">
        <f t="shared" si="141"/>
        <v>Heating Res ER2 12 Year EUL</v>
      </c>
      <c r="DI766" s="1049">
        <f>(INDEX('Avoided Cost Benefits'!$B$4:$B$866,MATCH(DH766,'Avoided Cost Benefits'!$A$4:$A$866,0)))*F766</f>
        <v>0</v>
      </c>
      <c r="DJ766" s="1952">
        <f t="shared" si="145"/>
        <v>0</v>
      </c>
      <c r="DM766" s="239"/>
    </row>
    <row r="767" spans="1:117" x14ac:dyDescent="0.25">
      <c r="A767" s="442"/>
      <c r="B767" s="1384">
        <f t="shared" si="142"/>
        <v>353450</v>
      </c>
      <c r="C767" s="18" t="s">
        <v>1261</v>
      </c>
      <c r="D767" s="551" t="s">
        <v>686</v>
      </c>
      <c r="E767" s="202" t="s">
        <v>1262</v>
      </c>
      <c r="F767" s="212">
        <f>ROUND(((K1298*K1388*(1/K1478-1/K1568)*K1658)/1000)*$K$1719,2)</f>
        <v>823.65</v>
      </c>
      <c r="G767" s="552" t="s">
        <v>1124</v>
      </c>
      <c r="H767" s="66">
        <f>VLOOKUP(G767,'CP FACTORS'!$A$3:$B$38, 2, FALSE)</f>
        <v>9.4741810000000004E-4</v>
      </c>
      <c r="I767" s="1115">
        <f t="shared" si="140"/>
        <v>0.78034099999999995</v>
      </c>
      <c r="J767" s="57">
        <f t="shared" si="136"/>
        <v>18</v>
      </c>
      <c r="K767" s="155">
        <f t="shared" si="134"/>
        <v>4329.25</v>
      </c>
      <c r="L767" s="242">
        <f>L938</f>
        <v>2.8870833333333334</v>
      </c>
      <c r="M767" s="542"/>
      <c r="N767" s="554"/>
      <c r="O767" s="403"/>
      <c r="R767" s="521"/>
      <c r="T767" s="50"/>
      <c r="U767" s="556"/>
      <c r="V767" s="1371" t="s">
        <v>45</v>
      </c>
      <c r="W767" s="923">
        <v>898.41230769230776</v>
      </c>
      <c r="X767" s="241">
        <v>898.41230769230776</v>
      </c>
      <c r="Y767" s="212">
        <v>898.41</v>
      </c>
      <c r="Z767" s="212">
        <v>898.41</v>
      </c>
      <c r="AA767" s="212">
        <v>898.41</v>
      </c>
      <c r="AB767" s="984">
        <v>898.41</v>
      </c>
      <c r="AC767" s="214">
        <v>701.88</v>
      </c>
      <c r="AD767" s="214">
        <v>899.76</v>
      </c>
      <c r="AE767" s="214">
        <v>717.64</v>
      </c>
      <c r="AF767" s="258">
        <f t="shared" si="143"/>
        <v>823.65</v>
      </c>
      <c r="AG767" s="923"/>
      <c r="AH767" s="115"/>
      <c r="AK767" s="924"/>
      <c r="DF767" s="1502" t="str">
        <f t="shared" si="144"/>
        <v>ASHP-SEER20-Replace_CAC_ElectricHeat_ROF_SF</v>
      </c>
      <c r="DG767" s="1048">
        <f>(DI767+DI768)/(DJ767+DJ768)</f>
        <v>1.866002733058677</v>
      </c>
      <c r="DH767" s="202" t="str">
        <f t="shared" si="141"/>
        <v>Cooling Res 18 Year EUL</v>
      </c>
      <c r="DI767" s="1049">
        <f>(INDEX('Avoided Cost Benefits'!$B$4:$B$866,MATCH(DH767,'Avoided Cost Benefits'!$A$4:$A$866,0)))*F767</f>
        <v>1885.9681541891377</v>
      </c>
      <c r="DJ767" s="1952">
        <f t="shared" si="145"/>
        <v>4329.25</v>
      </c>
      <c r="DM767" s="239"/>
    </row>
    <row r="768" spans="1:117" x14ac:dyDescent="0.25">
      <c r="A768" s="442"/>
      <c r="B768" s="1384">
        <f t="shared" si="142"/>
        <v>353450</v>
      </c>
      <c r="C768" s="18" t="s">
        <v>1261</v>
      </c>
      <c r="D768" s="551" t="s">
        <v>686</v>
      </c>
      <c r="E768" s="240" t="s">
        <v>1262</v>
      </c>
      <c r="F768" s="212">
        <f>ROUND(((K938*K1028*(1/K1118-1/K1208)*K1658)/1000)*$K$1719,2)</f>
        <v>10217.26</v>
      </c>
      <c r="G768" s="552" t="s">
        <v>1125</v>
      </c>
      <c r="H768" s="66">
        <f>VLOOKUP(G768,'CP FACTORS'!$A$3:$B$38, 2, FALSE)</f>
        <v>0</v>
      </c>
      <c r="I768" s="1115">
        <f t="shared" si="140"/>
        <v>0</v>
      </c>
      <c r="J768" s="57">
        <f t="shared" si="136"/>
        <v>18</v>
      </c>
      <c r="K768" s="155">
        <f t="shared" si="134"/>
        <v>0</v>
      </c>
      <c r="L768" s="242"/>
      <c r="M768" s="542"/>
      <c r="N768" s="554"/>
      <c r="O768" s="403"/>
      <c r="R768" s="521"/>
      <c r="T768" s="50"/>
      <c r="U768" s="556"/>
      <c r="V768" s="1371" t="s">
        <v>45</v>
      </c>
      <c r="W768" s="923">
        <v>14670.188469329136</v>
      </c>
      <c r="X768" s="238">
        <v>10924.142334552707</v>
      </c>
      <c r="Y768" s="212">
        <v>10924.14</v>
      </c>
      <c r="Z768" s="212">
        <v>10924.14</v>
      </c>
      <c r="AA768" s="212">
        <v>10924.14</v>
      </c>
      <c r="AB768" s="984">
        <v>10924.14</v>
      </c>
      <c r="AC768" s="214">
        <v>8887</v>
      </c>
      <c r="AD768" s="214">
        <v>10217.26</v>
      </c>
      <c r="AE768" s="212">
        <v>10217.26</v>
      </c>
      <c r="AF768" s="258">
        <f t="shared" si="143"/>
        <v>10217.26</v>
      </c>
      <c r="AG768" s="923"/>
      <c r="AH768" s="115"/>
      <c r="AK768" s="924"/>
      <c r="DF768" s="1502" t="str">
        <f t="shared" si="144"/>
        <v>ASHP-SEER20-Replace_CAC_ElectricHeat_ROF_SF</v>
      </c>
      <c r="DG768" s="1050"/>
      <c r="DH768" s="240" t="str">
        <f t="shared" si="141"/>
        <v>Heating Res 18 Year EUL</v>
      </c>
      <c r="DI768" s="1049">
        <f>(INDEX('Avoided Cost Benefits'!$B$4:$B$866,MATCH(DH768,'Avoided Cost Benefits'!$A$4:$A$866,0)))*F768</f>
        <v>6192.4241779051399</v>
      </c>
      <c r="DJ768" s="1952">
        <f t="shared" si="145"/>
        <v>0</v>
      </c>
      <c r="DM768" s="239"/>
    </row>
    <row r="769" spans="1:117" x14ac:dyDescent="0.25">
      <c r="A769" s="442"/>
      <c r="B769" s="1384">
        <f t="shared" si="142"/>
        <v>353460</v>
      </c>
      <c r="C769" s="18" t="s">
        <v>1263</v>
      </c>
      <c r="D769" s="551" t="s">
        <v>857</v>
      </c>
      <c r="E769" s="202" t="s">
        <v>1264</v>
      </c>
      <c r="F769" s="212">
        <f>ROUND(((K1299*K1389*(1/K1479-1/K1569)*K1659)/1000)*$K$1719,2)</f>
        <v>823.65</v>
      </c>
      <c r="G769" s="552" t="s">
        <v>1124</v>
      </c>
      <c r="H769" s="66">
        <f>VLOOKUP(G769,'CP FACTORS'!$A$3:$B$38, 2, FALSE)</f>
        <v>9.4741810000000004E-4</v>
      </c>
      <c r="I769" s="1115">
        <f t="shared" si="140"/>
        <v>0.78034099999999995</v>
      </c>
      <c r="J769" s="57">
        <f t="shared" si="136"/>
        <v>18</v>
      </c>
      <c r="K769" s="155">
        <f t="shared" si="134"/>
        <v>322.96131048074847</v>
      </c>
      <c r="L769" s="242">
        <f>L939</f>
        <v>2.8870833333333334</v>
      </c>
      <c r="M769" s="542"/>
      <c r="N769" s="554"/>
      <c r="O769" s="403"/>
      <c r="R769" s="521"/>
      <c r="T769" s="50"/>
      <c r="U769" s="556"/>
      <c r="V769" s="1371" t="s">
        <v>45</v>
      </c>
      <c r="W769" s="923"/>
      <c r="X769" s="238"/>
      <c r="Y769" s="214"/>
      <c r="Z769" s="212"/>
      <c r="AA769" s="212"/>
      <c r="AB769" s="983"/>
      <c r="AC769" s="214"/>
      <c r="AD769" s="214">
        <v>899.76</v>
      </c>
      <c r="AE769" s="214">
        <v>717.64</v>
      </c>
      <c r="AF769" s="258">
        <f t="shared" si="143"/>
        <v>823.65</v>
      </c>
      <c r="AG769" s="923"/>
      <c r="AH769" s="115"/>
      <c r="AK769" s="924"/>
      <c r="DF769" s="1502" t="str">
        <f t="shared" si="144"/>
        <v>ASHP-SEER20-Replace_CAC_NonElectricHeat_ROF_SF</v>
      </c>
      <c r="DG769" s="1048">
        <f>(DI769+DI770)/(DJ769+DJ770)</f>
        <v>5.8396101730630026</v>
      </c>
      <c r="DH769" s="202" t="str">
        <f>CONCATENATE(G769," ",J769," Year EUL")</f>
        <v>Cooling Res 18 Year EUL</v>
      </c>
      <c r="DI769" s="1049">
        <f>(INDEX('Avoided Cost Benefits'!$B$4:$B$866,MATCH(DH769,'Avoided Cost Benefits'!$A$4:$A$866,0)))*F769</f>
        <v>1885.9681541891377</v>
      </c>
      <c r="DJ769" s="1952">
        <f t="shared" si="145"/>
        <v>322.96131048074847</v>
      </c>
      <c r="DM769" s="239"/>
    </row>
    <row r="770" spans="1:117" x14ac:dyDescent="0.25">
      <c r="A770" s="442"/>
      <c r="B770" s="1384">
        <f t="shared" si="142"/>
        <v>353460</v>
      </c>
      <c r="C770" s="18" t="s">
        <v>1263</v>
      </c>
      <c r="D770" s="551" t="s">
        <v>857</v>
      </c>
      <c r="E770" s="240" t="s">
        <v>1264</v>
      </c>
      <c r="F770" s="212">
        <f>0</f>
        <v>0</v>
      </c>
      <c r="G770" s="552" t="s">
        <v>1125</v>
      </c>
      <c r="H770" s="66">
        <f>VLOOKUP(G770,'CP FACTORS'!$A$3:$B$38, 2, FALSE)</f>
        <v>0</v>
      </c>
      <c r="I770" s="1115">
        <f t="shared" si="140"/>
        <v>0</v>
      </c>
      <c r="J770" s="57">
        <f t="shared" si="136"/>
        <v>18</v>
      </c>
      <c r="K770" s="155">
        <f t="shared" si="134"/>
        <v>0</v>
      </c>
      <c r="L770" s="242"/>
      <c r="M770" s="542"/>
      <c r="N770" s="554"/>
      <c r="O770" s="403"/>
      <c r="R770" s="521"/>
      <c r="T770" s="50"/>
      <c r="U770" s="556"/>
      <c r="V770" s="1371" t="s">
        <v>45</v>
      </c>
      <c r="W770" s="923"/>
      <c r="X770" s="238"/>
      <c r="Y770" s="214"/>
      <c r="Z770" s="212"/>
      <c r="AA770" s="212"/>
      <c r="AB770" s="983"/>
      <c r="AC770" s="214"/>
      <c r="AD770" s="214">
        <v>0</v>
      </c>
      <c r="AE770" s="212">
        <v>0</v>
      </c>
      <c r="AF770" s="258">
        <f t="shared" si="143"/>
        <v>0</v>
      </c>
      <c r="AG770" s="923"/>
      <c r="AH770" s="115"/>
      <c r="AK770" s="924"/>
      <c r="DF770" s="1502" t="str">
        <f t="shared" si="144"/>
        <v>ASHP-SEER20-Replace_CAC_NonElectricHeat_ROF_SF</v>
      </c>
      <c r="DG770" s="1050"/>
      <c r="DH770" s="240" t="str">
        <f>CONCATENATE(G770," ",J770," Year EUL")</f>
        <v>Heating Res 18 Year EUL</v>
      </c>
      <c r="DI770" s="1049">
        <f>(INDEX('Avoided Cost Benefits'!$B$4:$B$866,MATCH(DH770,'Avoided Cost Benefits'!$A$4:$A$866,0)))*F770</f>
        <v>0</v>
      </c>
      <c r="DJ770" s="1952">
        <f t="shared" si="145"/>
        <v>0</v>
      </c>
      <c r="DM770" s="239"/>
    </row>
    <row r="771" spans="1:117" x14ac:dyDescent="0.25">
      <c r="A771" s="442"/>
      <c r="B771" s="1384">
        <f t="shared" si="142"/>
        <v>353550</v>
      </c>
      <c r="C771" s="18" t="s">
        <v>1265</v>
      </c>
      <c r="D771" s="551" t="s">
        <v>686</v>
      </c>
      <c r="E771" s="1298" t="s">
        <v>1266</v>
      </c>
      <c r="F771" s="212">
        <f>ROUND(((K1300*K1390*(1/K1480-1/K1570)*K1660)/1000)*$K$1719,2)</f>
        <v>2498.89</v>
      </c>
      <c r="G771" s="552" t="s">
        <v>1124</v>
      </c>
      <c r="H771" s="66">
        <f>VLOOKUP(G771,'CP FACTORS'!$A$3:$B$38, 2, FALSE)</f>
        <v>9.4741810000000004E-4</v>
      </c>
      <c r="I771" s="1115">
        <f t="shared" ref="I771:I816" si="146">ROUND(F771*H771,6)</f>
        <v>2.3674940000000002</v>
      </c>
      <c r="J771" s="57">
        <f t="shared" si="136"/>
        <v>6</v>
      </c>
      <c r="K771" s="155">
        <f t="shared" si="134"/>
        <v>4645.1653206811143</v>
      </c>
      <c r="L771" s="242">
        <f>L940</f>
        <v>3.3440561485431846</v>
      </c>
      <c r="M771" s="542"/>
      <c r="N771" s="554"/>
      <c r="O771" s="403"/>
      <c r="R771" s="521"/>
      <c r="T771" s="50"/>
      <c r="U771" s="556"/>
      <c r="V771" s="1371" t="s">
        <v>45</v>
      </c>
      <c r="W771" s="923">
        <v>3214.5697478991597</v>
      </c>
      <c r="X771" s="238">
        <v>2341.3968787515005</v>
      </c>
      <c r="Y771" s="212">
        <v>2341.4</v>
      </c>
      <c r="Z771" s="212">
        <v>2341.4</v>
      </c>
      <c r="AA771" s="212">
        <v>2341.4</v>
      </c>
      <c r="AB771" s="984">
        <v>2341.4</v>
      </c>
      <c r="AC771" s="214">
        <v>2697.17</v>
      </c>
      <c r="AD771" s="214">
        <v>2958.13</v>
      </c>
      <c r="AE771" s="214">
        <v>2702.24</v>
      </c>
      <c r="AF771" s="258">
        <f t="shared" si="143"/>
        <v>2498.89</v>
      </c>
      <c r="AG771" s="923"/>
      <c r="AH771" s="115"/>
      <c r="AK771" s="924"/>
      <c r="DF771" s="1502" t="str">
        <f t="shared" si="144"/>
        <v>ASHP-SEER21-Replace_CAC_ElectricHeat_ER1_SF</v>
      </c>
      <c r="DG771" s="1048">
        <f>(DI771+DI772+DI773+DI774)/(DJ771+DJ772+DJ773+DJ774)</f>
        <v>2.3726800996174342</v>
      </c>
      <c r="DH771" s="1298" t="str">
        <f t="shared" ref="DH771:DH816" si="147">CONCATENATE(G771," ",J771," Year EUL")</f>
        <v>Cooling Res 6 Year EUL</v>
      </c>
      <c r="DI771" s="1049">
        <f>(INDEX('Avoided Cost Benefits'!$B$4:$B$866,MATCH(DH771,'Avoided Cost Benefits'!$A$4:$A$866,0)))*F771</f>
        <v>2488.5148519221975</v>
      </c>
      <c r="DJ771" s="1952">
        <f t="shared" si="145"/>
        <v>4645.1653206811143</v>
      </c>
      <c r="DM771" s="239"/>
    </row>
    <row r="772" spans="1:117" x14ac:dyDescent="0.25">
      <c r="A772" s="442"/>
      <c r="B772" s="1384">
        <f t="shared" si="142"/>
        <v>353550</v>
      </c>
      <c r="C772" s="18" t="s">
        <v>1265</v>
      </c>
      <c r="D772" s="551" t="s">
        <v>686</v>
      </c>
      <c r="E772" s="1323" t="s">
        <v>1266</v>
      </c>
      <c r="F772" s="212">
        <f>ROUND(((K940*K1030*(1/K1120-1/K1210)*K1660)/1000)*$K$1719,2)</f>
        <v>12022.15</v>
      </c>
      <c r="G772" s="552" t="s">
        <v>1125</v>
      </c>
      <c r="H772" s="66">
        <f>VLOOKUP(G772,'CP FACTORS'!$A$3:$B$38, 2, FALSE)</f>
        <v>0</v>
      </c>
      <c r="I772" s="1115">
        <f t="shared" si="146"/>
        <v>0</v>
      </c>
      <c r="J772" s="57">
        <f t="shared" si="136"/>
        <v>6</v>
      </c>
      <c r="K772" s="155">
        <f t="shared" si="134"/>
        <v>0</v>
      </c>
      <c r="L772" s="242"/>
      <c r="M772" s="542"/>
      <c r="N772" s="554"/>
      <c r="O772" s="403"/>
      <c r="R772" s="521"/>
      <c r="T772" s="50"/>
      <c r="U772" s="556"/>
      <c r="V772" s="1371" t="s">
        <v>45</v>
      </c>
      <c r="W772" s="923">
        <v>13965.852998065762</v>
      </c>
      <c r="X772" s="238">
        <v>10399.659574468084</v>
      </c>
      <c r="Y772" s="212">
        <v>10399.66</v>
      </c>
      <c r="Z772" s="212">
        <v>10399.66</v>
      </c>
      <c r="AA772" s="212">
        <v>10399.66</v>
      </c>
      <c r="AB772" s="984">
        <v>10399.66</v>
      </c>
      <c r="AC772" s="214">
        <v>12895.04</v>
      </c>
      <c r="AD772" s="214">
        <v>12037.46</v>
      </c>
      <c r="AE772" s="214">
        <v>12022.15</v>
      </c>
      <c r="AF772" s="258">
        <f t="shared" si="143"/>
        <v>12022.15</v>
      </c>
      <c r="AG772" s="923"/>
      <c r="AH772" s="115"/>
      <c r="AK772" s="924"/>
      <c r="DF772" s="1502" t="str">
        <f t="shared" si="144"/>
        <v>ASHP-SEER21-Replace_CAC_ElectricHeat_ER1_SF</v>
      </c>
      <c r="DG772" s="1052"/>
      <c r="DH772" s="1323" t="str">
        <f t="shared" si="147"/>
        <v>Heating Res 6 Year EUL</v>
      </c>
      <c r="DI772" s="1049">
        <f>(INDEX('Avoided Cost Benefits'!$B$4:$B$866,MATCH(DH772,'Avoided Cost Benefits'!$A$4:$A$866,0)))*F772</f>
        <v>3224.0858883129472</v>
      </c>
      <c r="DJ772" s="1952">
        <f t="shared" si="145"/>
        <v>0</v>
      </c>
      <c r="DM772" s="239"/>
    </row>
    <row r="773" spans="1:117" x14ac:dyDescent="0.25">
      <c r="A773" s="442"/>
      <c r="B773" s="1384">
        <f t="shared" si="142"/>
        <v>353550</v>
      </c>
      <c r="C773" s="18" t="s">
        <v>1265</v>
      </c>
      <c r="D773" s="551" t="s">
        <v>686</v>
      </c>
      <c r="E773" s="1323" t="s">
        <v>1267</v>
      </c>
      <c r="F773" s="212">
        <f>ROUND(((K1301*K1391*(1/K1481-1/K1571)*K1661)/1000)*$K$1719,2)</f>
        <v>963.47</v>
      </c>
      <c r="G773" s="552" t="s">
        <v>1178</v>
      </c>
      <c r="H773" s="66">
        <f>VLOOKUP(G773,'CP FACTORS'!$A$3:$B$38, 2, FALSE)</f>
        <v>9.4741810000000004E-4</v>
      </c>
      <c r="I773" s="1115">
        <f t="shared" si="146"/>
        <v>0.91280899999999998</v>
      </c>
      <c r="J773" s="57">
        <f t="shared" si="136"/>
        <v>12</v>
      </c>
      <c r="K773" s="155">
        <f t="shared" ref="K773:K804" si="148">IF(C773&lt;&gt;C772,VLOOKUP(C773,$J$1900:$K$2097,2,FALSE),0)</f>
        <v>0</v>
      </c>
      <c r="L773" s="242"/>
      <c r="M773" s="542"/>
      <c r="N773" s="554"/>
      <c r="O773" s="403"/>
      <c r="R773" s="521"/>
      <c r="T773" s="50"/>
      <c r="U773" s="556"/>
      <c r="V773" s="1371" t="s">
        <v>45</v>
      </c>
      <c r="W773" s="923">
        <v>947.30549450549472</v>
      </c>
      <c r="X773" s="241">
        <v>947.30549450549472</v>
      </c>
      <c r="Y773" s="212">
        <v>947.31</v>
      </c>
      <c r="Z773" s="212">
        <v>947.31</v>
      </c>
      <c r="AA773" s="212">
        <v>947.31</v>
      </c>
      <c r="AB773" s="984">
        <v>947.31</v>
      </c>
      <c r="AC773" s="214">
        <v>1151.58</v>
      </c>
      <c r="AD773" s="214">
        <v>1070.04</v>
      </c>
      <c r="AE773" s="214">
        <v>892.64</v>
      </c>
      <c r="AF773" s="258">
        <f t="shared" si="143"/>
        <v>963.47</v>
      </c>
      <c r="AG773" s="923"/>
      <c r="AH773" s="115"/>
      <c r="AK773" s="924"/>
      <c r="DF773" s="1502" t="str">
        <f t="shared" si="144"/>
        <v>ASHP-SEER21-Replace_CAC_ElectricHeat_ER2_SF</v>
      </c>
      <c r="DG773" s="1052"/>
      <c r="DH773" s="1323" t="str">
        <f t="shared" si="147"/>
        <v>Cooling Res ER2 12 Year EUL</v>
      </c>
      <c r="DI773" s="1049">
        <f>(INDEX('Avoided Cost Benefits'!$B$4:$B$866,MATCH(DH773,'Avoided Cost Benefits'!$A$4:$A$866,0)))*F773</f>
        <v>1246.6538754080711</v>
      </c>
      <c r="DJ773" s="1952">
        <f t="shared" si="145"/>
        <v>0</v>
      </c>
      <c r="DM773" s="239"/>
    </row>
    <row r="774" spans="1:117" x14ac:dyDescent="0.25">
      <c r="A774" s="442"/>
      <c r="B774" s="1384">
        <f t="shared" si="142"/>
        <v>353550</v>
      </c>
      <c r="C774" s="18" t="s">
        <v>1265</v>
      </c>
      <c r="D774" s="551" t="s">
        <v>686</v>
      </c>
      <c r="E774" s="1299" t="s">
        <v>1267</v>
      </c>
      <c r="F774" s="212">
        <f>ROUND(((K941*K1031*(1/K1121-1/K1211)*K1661)/1000)*$K$1719,2)</f>
        <v>12022.15</v>
      </c>
      <c r="G774" s="552" t="s">
        <v>1214</v>
      </c>
      <c r="H774" s="66">
        <f>VLOOKUP(G774,'CP FACTORS'!$A$3:$B$38, 2, FALSE)</f>
        <v>0</v>
      </c>
      <c r="I774" s="1115">
        <f t="shared" si="146"/>
        <v>0</v>
      </c>
      <c r="J774" s="57">
        <f t="shared" si="136"/>
        <v>12</v>
      </c>
      <c r="K774" s="155">
        <f t="shared" si="148"/>
        <v>0</v>
      </c>
      <c r="L774" s="242"/>
      <c r="M774" s="542"/>
      <c r="N774" s="554"/>
      <c r="O774" s="403"/>
      <c r="R774" s="521"/>
      <c r="T774" s="50"/>
      <c r="U774" s="556"/>
      <c r="V774" s="1371" t="s">
        <v>45</v>
      </c>
      <c r="W774" s="923">
        <v>13965.852998065762</v>
      </c>
      <c r="X774" s="238">
        <v>10399.659574468084</v>
      </c>
      <c r="Y774" s="212">
        <v>10399.66</v>
      </c>
      <c r="Z774" s="212">
        <v>10399.66</v>
      </c>
      <c r="AA774" s="212">
        <v>10399.66</v>
      </c>
      <c r="AB774" s="984">
        <v>10399.66</v>
      </c>
      <c r="AC774" s="214">
        <v>12895.04</v>
      </c>
      <c r="AD774" s="214">
        <v>12037.46</v>
      </c>
      <c r="AE774" s="214">
        <v>12022.15</v>
      </c>
      <c r="AF774" s="258">
        <f t="shared" si="143"/>
        <v>12022.15</v>
      </c>
      <c r="AG774" s="923"/>
      <c r="AH774" s="115"/>
      <c r="AK774" s="924"/>
      <c r="DF774" s="1502" t="str">
        <f t="shared" si="144"/>
        <v>ASHP-SEER21-Replace_CAC_ElectricHeat_ER2_SF</v>
      </c>
      <c r="DG774" s="1052"/>
      <c r="DH774" s="1299" t="str">
        <f t="shared" si="147"/>
        <v>Heating Res ER2 12 Year EUL</v>
      </c>
      <c r="DI774" s="1049">
        <f>(INDEX('Avoided Cost Benefits'!$B$4:$B$866,MATCH(DH774,'Avoided Cost Benefits'!$A$4:$A$866,0)))*F774</f>
        <v>4062.2367001699008</v>
      </c>
      <c r="DJ774" s="1952">
        <f t="shared" si="145"/>
        <v>0</v>
      </c>
      <c r="DM774" s="239"/>
    </row>
    <row r="775" spans="1:117" x14ac:dyDescent="0.25">
      <c r="A775" s="442"/>
      <c r="B775" s="1384">
        <f t="shared" si="142"/>
        <v>353560</v>
      </c>
      <c r="C775" s="18" t="s">
        <v>1268</v>
      </c>
      <c r="D775" s="551" t="s">
        <v>857</v>
      </c>
      <c r="E775" s="1323" t="s">
        <v>1269</v>
      </c>
      <c r="F775" s="212">
        <f>ROUND(((K1302*K1392*(1/K1482-1/K1572)*K1662)/1000)*$K$1719,2)</f>
        <v>2498.89</v>
      </c>
      <c r="G775" s="552" t="s">
        <v>1124</v>
      </c>
      <c r="H775" s="66">
        <f>VLOOKUP(G775,'CP FACTORS'!$A$3:$B$38, 2, FALSE)</f>
        <v>9.4741810000000004E-4</v>
      </c>
      <c r="I775" s="1115">
        <f t="shared" si="146"/>
        <v>2.3674940000000002</v>
      </c>
      <c r="J775" s="57">
        <f t="shared" ref="J775:J806" si="149">K1786</f>
        <v>6</v>
      </c>
      <c r="K775" s="155">
        <f t="shared" si="148"/>
        <v>584.70329002915889</v>
      </c>
      <c r="L775" s="242">
        <f>L942</f>
        <v>3.3440561485431846</v>
      </c>
      <c r="M775" s="542"/>
      <c r="N775" s="554"/>
      <c r="O775" s="403"/>
      <c r="R775" s="521"/>
      <c r="T775" s="50"/>
      <c r="U775" s="556"/>
      <c r="V775" s="1371" t="s">
        <v>45</v>
      </c>
      <c r="W775" s="923"/>
      <c r="X775" s="238"/>
      <c r="Y775" s="212"/>
      <c r="Z775" s="212"/>
      <c r="AA775" s="212"/>
      <c r="AB775" s="984"/>
      <c r="AC775" s="214">
        <v>2697.17</v>
      </c>
      <c r="AD775" s="214">
        <v>2958.13</v>
      </c>
      <c r="AE775" s="214">
        <v>2702.24</v>
      </c>
      <c r="AF775" s="258">
        <f t="shared" si="143"/>
        <v>2498.89</v>
      </c>
      <c r="AG775" s="923"/>
      <c r="AH775" s="115"/>
      <c r="AK775" s="924"/>
      <c r="DF775" s="1502" t="str">
        <f t="shared" si="144"/>
        <v>ASHP-SEER21-Replace_CAC_NonElectricHeat_ER1_SF</v>
      </c>
      <c r="DG775" s="1048">
        <f>(DI775+DI776+DI777+DI778)/(DJ775+DJ776+DJ777+DJ778)</f>
        <v>6.3881438518055838</v>
      </c>
      <c r="DH775" s="1323" t="str">
        <f t="shared" si="147"/>
        <v>Cooling Res 6 Year EUL</v>
      </c>
      <c r="DI775" s="1049">
        <f>(INDEX('Avoided Cost Benefits'!$B$4:$B$866,MATCH(DH775,'Avoided Cost Benefits'!$A$4:$A$866,0)))*F775</f>
        <v>2488.5148519221975</v>
      </c>
      <c r="DJ775" s="1952">
        <f t="shared" si="145"/>
        <v>584.70329002915889</v>
      </c>
      <c r="DM775" s="239"/>
    </row>
    <row r="776" spans="1:117" x14ac:dyDescent="0.25">
      <c r="A776" s="442"/>
      <c r="B776" s="1384">
        <f t="shared" si="142"/>
        <v>353560</v>
      </c>
      <c r="C776" s="18" t="s">
        <v>1268</v>
      </c>
      <c r="D776" s="551" t="s">
        <v>857</v>
      </c>
      <c r="E776" s="1323" t="s">
        <v>1269</v>
      </c>
      <c r="F776" s="212">
        <v>0</v>
      </c>
      <c r="G776" s="552" t="s">
        <v>1125</v>
      </c>
      <c r="H776" s="66">
        <f>VLOOKUP(G776,'CP FACTORS'!$A$3:$B$38, 2, FALSE)</f>
        <v>0</v>
      </c>
      <c r="I776" s="1115">
        <f t="shared" si="146"/>
        <v>0</v>
      </c>
      <c r="J776" s="57">
        <f t="shared" si="149"/>
        <v>6</v>
      </c>
      <c r="K776" s="155">
        <f t="shared" si="148"/>
        <v>0</v>
      </c>
      <c r="L776" s="242"/>
      <c r="M776" s="542"/>
      <c r="N776" s="554"/>
      <c r="O776" s="403"/>
      <c r="R776" s="521"/>
      <c r="T776" s="50"/>
      <c r="U776" s="556"/>
      <c r="V776" s="1371" t="s">
        <v>45</v>
      </c>
      <c r="W776" s="923"/>
      <c r="X776" s="238"/>
      <c r="Y776" s="212"/>
      <c r="Z776" s="212"/>
      <c r="AA776" s="212"/>
      <c r="AB776" s="984"/>
      <c r="AC776" s="214">
        <v>0</v>
      </c>
      <c r="AD776" s="212">
        <v>0</v>
      </c>
      <c r="AE776" s="212">
        <v>0</v>
      </c>
      <c r="AF776" s="258">
        <f t="shared" si="143"/>
        <v>0</v>
      </c>
      <c r="AG776" s="923"/>
      <c r="AH776" s="115"/>
      <c r="AK776" s="924"/>
      <c r="DF776" s="1502" t="str">
        <f t="shared" si="144"/>
        <v>ASHP-SEER21-Replace_CAC_NonElectricHeat_ER1_SF</v>
      </c>
      <c r="DG776" s="1052"/>
      <c r="DH776" s="1323" t="str">
        <f t="shared" si="147"/>
        <v>Heating Res 6 Year EUL</v>
      </c>
      <c r="DI776" s="1049">
        <f>(INDEX('Avoided Cost Benefits'!$B$4:$B$866,MATCH(DH776,'Avoided Cost Benefits'!$A$4:$A$866,0)))*F776</f>
        <v>0</v>
      </c>
      <c r="DJ776" s="1952">
        <f t="shared" si="145"/>
        <v>0</v>
      </c>
      <c r="DM776" s="239"/>
    </row>
    <row r="777" spans="1:117" x14ac:dyDescent="0.25">
      <c r="A777" s="442"/>
      <c r="B777" s="1384">
        <f t="shared" si="142"/>
        <v>353560</v>
      </c>
      <c r="C777" s="18" t="s">
        <v>1268</v>
      </c>
      <c r="D777" s="551" t="s">
        <v>857</v>
      </c>
      <c r="E777" s="1323" t="s">
        <v>1270</v>
      </c>
      <c r="F777" s="212">
        <f>ROUND(((K1303*K1393*(1/K1483-1/K1573)*K1663)/1000)*$K$1719,2)</f>
        <v>963.47</v>
      </c>
      <c r="G777" s="552" t="s">
        <v>1178</v>
      </c>
      <c r="H777" s="66">
        <f>VLOOKUP(G777,'CP FACTORS'!$A$3:$B$38, 2, FALSE)</f>
        <v>9.4741810000000004E-4</v>
      </c>
      <c r="I777" s="1115">
        <f t="shared" si="146"/>
        <v>0.91280899999999998</v>
      </c>
      <c r="J777" s="57">
        <f t="shared" si="149"/>
        <v>12</v>
      </c>
      <c r="K777" s="155">
        <f t="shared" si="148"/>
        <v>0</v>
      </c>
      <c r="L777" s="242"/>
      <c r="M777" s="542"/>
      <c r="N777" s="554"/>
      <c r="O777" s="403"/>
      <c r="R777" s="521"/>
      <c r="T777" s="50"/>
      <c r="U777" s="556"/>
      <c r="V777" s="1371" t="s">
        <v>45</v>
      </c>
      <c r="W777" s="923"/>
      <c r="X777" s="238"/>
      <c r="Y777" s="212"/>
      <c r="Z777" s="212"/>
      <c r="AA777" s="212"/>
      <c r="AB777" s="984"/>
      <c r="AC777" s="214">
        <v>1151.58</v>
      </c>
      <c r="AD777" s="214">
        <v>1070.04</v>
      </c>
      <c r="AE777" s="214">
        <v>892.64</v>
      </c>
      <c r="AF777" s="258">
        <f t="shared" si="143"/>
        <v>963.47</v>
      </c>
      <c r="AG777" s="923"/>
      <c r="AH777" s="115"/>
      <c r="AK777" s="924"/>
      <c r="DF777" s="1502" t="str">
        <f t="shared" si="144"/>
        <v>ASHP-SEER21-Replace_CAC_NonElectricHeat_ER2_SF</v>
      </c>
      <c r="DG777" s="1052"/>
      <c r="DH777" s="1323" t="str">
        <f t="shared" si="147"/>
        <v>Cooling Res ER2 12 Year EUL</v>
      </c>
      <c r="DI777" s="1049">
        <f>(INDEX('Avoided Cost Benefits'!$B$4:$B$866,MATCH(DH777,'Avoided Cost Benefits'!$A$4:$A$866,0)))*F777</f>
        <v>1246.6538754080711</v>
      </c>
      <c r="DJ777" s="1952">
        <f t="shared" si="145"/>
        <v>0</v>
      </c>
      <c r="DM777" s="239"/>
    </row>
    <row r="778" spans="1:117" x14ac:dyDescent="0.25">
      <c r="A778" s="442"/>
      <c r="B778" s="1384">
        <f t="shared" si="142"/>
        <v>353560</v>
      </c>
      <c r="C778" s="18" t="s">
        <v>1268</v>
      </c>
      <c r="D778" s="551" t="s">
        <v>857</v>
      </c>
      <c r="E778" s="1299" t="s">
        <v>1270</v>
      </c>
      <c r="F778" s="212">
        <f>0</f>
        <v>0</v>
      </c>
      <c r="G778" s="552" t="s">
        <v>1214</v>
      </c>
      <c r="H778" s="66">
        <f>VLOOKUP(G778,'CP FACTORS'!$A$3:$B$38, 2, FALSE)</f>
        <v>0</v>
      </c>
      <c r="I778" s="1115">
        <f t="shared" si="146"/>
        <v>0</v>
      </c>
      <c r="J778" s="57">
        <f t="shared" si="149"/>
        <v>12</v>
      </c>
      <c r="K778" s="155">
        <f t="shared" si="148"/>
        <v>0</v>
      </c>
      <c r="L778" s="242"/>
      <c r="M778" s="542"/>
      <c r="N778" s="554"/>
      <c r="O778" s="403"/>
      <c r="R778" s="521"/>
      <c r="T778" s="50"/>
      <c r="U778" s="556"/>
      <c r="V778" s="1371" t="s">
        <v>45</v>
      </c>
      <c r="W778" s="923"/>
      <c r="X778" s="238"/>
      <c r="Y778" s="212"/>
      <c r="Z778" s="212"/>
      <c r="AA778" s="212"/>
      <c r="AB778" s="984"/>
      <c r="AC778" s="214">
        <v>0</v>
      </c>
      <c r="AD778" s="212">
        <v>0</v>
      </c>
      <c r="AE778" s="212">
        <v>0</v>
      </c>
      <c r="AF778" s="258">
        <f t="shared" si="143"/>
        <v>0</v>
      </c>
      <c r="AG778" s="923"/>
      <c r="AH778" s="115"/>
      <c r="AK778" s="924"/>
      <c r="DF778" s="1502" t="str">
        <f t="shared" si="144"/>
        <v>ASHP-SEER21-Replace_CAC_NonElectricHeat_ER2_SF</v>
      </c>
      <c r="DG778" s="1052"/>
      <c r="DH778" s="1323" t="str">
        <f t="shared" si="147"/>
        <v>Heating Res ER2 12 Year EUL</v>
      </c>
      <c r="DI778" s="1049">
        <f>(INDEX('Avoided Cost Benefits'!$B$4:$B$866,MATCH(DH778,'Avoided Cost Benefits'!$A$4:$A$866,0)))*F778</f>
        <v>0</v>
      </c>
      <c r="DJ778" s="1952">
        <f t="shared" si="145"/>
        <v>0</v>
      </c>
      <c r="DM778" s="239"/>
    </row>
    <row r="779" spans="1:117" x14ac:dyDescent="0.25">
      <c r="A779" s="442"/>
      <c r="B779" s="1384">
        <f t="shared" si="142"/>
        <v>353600</v>
      </c>
      <c r="C779" s="18" t="s">
        <v>1271</v>
      </c>
      <c r="D779" s="551" t="s">
        <v>600</v>
      </c>
      <c r="E779" s="1298" t="s">
        <v>1272</v>
      </c>
      <c r="F779" s="212">
        <f>ROUND(((K1304*K1394*(1/K1484-1/K1574)*K1664)/1000)*$K$1719,2)</f>
        <v>1521.91</v>
      </c>
      <c r="G779" s="552" t="s">
        <v>1124</v>
      </c>
      <c r="H779" s="66">
        <f>VLOOKUP(G779,'CP FACTORS'!$A$3:$B$38, 2, FALSE)</f>
        <v>9.4741810000000004E-4</v>
      </c>
      <c r="I779" s="1115">
        <f t="shared" si="146"/>
        <v>1.4418850000000001</v>
      </c>
      <c r="J779" s="57">
        <f t="shared" si="149"/>
        <v>6</v>
      </c>
      <c r="K779" s="155">
        <f t="shared" si="148"/>
        <v>3847.7316315552043</v>
      </c>
      <c r="L779" s="242">
        <f>L944</f>
        <v>3.1</v>
      </c>
      <c r="M779" s="542"/>
      <c r="N779" s="554"/>
      <c r="O779" s="403"/>
      <c r="R779" s="521"/>
      <c r="T779" s="50"/>
      <c r="U779" s="556"/>
      <c r="V779" s="1371" t="s">
        <v>45</v>
      </c>
      <c r="W779" s="923">
        <v>2089.4703361344541</v>
      </c>
      <c r="X779" s="238">
        <v>1521.9079711884754</v>
      </c>
      <c r="Y779" s="212">
        <v>1521.91</v>
      </c>
      <c r="Z779" s="212">
        <v>1521.91</v>
      </c>
      <c r="AA779" s="212">
        <v>1521.91</v>
      </c>
      <c r="AB779" s="984">
        <v>1521.91</v>
      </c>
      <c r="AC779" s="921">
        <v>1521.91</v>
      </c>
      <c r="AD779" s="212">
        <v>1521.91</v>
      </c>
      <c r="AE779" s="212">
        <v>1521.91</v>
      </c>
      <c r="AF779" s="258">
        <f t="shared" si="143"/>
        <v>1521.91</v>
      </c>
      <c r="AG779" s="923"/>
      <c r="AH779" s="115"/>
      <c r="AK779" s="924"/>
      <c r="DF779" s="1502" t="str">
        <f t="shared" si="144"/>
        <v>ASHP-SEER21-Replace_CAC_ElectricHeat_ER1_MF</v>
      </c>
      <c r="DG779" s="1048">
        <f>(DI779+DI780+DI781+DI782)/(DJ779+DJ780+DJ781+DJ782)</f>
        <v>1.6494975209084624</v>
      </c>
      <c r="DH779" s="1298" t="str">
        <f t="shared" si="147"/>
        <v>Cooling Res 6 Year EUL</v>
      </c>
      <c r="DI779" s="1049">
        <f>(INDEX('Avoided Cost Benefits'!$B$4:$B$866,MATCH(DH779,'Avoided Cost Benefits'!$A$4:$A$866,0)))*F779</f>
        <v>1515.5911777985073</v>
      </c>
      <c r="DJ779" s="1952">
        <f t="shared" si="145"/>
        <v>3847.7316315552043</v>
      </c>
      <c r="DM779" s="239"/>
    </row>
    <row r="780" spans="1:117" x14ac:dyDescent="0.25">
      <c r="A780" s="442"/>
      <c r="B780" s="1384">
        <f t="shared" si="142"/>
        <v>353600</v>
      </c>
      <c r="C780" s="18" t="s">
        <v>1271</v>
      </c>
      <c r="D780" s="551" t="s">
        <v>600</v>
      </c>
      <c r="E780" s="1323" t="s">
        <v>1272</v>
      </c>
      <c r="F780" s="212">
        <f>ROUND(((K944*K1034*(1/K1124-1/K1214)*K1664)/1000)*$K$1719,2)</f>
        <v>6759.78</v>
      </c>
      <c r="G780" s="552" t="s">
        <v>1125</v>
      </c>
      <c r="H780" s="66">
        <f>VLOOKUP(G780,'CP FACTORS'!$A$3:$B$38, 2, FALSE)</f>
        <v>0</v>
      </c>
      <c r="I780" s="1115">
        <f t="shared" si="146"/>
        <v>0</v>
      </c>
      <c r="J780" s="57">
        <f t="shared" si="149"/>
        <v>6</v>
      </c>
      <c r="K780" s="155">
        <f t="shared" si="148"/>
        <v>0</v>
      </c>
      <c r="L780" s="242"/>
      <c r="M780" s="542"/>
      <c r="N780" s="554"/>
      <c r="O780" s="403"/>
      <c r="R780" s="521"/>
      <c r="T780" s="50"/>
      <c r="U780" s="556"/>
      <c r="V780" s="1371" t="s">
        <v>45</v>
      </c>
      <c r="W780" s="923">
        <v>9077.8044487427451</v>
      </c>
      <c r="X780" s="238">
        <v>6759.7787234042544</v>
      </c>
      <c r="Y780" s="212">
        <v>6759.78</v>
      </c>
      <c r="Z780" s="212">
        <v>6759.78</v>
      </c>
      <c r="AA780" s="212">
        <v>6759.78</v>
      </c>
      <c r="AB780" s="984">
        <v>6759.78</v>
      </c>
      <c r="AC780" s="921">
        <v>6759.78</v>
      </c>
      <c r="AD780" s="212">
        <v>6759.78</v>
      </c>
      <c r="AE780" s="212">
        <v>6759.78</v>
      </c>
      <c r="AF780" s="258">
        <f t="shared" si="143"/>
        <v>6759.78</v>
      </c>
      <c r="AG780" s="923"/>
      <c r="AH780" s="115"/>
      <c r="AK780" s="924"/>
      <c r="DF780" s="1502" t="str">
        <f t="shared" si="144"/>
        <v>ASHP-SEER21-Replace_CAC_ElectricHeat_ER1_MF</v>
      </c>
      <c r="DG780" s="1052"/>
      <c r="DH780" s="1323" t="str">
        <f t="shared" si="147"/>
        <v>Heating Res 6 Year EUL</v>
      </c>
      <c r="DI780" s="1049">
        <f>(INDEX('Avoided Cost Benefits'!$B$4:$B$866,MATCH(DH780,'Avoided Cost Benefits'!$A$4:$A$866,0)))*F780</f>
        <v>1812.8297605752794</v>
      </c>
      <c r="DJ780" s="1952">
        <f t="shared" si="145"/>
        <v>0</v>
      </c>
      <c r="DM780" s="239"/>
    </row>
    <row r="781" spans="1:117" x14ac:dyDescent="0.25">
      <c r="A781" s="442"/>
      <c r="B781" s="1384">
        <f t="shared" si="142"/>
        <v>353600</v>
      </c>
      <c r="C781" s="18" t="s">
        <v>1271</v>
      </c>
      <c r="D781" s="551" t="s">
        <v>600</v>
      </c>
      <c r="E781" s="1323" t="s">
        <v>1273</v>
      </c>
      <c r="F781" s="212">
        <f>ROUND(((K1305*K1395*(1/K1485-1/K1575)*K1665)/1000)*$K$1719,2)</f>
        <v>567.5</v>
      </c>
      <c r="G781" s="552" t="s">
        <v>1178</v>
      </c>
      <c r="H781" s="66">
        <f>VLOOKUP(G781,'CP FACTORS'!$A$3:$B$38, 2, FALSE)</f>
        <v>9.4741810000000004E-4</v>
      </c>
      <c r="I781" s="1115">
        <f t="shared" si="146"/>
        <v>0.53766000000000003</v>
      </c>
      <c r="J781" s="57">
        <f t="shared" si="149"/>
        <v>12</v>
      </c>
      <c r="K781" s="155">
        <f t="shared" si="148"/>
        <v>0</v>
      </c>
      <c r="L781" s="242"/>
      <c r="M781" s="542"/>
      <c r="N781" s="554"/>
      <c r="O781" s="403"/>
      <c r="R781" s="521"/>
      <c r="T781" s="50"/>
      <c r="U781" s="556"/>
      <c r="V781" s="1371" t="s">
        <v>45</v>
      </c>
      <c r="W781" s="923">
        <v>615.74857142857161</v>
      </c>
      <c r="X781" s="241">
        <v>615.74857142857161</v>
      </c>
      <c r="Y781" s="212">
        <v>615.75</v>
      </c>
      <c r="Z781" s="212">
        <v>615.75</v>
      </c>
      <c r="AA781" s="212">
        <v>615.75</v>
      </c>
      <c r="AB781" s="984">
        <v>615.75</v>
      </c>
      <c r="AC781" s="921">
        <v>615.75</v>
      </c>
      <c r="AD781" s="212">
        <v>615.75</v>
      </c>
      <c r="AE781" s="214">
        <v>500.3</v>
      </c>
      <c r="AF781" s="258">
        <f t="shared" si="143"/>
        <v>567.5</v>
      </c>
      <c r="AG781" s="923"/>
      <c r="AH781" s="115"/>
      <c r="AK781" s="924"/>
      <c r="DF781" s="1502" t="str">
        <f t="shared" si="144"/>
        <v>ASHP-SEER21-Replace_CAC_ElectricHeat_ER2_MF</v>
      </c>
      <c r="DG781" s="1052"/>
      <c r="DH781" s="1323" t="str">
        <f t="shared" si="147"/>
        <v>Cooling Res ER2 12 Year EUL</v>
      </c>
      <c r="DI781" s="1049">
        <f>(INDEX('Avoided Cost Benefits'!$B$4:$B$866,MATCH(DH781,'Avoided Cost Benefits'!$A$4:$A$866,0)))*F781</f>
        <v>734.30005531472739</v>
      </c>
      <c r="DJ781" s="1952">
        <f t="shared" si="145"/>
        <v>0</v>
      </c>
      <c r="DM781" s="239"/>
    </row>
    <row r="782" spans="1:117" x14ac:dyDescent="0.25">
      <c r="A782" s="442"/>
      <c r="B782" s="1384">
        <f t="shared" si="142"/>
        <v>353600</v>
      </c>
      <c r="C782" s="18" t="s">
        <v>1271</v>
      </c>
      <c r="D782" s="551" t="s">
        <v>600</v>
      </c>
      <c r="E782" s="1299" t="s">
        <v>1273</v>
      </c>
      <c r="F782" s="212">
        <f>ROUND(((K945*K1035*(1/K1125-1/K1215)*K1665)/1000)*$K$1719,2)</f>
        <v>6759.78</v>
      </c>
      <c r="G782" s="552" t="s">
        <v>1214</v>
      </c>
      <c r="H782" s="66">
        <f>VLOOKUP(G782,'CP FACTORS'!$A$3:$B$38, 2, FALSE)</f>
        <v>0</v>
      </c>
      <c r="I782" s="1115">
        <f t="shared" si="146"/>
        <v>0</v>
      </c>
      <c r="J782" s="57">
        <f t="shared" si="149"/>
        <v>12</v>
      </c>
      <c r="K782" s="155">
        <f t="shared" si="148"/>
        <v>0</v>
      </c>
      <c r="L782" s="242"/>
      <c r="M782" s="542"/>
      <c r="N782" s="554"/>
      <c r="O782" s="403"/>
      <c r="R782" s="521"/>
      <c r="T782" s="50"/>
      <c r="U782" s="556"/>
      <c r="V782" s="1371" t="s">
        <v>45</v>
      </c>
      <c r="W782" s="923">
        <v>9077.8044487427451</v>
      </c>
      <c r="X782" s="238">
        <v>6759.7787234042544</v>
      </c>
      <c r="Y782" s="212">
        <v>6759.78</v>
      </c>
      <c r="Z782" s="212">
        <v>6759.78</v>
      </c>
      <c r="AA782" s="212">
        <v>6759.78</v>
      </c>
      <c r="AB782" s="984">
        <v>6759.78</v>
      </c>
      <c r="AC782" s="921">
        <v>6759.78</v>
      </c>
      <c r="AD782" s="212">
        <v>6759.78</v>
      </c>
      <c r="AE782" s="212">
        <v>6759.78</v>
      </c>
      <c r="AF782" s="258">
        <f t="shared" si="143"/>
        <v>6759.78</v>
      </c>
      <c r="AG782" s="923"/>
      <c r="AH782" s="115"/>
      <c r="AK782" s="924"/>
      <c r="DF782" s="1502" t="str">
        <f t="shared" si="144"/>
        <v>ASHP-SEER21-Replace_CAC_ElectricHeat_ER2_MF</v>
      </c>
      <c r="DG782" s="1052"/>
      <c r="DH782" s="1299" t="str">
        <f t="shared" si="147"/>
        <v>Heating Res ER2 12 Year EUL</v>
      </c>
      <c r="DI782" s="1049">
        <f>(INDEX('Avoided Cost Benefits'!$B$4:$B$866,MATCH(DH782,'Avoided Cost Benefits'!$A$4:$A$866,0)))*F782</f>
        <v>2284.1027936828682</v>
      </c>
      <c r="DJ782" s="1952">
        <f t="shared" si="145"/>
        <v>0</v>
      </c>
      <c r="DM782" s="239"/>
    </row>
    <row r="783" spans="1:117" x14ac:dyDescent="0.25">
      <c r="A783" s="442"/>
      <c r="B783" s="1384">
        <f t="shared" si="142"/>
        <v>353650</v>
      </c>
      <c r="C783" s="18" t="s">
        <v>1274</v>
      </c>
      <c r="D783" s="551" t="s">
        <v>686</v>
      </c>
      <c r="E783" s="202" t="s">
        <v>1275</v>
      </c>
      <c r="F783" s="212">
        <f>ROUND(((K1306*K1396*(1/K1486-1/K1576)*K1666)/1000)*$K$1719,2)</f>
        <v>981.12</v>
      </c>
      <c r="G783" s="552" t="s">
        <v>1124</v>
      </c>
      <c r="H783" s="66">
        <f>VLOOKUP(G783,'CP FACTORS'!$A$3:$B$38, 2, FALSE)</f>
        <v>9.4741810000000004E-4</v>
      </c>
      <c r="I783" s="1115">
        <f t="shared" si="146"/>
        <v>0.929531</v>
      </c>
      <c r="J783" s="57">
        <f t="shared" si="149"/>
        <v>18</v>
      </c>
      <c r="K783" s="155">
        <f t="shared" si="148"/>
        <v>4678.9696970312507</v>
      </c>
      <c r="L783" s="242">
        <f>L946</f>
        <v>3.4699494950520831</v>
      </c>
      <c r="M783" s="542"/>
      <c r="N783" s="554"/>
      <c r="O783" s="403"/>
      <c r="R783" s="521"/>
      <c r="T783" s="50"/>
      <c r="U783" s="556"/>
      <c r="V783" s="1371" t="s">
        <v>45</v>
      </c>
      <c r="W783" s="923">
        <v>977.86373626373654</v>
      </c>
      <c r="X783" s="241">
        <v>977.86373626373654</v>
      </c>
      <c r="Y783" s="212">
        <v>977.86</v>
      </c>
      <c r="Z783" s="212">
        <v>977.86</v>
      </c>
      <c r="AA783" s="212">
        <v>977.86</v>
      </c>
      <c r="AB783" s="984">
        <v>977.86</v>
      </c>
      <c r="AC783" s="214">
        <v>1109.96</v>
      </c>
      <c r="AD783" s="214">
        <v>1127.3</v>
      </c>
      <c r="AE783" s="214">
        <v>999.42</v>
      </c>
      <c r="AF783" s="258">
        <f t="shared" si="143"/>
        <v>981.12</v>
      </c>
      <c r="AG783" s="923"/>
      <c r="AH783" s="115"/>
      <c r="AK783" s="924"/>
      <c r="DF783" s="1502" t="str">
        <f t="shared" si="144"/>
        <v>ASHP-SEER21-Replace_CAC_ElectricHeat_ROF_SF</v>
      </c>
      <c r="DG783" s="1048">
        <f>(DI783+DI784)/(DJ783+DJ784)</f>
        <v>2.0858086929149433</v>
      </c>
      <c r="DH783" s="202" t="str">
        <f t="shared" si="147"/>
        <v>Cooling Res 18 Year EUL</v>
      </c>
      <c r="DI783" s="1049">
        <f>(INDEX('Avoided Cost Benefits'!$B$4:$B$866,MATCH(DH783,'Avoided Cost Benefits'!$A$4:$A$866,0)))*F783</f>
        <v>2246.5380628155731</v>
      </c>
      <c r="DJ783" s="1952">
        <f t="shared" si="145"/>
        <v>4678.9696970312507</v>
      </c>
      <c r="DM783" s="239"/>
    </row>
    <row r="784" spans="1:117" x14ac:dyDescent="0.25">
      <c r="A784" s="442"/>
      <c r="B784" s="1384">
        <f t="shared" si="142"/>
        <v>353650</v>
      </c>
      <c r="C784" s="18" t="s">
        <v>1274</v>
      </c>
      <c r="D784" s="551" t="s">
        <v>686</v>
      </c>
      <c r="E784" s="240" t="s">
        <v>1275</v>
      </c>
      <c r="F784" s="212">
        <f>ROUND(((K946*K1036*(1/K1126-1/K1216)*K1666)/1000)*$K$1719,2)</f>
        <v>12395.99</v>
      </c>
      <c r="G784" s="552" t="s">
        <v>1125</v>
      </c>
      <c r="H784" s="66">
        <f>VLOOKUP(G784,'CP FACTORS'!$A$3:$B$38, 2, FALSE)</f>
        <v>0</v>
      </c>
      <c r="I784" s="1115">
        <f t="shared" si="146"/>
        <v>0</v>
      </c>
      <c r="J784" s="57">
        <f t="shared" si="149"/>
        <v>18</v>
      </c>
      <c r="K784" s="155">
        <f t="shared" si="148"/>
        <v>0</v>
      </c>
      <c r="L784" s="242"/>
      <c r="M784" s="542"/>
      <c r="N784" s="554"/>
      <c r="O784" s="403"/>
      <c r="R784" s="521"/>
      <c r="T784" s="50"/>
      <c r="U784" s="556"/>
      <c r="V784" s="1371" t="s">
        <v>45</v>
      </c>
      <c r="W784" s="923">
        <v>14670.188469329136</v>
      </c>
      <c r="X784" s="238">
        <v>10924.142334552707</v>
      </c>
      <c r="Y784" s="212">
        <v>10924.14</v>
      </c>
      <c r="Z784" s="212">
        <v>10924.14</v>
      </c>
      <c r="AA784" s="212">
        <v>10924.14</v>
      </c>
      <c r="AB784" s="984">
        <v>10924.14</v>
      </c>
      <c r="AC784" s="214">
        <v>12441.81</v>
      </c>
      <c r="AD784" s="214">
        <v>12604.65</v>
      </c>
      <c r="AE784" s="214">
        <v>12395.99</v>
      </c>
      <c r="AF784" s="258">
        <f t="shared" si="143"/>
        <v>12395.99</v>
      </c>
      <c r="AG784" s="923"/>
      <c r="AH784" s="115"/>
      <c r="AK784" s="924"/>
      <c r="DF784" s="1502" t="str">
        <f t="shared" si="144"/>
        <v>ASHP-SEER21-Replace_CAC_ElectricHeat_ROF_SF</v>
      </c>
      <c r="DG784" s="1050"/>
      <c r="DH784" s="240" t="str">
        <f t="shared" si="147"/>
        <v>Heating Res 18 Year EUL</v>
      </c>
      <c r="DI784" s="1049">
        <f>(INDEX('Avoided Cost Benefits'!$B$4:$B$866,MATCH(DH784,'Avoided Cost Benefits'!$A$4:$A$866,0)))*F784</f>
        <v>7512.8976051378086</v>
      </c>
      <c r="DJ784" s="1952">
        <f t="shared" si="145"/>
        <v>0</v>
      </c>
      <c r="DM784" s="239"/>
    </row>
    <row r="785" spans="1:117" x14ac:dyDescent="0.25">
      <c r="A785" s="442"/>
      <c r="B785" s="1384">
        <f t="shared" si="142"/>
        <v>353660</v>
      </c>
      <c r="C785" s="18" t="s">
        <v>1276</v>
      </c>
      <c r="D785" s="551" t="s">
        <v>857</v>
      </c>
      <c r="E785" s="202" t="s">
        <v>1277</v>
      </c>
      <c r="F785" s="212">
        <f>ROUND(((K1307*K1397*(1/K1487-1/K1577)*K1667)/1000)*$K$1719,2)</f>
        <v>981.12</v>
      </c>
      <c r="G785" s="552" t="s">
        <v>1124</v>
      </c>
      <c r="H785" s="66">
        <f>VLOOKUP(G785,'CP FACTORS'!$A$3:$B$38, 2, FALSE)</f>
        <v>9.4741810000000004E-4</v>
      </c>
      <c r="I785" s="1115">
        <f>ROUND(F785*H785,6)</f>
        <v>0.929531</v>
      </c>
      <c r="J785" s="57">
        <f t="shared" si="149"/>
        <v>18</v>
      </c>
      <c r="K785" s="155">
        <f t="shared" si="148"/>
        <v>343.17059134232289</v>
      </c>
      <c r="L785" s="242">
        <f>L947</f>
        <v>3.4699494950520831</v>
      </c>
      <c r="M785" s="542"/>
      <c r="N785" s="554"/>
      <c r="O785" s="403"/>
      <c r="R785" s="521"/>
      <c r="T785" s="50"/>
      <c r="U785" s="556"/>
      <c r="V785" s="1371" t="s">
        <v>45</v>
      </c>
      <c r="W785" s="923"/>
      <c r="X785" s="238"/>
      <c r="Y785" s="214"/>
      <c r="Z785" s="212"/>
      <c r="AA785" s="212"/>
      <c r="AB785" s="983"/>
      <c r="AC785" s="214"/>
      <c r="AD785" s="214">
        <v>1127.3</v>
      </c>
      <c r="AE785" s="214">
        <v>999.42</v>
      </c>
      <c r="AF785" s="258">
        <f t="shared" si="143"/>
        <v>981.12</v>
      </c>
      <c r="AG785" s="923"/>
      <c r="AH785" s="115"/>
      <c r="AK785" s="924"/>
      <c r="DF785" s="1502" t="str">
        <f t="shared" si="144"/>
        <v>ASHP-SEER21-Replace_CAC_NonElectricHeat_ROF_SF</v>
      </c>
      <c r="DG785" s="1048">
        <f>(DI785+DI786)/(DJ785+DJ786)</f>
        <v>6.5464177860584343</v>
      </c>
      <c r="DH785" s="202" t="str">
        <f>CONCATENATE(G785," ",J785," Year EUL")</f>
        <v>Cooling Res 18 Year EUL</v>
      </c>
      <c r="DI785" s="1049">
        <f>(INDEX('Avoided Cost Benefits'!$B$4:$B$866,MATCH(DH785,'Avoided Cost Benefits'!$A$4:$A$866,0)))*F785</f>
        <v>2246.5380628155731</v>
      </c>
      <c r="DJ785" s="1952">
        <f t="shared" si="145"/>
        <v>343.17059134232289</v>
      </c>
      <c r="DM785" s="239"/>
    </row>
    <row r="786" spans="1:117" x14ac:dyDescent="0.25">
      <c r="A786" s="442"/>
      <c r="B786" s="1384">
        <f t="shared" si="142"/>
        <v>353660</v>
      </c>
      <c r="C786" s="18" t="s">
        <v>1276</v>
      </c>
      <c r="D786" s="551" t="s">
        <v>857</v>
      </c>
      <c r="E786" s="240" t="s">
        <v>1277</v>
      </c>
      <c r="F786" s="212">
        <f>0</f>
        <v>0</v>
      </c>
      <c r="G786" s="552" t="s">
        <v>1125</v>
      </c>
      <c r="H786" s="66">
        <f>VLOOKUP(G786,'CP FACTORS'!$A$3:$B$38, 2, FALSE)</f>
        <v>0</v>
      </c>
      <c r="I786" s="1115">
        <f>ROUND(F786*H786,6)</f>
        <v>0</v>
      </c>
      <c r="J786" s="57">
        <f t="shared" si="149"/>
        <v>18</v>
      </c>
      <c r="K786" s="155">
        <f t="shared" si="148"/>
        <v>0</v>
      </c>
      <c r="L786" s="242"/>
      <c r="M786" s="542"/>
      <c r="N786" s="554"/>
      <c r="O786" s="403"/>
      <c r="R786" s="521"/>
      <c r="T786" s="50"/>
      <c r="U786" s="556"/>
      <c r="V786" s="1371" t="s">
        <v>45</v>
      </c>
      <c r="W786" s="923"/>
      <c r="X786" s="238"/>
      <c r="Y786" s="214"/>
      <c r="Z786" s="212"/>
      <c r="AA786" s="212"/>
      <c r="AB786" s="983"/>
      <c r="AC786" s="214"/>
      <c r="AD786" s="214">
        <v>0</v>
      </c>
      <c r="AE786" s="212">
        <v>0</v>
      </c>
      <c r="AF786" s="258">
        <f t="shared" si="143"/>
        <v>0</v>
      </c>
      <c r="AG786" s="923"/>
      <c r="AH786" s="115"/>
      <c r="AK786" s="924"/>
      <c r="DF786" s="1502" t="str">
        <f t="shared" si="144"/>
        <v>ASHP-SEER21-Replace_CAC_NonElectricHeat_ROF_SF</v>
      </c>
      <c r="DG786" s="1050"/>
      <c r="DH786" s="240" t="str">
        <f>CONCATENATE(G786," ",J786," Year EUL")</f>
        <v>Heating Res 18 Year EUL</v>
      </c>
      <c r="DI786" s="1049">
        <f>(INDEX('Avoided Cost Benefits'!$B$4:$B$866,MATCH(DH786,'Avoided Cost Benefits'!$A$4:$A$866,0)))*F786</f>
        <v>0</v>
      </c>
      <c r="DJ786" s="1952">
        <f t="shared" si="145"/>
        <v>0</v>
      </c>
      <c r="DM786" s="239"/>
    </row>
    <row r="787" spans="1:117" x14ac:dyDescent="0.25">
      <c r="A787" s="442"/>
      <c r="B787" s="1384">
        <f t="shared" ref="B787:B826" si="150">VALUE(LEFT(C787,6))</f>
        <v>353750</v>
      </c>
      <c r="C787" s="18" t="s">
        <v>1278</v>
      </c>
      <c r="D787" s="551" t="s">
        <v>686</v>
      </c>
      <c r="E787" s="202" t="s">
        <v>1279</v>
      </c>
      <c r="F787" s="212">
        <f>ROUND(((K1308*K1398*(1/K1488-1/K1578)*K1668)/1000)*$K$1719,2)</f>
        <v>2226.27</v>
      </c>
      <c r="G787" s="552" t="s">
        <v>1124</v>
      </c>
      <c r="H787" s="66">
        <f>VLOOKUP(G787,'CP FACTORS'!$A$3:$B$38, 2, FALSE)</f>
        <v>9.4741810000000004E-4</v>
      </c>
      <c r="I787" s="1115">
        <f t="shared" si="146"/>
        <v>2.1092080000000002</v>
      </c>
      <c r="J787" s="57">
        <f t="shared" si="149"/>
        <v>6</v>
      </c>
      <c r="K787" s="155">
        <f t="shared" si="148"/>
        <v>626.73442183390762</v>
      </c>
      <c r="L787" s="242">
        <f>L948</f>
        <v>2.6603692243864097</v>
      </c>
      <c r="M787" s="542"/>
      <c r="N787" s="554"/>
      <c r="O787" s="403"/>
      <c r="R787" s="521"/>
      <c r="T787" s="50"/>
      <c r="U787" s="556"/>
      <c r="V787" s="1371" t="s">
        <v>45</v>
      </c>
      <c r="W787" s="923">
        <v>2755.2411764705885</v>
      </c>
      <c r="X787" s="238">
        <v>2106.8816326530614</v>
      </c>
      <c r="Y787" s="212">
        <v>2106.88</v>
      </c>
      <c r="Z787" s="212">
        <v>2106.88</v>
      </c>
      <c r="AA787" s="212">
        <v>2106.88</v>
      </c>
      <c r="AB787" s="984">
        <v>2106.88</v>
      </c>
      <c r="AC787" s="214">
        <v>1716.58</v>
      </c>
      <c r="AD787" s="214">
        <v>2219.17</v>
      </c>
      <c r="AE787" s="214">
        <v>2277.0100000000002</v>
      </c>
      <c r="AF787" s="258">
        <f t="shared" ref="AF787:AF826" si="151">IF(F787&lt;&gt;"",F787,"")</f>
        <v>2226.27</v>
      </c>
      <c r="AG787" s="923"/>
      <c r="AH787" s="115"/>
      <c r="AK787" s="924"/>
      <c r="DF787" s="1502" t="str">
        <f t="shared" ref="DF787:DF827" si="152">E787</f>
        <v>ASHP-SEER17_ER1_SF</v>
      </c>
      <c r="DG787" s="1048">
        <f>(DI787+DI788+DI789+DI790)/(DJ787+DJ788+DJ789+DJ790)</f>
        <v>5.9568386924353147</v>
      </c>
      <c r="DH787" s="202" t="str">
        <f t="shared" si="147"/>
        <v>Cooling Res 6 Year EUL</v>
      </c>
      <c r="DI787" s="1049">
        <f>(INDEX('Avoided Cost Benefits'!$B$4:$B$866,MATCH(DH787,'Avoided Cost Benefits'!$A$4:$A$866,0)))*F787</f>
        <v>2217.026743629704</v>
      </c>
      <c r="DJ787" s="1952">
        <f t="shared" ref="DJ787:DJ826" si="153">IFERROR(K787/((1+DiscountRate)^(CurrentYear-DiscountYear)),0)</f>
        <v>626.73442183390762</v>
      </c>
      <c r="DM787" s="239"/>
    </row>
    <row r="788" spans="1:117" x14ac:dyDescent="0.25">
      <c r="A788" s="442"/>
      <c r="B788" s="1384">
        <f t="shared" si="150"/>
        <v>353750</v>
      </c>
      <c r="C788" s="18" t="s">
        <v>1278</v>
      </c>
      <c r="D788" s="551" t="s">
        <v>686</v>
      </c>
      <c r="E788" s="1323" t="s">
        <v>1279</v>
      </c>
      <c r="F788" s="212">
        <f>ROUND(((K948*K1038*(1/K1128-1/K1218)*K1668)/1000)*$K$1719,2)</f>
        <v>2214.4</v>
      </c>
      <c r="G788" s="552" t="s">
        <v>1125</v>
      </c>
      <c r="H788" s="66">
        <f>VLOOKUP(G788,'CP FACTORS'!$A$3:$B$38, 2, FALSE)</f>
        <v>0</v>
      </c>
      <c r="I788" s="1115">
        <f t="shared" si="146"/>
        <v>0</v>
      </c>
      <c r="J788" s="57">
        <f t="shared" si="149"/>
        <v>6</v>
      </c>
      <c r="K788" s="155">
        <f t="shared" si="148"/>
        <v>0</v>
      </c>
      <c r="L788" s="242"/>
      <c r="M788" s="542"/>
      <c r="N788" s="554"/>
      <c r="O788" s="403"/>
      <c r="R788" s="521"/>
      <c r="T788" s="50"/>
      <c r="U788" s="556"/>
      <c r="V788" s="1371" t="s">
        <v>45</v>
      </c>
      <c r="W788" s="923">
        <v>6249.9803405572748</v>
      </c>
      <c r="X788" s="238">
        <v>2767.3247800351946</v>
      </c>
      <c r="Y788" s="212">
        <v>2767.32</v>
      </c>
      <c r="Z788" s="212">
        <v>2767.32</v>
      </c>
      <c r="AA788" s="212">
        <v>2767.32</v>
      </c>
      <c r="AB788" s="984">
        <v>2767.32</v>
      </c>
      <c r="AC788" s="214">
        <v>2388.46</v>
      </c>
      <c r="AD788" s="214">
        <v>2439.54</v>
      </c>
      <c r="AE788" s="214">
        <v>2214.4</v>
      </c>
      <c r="AF788" s="258">
        <f t="shared" si="151"/>
        <v>2214.4</v>
      </c>
      <c r="AG788" s="923"/>
      <c r="AH788" s="115"/>
      <c r="AK788" s="924"/>
      <c r="DF788" s="1502" t="str">
        <f t="shared" si="152"/>
        <v>ASHP-SEER17_ER1_SF</v>
      </c>
      <c r="DG788" s="1052"/>
      <c r="DH788" s="1323" t="str">
        <f t="shared" si="147"/>
        <v>Heating Res 6 Year EUL</v>
      </c>
      <c r="DI788" s="1049">
        <f>(INDEX('Avoided Cost Benefits'!$B$4:$B$866,MATCH(DH788,'Avoided Cost Benefits'!$A$4:$A$866,0)))*F788</f>
        <v>593.85515827702955</v>
      </c>
      <c r="DJ788" s="1952">
        <f t="shared" si="153"/>
        <v>0</v>
      </c>
      <c r="DM788" s="239"/>
    </row>
    <row r="789" spans="1:117" x14ac:dyDescent="0.25">
      <c r="A789" s="442"/>
      <c r="B789" s="1384">
        <f t="shared" si="150"/>
        <v>353750</v>
      </c>
      <c r="C789" s="18" t="s">
        <v>1278</v>
      </c>
      <c r="D789" s="551" t="s">
        <v>686</v>
      </c>
      <c r="E789" s="1323" t="s">
        <v>1280</v>
      </c>
      <c r="F789" s="212">
        <f>ROUND(((K1309*K1399*(1/K1489-1/K1579)*K1669)/1000)*$K$1719,2)</f>
        <v>367.16</v>
      </c>
      <c r="G789" s="552" t="s">
        <v>1178</v>
      </c>
      <c r="H789" s="66">
        <f>VLOOKUP(G789,'CP FACTORS'!$A$3:$B$38, 2, FALSE)</f>
        <v>9.4741810000000004E-4</v>
      </c>
      <c r="I789" s="1115">
        <f t="shared" si="146"/>
        <v>0.347854</v>
      </c>
      <c r="J789" s="57">
        <f t="shared" si="149"/>
        <v>12</v>
      </c>
      <c r="K789" s="155">
        <f t="shared" si="148"/>
        <v>0</v>
      </c>
      <c r="L789" s="242"/>
      <c r="M789" s="542"/>
      <c r="N789" s="554"/>
      <c r="O789" s="403"/>
      <c r="R789" s="521"/>
      <c r="T789" s="50"/>
      <c r="U789" s="556"/>
      <c r="V789" s="1371" t="s">
        <v>45</v>
      </c>
      <c r="W789" s="923">
        <v>433.76974789915954</v>
      </c>
      <c r="X789" s="241">
        <v>433.76974789915954</v>
      </c>
      <c r="Y789" s="212">
        <v>433.77</v>
      </c>
      <c r="Z789" s="212">
        <v>433.77</v>
      </c>
      <c r="AA789" s="212">
        <v>433.77</v>
      </c>
      <c r="AB789" s="984">
        <v>433.77</v>
      </c>
      <c r="AC789" s="214">
        <v>399.92</v>
      </c>
      <c r="AD789" s="214">
        <v>427.89</v>
      </c>
      <c r="AE789" s="214">
        <v>283.33999999999997</v>
      </c>
      <c r="AF789" s="258">
        <f t="shared" si="151"/>
        <v>367.16</v>
      </c>
      <c r="AG789" s="923"/>
      <c r="AH789" s="115"/>
      <c r="AK789" s="924"/>
      <c r="DF789" s="1502" t="str">
        <f t="shared" si="152"/>
        <v>ASHP-SEER17_ER2_SF</v>
      </c>
      <c r="DG789" s="1052"/>
      <c r="DH789" s="1323" t="str">
        <f t="shared" si="147"/>
        <v>Cooling Res ER2 12 Year EUL</v>
      </c>
      <c r="DI789" s="1049">
        <f>(INDEX('Avoided Cost Benefits'!$B$4:$B$866,MATCH(DH789,'Avoided Cost Benefits'!$A$4:$A$866,0)))*F789</f>
        <v>475.07596177859966</v>
      </c>
      <c r="DJ789" s="1952">
        <f t="shared" si="153"/>
        <v>0</v>
      </c>
      <c r="DM789" s="239"/>
    </row>
    <row r="790" spans="1:117" x14ac:dyDescent="0.25">
      <c r="A790" s="442"/>
      <c r="B790" s="1384">
        <f t="shared" si="150"/>
        <v>353750</v>
      </c>
      <c r="C790" s="18" t="s">
        <v>1278</v>
      </c>
      <c r="D790" s="551" t="s">
        <v>686</v>
      </c>
      <c r="E790" s="1299" t="s">
        <v>1280</v>
      </c>
      <c r="F790" s="212">
        <f>ROUND(((K949*K1039*(1/K1129-1/K1219)*K1669)/1000)*$K$1719,2)</f>
        <v>1324.07</v>
      </c>
      <c r="G790" s="552" t="s">
        <v>1214</v>
      </c>
      <c r="H790" s="66">
        <f>VLOOKUP(G790,'CP FACTORS'!$A$3:$B$38, 2, FALSE)</f>
        <v>0</v>
      </c>
      <c r="I790" s="1115">
        <f t="shared" si="146"/>
        <v>0</v>
      </c>
      <c r="J790" s="57">
        <f t="shared" si="149"/>
        <v>12</v>
      </c>
      <c r="K790" s="155">
        <f t="shared" si="148"/>
        <v>0</v>
      </c>
      <c r="L790" s="242"/>
      <c r="M790" s="542"/>
      <c r="N790" s="554"/>
      <c r="O790" s="403"/>
      <c r="R790" s="521"/>
      <c r="T790" s="50"/>
      <c r="U790" s="556"/>
      <c r="V790" s="1371" t="s">
        <v>45</v>
      </c>
      <c r="W790" s="923">
        <v>1327.6421052631592</v>
      </c>
      <c r="X790" s="238">
        <v>988.62747111681745</v>
      </c>
      <c r="Y790" s="212">
        <v>988.63</v>
      </c>
      <c r="Z790" s="212">
        <v>988.63</v>
      </c>
      <c r="AA790" s="212">
        <v>988.63</v>
      </c>
      <c r="AB790" s="984">
        <v>988.63</v>
      </c>
      <c r="AC790" s="214">
        <v>809.97</v>
      </c>
      <c r="AD790" s="214">
        <v>857.63</v>
      </c>
      <c r="AE790" s="214">
        <v>509.57</v>
      </c>
      <c r="AF790" s="258">
        <f t="shared" si="151"/>
        <v>1324.07</v>
      </c>
      <c r="AG790" s="923"/>
      <c r="AH790" s="115"/>
      <c r="AK790" s="924"/>
      <c r="DF790" s="1502" t="str">
        <f t="shared" si="152"/>
        <v>ASHP-SEER17_ER2_SF</v>
      </c>
      <c r="DG790" s="1052"/>
      <c r="DH790" s="1299" t="str">
        <f t="shared" si="147"/>
        <v>Heating Res ER2 12 Year EUL</v>
      </c>
      <c r="DI790" s="1049">
        <f>(INDEX('Avoided Cost Benefits'!$B$4:$B$866,MATCH(DH790,'Avoided Cost Benefits'!$A$4:$A$866,0)))*F790</f>
        <v>447.39799017596357</v>
      </c>
      <c r="DJ790" s="1952">
        <f t="shared" si="153"/>
        <v>0</v>
      </c>
      <c r="DM790" s="239"/>
    </row>
    <row r="791" spans="1:117" x14ac:dyDescent="0.25">
      <c r="A791" s="442"/>
      <c r="B791" s="1384">
        <f t="shared" si="150"/>
        <v>353800</v>
      </c>
      <c r="C791" s="18" t="s">
        <v>1281</v>
      </c>
      <c r="D791" s="551" t="s">
        <v>686</v>
      </c>
      <c r="E791" s="202" t="s">
        <v>1282</v>
      </c>
      <c r="F791" s="212">
        <f>ROUND(((K1310*K1400*(1/K1490-1/K1580)*K1670)/1000)*$K$1719,2)</f>
        <v>363.52</v>
      </c>
      <c r="G791" s="552" t="s">
        <v>1124</v>
      </c>
      <c r="H791" s="66">
        <f>VLOOKUP(G791,'CP FACTORS'!$A$3:$B$38, 2, FALSE)</f>
        <v>9.4741810000000004E-4</v>
      </c>
      <c r="I791" s="1115">
        <f t="shared" si="146"/>
        <v>0.34440500000000002</v>
      </c>
      <c r="J791" s="57">
        <f t="shared" si="149"/>
        <v>18</v>
      </c>
      <c r="K791" s="155">
        <f t="shared" si="148"/>
        <v>630</v>
      </c>
      <c r="L791" s="242">
        <f>L950</f>
        <v>3.2119969039215692</v>
      </c>
      <c r="M791" s="542"/>
      <c r="N791" s="554"/>
      <c r="O791" s="403"/>
      <c r="R791" s="521"/>
      <c r="T791" s="50"/>
      <c r="U791" s="556"/>
      <c r="V791" s="1371" t="s">
        <v>45</v>
      </c>
      <c r="W791" s="923">
        <v>433.76974789915954</v>
      </c>
      <c r="X791" s="241">
        <v>433.76974789915954</v>
      </c>
      <c r="Y791" s="212">
        <v>433.77</v>
      </c>
      <c r="Z791" s="212">
        <v>433.77</v>
      </c>
      <c r="AA791" s="212">
        <v>433.77</v>
      </c>
      <c r="AB791" s="984">
        <v>433.77</v>
      </c>
      <c r="AC791" s="214">
        <v>612.74</v>
      </c>
      <c r="AD791" s="214">
        <v>429.65</v>
      </c>
      <c r="AE791" s="214">
        <v>270.14</v>
      </c>
      <c r="AF791" s="258">
        <f t="shared" si="151"/>
        <v>363.52</v>
      </c>
      <c r="AG791" s="923"/>
      <c r="AH791" s="115"/>
      <c r="AK791" s="924"/>
      <c r="DF791" s="1502" t="str">
        <f t="shared" si="152"/>
        <v>ASHP-SEER17_ROF_SF</v>
      </c>
      <c r="DG791" s="1048">
        <f>(DI791+DI792)/(DJ791+DJ792)</f>
        <v>2.8347654098905193</v>
      </c>
      <c r="DH791" s="202" t="str">
        <f t="shared" si="147"/>
        <v>Cooling Res 18 Year EUL</v>
      </c>
      <c r="DI791" s="1049">
        <f>(INDEX('Avoided Cost Benefits'!$B$4:$B$866,MATCH(DH791,'Avoided Cost Benefits'!$A$4:$A$866,0)))*F791</f>
        <v>832.37679039742034</v>
      </c>
      <c r="DJ791" s="1952">
        <f t="shared" si="153"/>
        <v>630</v>
      </c>
      <c r="DM791" s="239"/>
    </row>
    <row r="792" spans="1:117" x14ac:dyDescent="0.25">
      <c r="A792" s="442"/>
      <c r="B792" s="1384">
        <f t="shared" si="150"/>
        <v>353800</v>
      </c>
      <c r="C792" s="18" t="s">
        <v>1281</v>
      </c>
      <c r="D792" s="551" t="s">
        <v>686</v>
      </c>
      <c r="E792" s="240" t="s">
        <v>1282</v>
      </c>
      <c r="F792" s="212">
        <f>ROUND(((K950*K1040*(1/K1130-1/K1220)*K1670)/1000)*$K$1719,2)</f>
        <v>1573.28</v>
      </c>
      <c r="G792" s="552" t="s">
        <v>1125</v>
      </c>
      <c r="H792" s="66">
        <f>VLOOKUP(G792,'CP FACTORS'!$A$3:$B$38, 2, FALSE)</f>
        <v>0</v>
      </c>
      <c r="I792" s="1115">
        <f t="shared" si="146"/>
        <v>0</v>
      </c>
      <c r="J792" s="57">
        <f t="shared" si="149"/>
        <v>18</v>
      </c>
      <c r="K792" s="155">
        <f t="shared" si="148"/>
        <v>0</v>
      </c>
      <c r="L792" s="242"/>
      <c r="M792" s="542"/>
      <c r="N792" s="554"/>
      <c r="O792" s="403"/>
      <c r="R792" s="521"/>
      <c r="T792" s="50"/>
      <c r="U792" s="556"/>
      <c r="V792" s="1371" t="s">
        <v>45</v>
      </c>
      <c r="W792" s="923">
        <v>1584.0000000000018</v>
      </c>
      <c r="X792" s="238">
        <v>1179.5241413638641</v>
      </c>
      <c r="Y792" s="212">
        <v>1179.52</v>
      </c>
      <c r="Z792" s="212">
        <v>1179.52</v>
      </c>
      <c r="AA792" s="212">
        <v>1179.52</v>
      </c>
      <c r="AB792" s="984">
        <v>1179.52</v>
      </c>
      <c r="AC792" s="214">
        <v>1235.04</v>
      </c>
      <c r="AD792" s="214">
        <v>835.36</v>
      </c>
      <c r="AE792" s="214">
        <v>589.9</v>
      </c>
      <c r="AF792" s="258">
        <f t="shared" si="151"/>
        <v>1573.28</v>
      </c>
      <c r="AG792" s="923"/>
      <c r="AH792" s="115"/>
      <c r="AK792" s="924"/>
      <c r="DF792" s="1502" t="str">
        <f t="shared" si="152"/>
        <v>ASHP-SEER17_ROF_SF</v>
      </c>
      <c r="DG792" s="1050"/>
      <c r="DH792" s="240" t="str">
        <f t="shared" si="147"/>
        <v>Heating Res 18 Year EUL</v>
      </c>
      <c r="DI792" s="1049">
        <f>(INDEX('Avoided Cost Benefits'!$B$4:$B$866,MATCH(DH792,'Avoided Cost Benefits'!$A$4:$A$866,0)))*F792</f>
        <v>953.52541783360687</v>
      </c>
      <c r="DJ792" s="1952">
        <f t="shared" si="153"/>
        <v>0</v>
      </c>
      <c r="DM792" s="239"/>
    </row>
    <row r="793" spans="1:117" x14ac:dyDescent="0.25">
      <c r="A793" s="442"/>
      <c r="B793" s="1384">
        <f t="shared" si="150"/>
        <v>353850</v>
      </c>
      <c r="C793" s="18" t="s">
        <v>1283</v>
      </c>
      <c r="D793" s="551" t="s">
        <v>686</v>
      </c>
      <c r="E793" s="1298" t="s">
        <v>1284</v>
      </c>
      <c r="F793" s="212">
        <f>ROUND(((K1311*K1401*(1/K1491-1/K1581)*K1671)/1000)*$K$1719,2)</f>
        <v>2592.9299999999998</v>
      </c>
      <c r="G793" s="552" t="s">
        <v>1124</v>
      </c>
      <c r="H793" s="66">
        <f>VLOOKUP(G793,'CP FACTORS'!$A$3:$B$38, 2, FALSE)</f>
        <v>9.4741810000000004E-4</v>
      </c>
      <c r="I793" s="1115">
        <f t="shared" si="146"/>
        <v>2.4565890000000001</v>
      </c>
      <c r="J793" s="57">
        <f t="shared" si="149"/>
        <v>6</v>
      </c>
      <c r="K793" s="155">
        <f t="shared" si="148"/>
        <v>851.83158083659146</v>
      </c>
      <c r="L793" s="242">
        <f>L951</f>
        <v>2.8921256722608026</v>
      </c>
      <c r="M793" s="542"/>
      <c r="N793" s="554"/>
      <c r="O793" s="403"/>
      <c r="R793" s="521"/>
      <c r="T793" s="50"/>
      <c r="U793" s="556"/>
      <c r="V793" s="1371" t="s">
        <v>45</v>
      </c>
      <c r="W793" s="923">
        <v>2867.7000000000003</v>
      </c>
      <c r="X793" s="238">
        <v>2219.3404561824727</v>
      </c>
      <c r="Y793" s="212">
        <v>2219.34</v>
      </c>
      <c r="Z793" s="212">
        <v>2219.34</v>
      </c>
      <c r="AA793" s="212">
        <v>2219.34</v>
      </c>
      <c r="AB793" s="983">
        <v>2735.03</v>
      </c>
      <c r="AC793" s="214">
        <v>2063.94</v>
      </c>
      <c r="AD793" s="214">
        <v>2369.3000000000002</v>
      </c>
      <c r="AE793" s="214">
        <v>2358.35</v>
      </c>
      <c r="AF793" s="258">
        <f t="shared" si="151"/>
        <v>2592.9299999999998</v>
      </c>
      <c r="AG793" s="923"/>
      <c r="AH793" s="115"/>
      <c r="AK793" s="924"/>
      <c r="DF793" s="1502" t="str">
        <f t="shared" si="152"/>
        <v>ASHP-SEER18_ER1_SF</v>
      </c>
      <c r="DG793" s="1048">
        <f>(DI793+DI794+DI795+DI796)/(DJ793+DJ794+DJ795+DJ796)</f>
        <v>5.344669872886727</v>
      </c>
      <c r="DH793" s="1298" t="str">
        <f t="shared" si="147"/>
        <v>Cooling Res 6 Year EUL</v>
      </c>
      <c r="DI793" s="1049">
        <f>(INDEX('Avoided Cost Benefits'!$B$4:$B$866,MATCH(DH793,'Avoided Cost Benefits'!$A$4:$A$866,0)))*F793</f>
        <v>2582.1644069945551</v>
      </c>
      <c r="DJ793" s="1952">
        <f t="shared" si="153"/>
        <v>851.83158083659146</v>
      </c>
      <c r="DM793" s="239"/>
    </row>
    <row r="794" spans="1:117" x14ac:dyDescent="0.25">
      <c r="A794" s="442"/>
      <c r="B794" s="1384">
        <f t="shared" si="150"/>
        <v>353850</v>
      </c>
      <c r="C794" s="18" t="s">
        <v>1283</v>
      </c>
      <c r="D794" s="551" t="s">
        <v>686</v>
      </c>
      <c r="E794" s="1323" t="s">
        <v>1284</v>
      </c>
      <c r="F794" s="212">
        <f>ROUND(((K951*K1041*(1/K1131-1/K1221)*K1671)/1000)*$K$1719,2)</f>
        <v>2716.07</v>
      </c>
      <c r="G794" s="552" t="s">
        <v>1125</v>
      </c>
      <c r="H794" s="66">
        <f>VLOOKUP(G794,'CP FACTORS'!$A$3:$B$38, 2, FALSE)</f>
        <v>0</v>
      </c>
      <c r="I794" s="1115">
        <f t="shared" si="146"/>
        <v>0</v>
      </c>
      <c r="J794" s="57">
        <f t="shared" si="149"/>
        <v>6</v>
      </c>
      <c r="K794" s="155">
        <f t="shared" si="148"/>
        <v>0</v>
      </c>
      <c r="L794" s="242"/>
      <c r="M794" s="542"/>
      <c r="N794" s="554"/>
      <c r="O794" s="403"/>
      <c r="R794" s="521"/>
      <c r="T794" s="50"/>
      <c r="U794" s="556"/>
      <c r="V794" s="1371" t="s">
        <v>45</v>
      </c>
      <c r="W794" s="923">
        <v>6249.9803405572748</v>
      </c>
      <c r="X794" s="238">
        <v>2767.3247800351946</v>
      </c>
      <c r="Y794" s="212">
        <v>2767.32</v>
      </c>
      <c r="Z794" s="212">
        <v>2767.32</v>
      </c>
      <c r="AA794" s="212">
        <v>2767.32</v>
      </c>
      <c r="AB794" s="983">
        <v>3103.81</v>
      </c>
      <c r="AC794" s="214">
        <v>2980.4</v>
      </c>
      <c r="AD794" s="214">
        <v>2872.62</v>
      </c>
      <c r="AE794" s="214">
        <v>2716.07</v>
      </c>
      <c r="AF794" s="258">
        <f t="shared" si="151"/>
        <v>2716.07</v>
      </c>
      <c r="AG794" s="923"/>
      <c r="AH794" s="115"/>
      <c r="AK794" s="924"/>
      <c r="DF794" s="1502" t="str">
        <f t="shared" si="152"/>
        <v>ASHP-SEER18_ER1_SF</v>
      </c>
      <c r="DG794" s="1052"/>
      <c r="DH794" s="1323" t="str">
        <f t="shared" si="147"/>
        <v>Heating Res 6 Year EUL</v>
      </c>
      <c r="DI794" s="1049">
        <f>(INDEX('Avoided Cost Benefits'!$B$4:$B$866,MATCH(DH794,'Avoided Cost Benefits'!$A$4:$A$866,0)))*F794</f>
        <v>728.39242220985</v>
      </c>
      <c r="DJ794" s="1952">
        <f t="shared" si="153"/>
        <v>0</v>
      </c>
      <c r="DM794" s="239"/>
    </row>
    <row r="795" spans="1:117" x14ac:dyDescent="0.25">
      <c r="A795" s="442"/>
      <c r="B795" s="1384">
        <f t="shared" si="150"/>
        <v>353850</v>
      </c>
      <c r="C795" s="18" t="s">
        <v>1283</v>
      </c>
      <c r="D795" s="551" t="s">
        <v>686</v>
      </c>
      <c r="E795" s="1323" t="s">
        <v>1285</v>
      </c>
      <c r="F795" s="1001">
        <f>ROUND(((K1312*K1402*(1/K1492-1/K1582)*K1672)/1000)*$K$1719,2)</f>
        <v>503.51</v>
      </c>
      <c r="G795" s="552" t="s">
        <v>1178</v>
      </c>
      <c r="H795" s="66">
        <f>VLOOKUP(G795,'CP FACTORS'!$A$3:$B$38, 2, FALSE)</f>
        <v>9.4741810000000004E-4</v>
      </c>
      <c r="I795" s="1201">
        <f t="shared" si="146"/>
        <v>0.47703400000000001</v>
      </c>
      <c r="J795" s="57">
        <f t="shared" si="149"/>
        <v>12</v>
      </c>
      <c r="K795" s="155">
        <f t="shared" si="148"/>
        <v>0</v>
      </c>
      <c r="L795" s="242"/>
      <c r="M795" s="542"/>
      <c r="N795" s="554"/>
      <c r="O795" s="403"/>
      <c r="R795" s="521"/>
      <c r="T795" s="50"/>
      <c r="U795" s="556"/>
      <c r="V795" s="1371" t="s">
        <v>45</v>
      </c>
      <c r="W795" s="923">
        <v>546.2285714285714</v>
      </c>
      <c r="X795" s="241">
        <v>546.2285714285714</v>
      </c>
      <c r="Y795" s="212">
        <v>546.23</v>
      </c>
      <c r="Z795" s="212">
        <v>546.23</v>
      </c>
      <c r="AA795" s="212">
        <v>546.23</v>
      </c>
      <c r="AB795" s="983">
        <v>695.03</v>
      </c>
      <c r="AC795" s="214">
        <v>523.08000000000004</v>
      </c>
      <c r="AD795" s="214">
        <v>526.57000000000005</v>
      </c>
      <c r="AE795" s="901">
        <v>373.05</v>
      </c>
      <c r="AF795" s="258">
        <f t="shared" si="151"/>
        <v>503.51</v>
      </c>
      <c r="AG795" s="923"/>
      <c r="AH795" s="115"/>
      <c r="AK795" s="924"/>
      <c r="DF795" s="1502" t="str">
        <f t="shared" si="152"/>
        <v>ASHP-SEER18_ER2_SF</v>
      </c>
      <c r="DG795" s="1052"/>
      <c r="DH795" s="1323" t="str">
        <f t="shared" si="147"/>
        <v>Cooling Res ER2 12 Year EUL</v>
      </c>
      <c r="DI795" s="1049">
        <f>(INDEX('Avoided Cost Benefits'!$B$4:$B$866,MATCH(DH795,'Avoided Cost Benefits'!$A$4:$A$866,0)))*F795</f>
        <v>651.50206317448169</v>
      </c>
      <c r="DJ795" s="1952">
        <f t="shared" si="153"/>
        <v>0</v>
      </c>
      <c r="DM795" s="239"/>
    </row>
    <row r="796" spans="1:117" x14ac:dyDescent="0.25">
      <c r="A796" s="442"/>
      <c r="B796" s="1384">
        <f t="shared" si="150"/>
        <v>353850</v>
      </c>
      <c r="C796" s="18" t="s">
        <v>1283</v>
      </c>
      <c r="D796" s="551" t="s">
        <v>686</v>
      </c>
      <c r="E796" s="1299" t="s">
        <v>1285</v>
      </c>
      <c r="F796" s="1001">
        <f xml:space="preserve"> ROUND(((K952*K1042*(1/K1132-1/K1222)*K1672)/1000)*$K$1719,2)</f>
        <v>1748.17</v>
      </c>
      <c r="G796" s="552" t="s">
        <v>1214</v>
      </c>
      <c r="H796" s="66">
        <f>VLOOKUP(G796,'CP FACTORS'!$A$3:$B$38, 2, FALSE)</f>
        <v>0</v>
      </c>
      <c r="I796" s="1201">
        <f t="shared" si="146"/>
        <v>0</v>
      </c>
      <c r="J796" s="57">
        <f t="shared" si="149"/>
        <v>12</v>
      </c>
      <c r="K796" s="155">
        <f t="shared" si="148"/>
        <v>0</v>
      </c>
      <c r="L796" s="242"/>
      <c r="M796" s="542"/>
      <c r="N796" s="554"/>
      <c r="O796" s="403"/>
      <c r="R796" s="521"/>
      <c r="T796" s="50"/>
      <c r="U796" s="556"/>
      <c r="V796" s="1371" t="s">
        <v>45</v>
      </c>
      <c r="W796" s="923">
        <v>1327.6421052631592</v>
      </c>
      <c r="X796" s="238">
        <v>988.62747111681745</v>
      </c>
      <c r="Y796" s="212">
        <v>988.63</v>
      </c>
      <c r="Z796" s="212">
        <v>988.63</v>
      </c>
      <c r="AA796" s="212">
        <v>988.63</v>
      </c>
      <c r="AB796" s="983">
        <v>1190.3599999999999</v>
      </c>
      <c r="AC796" s="214">
        <v>1250.1300000000001</v>
      </c>
      <c r="AD796" s="214">
        <v>1251.58</v>
      </c>
      <c r="AE796" s="901">
        <v>862.73</v>
      </c>
      <c r="AF796" s="258">
        <f t="shared" si="151"/>
        <v>1748.17</v>
      </c>
      <c r="AG796" s="923"/>
      <c r="AH796" s="115"/>
      <c r="AK796" s="924"/>
      <c r="DF796" s="1502" t="str">
        <f t="shared" si="152"/>
        <v>ASHP-SEER18_ER2_SF</v>
      </c>
      <c r="DG796" s="1052"/>
      <c r="DH796" s="1299" t="str">
        <f t="shared" si="147"/>
        <v>Heating Res ER2 12 Year EUL</v>
      </c>
      <c r="DI796" s="1049">
        <f>(INDEX('Avoided Cost Benefits'!$B$4:$B$866,MATCH(DH796,'Avoided Cost Benefits'!$A$4:$A$866,0)))*F796</f>
        <v>590.69969449191831</v>
      </c>
      <c r="DJ796" s="1952">
        <f t="shared" si="153"/>
        <v>0</v>
      </c>
      <c r="DM796" s="239"/>
    </row>
    <row r="797" spans="1:117" x14ac:dyDescent="0.25">
      <c r="A797" s="442"/>
      <c r="B797" s="1384">
        <f t="shared" si="150"/>
        <v>353950</v>
      </c>
      <c r="C797" s="18" t="s">
        <v>1286</v>
      </c>
      <c r="D797" s="551" t="s">
        <v>686</v>
      </c>
      <c r="E797" s="202" t="s">
        <v>1287</v>
      </c>
      <c r="F797" s="212">
        <f>ROUND(((K1313*K1403*(1/K1493-1/K1583)*K1673)/1000)*$K$1719,2)</f>
        <v>528.75</v>
      </c>
      <c r="G797" s="552" t="s">
        <v>1124</v>
      </c>
      <c r="H797" s="66">
        <f>VLOOKUP(G797,'CP FACTORS'!$A$3:$B$38, 2, FALSE)</f>
        <v>9.4741810000000004E-4</v>
      </c>
      <c r="I797" s="1115">
        <f t="shared" si="146"/>
        <v>0.50094700000000003</v>
      </c>
      <c r="J797" s="57">
        <f t="shared" si="149"/>
        <v>18</v>
      </c>
      <c r="K797" s="155">
        <f t="shared" si="148"/>
        <v>855</v>
      </c>
      <c r="L797" s="242">
        <f>L953</f>
        <v>3.0020370366666667</v>
      </c>
      <c r="M797" s="542"/>
      <c r="N797" s="554"/>
      <c r="O797" s="403"/>
      <c r="R797" s="521"/>
      <c r="T797" s="50"/>
      <c r="U797" s="556"/>
      <c r="V797" s="1371" t="s">
        <v>45</v>
      </c>
      <c r="W797" s="923">
        <v>546.2285714285714</v>
      </c>
      <c r="X797" s="241">
        <v>546.2285714285714</v>
      </c>
      <c r="Y797" s="212">
        <v>546.23</v>
      </c>
      <c r="Z797" s="212">
        <v>546.23</v>
      </c>
      <c r="AA797" s="212">
        <v>546.23</v>
      </c>
      <c r="AB797" s="984">
        <v>546.23</v>
      </c>
      <c r="AC797" s="214">
        <v>591.21</v>
      </c>
      <c r="AD797" s="214">
        <v>521.92999999999995</v>
      </c>
      <c r="AE797" s="214">
        <v>348.14</v>
      </c>
      <c r="AF797" s="258">
        <f t="shared" si="151"/>
        <v>528.75</v>
      </c>
      <c r="AG797" s="923"/>
      <c r="AH797" s="115"/>
      <c r="AK797" s="924"/>
      <c r="DF797" s="1502" t="str">
        <f t="shared" si="152"/>
        <v>ASHP-SEER18_ROF_SF</v>
      </c>
      <c r="DG797" s="1048">
        <f>(DI797+DI798)/(DJ797+DJ798)</f>
        <v>2.6491873821324181</v>
      </c>
      <c r="DH797" s="202" t="str">
        <f t="shared" si="147"/>
        <v>Cooling Res 18 Year EUL</v>
      </c>
      <c r="DI797" s="1049">
        <f>(INDEX('Avoided Cost Benefits'!$B$4:$B$866,MATCH(DH797,'Avoided Cost Benefits'!$A$4:$A$866,0)))*F797</f>
        <v>1210.7153056850684</v>
      </c>
      <c r="DJ797" s="1952">
        <f t="shared" si="153"/>
        <v>855</v>
      </c>
      <c r="DM797" s="239"/>
    </row>
    <row r="798" spans="1:117" x14ac:dyDescent="0.25">
      <c r="A798" s="442"/>
      <c r="B798" s="1384">
        <f t="shared" si="150"/>
        <v>353950</v>
      </c>
      <c r="C798" s="18" t="s">
        <v>1286</v>
      </c>
      <c r="D798" s="551" t="s">
        <v>686</v>
      </c>
      <c r="E798" s="240" t="s">
        <v>1287</v>
      </c>
      <c r="F798" s="212">
        <f>ROUND(((K953*K1043*(1/K1133-1/K1223)*K1673)/1000)*$K$1719,2)</f>
        <v>1739.62</v>
      </c>
      <c r="G798" s="552" t="s">
        <v>1125</v>
      </c>
      <c r="H798" s="66">
        <f>VLOOKUP(G798,'CP FACTORS'!$A$3:$B$38, 2, FALSE)</f>
        <v>0</v>
      </c>
      <c r="I798" s="1115">
        <f t="shared" si="146"/>
        <v>0</v>
      </c>
      <c r="J798" s="57">
        <f t="shared" si="149"/>
        <v>18</v>
      </c>
      <c r="K798" s="155">
        <f t="shared" si="148"/>
        <v>0</v>
      </c>
      <c r="L798" s="242"/>
      <c r="M798" s="542"/>
      <c r="N798" s="554"/>
      <c r="O798" s="403"/>
      <c r="R798" s="521"/>
      <c r="T798" s="50"/>
      <c r="U798" s="556"/>
      <c r="V798" s="1371" t="s">
        <v>45</v>
      </c>
      <c r="W798" s="923">
        <v>1584.0000000000018</v>
      </c>
      <c r="X798" s="238">
        <v>1179.5241413638641</v>
      </c>
      <c r="Y798" s="212">
        <v>1179.52</v>
      </c>
      <c r="Z798" s="212">
        <v>1179.52</v>
      </c>
      <c r="AA798" s="212">
        <v>1179.52</v>
      </c>
      <c r="AB798" s="984">
        <v>1179.52</v>
      </c>
      <c r="AC798" s="214">
        <v>1676.32</v>
      </c>
      <c r="AD798" s="214">
        <v>1313.04</v>
      </c>
      <c r="AE798" s="214">
        <v>820.53</v>
      </c>
      <c r="AF798" s="258">
        <f t="shared" si="151"/>
        <v>1739.62</v>
      </c>
      <c r="AG798" s="923"/>
      <c r="AH798" s="115"/>
      <c r="AK798" s="924"/>
      <c r="DF798" s="1502" t="str">
        <f t="shared" si="152"/>
        <v>ASHP-SEER18_ROF_SF</v>
      </c>
      <c r="DG798" s="1050"/>
      <c r="DH798" s="240" t="str">
        <f t="shared" si="147"/>
        <v>Heating Res 18 Year EUL</v>
      </c>
      <c r="DI798" s="1049">
        <f>(INDEX('Avoided Cost Benefits'!$B$4:$B$866,MATCH(DH798,'Avoided Cost Benefits'!$A$4:$A$866,0)))*F798</f>
        <v>1054.3399060381489</v>
      </c>
      <c r="DJ798" s="1952">
        <f t="shared" si="153"/>
        <v>0</v>
      </c>
      <c r="DM798" s="239"/>
    </row>
    <row r="799" spans="1:117" x14ac:dyDescent="0.25">
      <c r="A799" s="442"/>
      <c r="B799" s="1384">
        <f t="shared" si="150"/>
        <v>354000</v>
      </c>
      <c r="C799" s="18" t="s">
        <v>1288</v>
      </c>
      <c r="D799" s="551" t="s">
        <v>686</v>
      </c>
      <c r="E799" s="1298" t="s">
        <v>1289</v>
      </c>
      <c r="F799" s="212">
        <f>ROUND(((K1314*K1404*(1/K1494-1/K1584)*K1674)/1000)*$K$1719,2)</f>
        <v>2563.17</v>
      </c>
      <c r="G799" s="552" t="s">
        <v>1124</v>
      </c>
      <c r="H799" s="66">
        <f>VLOOKUP(G799,'CP FACTORS'!$A$3:$B$38, 2, FALSE)</f>
        <v>9.4741810000000004E-4</v>
      </c>
      <c r="I799" s="1115">
        <f t="shared" si="146"/>
        <v>2.4283939999999999</v>
      </c>
      <c r="J799" s="57">
        <f t="shared" si="149"/>
        <v>6</v>
      </c>
      <c r="K799" s="155">
        <f t="shared" si="148"/>
        <v>1078.2009195105929</v>
      </c>
      <c r="L799" s="242">
        <f>L954</f>
        <v>3.7731209149509803</v>
      </c>
      <c r="M799" s="542"/>
      <c r="N799" s="554"/>
      <c r="O799" s="403"/>
      <c r="R799" s="521"/>
      <c r="T799" s="50"/>
      <c r="U799" s="556"/>
      <c r="V799" s="1371" t="s">
        <v>45</v>
      </c>
      <c r="W799" s="923">
        <v>2968.3210526315793</v>
      </c>
      <c r="X799" s="238">
        <v>2319.9615088140517</v>
      </c>
      <c r="Y799" s="212">
        <v>2319.96</v>
      </c>
      <c r="Z799" s="212">
        <v>2319.96</v>
      </c>
      <c r="AA799" s="212">
        <v>2319.96</v>
      </c>
      <c r="AB799" s="984">
        <v>2319.96</v>
      </c>
      <c r="AC799" s="214">
        <v>2424.9299999999998</v>
      </c>
      <c r="AD799" s="214">
        <v>3279.13</v>
      </c>
      <c r="AE799" s="214">
        <v>2673.03</v>
      </c>
      <c r="AF799" s="258">
        <f t="shared" si="151"/>
        <v>2563.17</v>
      </c>
      <c r="AG799" s="923"/>
      <c r="AH799" s="115"/>
      <c r="AK799" s="924"/>
      <c r="DF799" s="1502" t="str">
        <f t="shared" si="152"/>
        <v>ASHP-SEER19_ER1_SF</v>
      </c>
      <c r="DG799" s="1048">
        <f>(DI799+DI800+DI801+DI802)/(DJ799+DJ800+DJ801+DJ802)</f>
        <v>4.7822089628938134</v>
      </c>
      <c r="DH799" s="1298" t="str">
        <f t="shared" si="147"/>
        <v>Cooling Res 6 Year EUL</v>
      </c>
      <c r="DI799" s="1049">
        <f>(INDEX('Avoided Cost Benefits'!$B$4:$B$866,MATCH(DH799,'Avoided Cost Benefits'!$A$4:$A$866,0)))*F799</f>
        <v>2552.5279676181904</v>
      </c>
      <c r="DJ799" s="1952">
        <f t="shared" si="153"/>
        <v>1078.2009195105929</v>
      </c>
      <c r="DM799" s="239"/>
    </row>
    <row r="800" spans="1:117" x14ac:dyDescent="0.25">
      <c r="A800" s="442"/>
      <c r="B800" s="1384">
        <f t="shared" si="150"/>
        <v>354000</v>
      </c>
      <c r="C800" s="18" t="s">
        <v>1288</v>
      </c>
      <c r="D800" s="551" t="s">
        <v>686</v>
      </c>
      <c r="E800" s="1323" t="s">
        <v>1289</v>
      </c>
      <c r="F800" s="212">
        <f>ROUND(((K954*K1044*(1/K1134-1/K1224)*K1674)/1000)*$K$1719,2)</f>
        <v>3575.55</v>
      </c>
      <c r="G800" s="552" t="s">
        <v>1125</v>
      </c>
      <c r="H800" s="66">
        <f>VLOOKUP(G800,'CP FACTORS'!$A$3:$B$38, 2, FALSE)</f>
        <v>0</v>
      </c>
      <c r="I800" s="1115">
        <f t="shared" si="146"/>
        <v>0</v>
      </c>
      <c r="J800" s="57">
        <f t="shared" si="149"/>
        <v>6</v>
      </c>
      <c r="K800" s="155">
        <f t="shared" si="148"/>
        <v>0</v>
      </c>
      <c r="L800" s="242"/>
      <c r="M800" s="542"/>
      <c r="N800" s="554"/>
      <c r="O800" s="403"/>
      <c r="R800" s="521"/>
      <c r="T800" s="50"/>
      <c r="U800" s="556"/>
      <c r="V800" s="1371" t="s">
        <v>45</v>
      </c>
      <c r="W800" s="923">
        <v>6249.9803405572748</v>
      </c>
      <c r="X800" s="238">
        <v>2767.3247800351946</v>
      </c>
      <c r="Y800" s="212">
        <v>2767.32</v>
      </c>
      <c r="Z800" s="212">
        <v>2767.32</v>
      </c>
      <c r="AA800" s="212">
        <v>2767.32</v>
      </c>
      <c r="AB800" s="984">
        <v>2767.32</v>
      </c>
      <c r="AC800" s="214">
        <v>3760.88</v>
      </c>
      <c r="AD800" s="214">
        <v>3393.01</v>
      </c>
      <c r="AE800" s="214">
        <v>3575.55</v>
      </c>
      <c r="AF800" s="258">
        <f t="shared" si="151"/>
        <v>3575.55</v>
      </c>
      <c r="AG800" s="923"/>
      <c r="AH800" s="115"/>
      <c r="AK800" s="924"/>
      <c r="DF800" s="1502" t="str">
        <f t="shared" si="152"/>
        <v>ASHP-SEER19_ER1_SF</v>
      </c>
      <c r="DG800" s="1052"/>
      <c r="DH800" s="1323" t="str">
        <f t="shared" si="147"/>
        <v>Heating Res 6 Year EUL</v>
      </c>
      <c r="DI800" s="1049">
        <f>(INDEX('Avoided Cost Benefits'!$B$4:$B$866,MATCH(DH800,'Avoided Cost Benefits'!$A$4:$A$866,0)))*F800</f>
        <v>958.88674637709232</v>
      </c>
      <c r="DJ800" s="1952">
        <f t="shared" si="153"/>
        <v>0</v>
      </c>
      <c r="DM800" s="239"/>
    </row>
    <row r="801" spans="1:117" x14ac:dyDescent="0.25">
      <c r="A801" s="442"/>
      <c r="B801" s="1384">
        <f t="shared" si="150"/>
        <v>354000</v>
      </c>
      <c r="C801" s="18" t="s">
        <v>1288</v>
      </c>
      <c r="D801" s="551" t="s">
        <v>686</v>
      </c>
      <c r="E801" s="1323" t="s">
        <v>1290</v>
      </c>
      <c r="F801" s="212">
        <f>ROUND(((K1315*K1405*(1/K1495-1/K1585)*K1675)/1000)*$K$1719,2)</f>
        <v>667.18</v>
      </c>
      <c r="G801" s="552" t="s">
        <v>1178</v>
      </c>
      <c r="H801" s="66">
        <f>VLOOKUP(G801,'CP FACTORS'!$A$3:$B$38, 2, FALSE)</f>
        <v>9.4741810000000004E-4</v>
      </c>
      <c r="I801" s="1115">
        <f t="shared" si="146"/>
        <v>0.63209800000000005</v>
      </c>
      <c r="J801" s="57">
        <f t="shared" si="149"/>
        <v>12</v>
      </c>
      <c r="K801" s="155">
        <f t="shared" si="148"/>
        <v>0</v>
      </c>
      <c r="L801" s="242"/>
      <c r="M801" s="542"/>
      <c r="N801" s="554"/>
      <c r="O801" s="403"/>
      <c r="R801" s="521"/>
      <c r="T801" s="50"/>
      <c r="U801" s="556"/>
      <c r="V801" s="1371" t="s">
        <v>45</v>
      </c>
      <c r="W801" s="923">
        <v>646.8496240601504</v>
      </c>
      <c r="X801" s="241">
        <v>646.8496240601504</v>
      </c>
      <c r="Y801" s="212">
        <v>646.85</v>
      </c>
      <c r="Z801" s="212">
        <v>646.85</v>
      </c>
      <c r="AA801" s="212">
        <v>646.85</v>
      </c>
      <c r="AB801" s="984">
        <v>646.85</v>
      </c>
      <c r="AC801" s="214">
        <v>795.55</v>
      </c>
      <c r="AD801" s="214">
        <v>816.88</v>
      </c>
      <c r="AE801" s="214">
        <v>548.35</v>
      </c>
      <c r="AF801" s="258">
        <f t="shared" si="151"/>
        <v>667.18</v>
      </c>
      <c r="AG801" s="923"/>
      <c r="AH801" s="115"/>
      <c r="AK801" s="924"/>
      <c r="DF801" s="1502" t="str">
        <f t="shared" si="152"/>
        <v>ASHP-SEER19_ER2_SF</v>
      </c>
      <c r="DG801" s="1052"/>
      <c r="DH801" s="1323" t="str">
        <f t="shared" si="147"/>
        <v>Cooling Res ER2 12 Year EUL</v>
      </c>
      <c r="DI801" s="1049">
        <f>(INDEX('Avoided Cost Benefits'!$B$4:$B$866,MATCH(DH801,'Avoided Cost Benefits'!$A$4:$A$866,0)))*F801</f>
        <v>863.27808088965594</v>
      </c>
      <c r="DJ801" s="1952">
        <f t="shared" si="153"/>
        <v>0</v>
      </c>
      <c r="DM801" s="239"/>
    </row>
    <row r="802" spans="1:117" x14ac:dyDescent="0.25">
      <c r="A802" s="442"/>
      <c r="B802" s="1384">
        <f t="shared" si="150"/>
        <v>354000</v>
      </c>
      <c r="C802" s="18" t="s">
        <v>1288</v>
      </c>
      <c r="D802" s="551" t="s">
        <v>686</v>
      </c>
      <c r="E802" s="1299" t="s">
        <v>1290</v>
      </c>
      <c r="F802" s="212">
        <f>ROUND(((K955*K1045*(1/K1135-1/K1225)*K1675)/1000)*$K$1719,2)</f>
        <v>2312.81</v>
      </c>
      <c r="G802" s="552" t="s">
        <v>1214</v>
      </c>
      <c r="H802" s="66">
        <f>VLOOKUP(G802,'CP FACTORS'!$A$3:$B$38, 2, FALSE)</f>
        <v>0</v>
      </c>
      <c r="I802" s="1115">
        <f t="shared" si="146"/>
        <v>0</v>
      </c>
      <c r="J802" s="57">
        <f t="shared" si="149"/>
        <v>12</v>
      </c>
      <c r="K802" s="155">
        <f t="shared" si="148"/>
        <v>0</v>
      </c>
      <c r="L802" s="242"/>
      <c r="M802" s="542"/>
      <c r="N802" s="554"/>
      <c r="O802" s="403"/>
      <c r="R802" s="521"/>
      <c r="T802" s="50"/>
      <c r="U802" s="556"/>
      <c r="V802" s="1371" t="s">
        <v>45</v>
      </c>
      <c r="W802" s="923">
        <v>1327.6421052631592</v>
      </c>
      <c r="X802" s="238">
        <v>988.62747111681745</v>
      </c>
      <c r="Y802" s="212">
        <v>988.63</v>
      </c>
      <c r="Z802" s="212">
        <v>988.63</v>
      </c>
      <c r="AA802" s="212">
        <v>988.63</v>
      </c>
      <c r="AB802" s="984">
        <v>988.63</v>
      </c>
      <c r="AC802" s="214">
        <v>1604.88</v>
      </c>
      <c r="AD802" s="214">
        <v>1359.3</v>
      </c>
      <c r="AE802" s="214">
        <v>1157.6300000000001</v>
      </c>
      <c r="AF802" s="258">
        <f t="shared" si="151"/>
        <v>2312.81</v>
      </c>
      <c r="AG802" s="923"/>
      <c r="AH802" s="115"/>
      <c r="AK802" s="924"/>
      <c r="DF802" s="1502" t="str">
        <f t="shared" si="152"/>
        <v>ASHP-SEER19_ER2_SF</v>
      </c>
      <c r="DG802" s="1052"/>
      <c r="DH802" s="1299" t="str">
        <f t="shared" si="147"/>
        <v>Heating Res ER2 12 Year EUL</v>
      </c>
      <c r="DI802" s="1049">
        <f>(INDEX('Avoided Cost Benefits'!$B$4:$B$866,MATCH(DH802,'Avoided Cost Benefits'!$A$4:$A$866,0)))*F802</f>
        <v>781.4893061989701</v>
      </c>
      <c r="DJ802" s="1952">
        <f t="shared" si="153"/>
        <v>0</v>
      </c>
      <c r="DM802" s="239"/>
    </row>
    <row r="803" spans="1:117" x14ac:dyDescent="0.25">
      <c r="A803" s="442"/>
      <c r="B803" s="1384">
        <f t="shared" si="150"/>
        <v>354050</v>
      </c>
      <c r="C803" s="18" t="s">
        <v>1291</v>
      </c>
      <c r="D803" s="551" t="s">
        <v>686</v>
      </c>
      <c r="E803" s="202" t="s">
        <v>1292</v>
      </c>
      <c r="F803" s="212">
        <f>ROUND(((K1316*K1406*(1/K1496-1/K1586)*K1676)/1000)*$K$1719,2)</f>
        <v>665.33</v>
      </c>
      <c r="G803" s="552" t="s">
        <v>1124</v>
      </c>
      <c r="H803" s="66">
        <f>VLOOKUP(G803,'CP FACTORS'!$A$3:$B$38, 2, FALSE)</f>
        <v>9.4741810000000004E-4</v>
      </c>
      <c r="I803" s="1115">
        <f t="shared" si="146"/>
        <v>0.63034599999999996</v>
      </c>
      <c r="J803" s="57">
        <f t="shared" si="149"/>
        <v>18</v>
      </c>
      <c r="K803" s="155">
        <f t="shared" si="148"/>
        <v>1081</v>
      </c>
      <c r="L803" s="242">
        <f>L956</f>
        <v>2.9920329673076922</v>
      </c>
      <c r="M803" s="542"/>
      <c r="N803" s="554"/>
      <c r="O803" s="403"/>
      <c r="R803" s="521"/>
      <c r="T803" s="50"/>
      <c r="U803" s="556"/>
      <c r="V803" s="1371" t="s">
        <v>45</v>
      </c>
      <c r="W803" s="923">
        <v>646.8496240601504</v>
      </c>
      <c r="X803" s="241">
        <v>646.8496240601504</v>
      </c>
      <c r="Y803" s="212">
        <v>646.85</v>
      </c>
      <c r="Z803" s="212">
        <v>646.85</v>
      </c>
      <c r="AA803" s="212">
        <v>646.85</v>
      </c>
      <c r="AB803" s="984">
        <v>646.85</v>
      </c>
      <c r="AC803" s="214">
        <v>428.97</v>
      </c>
      <c r="AD803" s="214">
        <v>699.07</v>
      </c>
      <c r="AE803" s="214">
        <v>529.09</v>
      </c>
      <c r="AF803" s="258">
        <f t="shared" si="151"/>
        <v>665.33</v>
      </c>
      <c r="AG803" s="923"/>
      <c r="AH803" s="115"/>
      <c r="AK803" s="924"/>
      <c r="DF803" s="1502" t="str">
        <f t="shared" si="152"/>
        <v>ASHP-SEER19_ROF_SF</v>
      </c>
      <c r="DG803" s="1048">
        <f>(DI803+DI804)/(DJ803+DJ804)</f>
        <v>2.4474752226128209</v>
      </c>
      <c r="DH803" s="202" t="str">
        <f t="shared" si="147"/>
        <v>Cooling Res 18 Year EUL</v>
      </c>
      <c r="DI803" s="1049">
        <f>(INDEX('Avoided Cost Benefits'!$B$4:$B$866,MATCH(DH803,'Avoided Cost Benefits'!$A$4:$A$866,0)))*F803</f>
        <v>1523.4519419980077</v>
      </c>
      <c r="DJ803" s="1952">
        <f t="shared" si="153"/>
        <v>1081</v>
      </c>
      <c r="DM803" s="239"/>
    </row>
    <row r="804" spans="1:117" x14ac:dyDescent="0.25">
      <c r="A804" s="442"/>
      <c r="B804" s="1384">
        <f t="shared" si="150"/>
        <v>354050</v>
      </c>
      <c r="C804" s="18" t="s">
        <v>1291</v>
      </c>
      <c r="D804" s="551" t="s">
        <v>686</v>
      </c>
      <c r="E804" s="240" t="s">
        <v>1292</v>
      </c>
      <c r="F804" s="212">
        <f>ROUND(((K956*K1046*(1/K1136-1/K1226)*K1676)/1000)*$K$1719,2)</f>
        <v>1851.7</v>
      </c>
      <c r="G804" s="552" t="s">
        <v>1125</v>
      </c>
      <c r="H804" s="66">
        <f>VLOOKUP(G804,'CP FACTORS'!$A$3:$B$38, 2, FALSE)</f>
        <v>0</v>
      </c>
      <c r="I804" s="1115">
        <f t="shared" si="146"/>
        <v>0</v>
      </c>
      <c r="J804" s="57">
        <f t="shared" si="149"/>
        <v>18</v>
      </c>
      <c r="K804" s="155">
        <f t="shared" si="148"/>
        <v>0</v>
      </c>
      <c r="L804" s="242"/>
      <c r="M804" s="542"/>
      <c r="N804" s="554"/>
      <c r="O804" s="403"/>
      <c r="R804" s="521"/>
      <c r="T804" s="50"/>
      <c r="U804" s="556"/>
      <c r="V804" s="1371" t="s">
        <v>45</v>
      </c>
      <c r="W804" s="923">
        <v>1584.0000000000018</v>
      </c>
      <c r="X804" s="238">
        <v>1179.5241413638641</v>
      </c>
      <c r="Y804" s="212">
        <v>1179.52</v>
      </c>
      <c r="Z804" s="212">
        <v>1179.52</v>
      </c>
      <c r="AA804" s="212">
        <v>1179.52</v>
      </c>
      <c r="AB804" s="984">
        <v>1179.52</v>
      </c>
      <c r="AC804" s="214">
        <v>1045.1500000000001</v>
      </c>
      <c r="AD804" s="214">
        <v>1240.33</v>
      </c>
      <c r="AE804" s="214">
        <v>935.67</v>
      </c>
      <c r="AF804" s="258">
        <f t="shared" si="151"/>
        <v>1851.7</v>
      </c>
      <c r="AG804" s="923"/>
      <c r="AH804" s="115"/>
      <c r="AK804" s="924"/>
      <c r="DF804" s="1502" t="str">
        <f t="shared" si="152"/>
        <v>ASHP-SEER19_ROF_SF</v>
      </c>
      <c r="DG804" s="1050"/>
      <c r="DH804" s="240" t="str">
        <f t="shared" si="147"/>
        <v>Heating Res 18 Year EUL</v>
      </c>
      <c r="DI804" s="1049">
        <f>(INDEX('Avoided Cost Benefits'!$B$4:$B$866,MATCH(DH804,'Avoided Cost Benefits'!$A$4:$A$866,0)))*F804</f>
        <v>1122.2687736464518</v>
      </c>
      <c r="DJ804" s="1952">
        <f t="shared" si="153"/>
        <v>0</v>
      </c>
      <c r="DM804" s="239"/>
    </row>
    <row r="805" spans="1:117" x14ac:dyDescent="0.25">
      <c r="A805" s="442"/>
      <c r="B805" s="1384">
        <f t="shared" si="150"/>
        <v>354100</v>
      </c>
      <c r="C805" s="18" t="s">
        <v>1293</v>
      </c>
      <c r="D805" s="551" t="s">
        <v>686</v>
      </c>
      <c r="E805" s="1298" t="s">
        <v>1294</v>
      </c>
      <c r="F805" s="212">
        <f>ROUND(((K1317*K1407*(1/K1497-1/K1587)*K1677)/1000)*$K$1719,2)</f>
        <v>2226.27</v>
      </c>
      <c r="G805" s="552" t="s">
        <v>1124</v>
      </c>
      <c r="H805" s="66">
        <f>VLOOKUP(G805,'CP FACTORS'!$A$3:$B$38, 2, FALSE)</f>
        <v>9.4741810000000004E-4</v>
      </c>
      <c r="I805" s="1115">
        <f t="shared" si="146"/>
        <v>2.1092080000000002</v>
      </c>
      <c r="J805" s="57">
        <f t="shared" si="149"/>
        <v>6</v>
      </c>
      <c r="K805" s="155">
        <f t="shared" ref="K805:K836" si="154">IF(C805&lt;&gt;C804,VLOOKUP(C805,$J$1900:$K$2097,2,FALSE),0)</f>
        <v>3783.9531661870506</v>
      </c>
      <c r="L805" s="242">
        <f>L957</f>
        <v>2.6603692243864097</v>
      </c>
      <c r="M805" s="542"/>
      <c r="N805" s="554"/>
      <c r="O805" s="403"/>
      <c r="R805" s="521"/>
      <c r="T805" s="50"/>
      <c r="U805" s="556"/>
      <c r="V805" s="1371" t="s">
        <v>45</v>
      </c>
      <c r="W805" s="923">
        <v>2852.3647058823531</v>
      </c>
      <c r="X805" s="238">
        <v>1979.1918367346937</v>
      </c>
      <c r="Y805" s="212">
        <v>1979.19</v>
      </c>
      <c r="Z805" s="212">
        <v>1979.19</v>
      </c>
      <c r="AA805" s="212">
        <v>1979.19</v>
      </c>
      <c r="AB805" s="984">
        <v>1979.19</v>
      </c>
      <c r="AC805" s="214">
        <v>1948.61</v>
      </c>
      <c r="AD805" s="214">
        <v>2219.17</v>
      </c>
      <c r="AE805" s="214">
        <v>2277.0100000000002</v>
      </c>
      <c r="AF805" s="258">
        <f t="shared" si="151"/>
        <v>2226.27</v>
      </c>
      <c r="AG805" s="923"/>
      <c r="AH805" s="115"/>
      <c r="AK805" s="924"/>
      <c r="DF805" s="1502" t="str">
        <f t="shared" si="152"/>
        <v>ASHP-SEER17-Replace_CAC_ElectricHeat_ER1_SF</v>
      </c>
      <c r="DG805" s="1048">
        <f>(DI805+DI806+DI807+DI808)/(DJ805+DJ806+DJ807+DJ808)</f>
        <v>2.1960823510691041</v>
      </c>
      <c r="DH805" s="1298" t="str">
        <f t="shared" si="147"/>
        <v>Cooling Res 6 Year EUL</v>
      </c>
      <c r="DI805" s="1049">
        <f>(INDEX('Avoided Cost Benefits'!$B$4:$B$866,MATCH(DH805,'Avoided Cost Benefits'!$A$4:$A$866,0)))*F805</f>
        <v>2217.026743629704</v>
      </c>
      <c r="DJ805" s="1952">
        <f t="shared" si="153"/>
        <v>3783.9531661870506</v>
      </c>
      <c r="DM805" s="239"/>
    </row>
    <row r="806" spans="1:117" x14ac:dyDescent="0.25">
      <c r="A806" s="442"/>
      <c r="B806" s="1384">
        <f t="shared" si="150"/>
        <v>354100</v>
      </c>
      <c r="C806" s="18" t="s">
        <v>1293</v>
      </c>
      <c r="D806" s="551" t="s">
        <v>686</v>
      </c>
      <c r="E806" s="1323" t="s">
        <v>1294</v>
      </c>
      <c r="F806" s="212">
        <f>ROUND(((K957*K1047*(1/K1137-1/K1227)*K1677)/1000)*$K$1719,2)</f>
        <v>8961.76</v>
      </c>
      <c r="G806" s="552" t="s">
        <v>1125</v>
      </c>
      <c r="H806" s="66">
        <f>VLOOKUP(G806,'CP FACTORS'!$A$3:$B$38, 2, FALSE)</f>
        <v>0</v>
      </c>
      <c r="I806" s="1115">
        <f t="shared" si="146"/>
        <v>0</v>
      </c>
      <c r="J806" s="57">
        <f t="shared" si="149"/>
        <v>6</v>
      </c>
      <c r="K806" s="155">
        <f t="shared" si="154"/>
        <v>0</v>
      </c>
      <c r="L806" s="242"/>
      <c r="M806" s="542"/>
      <c r="N806" s="554"/>
      <c r="O806" s="403"/>
      <c r="R806" s="521"/>
      <c r="T806" s="50"/>
      <c r="U806" s="556"/>
      <c r="V806" s="1371" t="s">
        <v>45</v>
      </c>
      <c r="W806" s="923">
        <v>13965.852998065762</v>
      </c>
      <c r="X806" s="238">
        <v>10399.659574468084</v>
      </c>
      <c r="Y806" s="212">
        <v>10399.66</v>
      </c>
      <c r="Z806" s="212">
        <v>10399.66</v>
      </c>
      <c r="AA806" s="212">
        <v>10399.66</v>
      </c>
      <c r="AB806" s="984">
        <v>10399.66</v>
      </c>
      <c r="AC806" s="214">
        <v>9594</v>
      </c>
      <c r="AD806" s="214">
        <v>9883.16</v>
      </c>
      <c r="AE806" s="214">
        <v>8961.76</v>
      </c>
      <c r="AF806" s="258">
        <f t="shared" si="151"/>
        <v>8961.76</v>
      </c>
      <c r="AG806" s="923"/>
      <c r="AH806" s="115"/>
      <c r="AK806" s="924"/>
      <c r="DF806" s="1502" t="str">
        <f t="shared" si="152"/>
        <v>ASHP-SEER17-Replace_CAC_ElectricHeat_ER1_SF</v>
      </c>
      <c r="DG806" s="1052"/>
      <c r="DH806" s="1323" t="str">
        <f t="shared" si="147"/>
        <v>Heating Res 6 Year EUL</v>
      </c>
      <c r="DI806" s="1049">
        <f>(INDEX('Avoided Cost Benefits'!$B$4:$B$866,MATCH(DH806,'Avoided Cost Benefits'!$A$4:$A$866,0)))*F806</f>
        <v>2403.3541380241836</v>
      </c>
      <c r="DJ806" s="1952">
        <f t="shared" si="153"/>
        <v>0</v>
      </c>
      <c r="DM806" s="239"/>
    </row>
    <row r="807" spans="1:117" x14ac:dyDescent="0.25">
      <c r="A807" s="442"/>
      <c r="B807" s="1384">
        <f t="shared" si="150"/>
        <v>354100</v>
      </c>
      <c r="C807" s="18" t="s">
        <v>1293</v>
      </c>
      <c r="D807" s="551" t="s">
        <v>686</v>
      </c>
      <c r="E807" s="1323" t="s">
        <v>1295</v>
      </c>
      <c r="F807" s="212">
        <f>ROUND(((K1318*K1408*(1/K1498-1/K1588)*K1678)/1000)*$K$1719,2)</f>
        <v>511.12</v>
      </c>
      <c r="G807" s="552" t="s">
        <v>1178</v>
      </c>
      <c r="H807" s="66">
        <f>VLOOKUP(G807,'CP FACTORS'!$A$3:$B$38, 2, FALSE)</f>
        <v>9.4741810000000004E-4</v>
      </c>
      <c r="I807" s="1115">
        <f t="shared" si="146"/>
        <v>0.48424400000000001</v>
      </c>
      <c r="J807" s="57">
        <f t="shared" ref="J807:J827" si="155">K1818</f>
        <v>12</v>
      </c>
      <c r="K807" s="155">
        <f t="shared" si="154"/>
        <v>0</v>
      </c>
      <c r="L807" s="242"/>
      <c r="M807" s="542"/>
      <c r="N807" s="554"/>
      <c r="O807" s="403"/>
      <c r="R807" s="521"/>
      <c r="T807" s="50"/>
      <c r="U807" s="556"/>
      <c r="V807" s="1371" t="s">
        <v>45</v>
      </c>
      <c r="W807" s="923">
        <v>585.10045248868789</v>
      </c>
      <c r="X807" s="241">
        <v>585.10045248868789</v>
      </c>
      <c r="Y807" s="212">
        <v>585.1</v>
      </c>
      <c r="Z807" s="212">
        <v>585.1</v>
      </c>
      <c r="AA807" s="212">
        <v>585.1</v>
      </c>
      <c r="AB807" s="984">
        <v>585.1</v>
      </c>
      <c r="AC807" s="214">
        <v>550.07000000000005</v>
      </c>
      <c r="AD807" s="214">
        <v>605.03</v>
      </c>
      <c r="AE807" s="214">
        <v>438.15</v>
      </c>
      <c r="AF807" s="258">
        <f t="shared" si="151"/>
        <v>511.12</v>
      </c>
      <c r="AG807" s="923"/>
      <c r="AH807" s="115"/>
      <c r="AK807" s="924"/>
      <c r="DF807" s="1502" t="str">
        <f t="shared" si="152"/>
        <v>ASHP-SEER17-Replace_CAC_ElectricHeat_ER2_SF</v>
      </c>
      <c r="DG807" s="1052"/>
      <c r="DH807" s="1323" t="str">
        <f t="shared" si="147"/>
        <v>Cooling Res ER2 12 Year EUL</v>
      </c>
      <c r="DI807" s="1049">
        <f>(INDEX('Avoided Cost Benefits'!$B$4:$B$866,MATCH(DH807,'Avoided Cost Benefits'!$A$4:$A$866,0)))*F807</f>
        <v>661.34880048011178</v>
      </c>
      <c r="DJ807" s="1952">
        <f t="shared" si="153"/>
        <v>0</v>
      </c>
      <c r="DM807" s="239"/>
    </row>
    <row r="808" spans="1:117" x14ac:dyDescent="0.25">
      <c r="A808" s="442"/>
      <c r="B808" s="1384">
        <f t="shared" si="150"/>
        <v>354100</v>
      </c>
      <c r="C808" s="18" t="s">
        <v>1293</v>
      </c>
      <c r="D808" s="551" t="s">
        <v>686</v>
      </c>
      <c r="E808" s="1299" t="s">
        <v>1295</v>
      </c>
      <c r="F808" s="212">
        <f>ROUND(((K958*K1048*(1/K1138-1/K1228)*K1678)/1000)*$K$1719,2)</f>
        <v>8961.76</v>
      </c>
      <c r="G808" s="552" t="s">
        <v>1214</v>
      </c>
      <c r="H808" s="66">
        <f>VLOOKUP(G808,'CP FACTORS'!$A$3:$B$38, 2, FALSE)</f>
        <v>0</v>
      </c>
      <c r="I808" s="1115">
        <f t="shared" si="146"/>
        <v>0</v>
      </c>
      <c r="J808" s="57">
        <f t="shared" si="155"/>
        <v>12</v>
      </c>
      <c r="K808" s="155">
        <f t="shared" si="154"/>
        <v>0</v>
      </c>
      <c r="L808" s="242"/>
      <c r="M808" s="542"/>
      <c r="N808" s="554"/>
      <c r="O808" s="403"/>
      <c r="R808" s="521"/>
      <c r="T808" s="50"/>
      <c r="U808" s="556"/>
      <c r="V808" s="1371" t="s">
        <v>45</v>
      </c>
      <c r="W808" s="923">
        <v>13965.852998065762</v>
      </c>
      <c r="X808" s="238">
        <v>10399.659574468084</v>
      </c>
      <c r="Y808" s="212">
        <v>10399.66</v>
      </c>
      <c r="Z808" s="212">
        <v>10399.66</v>
      </c>
      <c r="AA808" s="212">
        <v>10399.66</v>
      </c>
      <c r="AB808" s="984">
        <v>10399.66</v>
      </c>
      <c r="AC808" s="214">
        <v>9594</v>
      </c>
      <c r="AD808" s="214">
        <v>9883.16</v>
      </c>
      <c r="AE808" s="214">
        <v>8961.76</v>
      </c>
      <c r="AF808" s="258">
        <f t="shared" si="151"/>
        <v>8961.76</v>
      </c>
      <c r="AG808" s="923"/>
      <c r="AH808" s="115"/>
      <c r="AK808" s="924"/>
      <c r="DF808" s="1502" t="str">
        <f t="shared" si="152"/>
        <v>ASHP-SEER17-Replace_CAC_ElectricHeat_ER2_SF</v>
      </c>
      <c r="DG808" s="1052"/>
      <c r="DH808" s="1299" t="str">
        <f t="shared" si="147"/>
        <v>Heating Res ER2 12 Year EUL</v>
      </c>
      <c r="DI808" s="1049">
        <f>(INDEX('Avoided Cost Benefits'!$B$4:$B$866,MATCH(DH808,'Avoided Cost Benefits'!$A$4:$A$866,0)))*F808</f>
        <v>3028.1430834014391</v>
      </c>
      <c r="DJ808" s="1952">
        <f t="shared" si="153"/>
        <v>0</v>
      </c>
      <c r="DM808" s="239"/>
    </row>
    <row r="809" spans="1:117" x14ac:dyDescent="0.25">
      <c r="A809" s="442"/>
      <c r="B809" s="1384">
        <f t="shared" si="150"/>
        <v>354110</v>
      </c>
      <c r="C809" s="18" t="s">
        <v>1296</v>
      </c>
      <c r="D809" s="551" t="s">
        <v>857</v>
      </c>
      <c r="E809" s="1323" t="s">
        <v>1297</v>
      </c>
      <c r="F809" s="212">
        <f>ROUND(((K1319*K1409*(1/K1499-1/K1589)*K1679)/1000)*$K$1719,2)</f>
        <v>2226.27</v>
      </c>
      <c r="G809" s="552" t="s">
        <v>1124</v>
      </c>
      <c r="H809" s="66">
        <f>VLOOKUP(G809,'CP FACTORS'!$A$3:$B$38, 2, FALSE)</f>
        <v>9.4741810000000004E-4</v>
      </c>
      <c r="I809" s="1115">
        <f t="shared" si="146"/>
        <v>2.1092080000000002</v>
      </c>
      <c r="J809" s="57">
        <f t="shared" si="155"/>
        <v>6</v>
      </c>
      <c r="K809" s="155">
        <f t="shared" si="154"/>
        <v>501.3407230169808</v>
      </c>
      <c r="L809" s="242">
        <f>L959</f>
        <v>2.6603692243864097</v>
      </c>
      <c r="M809" s="542"/>
      <c r="N809" s="554"/>
      <c r="O809" s="403"/>
      <c r="R809" s="521"/>
      <c r="T809" s="50"/>
      <c r="U809" s="556"/>
      <c r="V809" s="1371" t="s">
        <v>45</v>
      </c>
      <c r="W809" s="923"/>
      <c r="X809" s="238"/>
      <c r="Y809" s="212"/>
      <c r="Z809" s="212"/>
      <c r="AA809" s="212"/>
      <c r="AB809" s="984"/>
      <c r="AC809" s="214">
        <v>1948.61</v>
      </c>
      <c r="AD809" s="214">
        <v>2219.17</v>
      </c>
      <c r="AE809" s="214">
        <v>2277.0100000000002</v>
      </c>
      <c r="AF809" s="258">
        <f t="shared" si="151"/>
        <v>2226.27</v>
      </c>
      <c r="AG809" s="923"/>
      <c r="AH809" s="115"/>
      <c r="AK809" s="924"/>
      <c r="DF809" s="1502" t="str">
        <f t="shared" si="152"/>
        <v>ASHP-SEER17-Replace_CAC_NonElectricHeat_ER1_SF</v>
      </c>
      <c r="DG809" s="1048">
        <f>(DI809+DI810+DI811+DI812)/(DJ809+DJ810+DJ811+DJ812)</f>
        <v>5.7413559520723849</v>
      </c>
      <c r="DH809" s="1323" t="str">
        <f t="shared" si="147"/>
        <v>Cooling Res 6 Year EUL</v>
      </c>
      <c r="DI809" s="1049">
        <f>(INDEX('Avoided Cost Benefits'!$B$4:$B$866,MATCH(DH809,'Avoided Cost Benefits'!$A$4:$A$866,0)))*F809</f>
        <v>2217.026743629704</v>
      </c>
      <c r="DJ809" s="1952">
        <f t="shared" si="153"/>
        <v>501.3407230169808</v>
      </c>
      <c r="DM809" s="239"/>
    </row>
    <row r="810" spans="1:117" x14ac:dyDescent="0.25">
      <c r="A810" s="442"/>
      <c r="B810" s="1384">
        <f t="shared" si="150"/>
        <v>354110</v>
      </c>
      <c r="C810" s="18" t="s">
        <v>1296</v>
      </c>
      <c r="D810" s="551" t="s">
        <v>857</v>
      </c>
      <c r="E810" s="1323" t="s">
        <v>1297</v>
      </c>
      <c r="F810" s="212">
        <v>0</v>
      </c>
      <c r="G810" s="552" t="s">
        <v>1125</v>
      </c>
      <c r="H810" s="66">
        <f>VLOOKUP(G810,'CP FACTORS'!$A$3:$B$38, 2, FALSE)</f>
        <v>0</v>
      </c>
      <c r="I810" s="1115">
        <f t="shared" si="146"/>
        <v>0</v>
      </c>
      <c r="J810" s="57">
        <f t="shared" si="155"/>
        <v>6</v>
      </c>
      <c r="K810" s="155">
        <f t="shared" si="154"/>
        <v>0</v>
      </c>
      <c r="L810" s="242"/>
      <c r="M810" s="542"/>
      <c r="N810" s="554"/>
      <c r="O810" s="403"/>
      <c r="R810" s="521"/>
      <c r="T810" s="50"/>
      <c r="U810" s="556"/>
      <c r="V810" s="1371" t="s">
        <v>45</v>
      </c>
      <c r="W810" s="923"/>
      <c r="X810" s="238"/>
      <c r="Y810" s="212"/>
      <c r="Z810" s="212"/>
      <c r="AA810" s="212"/>
      <c r="AB810" s="984"/>
      <c r="AC810" s="214">
        <v>0</v>
      </c>
      <c r="AD810" s="212">
        <v>0</v>
      </c>
      <c r="AE810" s="212">
        <v>0</v>
      </c>
      <c r="AF810" s="258">
        <f t="shared" si="151"/>
        <v>0</v>
      </c>
      <c r="AG810" s="923"/>
      <c r="AH810" s="115"/>
      <c r="AK810" s="924"/>
      <c r="DF810" s="1502" t="str">
        <f t="shared" si="152"/>
        <v>ASHP-SEER17-Replace_CAC_NonElectricHeat_ER1_SF</v>
      </c>
      <c r="DG810" s="1052"/>
      <c r="DH810" s="1323" t="str">
        <f t="shared" si="147"/>
        <v>Heating Res 6 Year EUL</v>
      </c>
      <c r="DI810" s="1049">
        <f>(INDEX('Avoided Cost Benefits'!$B$4:$B$866,MATCH(DH810,'Avoided Cost Benefits'!$A$4:$A$866,0)))*F810</f>
        <v>0</v>
      </c>
      <c r="DJ810" s="1952">
        <f t="shared" si="153"/>
        <v>0</v>
      </c>
      <c r="DM810" s="239"/>
    </row>
    <row r="811" spans="1:117" x14ac:dyDescent="0.25">
      <c r="A811" s="442"/>
      <c r="B811" s="1384">
        <f t="shared" si="150"/>
        <v>354110</v>
      </c>
      <c r="C811" s="18" t="s">
        <v>1296</v>
      </c>
      <c r="D811" s="551" t="s">
        <v>857</v>
      </c>
      <c r="E811" s="1323" t="s">
        <v>1298</v>
      </c>
      <c r="F811" s="212">
        <f>ROUND(((K1320*K1410*(1/K1500-1/K1590)*K1680)/1000)*$K$1719,2)</f>
        <v>511.12</v>
      </c>
      <c r="G811" s="552" t="s">
        <v>1178</v>
      </c>
      <c r="H811" s="66">
        <f>VLOOKUP(G811,'CP FACTORS'!$A$3:$B$38, 2, FALSE)</f>
        <v>9.4741810000000004E-4</v>
      </c>
      <c r="I811" s="1115">
        <f t="shared" si="146"/>
        <v>0.48424400000000001</v>
      </c>
      <c r="J811" s="57">
        <f t="shared" si="155"/>
        <v>12</v>
      </c>
      <c r="K811" s="155">
        <f t="shared" si="154"/>
        <v>0</v>
      </c>
      <c r="L811" s="242"/>
      <c r="M811" s="542"/>
      <c r="N811" s="554"/>
      <c r="O811" s="403"/>
      <c r="R811" s="521"/>
      <c r="T811" s="50"/>
      <c r="U811" s="556"/>
      <c r="V811" s="1371" t="s">
        <v>45</v>
      </c>
      <c r="W811" s="923"/>
      <c r="X811" s="238"/>
      <c r="Y811" s="212"/>
      <c r="Z811" s="212"/>
      <c r="AA811" s="212"/>
      <c r="AB811" s="984"/>
      <c r="AC811" s="214">
        <v>550.07000000000005</v>
      </c>
      <c r="AD811" s="214">
        <v>605.03</v>
      </c>
      <c r="AE811" s="214">
        <v>438.15</v>
      </c>
      <c r="AF811" s="258">
        <f t="shared" si="151"/>
        <v>511.12</v>
      </c>
      <c r="AG811" s="923"/>
      <c r="AH811" s="115"/>
      <c r="AK811" s="924"/>
      <c r="DF811" s="1502" t="str">
        <f t="shared" si="152"/>
        <v>ASHP-SEER17-Replace_CAC_NonElectricHeat_ER2_SF</v>
      </c>
      <c r="DG811" s="1052"/>
      <c r="DH811" s="1323" t="str">
        <f t="shared" si="147"/>
        <v>Cooling Res ER2 12 Year EUL</v>
      </c>
      <c r="DI811" s="1049">
        <f>(INDEX('Avoided Cost Benefits'!$B$4:$B$866,MATCH(DH811,'Avoided Cost Benefits'!$A$4:$A$866,0)))*F811</f>
        <v>661.34880048011178</v>
      </c>
      <c r="DJ811" s="1952">
        <f t="shared" si="153"/>
        <v>0</v>
      </c>
      <c r="DM811" s="239"/>
    </row>
    <row r="812" spans="1:117" x14ac:dyDescent="0.25">
      <c r="A812" s="442"/>
      <c r="B812" s="1384">
        <f t="shared" si="150"/>
        <v>354110</v>
      </c>
      <c r="C812" s="18" t="s">
        <v>1296</v>
      </c>
      <c r="D812" s="551" t="s">
        <v>857</v>
      </c>
      <c r="E812" s="1323" t="s">
        <v>1298</v>
      </c>
      <c r="F812" s="212">
        <f>0</f>
        <v>0</v>
      </c>
      <c r="G812" s="552" t="s">
        <v>1214</v>
      </c>
      <c r="H812" s="66">
        <f>VLOOKUP(G812,'CP FACTORS'!$A$3:$B$38, 2, FALSE)</f>
        <v>0</v>
      </c>
      <c r="I812" s="1115">
        <f t="shared" si="146"/>
        <v>0</v>
      </c>
      <c r="J812" s="57">
        <f t="shared" si="155"/>
        <v>12</v>
      </c>
      <c r="K812" s="155">
        <f t="shared" si="154"/>
        <v>0</v>
      </c>
      <c r="L812" s="242"/>
      <c r="M812" s="542"/>
      <c r="N812" s="554"/>
      <c r="O812" s="403"/>
      <c r="R812" s="521"/>
      <c r="T812" s="50"/>
      <c r="U812" s="556"/>
      <c r="V812" s="1371" t="s">
        <v>45</v>
      </c>
      <c r="W812" s="923"/>
      <c r="X812" s="238"/>
      <c r="Y812" s="212"/>
      <c r="Z812" s="212"/>
      <c r="AA812" s="212"/>
      <c r="AB812" s="984"/>
      <c r="AC812" s="214">
        <v>0</v>
      </c>
      <c r="AD812" s="212">
        <v>0</v>
      </c>
      <c r="AE812" s="212">
        <v>0</v>
      </c>
      <c r="AF812" s="258">
        <f t="shared" si="151"/>
        <v>0</v>
      </c>
      <c r="AG812" s="923"/>
      <c r="AH812" s="115"/>
      <c r="AK812" s="924"/>
      <c r="DF812" s="1502" t="str">
        <f t="shared" si="152"/>
        <v>ASHP-SEER17-Replace_CAC_NonElectricHeat_ER2_SF</v>
      </c>
      <c r="DG812" s="1052"/>
      <c r="DH812" s="1323" t="str">
        <f t="shared" si="147"/>
        <v>Heating Res ER2 12 Year EUL</v>
      </c>
      <c r="DI812" s="1049">
        <f>(INDEX('Avoided Cost Benefits'!$B$4:$B$866,MATCH(DH812,'Avoided Cost Benefits'!$A$4:$A$866,0)))*F812</f>
        <v>0</v>
      </c>
      <c r="DJ812" s="1952">
        <f t="shared" si="153"/>
        <v>0</v>
      </c>
      <c r="DM812" s="239"/>
    </row>
    <row r="813" spans="1:117" x14ac:dyDescent="0.25">
      <c r="A813" s="442"/>
      <c r="B813" s="1384">
        <f t="shared" si="150"/>
        <v>354150</v>
      </c>
      <c r="C813" s="18" t="s">
        <v>1299</v>
      </c>
      <c r="D813" s="551" t="s">
        <v>600</v>
      </c>
      <c r="E813" s="1298" t="s">
        <v>1300</v>
      </c>
      <c r="F813" s="212">
        <f>ROUND((($K$1321*$K$1411*(1/$K$1501-1/$K$1591)*$K$1681)/1000)*$K$1719,2)</f>
        <v>1286.47</v>
      </c>
      <c r="G813" s="552" t="s">
        <v>1124</v>
      </c>
      <c r="H813" s="66">
        <f>VLOOKUP(G813,'CP FACTORS'!$A$3:$B$38, 2, FALSE)</f>
        <v>9.4741810000000004E-4</v>
      </c>
      <c r="I813" s="1115">
        <f t="shared" si="146"/>
        <v>1.218825</v>
      </c>
      <c r="J813" s="57">
        <f t="shared" si="155"/>
        <v>6</v>
      </c>
      <c r="K813" s="155">
        <f t="shared" si="154"/>
        <v>3396.7316315552043</v>
      </c>
      <c r="L813" s="242">
        <f>L961</f>
        <v>3.1</v>
      </c>
      <c r="M813" s="542"/>
      <c r="N813" s="554"/>
      <c r="O813" s="403"/>
      <c r="R813" s="521"/>
      <c r="T813" s="50"/>
      <c r="U813" s="556"/>
      <c r="V813" s="1371" t="s">
        <v>45</v>
      </c>
      <c r="W813" s="923">
        <v>1854.0370588235296</v>
      </c>
      <c r="X813" s="238">
        <v>1286.4746938775511</v>
      </c>
      <c r="Y813" s="212">
        <v>1286.47</v>
      </c>
      <c r="Z813" s="212">
        <v>1286.47</v>
      </c>
      <c r="AA813" s="212">
        <v>1286.47</v>
      </c>
      <c r="AB813" s="984">
        <v>1286.47</v>
      </c>
      <c r="AC813" s="921">
        <v>1286.47</v>
      </c>
      <c r="AD813" s="212">
        <v>1286.47</v>
      </c>
      <c r="AE813" s="212">
        <v>1286.47</v>
      </c>
      <c r="AF813" s="258">
        <f t="shared" si="151"/>
        <v>1286.47</v>
      </c>
      <c r="AG813" s="923"/>
      <c r="AH813" s="115"/>
      <c r="AK813" s="924"/>
      <c r="DF813" s="1502" t="str">
        <f t="shared" si="152"/>
        <v>ASHP-SEER17-Replace_CAC_ElectricHeat_ER1_MF</v>
      </c>
      <c r="DG813" s="1048">
        <f>(DI813+DI814+DI815+DI816)/(DJ813+DJ814+DJ815+DJ816)</f>
        <v>1.709800527923629</v>
      </c>
      <c r="DH813" s="1298" t="str">
        <f t="shared" si="147"/>
        <v>Cooling Res 6 Year EUL</v>
      </c>
      <c r="DI813" s="1049">
        <f>(INDEX('Avoided Cost Benefits'!$B$4:$B$866,MATCH(DH813,'Avoided Cost Benefits'!$A$4:$A$866,0)))*F813</f>
        <v>1281.1287017645234</v>
      </c>
      <c r="DJ813" s="1952">
        <f t="shared" si="153"/>
        <v>3396.7316315552043</v>
      </c>
      <c r="DM813" s="239"/>
    </row>
    <row r="814" spans="1:117" x14ac:dyDescent="0.25">
      <c r="A814" s="442"/>
      <c r="B814" s="1384">
        <f t="shared" si="150"/>
        <v>354150</v>
      </c>
      <c r="C814" s="18" t="s">
        <v>1299</v>
      </c>
      <c r="D814" s="551" t="s">
        <v>600</v>
      </c>
      <c r="E814" s="1323" t="s">
        <v>1300</v>
      </c>
      <c r="F814" s="212">
        <f>ROUND((($K$961*$K$1051*(1/$K$1141-1/$K$1231)*$K$1681)/1000)*$K$1719,2)</f>
        <v>6759.78</v>
      </c>
      <c r="G814" s="552" t="s">
        <v>1125</v>
      </c>
      <c r="H814" s="66">
        <f>VLOOKUP(G814,'CP FACTORS'!$A$3:$B$38, 2, FALSE)</f>
        <v>0</v>
      </c>
      <c r="I814" s="1115">
        <f t="shared" si="146"/>
        <v>0</v>
      </c>
      <c r="J814" s="57">
        <f t="shared" si="155"/>
        <v>6</v>
      </c>
      <c r="K814" s="155">
        <f t="shared" si="154"/>
        <v>0</v>
      </c>
      <c r="L814" s="242"/>
      <c r="M814" s="542"/>
      <c r="N814" s="554"/>
      <c r="O814" s="403"/>
      <c r="R814" s="521"/>
      <c r="T814" s="50"/>
      <c r="U814" s="556"/>
      <c r="V814" s="1371" t="s">
        <v>45</v>
      </c>
      <c r="W814" s="923">
        <v>9077.8044487427451</v>
      </c>
      <c r="X814" s="238">
        <v>6759.7787234042544</v>
      </c>
      <c r="Y814" s="212">
        <v>6759.78</v>
      </c>
      <c r="Z814" s="212">
        <v>6759.78</v>
      </c>
      <c r="AA814" s="212">
        <v>6759.78</v>
      </c>
      <c r="AB814" s="984">
        <v>6759.78</v>
      </c>
      <c r="AC814" s="921">
        <v>6759.78</v>
      </c>
      <c r="AD814" s="212">
        <v>6759.78</v>
      </c>
      <c r="AE814" s="212">
        <v>6759.78</v>
      </c>
      <c r="AF814" s="258">
        <f t="shared" si="151"/>
        <v>6759.78</v>
      </c>
      <c r="AG814" s="923"/>
      <c r="AH814" s="115"/>
      <c r="AK814" s="924"/>
      <c r="DF814" s="1502" t="str">
        <f t="shared" si="152"/>
        <v>ASHP-SEER17-Replace_CAC_ElectricHeat_ER1_MF</v>
      </c>
      <c r="DG814" s="1052"/>
      <c r="DH814" s="1323" t="str">
        <f t="shared" si="147"/>
        <v>Heating Res 6 Year EUL</v>
      </c>
      <c r="DI814" s="1049">
        <f>(INDEX('Avoided Cost Benefits'!$B$4:$B$866,MATCH(DH814,'Avoided Cost Benefits'!$A$4:$A$866,0)))*F814</f>
        <v>1812.8297605752794</v>
      </c>
      <c r="DJ814" s="1952">
        <f t="shared" si="153"/>
        <v>0</v>
      </c>
      <c r="DM814" s="239"/>
    </row>
    <row r="815" spans="1:117" x14ac:dyDescent="0.25">
      <c r="A815" s="442"/>
      <c r="B815" s="1384">
        <f t="shared" si="150"/>
        <v>354150</v>
      </c>
      <c r="C815" s="18" t="s">
        <v>1299</v>
      </c>
      <c r="D815" s="551" t="s">
        <v>600</v>
      </c>
      <c r="E815" s="1323" t="s">
        <v>1301</v>
      </c>
      <c r="F815" s="212">
        <f>ROUND((($K$1322*$K$1412*(1/$K$1502-1/$K$1592)*$K$1682)/1000)*$K$1719,2)</f>
        <v>332.07</v>
      </c>
      <c r="G815" s="552" t="s">
        <v>1178</v>
      </c>
      <c r="H815" s="66">
        <f>VLOOKUP(G815,'CP FACTORS'!$A$3:$B$38, 2, FALSE)</f>
        <v>9.4741810000000004E-4</v>
      </c>
      <c r="I815" s="1115">
        <f t="shared" si="146"/>
        <v>0.31460900000000003</v>
      </c>
      <c r="J815" s="57">
        <f t="shared" si="155"/>
        <v>12</v>
      </c>
      <c r="K815" s="155">
        <f t="shared" si="154"/>
        <v>0</v>
      </c>
      <c r="L815" s="242"/>
      <c r="M815" s="542"/>
      <c r="N815" s="554"/>
      <c r="O815" s="403"/>
      <c r="R815" s="521"/>
      <c r="T815" s="50"/>
      <c r="U815" s="556"/>
      <c r="V815" s="1371" t="s">
        <v>45</v>
      </c>
      <c r="W815" s="923">
        <v>380.31529411764717</v>
      </c>
      <c r="X815" s="241">
        <v>380.31529411764717</v>
      </c>
      <c r="Y815" s="212">
        <v>380.32</v>
      </c>
      <c r="Z815" s="212">
        <v>380.32</v>
      </c>
      <c r="AA815" s="212">
        <v>380.32</v>
      </c>
      <c r="AB815" s="984">
        <v>380.32</v>
      </c>
      <c r="AC815" s="921">
        <v>380.32</v>
      </c>
      <c r="AD815" s="212">
        <v>380.32</v>
      </c>
      <c r="AE815" s="214">
        <v>264.86</v>
      </c>
      <c r="AF815" s="258">
        <f t="shared" si="151"/>
        <v>332.07</v>
      </c>
      <c r="AG815" s="923"/>
      <c r="AH815" s="115"/>
      <c r="AK815" s="924"/>
      <c r="DF815" s="1502" t="str">
        <f t="shared" si="152"/>
        <v>ASHP-SEER17-Replace_CAC_ElectricHeat_ER2_MF</v>
      </c>
      <c r="DG815" s="1052"/>
      <c r="DH815" s="1323" t="str">
        <f t="shared" si="147"/>
        <v>Cooling Res ER2 12 Year EUL</v>
      </c>
      <c r="DI815" s="1049">
        <f>(INDEX('Avoided Cost Benefits'!$B$4:$B$866,MATCH(DH815,'Avoided Cost Benefits'!$A$4:$A$866,0)))*F815</f>
        <v>429.67228082530659</v>
      </c>
      <c r="DJ815" s="1952">
        <f t="shared" si="153"/>
        <v>0</v>
      </c>
      <c r="DM815" s="239"/>
    </row>
    <row r="816" spans="1:117" x14ac:dyDescent="0.25">
      <c r="A816" s="442"/>
      <c r="B816" s="1384">
        <f t="shared" si="150"/>
        <v>354150</v>
      </c>
      <c r="C816" s="18" t="s">
        <v>1299</v>
      </c>
      <c r="D816" s="551" t="s">
        <v>600</v>
      </c>
      <c r="E816" s="1299" t="s">
        <v>1301</v>
      </c>
      <c r="F816" s="212">
        <f>ROUND((($K$962*$K$1052*(1/$K$1142-1/$K$1232)*$K$1682)/1000)*$K$1719,2)</f>
        <v>6759.78</v>
      </c>
      <c r="G816" s="552" t="s">
        <v>1214</v>
      </c>
      <c r="H816" s="66">
        <f>VLOOKUP(G816,'CP FACTORS'!$A$3:$B$38, 2, FALSE)</f>
        <v>0</v>
      </c>
      <c r="I816" s="1115">
        <f t="shared" si="146"/>
        <v>0</v>
      </c>
      <c r="J816" s="57">
        <f t="shared" si="155"/>
        <v>12</v>
      </c>
      <c r="K816" s="155">
        <f t="shared" si="154"/>
        <v>0</v>
      </c>
      <c r="L816" s="242"/>
      <c r="M816" s="542"/>
      <c r="N816" s="554"/>
      <c r="O816" s="403"/>
      <c r="R816" s="521"/>
      <c r="T816" s="50"/>
      <c r="U816" s="556"/>
      <c r="V816" s="1371" t="s">
        <v>45</v>
      </c>
      <c r="W816" s="923">
        <v>9077.8044487427451</v>
      </c>
      <c r="X816" s="238">
        <v>6759.7787234042544</v>
      </c>
      <c r="Y816" s="212">
        <v>6759.78</v>
      </c>
      <c r="Z816" s="212">
        <v>6759.78</v>
      </c>
      <c r="AA816" s="212">
        <v>6759.78</v>
      </c>
      <c r="AB816" s="984">
        <v>6759.78</v>
      </c>
      <c r="AC816" s="921">
        <v>6759.78</v>
      </c>
      <c r="AD816" s="212">
        <v>6759.78</v>
      </c>
      <c r="AE816" s="212">
        <v>6759.78</v>
      </c>
      <c r="AF816" s="258">
        <f t="shared" si="151"/>
        <v>6759.78</v>
      </c>
      <c r="AG816" s="923"/>
      <c r="AH816" s="115"/>
      <c r="AK816" s="924"/>
      <c r="DF816" s="1502" t="str">
        <f t="shared" si="152"/>
        <v>ASHP-SEER17-Replace_CAC_ElectricHeat_ER2_MF</v>
      </c>
      <c r="DG816" s="1052"/>
      <c r="DH816" s="1299" t="str">
        <f t="shared" si="147"/>
        <v>Heating Res ER2 12 Year EUL</v>
      </c>
      <c r="DI816" s="1049">
        <f>(INDEX('Avoided Cost Benefits'!$B$4:$B$866,MATCH(DH816,'Avoided Cost Benefits'!$A$4:$A$866,0)))*F816</f>
        <v>2284.1027936828682</v>
      </c>
      <c r="DJ816" s="1952">
        <f t="shared" si="153"/>
        <v>0</v>
      </c>
      <c r="DM816" s="239"/>
    </row>
    <row r="817" spans="1:117" x14ac:dyDescent="0.25">
      <c r="A817" s="442"/>
      <c r="B817" s="1384">
        <f t="shared" si="150"/>
        <v>354200</v>
      </c>
      <c r="C817" s="18" t="s">
        <v>1302</v>
      </c>
      <c r="D817" s="551" t="s">
        <v>600</v>
      </c>
      <c r="E817" s="1298" t="s">
        <v>1303</v>
      </c>
      <c r="F817" s="212">
        <f>ROUND(((K1323*K1413*(1/K1503-1/K1593)*K1683)/1000)*$K$1719,2)</f>
        <v>1369.47</v>
      </c>
      <c r="G817" s="552" t="s">
        <v>1124</v>
      </c>
      <c r="H817" s="66">
        <f>VLOOKUP(G817,'CP FACTORS'!$A$3:$B$38, 2, FALSE)</f>
        <v>9.4741810000000004E-4</v>
      </c>
      <c r="I817" s="985">
        <f t="shared" ref="I817:I848" si="156">ROUND(F817*H817,6)</f>
        <v>1.297461</v>
      </c>
      <c r="J817" s="57">
        <f t="shared" si="155"/>
        <v>6</v>
      </c>
      <c r="K817" s="155">
        <f t="shared" si="154"/>
        <v>626.51836415648631</v>
      </c>
      <c r="L817" s="242">
        <f>L963</f>
        <v>3.3</v>
      </c>
      <c r="M817" s="542"/>
      <c r="N817" s="554"/>
      <c r="O817" s="403"/>
      <c r="R817" s="521"/>
      <c r="T817" s="50"/>
      <c r="U817" s="556"/>
      <c r="V817" s="1371" t="s">
        <v>45</v>
      </c>
      <c r="W817" s="923">
        <v>1790.9067647058826</v>
      </c>
      <c r="X817" s="238">
        <v>1369.47306122449</v>
      </c>
      <c r="Y817" s="212">
        <v>1369.47</v>
      </c>
      <c r="Z817" s="212">
        <v>1369.47</v>
      </c>
      <c r="AA817" s="212">
        <v>1369.47</v>
      </c>
      <c r="AB817" s="984">
        <v>1369.47</v>
      </c>
      <c r="AC817" s="921">
        <v>1369.47</v>
      </c>
      <c r="AD817" s="212">
        <v>1369.47</v>
      </c>
      <c r="AE817" s="212">
        <v>1369.47</v>
      </c>
      <c r="AF817" s="258">
        <f t="shared" si="151"/>
        <v>1369.47</v>
      </c>
      <c r="AG817" s="923"/>
      <c r="AH817" s="115"/>
      <c r="AK817" s="924"/>
      <c r="DF817" s="1502" t="str">
        <f t="shared" si="152"/>
        <v>ASHP-SEER17_ER1_MF</v>
      </c>
      <c r="DG817" s="1048">
        <f>(DI817+DI818+DI819+DI820)/(DJ817+DJ818+DJ819+DJ820)</f>
        <v>4.0427449773274207</v>
      </c>
      <c r="DH817" s="1298" t="str">
        <f t="shared" ref="DH817:DH848" si="157">CONCATENATE(G817," ",J817," Year EUL")</f>
        <v>Cooling Res 6 Year EUL</v>
      </c>
      <c r="DI817" s="1049">
        <f>(INDEX('Avoided Cost Benefits'!$B$4:$B$866,MATCH(DH817,'Avoided Cost Benefits'!$A$4:$A$866,0)))*F817</f>
        <v>1363.7840938424229</v>
      </c>
      <c r="DJ817" s="1952">
        <f t="shared" si="153"/>
        <v>626.51836415648631</v>
      </c>
      <c r="DM817" s="239"/>
    </row>
    <row r="818" spans="1:117" x14ac:dyDescent="0.25">
      <c r="A818" s="442"/>
      <c r="B818" s="1384">
        <f t="shared" si="150"/>
        <v>354200</v>
      </c>
      <c r="C818" s="18" t="s">
        <v>1302</v>
      </c>
      <c r="D818" s="551" t="s">
        <v>600</v>
      </c>
      <c r="E818" s="1323" t="s">
        <v>1303</v>
      </c>
      <c r="F818" s="212">
        <f>ROUND(((K963*K1053*(1/K1143-1/K1233)*K1683)/1000)*$K$1719,2)</f>
        <v>1798.76</v>
      </c>
      <c r="G818" s="552" t="s">
        <v>1125</v>
      </c>
      <c r="H818" s="66">
        <f>VLOOKUP(G818,'CP FACTORS'!$A$3:$B$38, 2, FALSE)</f>
        <v>0</v>
      </c>
      <c r="I818" s="985">
        <f t="shared" si="156"/>
        <v>0</v>
      </c>
      <c r="J818" s="57">
        <f t="shared" si="155"/>
        <v>6</v>
      </c>
      <c r="K818" s="155">
        <f t="shared" si="154"/>
        <v>0</v>
      </c>
      <c r="L818" s="242"/>
      <c r="M818" s="542"/>
      <c r="N818" s="554"/>
      <c r="O818" s="403"/>
      <c r="R818" s="521"/>
      <c r="T818" s="50"/>
      <c r="U818" s="556"/>
      <c r="V818" s="1371" t="s">
        <v>45</v>
      </c>
      <c r="W818" s="923">
        <v>4062.4872213622284</v>
      </c>
      <c r="X818" s="238">
        <v>1798.7611070228763</v>
      </c>
      <c r="Y818" s="212">
        <v>1798.76</v>
      </c>
      <c r="Z818" s="212">
        <v>1798.76</v>
      </c>
      <c r="AA818" s="212">
        <v>1798.76</v>
      </c>
      <c r="AB818" s="984">
        <v>1798.76</v>
      </c>
      <c r="AC818" s="921">
        <v>1798.76</v>
      </c>
      <c r="AD818" s="212">
        <v>1798.76</v>
      </c>
      <c r="AE818" s="212">
        <v>1798.76</v>
      </c>
      <c r="AF818" s="258">
        <f t="shared" si="151"/>
        <v>1798.76</v>
      </c>
      <c r="AG818" s="923"/>
      <c r="AH818" s="115"/>
      <c r="AK818" s="924"/>
      <c r="DF818" s="1502" t="str">
        <f t="shared" si="152"/>
        <v>ASHP-SEER17_ER1_MF</v>
      </c>
      <c r="DG818" s="1052"/>
      <c r="DH818" s="1323" t="str">
        <f t="shared" si="157"/>
        <v>Heating Res 6 Year EUL</v>
      </c>
      <c r="DI818" s="1049">
        <f>(INDEX('Avoided Cost Benefits'!$B$4:$B$866,MATCH(DH818,'Avoided Cost Benefits'!$A$4:$A$866,0)))*F818</f>
        <v>482.38931742340571</v>
      </c>
      <c r="DJ818" s="1952">
        <f t="shared" si="153"/>
        <v>0</v>
      </c>
      <c r="DM818" s="239"/>
    </row>
    <row r="819" spans="1:117" x14ac:dyDescent="0.25">
      <c r="A819" s="442"/>
      <c r="B819" s="1384">
        <f t="shared" si="150"/>
        <v>354200</v>
      </c>
      <c r="C819" s="18" t="s">
        <v>1302</v>
      </c>
      <c r="D819" s="551" t="s">
        <v>600</v>
      </c>
      <c r="E819" s="1323" t="s">
        <v>1304</v>
      </c>
      <c r="F819" s="212">
        <f>ROUND(((K1324*K1414*(1/K1504-1/K1594)*K1684)/1000)*$K$1719,2)</f>
        <v>248.43</v>
      </c>
      <c r="G819" s="552" t="s">
        <v>1178</v>
      </c>
      <c r="H819" s="66">
        <f>VLOOKUP(G819,'CP FACTORS'!$A$3:$B$38, 2, FALSE)</f>
        <v>9.4741810000000004E-4</v>
      </c>
      <c r="I819" s="985">
        <f t="shared" si="156"/>
        <v>0.23536699999999999</v>
      </c>
      <c r="J819" s="57">
        <f t="shared" si="155"/>
        <v>12</v>
      </c>
      <c r="K819" s="155">
        <f t="shared" si="154"/>
        <v>0</v>
      </c>
      <c r="L819" s="242"/>
      <c r="M819" s="542"/>
      <c r="N819" s="554"/>
      <c r="O819" s="403"/>
      <c r="R819" s="521"/>
      <c r="T819" s="50"/>
      <c r="U819" s="556"/>
      <c r="V819" s="1371" t="s">
        <v>45</v>
      </c>
      <c r="W819" s="923">
        <v>281.95033613445372</v>
      </c>
      <c r="X819" s="241">
        <v>281.95033613445372</v>
      </c>
      <c r="Y819" s="212">
        <v>281.95</v>
      </c>
      <c r="Z819" s="212">
        <v>281.95</v>
      </c>
      <c r="AA819" s="212">
        <v>281.95</v>
      </c>
      <c r="AB819" s="984">
        <v>281.95</v>
      </c>
      <c r="AC819" s="921">
        <v>281.95</v>
      </c>
      <c r="AD819" s="212">
        <v>281.95</v>
      </c>
      <c r="AE819" s="214">
        <v>175.44</v>
      </c>
      <c r="AF819" s="258">
        <f t="shared" si="151"/>
        <v>248.43</v>
      </c>
      <c r="AG819" s="923"/>
      <c r="AH819" s="115"/>
      <c r="AK819" s="924"/>
      <c r="DF819" s="1502" t="str">
        <f t="shared" si="152"/>
        <v>ASHP-SEER17_ER2_MF</v>
      </c>
      <c r="DG819" s="1052"/>
      <c r="DH819" s="1323" t="str">
        <f t="shared" si="157"/>
        <v>Cooling Res ER2 12 Year EUL</v>
      </c>
      <c r="DI819" s="1049">
        <f>(INDEX('Avoided Cost Benefits'!$B$4:$B$866,MATCH(DH819,'Avoided Cost Benefits'!$A$4:$A$866,0)))*F819</f>
        <v>321.44874491953783</v>
      </c>
      <c r="DJ819" s="1952">
        <f t="shared" si="153"/>
        <v>0</v>
      </c>
      <c r="DM819" s="239"/>
    </row>
    <row r="820" spans="1:117" x14ac:dyDescent="0.25">
      <c r="A820" s="442"/>
      <c r="B820" s="1384">
        <f t="shared" si="150"/>
        <v>354200</v>
      </c>
      <c r="C820" s="18" t="s">
        <v>1302</v>
      </c>
      <c r="D820" s="551" t="s">
        <v>600</v>
      </c>
      <c r="E820" s="1299" t="s">
        <v>1304</v>
      </c>
      <c r="F820" s="212">
        <f xml:space="preserve"> ROUND(((K964*K1054*(1/K1144-1/K1234)*K1684)/1000)*$K$1719,2)</f>
        <v>1080.9000000000001</v>
      </c>
      <c r="G820" s="552" t="s">
        <v>1214</v>
      </c>
      <c r="H820" s="66">
        <f>VLOOKUP(G820,'CP FACTORS'!$A$3:$B$38, 2, FALSE)</f>
        <v>0</v>
      </c>
      <c r="I820" s="985">
        <f t="shared" si="156"/>
        <v>0</v>
      </c>
      <c r="J820" s="57">
        <f t="shared" si="155"/>
        <v>12</v>
      </c>
      <c r="K820" s="155">
        <f t="shared" si="154"/>
        <v>0</v>
      </c>
      <c r="L820" s="242"/>
      <c r="M820" s="542"/>
      <c r="N820" s="554"/>
      <c r="O820" s="403"/>
      <c r="R820" s="521"/>
      <c r="T820" s="50"/>
      <c r="U820" s="556"/>
      <c r="V820" s="1371" t="s">
        <v>45</v>
      </c>
      <c r="W820" s="923">
        <v>862.96736842105349</v>
      </c>
      <c r="X820" s="238">
        <v>642.6078562259313</v>
      </c>
      <c r="Y820" s="212">
        <v>642.61</v>
      </c>
      <c r="Z820" s="212">
        <v>642.61</v>
      </c>
      <c r="AA820" s="212">
        <v>642.61</v>
      </c>
      <c r="AB820" s="984">
        <v>642.61</v>
      </c>
      <c r="AC820" s="921">
        <v>642.61</v>
      </c>
      <c r="AD820" s="212">
        <v>642.61</v>
      </c>
      <c r="AE820" s="214">
        <v>424.19</v>
      </c>
      <c r="AF820" s="258">
        <f t="shared" si="151"/>
        <v>1080.9000000000001</v>
      </c>
      <c r="AG820" s="923"/>
      <c r="AH820" s="115"/>
      <c r="AK820" s="924"/>
      <c r="DF820" s="1502" t="str">
        <f t="shared" si="152"/>
        <v>ASHP-SEER17_ER2_MF</v>
      </c>
      <c r="DG820" s="1052"/>
      <c r="DH820" s="1299" t="str">
        <f t="shared" si="157"/>
        <v>Heating Res ER2 12 Year EUL</v>
      </c>
      <c r="DI820" s="1049">
        <f>(INDEX('Avoided Cost Benefits'!$B$4:$B$866,MATCH(DH820,'Avoided Cost Benefits'!$A$4:$A$866,0)))*F820</f>
        <v>365.23181371166106</v>
      </c>
      <c r="DJ820" s="1952">
        <f t="shared" si="153"/>
        <v>0</v>
      </c>
      <c r="DM820" s="239"/>
    </row>
    <row r="821" spans="1:117" x14ac:dyDescent="0.25">
      <c r="A821" s="442"/>
      <c r="B821" s="1384">
        <f t="shared" si="150"/>
        <v>354250</v>
      </c>
      <c r="C821" s="18" t="s">
        <v>1305</v>
      </c>
      <c r="D821" s="551" t="s">
        <v>686</v>
      </c>
      <c r="E821" s="1298" t="s">
        <v>1306</v>
      </c>
      <c r="F821" s="212">
        <f>ROUND(((K1325*K1415*(1/K1505-1/K1595)*K1685)/1000)*$K$1719,2)</f>
        <v>2592.9299999999998</v>
      </c>
      <c r="G821" s="552" t="s">
        <v>1124</v>
      </c>
      <c r="H821" s="66">
        <f>VLOOKUP(G821,'CP FACTORS'!$A$3:$B$38, 2, FALSE)</f>
        <v>9.4741810000000004E-4</v>
      </c>
      <c r="I821" s="985">
        <f t="shared" si="156"/>
        <v>2.4565890000000001</v>
      </c>
      <c r="J821" s="57">
        <f t="shared" si="155"/>
        <v>6</v>
      </c>
      <c r="K821" s="155">
        <f t="shared" si="154"/>
        <v>4148.0070349116859</v>
      </c>
      <c r="L821" s="242">
        <f>L965</f>
        <v>2.8921256722608026</v>
      </c>
      <c r="M821" s="542"/>
      <c r="N821" s="554"/>
      <c r="O821" s="403"/>
      <c r="R821" s="521"/>
      <c r="T821" s="50"/>
      <c r="U821" s="556"/>
      <c r="V821" s="1371" t="s">
        <v>45</v>
      </c>
      <c r="W821" s="923">
        <v>2958.0078431372549</v>
      </c>
      <c r="X821" s="238">
        <v>2084.8349739895957</v>
      </c>
      <c r="Y821" s="212">
        <v>2084.83</v>
      </c>
      <c r="Z821" s="212">
        <v>2084.83</v>
      </c>
      <c r="AA821" s="212">
        <v>2084.83</v>
      </c>
      <c r="AB821" s="983">
        <v>2709.13</v>
      </c>
      <c r="AC821" s="214">
        <v>2068.02</v>
      </c>
      <c r="AD821" s="214">
        <v>2369.3000000000002</v>
      </c>
      <c r="AE821" s="214">
        <v>2358.35</v>
      </c>
      <c r="AF821" s="258">
        <f t="shared" si="151"/>
        <v>2592.9299999999998</v>
      </c>
      <c r="AG821" s="923"/>
      <c r="AH821" s="115"/>
      <c r="AK821" s="924"/>
      <c r="DF821" s="1502" t="str">
        <f t="shared" si="152"/>
        <v>ASHP-SEER18-Replace_CAC_ElectricHeat_ER1_SF</v>
      </c>
      <c r="DG821" s="1048">
        <f>(DI821+DI822+DI823+DI824)/(DJ821+DJ822+DJ823+DJ824)</f>
        <v>2.2990051264589821</v>
      </c>
      <c r="DH821" s="1298" t="str">
        <f t="shared" si="157"/>
        <v>Cooling Res 6 Year EUL</v>
      </c>
      <c r="DI821" s="1049">
        <f>(INDEX('Avoided Cost Benefits'!$B$4:$B$866,MATCH(DH821,'Avoided Cost Benefits'!$A$4:$A$866,0)))*F821</f>
        <v>2582.1644069945551</v>
      </c>
      <c r="DJ821" s="1952">
        <f t="shared" si="153"/>
        <v>4148.0070349116859</v>
      </c>
      <c r="DM821" s="239"/>
    </row>
    <row r="822" spans="1:117" x14ac:dyDescent="0.25">
      <c r="A822" s="442"/>
      <c r="B822" s="1384">
        <f t="shared" si="150"/>
        <v>354250</v>
      </c>
      <c r="C822" s="18" t="s">
        <v>1305</v>
      </c>
      <c r="D822" s="551" t="s">
        <v>686</v>
      </c>
      <c r="E822" s="1323" t="s">
        <v>1306</v>
      </c>
      <c r="F822" s="212">
        <f>ROUND(((K965*K1055*(1/K1145-1/K1235)*K1685)/1000)*$K$1719,2)</f>
        <v>10051.219999999999</v>
      </c>
      <c r="G822" s="552" t="s">
        <v>1125</v>
      </c>
      <c r="H822" s="66">
        <f>VLOOKUP(G822,'CP FACTORS'!$A$3:$B$38, 2, FALSE)</f>
        <v>0</v>
      </c>
      <c r="I822" s="985">
        <f t="shared" si="156"/>
        <v>0</v>
      </c>
      <c r="J822" s="57">
        <f t="shared" si="155"/>
        <v>6</v>
      </c>
      <c r="K822" s="155">
        <f t="shared" si="154"/>
        <v>0</v>
      </c>
      <c r="L822" s="242"/>
      <c r="M822" s="542"/>
      <c r="N822" s="554"/>
      <c r="O822" s="403"/>
      <c r="R822" s="521"/>
      <c r="T822" s="50"/>
      <c r="U822" s="556"/>
      <c r="V822" s="1371" t="s">
        <v>45</v>
      </c>
      <c r="W822" s="923">
        <v>13965.852998065762</v>
      </c>
      <c r="X822" s="238">
        <v>10399.659574468084</v>
      </c>
      <c r="Y822" s="212">
        <v>10399.66</v>
      </c>
      <c r="Z822" s="212">
        <v>10399.66</v>
      </c>
      <c r="AA822" s="212">
        <v>10399.66</v>
      </c>
      <c r="AB822" s="983">
        <v>11774.43</v>
      </c>
      <c r="AC822" s="214">
        <v>10952.77</v>
      </c>
      <c r="AD822" s="214">
        <v>10500.37</v>
      </c>
      <c r="AE822" s="214">
        <v>10051.219999999999</v>
      </c>
      <c r="AF822" s="258">
        <f t="shared" si="151"/>
        <v>10051.219999999999</v>
      </c>
      <c r="AG822" s="923"/>
      <c r="AH822" s="115"/>
      <c r="AK822" s="924"/>
      <c r="DF822" s="1502" t="str">
        <f t="shared" si="152"/>
        <v>ASHP-SEER18-Replace_CAC_ElectricHeat_ER1_SF</v>
      </c>
      <c r="DG822" s="1052"/>
      <c r="DH822" s="1323" t="str">
        <f t="shared" si="157"/>
        <v>Heating Res 6 Year EUL</v>
      </c>
      <c r="DI822" s="1049">
        <f>(INDEX('Avoided Cost Benefits'!$B$4:$B$866,MATCH(DH822,'Avoided Cost Benefits'!$A$4:$A$866,0)))*F822</f>
        <v>2695.5242250619781</v>
      </c>
      <c r="DJ822" s="1952">
        <f t="shared" si="153"/>
        <v>0</v>
      </c>
      <c r="DM822" s="239"/>
    </row>
    <row r="823" spans="1:117" x14ac:dyDescent="0.25">
      <c r="A823" s="442"/>
      <c r="B823" s="1384">
        <f t="shared" si="150"/>
        <v>354250</v>
      </c>
      <c r="C823" s="18" t="s">
        <v>1305</v>
      </c>
      <c r="D823" s="551" t="s">
        <v>686</v>
      </c>
      <c r="E823" s="1323" t="s">
        <v>1307</v>
      </c>
      <c r="F823" s="212">
        <f>ROUND(((K1326*K1416*(1/K1506-1/K1596)*K1686)/1000)*$K$1719,2)</f>
        <v>666.45</v>
      </c>
      <c r="G823" s="552" t="s">
        <v>1178</v>
      </c>
      <c r="H823" s="66">
        <f>VLOOKUP(G823,'CP FACTORS'!$A$3:$B$38, 2, FALSE)</f>
        <v>9.4741810000000004E-4</v>
      </c>
      <c r="I823" s="985">
        <f t="shared" si="156"/>
        <v>0.63140700000000005</v>
      </c>
      <c r="J823" s="57">
        <f t="shared" si="155"/>
        <v>12</v>
      </c>
      <c r="K823" s="155">
        <f t="shared" si="154"/>
        <v>0</v>
      </c>
      <c r="L823" s="242"/>
      <c r="M823" s="542"/>
      <c r="N823" s="554"/>
      <c r="O823" s="403"/>
      <c r="R823" s="521"/>
      <c r="T823" s="50"/>
      <c r="U823" s="556"/>
      <c r="V823" s="1371" t="s">
        <v>45</v>
      </c>
      <c r="W823" s="923">
        <v>690.74358974358995</v>
      </c>
      <c r="X823" s="241">
        <v>690.74358974358995</v>
      </c>
      <c r="Y823" s="212">
        <v>690.74</v>
      </c>
      <c r="Z823" s="212">
        <v>690.74</v>
      </c>
      <c r="AA823" s="212">
        <v>690.74</v>
      </c>
      <c r="AB823" s="983">
        <v>822.66</v>
      </c>
      <c r="AC823" s="214">
        <v>697.15</v>
      </c>
      <c r="AD823" s="214">
        <v>708.01</v>
      </c>
      <c r="AE823" s="214">
        <v>530.95000000000005</v>
      </c>
      <c r="AF823" s="258">
        <f t="shared" si="151"/>
        <v>666.45</v>
      </c>
      <c r="AG823" s="923"/>
      <c r="AH823" s="115"/>
      <c r="AK823" s="924"/>
      <c r="DF823" s="1502" t="str">
        <f t="shared" si="152"/>
        <v>ASHP-SEER18-Replace_CAC_ElectricHeat_ER2_SF</v>
      </c>
      <c r="DG823" s="1052"/>
      <c r="DH823" s="1323" t="str">
        <f t="shared" si="157"/>
        <v>Cooling Res ER2 12 Year EUL</v>
      </c>
      <c r="DI823" s="1049">
        <f>(INDEX('Avoided Cost Benefits'!$B$4:$B$866,MATCH(DH823,'Avoided Cost Benefits'!$A$4:$A$866,0)))*F823</f>
        <v>862.33351870396484</v>
      </c>
      <c r="DJ823" s="1952">
        <f t="shared" si="153"/>
        <v>0</v>
      </c>
      <c r="DM823" s="239"/>
    </row>
    <row r="824" spans="1:117" x14ac:dyDescent="0.25">
      <c r="A824" s="442"/>
      <c r="B824" s="1384">
        <f t="shared" si="150"/>
        <v>354250</v>
      </c>
      <c r="C824" s="18" t="s">
        <v>1305</v>
      </c>
      <c r="D824" s="551" t="s">
        <v>686</v>
      </c>
      <c r="E824" s="1299" t="s">
        <v>1307</v>
      </c>
      <c r="F824" s="212">
        <f>ROUND(((K966*K1056*(1/K1146-1/K1236)*K1686)/1000)*$K$1719,2)</f>
        <v>10051.219999999999</v>
      </c>
      <c r="G824" s="552" t="s">
        <v>1214</v>
      </c>
      <c r="H824" s="66">
        <f>VLOOKUP(G824,'CP FACTORS'!$A$3:$B$38, 2, FALSE)</f>
        <v>0</v>
      </c>
      <c r="I824" s="985">
        <f t="shared" si="156"/>
        <v>0</v>
      </c>
      <c r="J824" s="57">
        <f t="shared" si="155"/>
        <v>12</v>
      </c>
      <c r="K824" s="155">
        <f t="shared" si="154"/>
        <v>0</v>
      </c>
      <c r="L824" s="242"/>
      <c r="M824" s="542"/>
      <c r="N824" s="554"/>
      <c r="O824" s="403"/>
      <c r="R824" s="521"/>
      <c r="T824" s="50"/>
      <c r="U824" s="556"/>
      <c r="V824" s="1371" t="s">
        <v>45</v>
      </c>
      <c r="W824" s="923">
        <v>13965.852998065762</v>
      </c>
      <c r="X824" s="238">
        <v>10399.659574468084</v>
      </c>
      <c r="Y824" s="212">
        <v>10399.66</v>
      </c>
      <c r="Z824" s="212">
        <v>10399.66</v>
      </c>
      <c r="AA824" s="212">
        <v>10399.66</v>
      </c>
      <c r="AB824" s="983">
        <v>11774.43</v>
      </c>
      <c r="AC824" s="214">
        <v>10952.77</v>
      </c>
      <c r="AD824" s="214">
        <v>10500.37</v>
      </c>
      <c r="AE824" s="214">
        <v>10051.219999999999</v>
      </c>
      <c r="AF824" s="258">
        <f t="shared" si="151"/>
        <v>10051.219999999999</v>
      </c>
      <c r="AG824" s="923"/>
      <c r="AH824" s="115"/>
      <c r="AK824" s="924"/>
      <c r="DF824" s="1502" t="str">
        <f t="shared" si="152"/>
        <v>ASHP-SEER18-Replace_CAC_ElectricHeat_ER2_SF</v>
      </c>
      <c r="DG824" s="1052"/>
      <c r="DH824" s="1299" t="str">
        <f t="shared" si="157"/>
        <v>Heating Res ER2 12 Year EUL</v>
      </c>
      <c r="DI824" s="1049">
        <f>(INDEX('Avoided Cost Benefits'!$B$4:$B$866,MATCH(DH824,'Avoided Cost Benefits'!$A$4:$A$866,0)))*F824</f>
        <v>3396.2672870893898</v>
      </c>
      <c r="DJ824" s="1952">
        <f t="shared" si="153"/>
        <v>0</v>
      </c>
      <c r="DM824" s="239"/>
    </row>
    <row r="825" spans="1:117" x14ac:dyDescent="0.25">
      <c r="A825" s="442"/>
      <c r="B825" s="1384">
        <f t="shared" si="150"/>
        <v>354260</v>
      </c>
      <c r="C825" s="18" t="s">
        <v>1308</v>
      </c>
      <c r="D825" s="551" t="s">
        <v>857</v>
      </c>
      <c r="E825" s="1323" t="s">
        <v>1309</v>
      </c>
      <c r="F825" s="212">
        <f>ROUND(((K1327*K1417*(1/K1507-1/K1597)*K1687)/1000)*$K$1719,2)</f>
        <v>2592.9299999999998</v>
      </c>
      <c r="G825" s="552" t="s">
        <v>1124</v>
      </c>
      <c r="H825" s="66">
        <f>VLOOKUP(G825,'CP FACTORS'!$A$3:$B$38, 2, FALSE)</f>
        <v>9.4741810000000004E-4</v>
      </c>
      <c r="I825" s="985">
        <f t="shared" si="156"/>
        <v>2.4565890000000001</v>
      </c>
      <c r="J825" s="57">
        <f t="shared" si="155"/>
        <v>6</v>
      </c>
      <c r="K825" s="155">
        <f t="shared" si="154"/>
        <v>578.71908821532099</v>
      </c>
      <c r="L825" s="242">
        <f>L967</f>
        <v>2.8921256722608026</v>
      </c>
      <c r="M825" s="542"/>
      <c r="N825" s="554"/>
      <c r="O825" s="403"/>
      <c r="R825" s="521"/>
      <c r="T825" s="50"/>
      <c r="U825" s="556"/>
      <c r="V825" s="1371" t="s">
        <v>45</v>
      </c>
      <c r="W825" s="923"/>
      <c r="X825" s="238"/>
      <c r="Y825" s="212"/>
      <c r="Z825" s="212"/>
      <c r="AA825" s="212"/>
      <c r="AB825" s="983"/>
      <c r="AC825" s="214">
        <v>2068.02</v>
      </c>
      <c r="AD825" s="214">
        <v>2369.3000000000002</v>
      </c>
      <c r="AE825" s="214">
        <v>2358.35</v>
      </c>
      <c r="AF825" s="258">
        <f t="shared" si="151"/>
        <v>2592.9299999999998</v>
      </c>
      <c r="AG825" s="923"/>
      <c r="AH825" s="115"/>
      <c r="AK825" s="924"/>
      <c r="DF825" s="1502" t="str">
        <f t="shared" si="152"/>
        <v>ASHP-SEER18-Replace_CAC_NonElectricHeat_ER1_SF</v>
      </c>
      <c r="DG825" s="1048">
        <f>(DI825+DI826+DI827+DI828)/(DJ825+DJ826+DJ827+DJ828)</f>
        <v>5.9519341867931326</v>
      </c>
      <c r="DH825" s="1323" t="str">
        <f t="shared" si="157"/>
        <v>Cooling Res 6 Year EUL</v>
      </c>
      <c r="DI825" s="1049">
        <f>(INDEX('Avoided Cost Benefits'!$B$4:$B$866,MATCH(DH825,'Avoided Cost Benefits'!$A$4:$A$866,0)))*F825</f>
        <v>2582.1644069945551</v>
      </c>
      <c r="DJ825" s="1952">
        <f t="shared" si="153"/>
        <v>578.71908821532099</v>
      </c>
      <c r="DM825" s="239"/>
    </row>
    <row r="826" spans="1:117" x14ac:dyDescent="0.25">
      <c r="A826" s="442"/>
      <c r="B826" s="1384">
        <f t="shared" si="150"/>
        <v>354260</v>
      </c>
      <c r="C826" s="18" t="s">
        <v>1308</v>
      </c>
      <c r="D826" s="551" t="s">
        <v>857</v>
      </c>
      <c r="E826" s="1323" t="s">
        <v>1309</v>
      </c>
      <c r="F826" s="212">
        <v>0</v>
      </c>
      <c r="G826" s="552" t="s">
        <v>1125</v>
      </c>
      <c r="H826" s="66">
        <f>VLOOKUP(G826,'CP FACTORS'!$A$3:$B$38, 2, FALSE)</f>
        <v>0</v>
      </c>
      <c r="I826" s="985">
        <f t="shared" si="156"/>
        <v>0</v>
      </c>
      <c r="J826" s="57">
        <f t="shared" si="155"/>
        <v>6</v>
      </c>
      <c r="K826" s="155">
        <f t="shared" si="154"/>
        <v>0</v>
      </c>
      <c r="L826" s="242"/>
      <c r="M826" s="542"/>
      <c r="N826" s="554"/>
      <c r="O826" s="403"/>
      <c r="R826" s="521"/>
      <c r="T826" s="50"/>
      <c r="U826" s="556"/>
      <c r="V826" s="1371" t="s">
        <v>45</v>
      </c>
      <c r="W826" s="923"/>
      <c r="X826" s="238"/>
      <c r="Y826" s="212"/>
      <c r="Z826" s="212"/>
      <c r="AA826" s="212"/>
      <c r="AB826" s="983"/>
      <c r="AC826" s="214">
        <v>0</v>
      </c>
      <c r="AD826" s="212">
        <v>0</v>
      </c>
      <c r="AE826" s="212">
        <v>0</v>
      </c>
      <c r="AF826" s="258">
        <f t="shared" si="151"/>
        <v>0</v>
      </c>
      <c r="AG826" s="923"/>
      <c r="AH826" s="115"/>
      <c r="AK826" s="924"/>
      <c r="DF826" s="1502" t="str">
        <f t="shared" si="152"/>
        <v>ASHP-SEER18-Replace_CAC_NonElectricHeat_ER1_SF</v>
      </c>
      <c r="DG826" s="1052"/>
      <c r="DH826" s="1323" t="str">
        <f t="shared" si="157"/>
        <v>Heating Res 6 Year EUL</v>
      </c>
      <c r="DI826" s="1049">
        <f>(INDEX('Avoided Cost Benefits'!$B$4:$B$866,MATCH(DH826,'Avoided Cost Benefits'!$A$4:$A$866,0)))*F826</f>
        <v>0</v>
      </c>
      <c r="DJ826" s="1952">
        <f t="shared" si="153"/>
        <v>0</v>
      </c>
      <c r="DM826" s="239"/>
    </row>
    <row r="827" spans="1:117" x14ac:dyDescent="0.25">
      <c r="A827" s="442"/>
      <c r="B827" s="1384">
        <f t="shared" ref="B827:B858" si="158">VALUE(LEFT(C827,6))</f>
        <v>354260</v>
      </c>
      <c r="C827" s="18" t="s">
        <v>1308</v>
      </c>
      <c r="D827" s="551" t="s">
        <v>857</v>
      </c>
      <c r="E827" s="1323" t="s">
        <v>1310</v>
      </c>
      <c r="F827" s="212">
        <f>ROUND(((K1328*K1418*(1/K1508-1/K1598)*K1688)/1000)*$K$1719,2)</f>
        <v>666.45</v>
      </c>
      <c r="G827" s="552" t="s">
        <v>1178</v>
      </c>
      <c r="H827" s="66">
        <f>VLOOKUP(G827,'CP FACTORS'!$A$3:$B$38, 2, FALSE)</f>
        <v>9.4741810000000004E-4</v>
      </c>
      <c r="I827" s="985">
        <f t="shared" si="156"/>
        <v>0.63140700000000005</v>
      </c>
      <c r="J827" s="57">
        <f t="shared" si="155"/>
        <v>12</v>
      </c>
      <c r="K827" s="155">
        <f t="shared" si="154"/>
        <v>0</v>
      </c>
      <c r="L827" s="242"/>
      <c r="M827" s="542"/>
      <c r="N827" s="554"/>
      <c r="O827" s="403"/>
      <c r="R827" s="521"/>
      <c r="T827" s="50"/>
      <c r="U827" s="556"/>
      <c r="V827" s="1371" t="s">
        <v>45</v>
      </c>
      <c r="W827" s="923"/>
      <c r="X827" s="238"/>
      <c r="Y827" s="212"/>
      <c r="Z827" s="212"/>
      <c r="AA827" s="212"/>
      <c r="AB827" s="983"/>
      <c r="AC827" s="214">
        <v>697.15</v>
      </c>
      <c r="AD827" s="214">
        <v>708.01</v>
      </c>
      <c r="AE827" s="214">
        <v>530.95000000000005</v>
      </c>
      <c r="AF827" s="258">
        <f t="shared" ref="AF827:AF858" si="159">IF(F827&lt;&gt;"",F827,"")</f>
        <v>666.45</v>
      </c>
      <c r="AG827" s="923"/>
      <c r="AH827" s="115"/>
      <c r="AK827" s="924"/>
      <c r="DF827" s="1502" t="str">
        <f t="shared" si="152"/>
        <v>ASHP-SEER18-Replace_CAC_NonElectricHeat_ER2_SF</v>
      </c>
      <c r="DG827" s="1052"/>
      <c r="DH827" s="1323" t="str">
        <f t="shared" si="157"/>
        <v>Cooling Res ER2 12 Year EUL</v>
      </c>
      <c r="DI827" s="1049">
        <f>(INDEX('Avoided Cost Benefits'!$B$4:$B$866,MATCH(DH827,'Avoided Cost Benefits'!$A$4:$A$866,0)))*F827</f>
        <v>862.33351870396484</v>
      </c>
      <c r="DJ827" s="1952">
        <f t="shared" ref="DJ827:DJ858" si="160">IFERROR(K827/((1+DiscountRate)^(CurrentYear-DiscountYear)),0)</f>
        <v>0</v>
      </c>
      <c r="DM827" s="239"/>
    </row>
    <row r="828" spans="1:117" x14ac:dyDescent="0.25">
      <c r="A828" s="442"/>
      <c r="B828" s="1384">
        <f t="shared" si="158"/>
        <v>354260</v>
      </c>
      <c r="C828" s="18" t="s">
        <v>1308</v>
      </c>
      <c r="D828" s="551" t="s">
        <v>857</v>
      </c>
      <c r="E828" s="1323" t="s">
        <v>1310</v>
      </c>
      <c r="F828" s="212">
        <f>0</f>
        <v>0</v>
      </c>
      <c r="G828" s="552" t="s">
        <v>1214</v>
      </c>
      <c r="H828" s="66">
        <f>VLOOKUP(G828,'CP FACTORS'!$A$3:$B$38, 2, FALSE)</f>
        <v>0</v>
      </c>
      <c r="I828" s="985">
        <f t="shared" si="156"/>
        <v>0</v>
      </c>
      <c r="J828" s="57">
        <f t="shared" ref="J828:J832" si="161">K1839</f>
        <v>12</v>
      </c>
      <c r="K828" s="155">
        <f t="shared" si="154"/>
        <v>0</v>
      </c>
      <c r="L828" s="242"/>
      <c r="M828" s="542"/>
      <c r="N828" s="554"/>
      <c r="O828" s="403"/>
      <c r="R828" s="521"/>
      <c r="T828" s="50"/>
      <c r="U828" s="556"/>
      <c r="V828" s="1371" t="s">
        <v>45</v>
      </c>
      <c r="W828" s="923"/>
      <c r="X828" s="238"/>
      <c r="Y828" s="212"/>
      <c r="Z828" s="212"/>
      <c r="AA828" s="212"/>
      <c r="AB828" s="983"/>
      <c r="AC828" s="214">
        <v>0</v>
      </c>
      <c r="AD828" s="212">
        <v>0</v>
      </c>
      <c r="AE828" s="212">
        <v>0</v>
      </c>
      <c r="AF828" s="258">
        <f t="shared" si="159"/>
        <v>0</v>
      </c>
      <c r="AG828" s="923"/>
      <c r="AH828" s="115"/>
      <c r="AK828" s="924"/>
      <c r="DF828" s="1502" t="str">
        <f t="shared" ref="DF828:DF859" si="162">E828</f>
        <v>ASHP-SEER18-Replace_CAC_NonElectricHeat_ER2_SF</v>
      </c>
      <c r="DG828" s="1052"/>
      <c r="DH828" s="1323" t="str">
        <f t="shared" si="157"/>
        <v>Heating Res ER2 12 Year EUL</v>
      </c>
      <c r="DI828" s="1049">
        <f>(INDEX('Avoided Cost Benefits'!$B$4:$B$866,MATCH(DH828,'Avoided Cost Benefits'!$A$4:$A$866,0)))*F828</f>
        <v>0</v>
      </c>
      <c r="DJ828" s="1952">
        <f t="shared" si="160"/>
        <v>0</v>
      </c>
      <c r="DM828" s="239"/>
    </row>
    <row r="829" spans="1:117" x14ac:dyDescent="0.25">
      <c r="A829" s="442"/>
      <c r="B829" s="1384">
        <f t="shared" si="158"/>
        <v>354300</v>
      </c>
      <c r="C829" s="18" t="s">
        <v>1311</v>
      </c>
      <c r="D829" s="551" t="s">
        <v>600</v>
      </c>
      <c r="E829" s="1298" t="s">
        <v>1312</v>
      </c>
      <c r="F829" s="212">
        <f>ROUND(((K1329*K1419*(1/K1509-1/K1599)*K1689)/1000)*$K$1719,2)</f>
        <v>2018.52</v>
      </c>
      <c r="G829" s="552" t="s">
        <v>1124</v>
      </c>
      <c r="H829" s="66">
        <f>VLOOKUP(G829,'CP FACTORS'!$A$3:$B$38, 2, FALSE)</f>
        <v>9.4741810000000004E-4</v>
      </c>
      <c r="I829" s="985">
        <f t="shared" si="156"/>
        <v>1.912382</v>
      </c>
      <c r="J829" s="57">
        <f t="shared" si="161"/>
        <v>6</v>
      </c>
      <c r="K829" s="155">
        <f t="shared" si="154"/>
        <v>3312.7316315552043</v>
      </c>
      <c r="L829" s="242">
        <f>L969</f>
        <v>1.5</v>
      </c>
      <c r="M829" s="542"/>
      <c r="N829" s="554"/>
      <c r="O829" s="403"/>
      <c r="R829" s="521"/>
      <c r="T829" s="50"/>
      <c r="U829" s="556"/>
      <c r="V829" s="1371" t="s">
        <v>45</v>
      </c>
      <c r="W829" s="923">
        <v>1922.7050980392157</v>
      </c>
      <c r="X829" s="238">
        <v>1355.1427330932372</v>
      </c>
      <c r="Y829" s="212">
        <v>1355.14</v>
      </c>
      <c r="Z829" s="212">
        <v>1355.14</v>
      </c>
      <c r="AA829" s="212">
        <v>1355.14</v>
      </c>
      <c r="AB829" s="983">
        <v>2638.66</v>
      </c>
      <c r="AC829" s="214">
        <v>1312.04</v>
      </c>
      <c r="AD829" s="214">
        <v>2018.52</v>
      </c>
      <c r="AE829" s="212">
        <v>2018.52</v>
      </c>
      <c r="AF829" s="258">
        <f t="shared" si="159"/>
        <v>2018.52</v>
      </c>
      <c r="AG829" s="923"/>
      <c r="AH829" s="115"/>
      <c r="AK829" s="924"/>
      <c r="DF829" s="1502" t="str">
        <f t="shared" si="162"/>
        <v>ASHP-SEER18-Replace_CAC_ElectricHeat_ER1_MF</v>
      </c>
      <c r="DG829" s="1048">
        <f>(DI829+DI830+DI831+DI832)/(DJ829+DJ830+DJ831+DJ832)</f>
        <v>1.6753920018422845</v>
      </c>
      <c r="DH829" s="1298" t="str">
        <f t="shared" si="157"/>
        <v>Cooling Res 6 Year EUL</v>
      </c>
      <c r="DI829" s="1049">
        <f>(INDEX('Avoided Cost Benefits'!$B$4:$B$866,MATCH(DH829,'Avoided Cost Benefits'!$A$4:$A$866,0)))*F829</f>
        <v>2010.1393014106241</v>
      </c>
      <c r="DJ829" s="1952">
        <f t="shared" si="160"/>
        <v>3312.7316315552043</v>
      </c>
      <c r="DM829" s="239"/>
    </row>
    <row r="830" spans="1:117" x14ac:dyDescent="0.25">
      <c r="A830" s="442"/>
      <c r="B830" s="1384">
        <f t="shared" si="158"/>
        <v>354300</v>
      </c>
      <c r="C830" s="18" t="s">
        <v>1311</v>
      </c>
      <c r="D830" s="551" t="s">
        <v>600</v>
      </c>
      <c r="E830" s="1323" t="s">
        <v>1312</v>
      </c>
      <c r="F830" s="212">
        <f>ROUND(((K969*K1059*(1/K1149-1/K1239)*K1689)/1000)*$K$1719,2)</f>
        <v>5203.97</v>
      </c>
      <c r="G830" s="552" t="s">
        <v>1125</v>
      </c>
      <c r="H830" s="66">
        <f>VLOOKUP(G830,'CP FACTORS'!$A$3:$B$38, 2, FALSE)</f>
        <v>0</v>
      </c>
      <c r="I830" s="985">
        <f t="shared" si="156"/>
        <v>0</v>
      </c>
      <c r="J830" s="57">
        <f t="shared" si="161"/>
        <v>6</v>
      </c>
      <c r="K830" s="155">
        <f t="shared" si="154"/>
        <v>0</v>
      </c>
      <c r="L830" s="242"/>
      <c r="M830" s="542"/>
      <c r="N830" s="554"/>
      <c r="O830" s="403"/>
      <c r="R830" s="521"/>
      <c r="T830" s="50"/>
      <c r="U830" s="556"/>
      <c r="V830" s="1371" t="s">
        <v>45</v>
      </c>
      <c r="W830" s="923">
        <v>9077.8044487427451</v>
      </c>
      <c r="X830" s="238">
        <v>6759.7787234042544</v>
      </c>
      <c r="Y830" s="212">
        <v>6759.78</v>
      </c>
      <c r="Z830" s="212">
        <v>6759.78</v>
      </c>
      <c r="AA830" s="212">
        <v>6759.78</v>
      </c>
      <c r="AB830" s="983">
        <v>9020.2199999999993</v>
      </c>
      <c r="AC830" s="214">
        <v>3382.58</v>
      </c>
      <c r="AD830" s="214">
        <v>5203.97</v>
      </c>
      <c r="AE830" s="212">
        <v>5203.97</v>
      </c>
      <c r="AF830" s="258">
        <f t="shared" si="159"/>
        <v>5203.97</v>
      </c>
      <c r="AG830" s="923"/>
      <c r="AH830" s="115"/>
      <c r="AK830" s="924"/>
      <c r="DF830" s="1502" t="str">
        <f t="shared" si="162"/>
        <v>ASHP-SEER18-Replace_CAC_ElectricHeat_ER1_MF</v>
      </c>
      <c r="DG830" s="1052"/>
      <c r="DH830" s="1323" t="str">
        <f t="shared" si="157"/>
        <v>Heating Res 6 Year EUL</v>
      </c>
      <c r="DI830" s="1049">
        <f>(INDEX('Avoided Cost Benefits'!$B$4:$B$866,MATCH(DH830,'Avoided Cost Benefits'!$A$4:$A$866,0)))*F830</f>
        <v>1395.5944851964025</v>
      </c>
      <c r="DJ830" s="1952">
        <f t="shared" si="160"/>
        <v>0</v>
      </c>
      <c r="DM830" s="239"/>
    </row>
    <row r="831" spans="1:117" x14ac:dyDescent="0.25">
      <c r="A831" s="442"/>
      <c r="B831" s="1384">
        <f t="shared" si="158"/>
        <v>354300</v>
      </c>
      <c r="C831" s="18" t="s">
        <v>1311</v>
      </c>
      <c r="D831" s="551" t="s">
        <v>600</v>
      </c>
      <c r="E831" s="1323" t="s">
        <v>1313</v>
      </c>
      <c r="F831" s="212">
        <f>ROUND(((K1330*K1420*(1/K1510-1/K1600)*K1690)/1000)*$K$1719,2)</f>
        <v>298.31</v>
      </c>
      <c r="G831" s="552" t="s">
        <v>1178</v>
      </c>
      <c r="H831" s="66">
        <f>VLOOKUP(G831,'CP FACTORS'!$A$3:$B$38, 2, FALSE)</f>
        <v>9.4741810000000004E-4</v>
      </c>
      <c r="I831" s="985">
        <f t="shared" si="156"/>
        <v>0.28262399999999999</v>
      </c>
      <c r="J831" s="57">
        <f t="shared" si="161"/>
        <v>12</v>
      </c>
      <c r="K831" s="155">
        <f t="shared" si="154"/>
        <v>0</v>
      </c>
      <c r="L831" s="242"/>
      <c r="M831" s="542"/>
      <c r="N831" s="554"/>
      <c r="O831" s="403"/>
      <c r="R831" s="521"/>
      <c r="T831" s="50"/>
      <c r="U831" s="556"/>
      <c r="V831" s="1371" t="s">
        <v>45</v>
      </c>
      <c r="W831" s="923">
        <v>448.98333333333346</v>
      </c>
      <c r="X831" s="241">
        <v>448.98333333333346</v>
      </c>
      <c r="Y831" s="212">
        <v>448.98</v>
      </c>
      <c r="Z831" s="212">
        <v>448.98</v>
      </c>
      <c r="AA831" s="212">
        <v>448.98</v>
      </c>
      <c r="AB831" s="983">
        <v>579.33000000000004</v>
      </c>
      <c r="AC831" s="214">
        <v>217.25</v>
      </c>
      <c r="AD831" s="214">
        <v>334.23</v>
      </c>
      <c r="AE831" s="214">
        <v>248.29</v>
      </c>
      <c r="AF831" s="258">
        <f t="shared" si="159"/>
        <v>298.31</v>
      </c>
      <c r="AG831" s="923"/>
      <c r="AH831" s="115"/>
      <c r="AK831" s="924"/>
      <c r="DF831" s="1502" t="str">
        <f t="shared" si="162"/>
        <v>ASHP-SEER18-Replace_CAC_ElectricHeat_ER2_MF</v>
      </c>
      <c r="DG831" s="1052"/>
      <c r="DH831" s="1323" t="str">
        <f t="shared" si="157"/>
        <v>Cooling Res ER2 12 Year EUL</v>
      </c>
      <c r="DI831" s="1049">
        <f>(INDEX('Avoided Cost Benefits'!$B$4:$B$866,MATCH(DH831,'Avoided Cost Benefits'!$A$4:$A$866,0)))*F831</f>
        <v>385.98951453909484</v>
      </c>
      <c r="DJ831" s="1952">
        <f t="shared" si="160"/>
        <v>0</v>
      </c>
      <c r="DM831" s="239"/>
    </row>
    <row r="832" spans="1:117" x14ac:dyDescent="0.25">
      <c r="A832" s="442"/>
      <c r="B832" s="1384">
        <f t="shared" si="158"/>
        <v>354300</v>
      </c>
      <c r="C832" s="18" t="s">
        <v>1311</v>
      </c>
      <c r="D832" s="551" t="s">
        <v>600</v>
      </c>
      <c r="E832" s="1299" t="s">
        <v>1313</v>
      </c>
      <c r="F832" s="212">
        <f>ROUND(((K970*K1060*(1/K1150-1/K1240)*K1690)/1000)*$K$1719,2)</f>
        <v>5203.97</v>
      </c>
      <c r="G832" s="552" t="s">
        <v>1214</v>
      </c>
      <c r="H832" s="66">
        <f>VLOOKUP(G832,'CP FACTORS'!$A$3:$B$38, 2, FALSE)</f>
        <v>0</v>
      </c>
      <c r="I832" s="985">
        <f t="shared" si="156"/>
        <v>0</v>
      </c>
      <c r="J832" s="57">
        <f t="shared" si="161"/>
        <v>12</v>
      </c>
      <c r="K832" s="155">
        <f t="shared" si="154"/>
        <v>0</v>
      </c>
      <c r="L832" s="242"/>
      <c r="M832" s="542"/>
      <c r="N832" s="554"/>
      <c r="O832" s="403"/>
      <c r="R832" s="521"/>
      <c r="T832" s="50"/>
      <c r="U832" s="556"/>
      <c r="V832" s="1371" t="s">
        <v>45</v>
      </c>
      <c r="W832" s="923">
        <v>9077.8044487427451</v>
      </c>
      <c r="X832" s="238">
        <v>6759.7787234042544</v>
      </c>
      <c r="Y832" s="212">
        <v>6759.78</v>
      </c>
      <c r="Z832" s="212">
        <v>6759.78</v>
      </c>
      <c r="AA832" s="212">
        <v>6759.78</v>
      </c>
      <c r="AB832" s="983">
        <v>9020.2199999999993</v>
      </c>
      <c r="AC832" s="214">
        <v>3382.58</v>
      </c>
      <c r="AD832" s="214">
        <v>5203.97</v>
      </c>
      <c r="AE832" s="212">
        <v>5203.97</v>
      </c>
      <c r="AF832" s="258">
        <f t="shared" si="159"/>
        <v>5203.97</v>
      </c>
      <c r="AG832" s="923"/>
      <c r="AH832" s="115"/>
      <c r="AK832" s="924"/>
      <c r="DF832" s="1502" t="str">
        <f t="shared" si="162"/>
        <v>ASHP-SEER18-Replace_CAC_ElectricHeat_ER2_MF</v>
      </c>
      <c r="DG832" s="1052"/>
      <c r="DH832" s="1299" t="str">
        <f t="shared" si="157"/>
        <v>Heating Res ER2 12 Year EUL</v>
      </c>
      <c r="DI832" s="1049">
        <f>(INDEX('Avoided Cost Benefits'!$B$4:$B$866,MATCH(DH832,'Avoided Cost Benefits'!$A$4:$A$866,0)))*F832</f>
        <v>1758.4007786114098</v>
      </c>
      <c r="DJ832" s="1952">
        <f t="shared" si="160"/>
        <v>0</v>
      </c>
      <c r="DM832" s="239"/>
    </row>
    <row r="833" spans="1:117" x14ac:dyDescent="0.25">
      <c r="A833" s="442"/>
      <c r="B833" s="1384">
        <f t="shared" si="158"/>
        <v>354350</v>
      </c>
      <c r="C833" s="18" t="s">
        <v>1314</v>
      </c>
      <c r="D833" s="551" t="s">
        <v>600</v>
      </c>
      <c r="E833" s="1298" t="s">
        <v>1315</v>
      </c>
      <c r="F833" s="212">
        <f>ROUND(((K1331*K1421*(1/K1511-1/K1601)*K1691)/1000)*$K$1719,2)</f>
        <v>2464.77</v>
      </c>
      <c r="G833" s="552" t="s">
        <v>1124</v>
      </c>
      <c r="H833" s="66">
        <f>VLOOKUP(G833,'CP FACTORS'!$A$3:$B$38, 2, FALSE)</f>
        <v>9.4741810000000004E-4</v>
      </c>
      <c r="I833" s="985">
        <f t="shared" si="156"/>
        <v>2.3351679999999999</v>
      </c>
      <c r="J833" s="57">
        <f t="shared" ref="J833:J859" si="163">K1844</f>
        <v>6</v>
      </c>
      <c r="K833" s="155">
        <f t="shared" si="154"/>
        <v>851.66719041900797</v>
      </c>
      <c r="L833" s="242">
        <f>L971</f>
        <v>2.5</v>
      </c>
      <c r="M833" s="542"/>
      <c r="N833" s="554"/>
      <c r="O833" s="403"/>
      <c r="R833" s="521"/>
      <c r="T833" s="50"/>
      <c r="U833" s="556"/>
      <c r="V833" s="1371" t="s">
        <v>45</v>
      </c>
      <c r="W833" s="923">
        <v>1864.0050000000006</v>
      </c>
      <c r="X833" s="238">
        <v>1442.5712965186076</v>
      </c>
      <c r="Y833" s="212">
        <v>1442.57</v>
      </c>
      <c r="Z833" s="212">
        <v>1442.57</v>
      </c>
      <c r="AA833" s="212">
        <v>1442.57</v>
      </c>
      <c r="AB833" s="984">
        <v>1442.57</v>
      </c>
      <c r="AC833" s="214">
        <v>2201.5</v>
      </c>
      <c r="AD833" s="214">
        <v>2464.77</v>
      </c>
      <c r="AE833" s="212">
        <v>2464.77</v>
      </c>
      <c r="AF833" s="258">
        <f t="shared" si="159"/>
        <v>2464.77</v>
      </c>
      <c r="AG833" s="923"/>
      <c r="AH833" s="115"/>
      <c r="AK833" s="924"/>
      <c r="DF833" s="1502" t="str">
        <f t="shared" si="162"/>
        <v>ASHP-SEER18_ER1_MF</v>
      </c>
      <c r="DG833" s="1048">
        <f>(DI833+DI834+DI835+DI836)/(DJ833+DJ834+DJ835+DJ836)</f>
        <v>4.7794321092849037</v>
      </c>
      <c r="DH833" s="1298" t="str">
        <f t="shared" si="157"/>
        <v>Cooling Res 6 Year EUL</v>
      </c>
      <c r="DI833" s="1049">
        <f>(INDEX('Avoided Cost Benefits'!$B$4:$B$866,MATCH(DH833,'Avoided Cost Benefits'!$A$4:$A$866,0)))*F833</f>
        <v>2454.5365148414999</v>
      </c>
      <c r="DJ833" s="1952">
        <f t="shared" si="160"/>
        <v>851.66719041900797</v>
      </c>
      <c r="DM833" s="239"/>
    </row>
    <row r="834" spans="1:117" x14ac:dyDescent="0.25">
      <c r="A834" s="442"/>
      <c r="B834" s="1384">
        <f t="shared" si="158"/>
        <v>354350</v>
      </c>
      <c r="C834" s="18" t="s">
        <v>1314</v>
      </c>
      <c r="D834" s="551" t="s">
        <v>600</v>
      </c>
      <c r="E834" s="1323" t="s">
        <v>1315</v>
      </c>
      <c r="F834" s="212">
        <f>ROUND(((K971*K1061*(1/K1151-1/K1241)*K1691)/1000)*$K$1719,2)</f>
        <v>2332.67</v>
      </c>
      <c r="G834" s="552" t="s">
        <v>1125</v>
      </c>
      <c r="H834" s="66">
        <f>VLOOKUP(G834,'CP FACTORS'!$A$3:$B$38, 2, FALSE)</f>
        <v>0</v>
      </c>
      <c r="I834" s="985">
        <f t="shared" si="156"/>
        <v>0</v>
      </c>
      <c r="J834" s="57">
        <f t="shared" si="163"/>
        <v>6</v>
      </c>
      <c r="K834" s="155">
        <f t="shared" si="154"/>
        <v>0</v>
      </c>
      <c r="L834" s="242"/>
      <c r="M834" s="542"/>
      <c r="N834" s="554"/>
      <c r="O834" s="403"/>
      <c r="R834" s="521"/>
      <c r="T834" s="50"/>
      <c r="U834" s="556"/>
      <c r="V834" s="1371" t="s">
        <v>45</v>
      </c>
      <c r="W834" s="923">
        <v>4062.4872213622284</v>
      </c>
      <c r="X834" s="238">
        <v>1798.7611070228763</v>
      </c>
      <c r="Y834" s="212">
        <v>1798.76</v>
      </c>
      <c r="Z834" s="212">
        <v>1798.76</v>
      </c>
      <c r="AA834" s="212">
        <v>1798.76</v>
      </c>
      <c r="AB834" s="984">
        <v>1798.76</v>
      </c>
      <c r="AC834" s="214">
        <v>2725.4</v>
      </c>
      <c r="AD834" s="214">
        <v>2332.67</v>
      </c>
      <c r="AE834" s="212">
        <v>2332.67</v>
      </c>
      <c r="AF834" s="258">
        <f t="shared" si="159"/>
        <v>2332.67</v>
      </c>
      <c r="AG834" s="923"/>
      <c r="AH834" s="115"/>
      <c r="AK834" s="924"/>
      <c r="DF834" s="1502" t="str">
        <f t="shared" si="162"/>
        <v>ASHP-SEER18_ER1_MF</v>
      </c>
      <c r="DG834" s="1052"/>
      <c r="DH834" s="1323" t="str">
        <f t="shared" si="157"/>
        <v>Heating Res 6 Year EUL</v>
      </c>
      <c r="DI834" s="1049">
        <f>(INDEX('Avoided Cost Benefits'!$B$4:$B$866,MATCH(DH834,'Avoided Cost Benefits'!$A$4:$A$866,0)))*F834</f>
        <v>625.57266621119879</v>
      </c>
      <c r="DJ834" s="1952">
        <f t="shared" si="160"/>
        <v>0</v>
      </c>
      <c r="DM834" s="239"/>
    </row>
    <row r="835" spans="1:117" x14ac:dyDescent="0.25">
      <c r="A835" s="442"/>
      <c r="B835" s="1384">
        <f t="shared" si="158"/>
        <v>354350</v>
      </c>
      <c r="C835" s="18" t="s">
        <v>1314</v>
      </c>
      <c r="D835" s="551" t="s">
        <v>600</v>
      </c>
      <c r="E835" s="1323" t="s">
        <v>1316</v>
      </c>
      <c r="F835" s="212">
        <f>ROUND(((K1332*K1422*(1/K1512-1/K1602)*K1692)/1000)*$K$1719,2)</f>
        <v>374.74</v>
      </c>
      <c r="G835" s="552" t="s">
        <v>1178</v>
      </c>
      <c r="H835" s="66">
        <f>VLOOKUP(G835,'CP FACTORS'!$A$3:$B$38, 2, FALSE)</f>
        <v>9.4741810000000004E-4</v>
      </c>
      <c r="I835" s="985">
        <f t="shared" si="156"/>
        <v>0.35503499999999999</v>
      </c>
      <c r="J835" s="57">
        <f t="shared" si="163"/>
        <v>12</v>
      </c>
      <c r="K835" s="155">
        <f t="shared" si="154"/>
        <v>0</v>
      </c>
      <c r="L835" s="242"/>
      <c r="M835" s="542"/>
      <c r="N835" s="554"/>
      <c r="O835" s="403"/>
      <c r="R835" s="521"/>
      <c r="T835" s="50"/>
      <c r="U835" s="556"/>
      <c r="V835" s="1371" t="s">
        <v>45</v>
      </c>
      <c r="W835" s="923">
        <v>355.04857142857139</v>
      </c>
      <c r="X835" s="241">
        <v>355.04857142857139</v>
      </c>
      <c r="Y835" s="212">
        <v>355.05</v>
      </c>
      <c r="Z835" s="212">
        <v>355.05</v>
      </c>
      <c r="AA835" s="212">
        <v>355.05</v>
      </c>
      <c r="AB835" s="984">
        <v>355.05</v>
      </c>
      <c r="AC835" s="214">
        <v>588.84</v>
      </c>
      <c r="AD835" s="214">
        <v>413.81</v>
      </c>
      <c r="AE835" s="214">
        <v>289.67</v>
      </c>
      <c r="AF835" s="258">
        <f t="shared" si="159"/>
        <v>374.74</v>
      </c>
      <c r="AG835" s="923"/>
      <c r="AH835" s="115"/>
      <c r="AK835" s="924"/>
      <c r="DF835" s="1502" t="str">
        <f t="shared" si="162"/>
        <v>ASHP-SEER18_ER2_MF</v>
      </c>
      <c r="DG835" s="1052"/>
      <c r="DH835" s="1323" t="str">
        <f t="shared" si="157"/>
        <v>Cooling Res ER2 12 Year EUL</v>
      </c>
      <c r="DI835" s="1049">
        <f>(INDEX('Avoided Cost Benefits'!$B$4:$B$866,MATCH(DH835,'Avoided Cost Benefits'!$A$4:$A$866,0)))*F835</f>
        <v>484.88388146016024</v>
      </c>
      <c r="DJ835" s="1952">
        <f t="shared" si="160"/>
        <v>0</v>
      </c>
      <c r="DM835" s="239"/>
    </row>
    <row r="836" spans="1:117" x14ac:dyDescent="0.25">
      <c r="A836" s="442"/>
      <c r="B836" s="1384">
        <f t="shared" si="158"/>
        <v>354350</v>
      </c>
      <c r="C836" s="18" t="s">
        <v>1314</v>
      </c>
      <c r="D836" s="551" t="s">
        <v>600</v>
      </c>
      <c r="E836" s="1299" t="s">
        <v>1316</v>
      </c>
      <c r="F836" s="212">
        <f>ROUND(((K972*K1062*(1/K1152-1/K1242)*K1692)/1000)*$K$1719,2)</f>
        <v>1496</v>
      </c>
      <c r="G836" s="552" t="s">
        <v>1214</v>
      </c>
      <c r="H836" s="66">
        <f>VLOOKUP(G836,'CP FACTORS'!$A$3:$B$38, 2, FALSE)</f>
        <v>0</v>
      </c>
      <c r="I836" s="985">
        <f t="shared" si="156"/>
        <v>0</v>
      </c>
      <c r="J836" s="57">
        <f t="shared" si="163"/>
        <v>12</v>
      </c>
      <c r="K836" s="155">
        <f t="shared" si="154"/>
        <v>0</v>
      </c>
      <c r="L836" s="242"/>
      <c r="M836" s="542"/>
      <c r="N836" s="554"/>
      <c r="O836" s="403"/>
      <c r="R836" s="521"/>
      <c r="T836" s="50"/>
      <c r="U836" s="556"/>
      <c r="V836" s="1371" t="s">
        <v>45</v>
      </c>
      <c r="W836" s="923">
        <v>862.96736842105349</v>
      </c>
      <c r="X836" s="238">
        <v>642.6078562259313</v>
      </c>
      <c r="Y836" s="212">
        <v>642.61</v>
      </c>
      <c r="Z836" s="212">
        <v>642.61</v>
      </c>
      <c r="AA836" s="212">
        <v>642.61</v>
      </c>
      <c r="AB836" s="984">
        <v>642.61</v>
      </c>
      <c r="AC836" s="214">
        <v>973.65</v>
      </c>
      <c r="AD836" s="214">
        <v>985.17</v>
      </c>
      <c r="AE836" s="214">
        <v>730.6</v>
      </c>
      <c r="AF836" s="258">
        <f t="shared" si="159"/>
        <v>1496</v>
      </c>
      <c r="AG836" s="923"/>
      <c r="AH836" s="115"/>
      <c r="AK836" s="924"/>
      <c r="DF836" s="1502" t="str">
        <f t="shared" si="162"/>
        <v>ASHP-SEER18_ER2_MF</v>
      </c>
      <c r="DG836" s="1052"/>
      <c r="DH836" s="1299" t="str">
        <f t="shared" si="157"/>
        <v>Heating Res ER2 12 Year EUL</v>
      </c>
      <c r="DI836" s="1049">
        <f>(INDEX('Avoided Cost Benefits'!$B$4:$B$866,MATCH(DH836,'Avoided Cost Benefits'!$A$4:$A$866,0)))*F836</f>
        <v>505.49245380020807</v>
      </c>
      <c r="DJ836" s="1952">
        <f t="shared" si="160"/>
        <v>0</v>
      </c>
      <c r="DM836" s="239"/>
    </row>
    <row r="837" spans="1:117" x14ac:dyDescent="0.25">
      <c r="A837" s="442"/>
      <c r="B837" s="1384">
        <f t="shared" si="158"/>
        <v>354400</v>
      </c>
      <c r="C837" s="18" t="s">
        <v>1317</v>
      </c>
      <c r="D837" s="551" t="s">
        <v>686</v>
      </c>
      <c r="E837" s="1298" t="s">
        <v>1318</v>
      </c>
      <c r="F837" s="212">
        <f>ROUND(((K1333*K1423*(1/K1513-1/K1603)*K1693)/1000)*$K$1719,2)</f>
        <v>2563.17</v>
      </c>
      <c r="G837" s="552" t="s">
        <v>1124</v>
      </c>
      <c r="H837" s="66">
        <f>VLOOKUP(G837,'CP FACTORS'!$A$3:$B$38, 2, FALSE)</f>
        <v>9.4741810000000004E-4</v>
      </c>
      <c r="I837" s="985">
        <f t="shared" si="156"/>
        <v>2.4283939999999999</v>
      </c>
      <c r="J837" s="57">
        <f t="shared" si="163"/>
        <v>6</v>
      </c>
      <c r="K837" s="155">
        <f t="shared" ref="K837:K868" si="164">IF(C837&lt;&gt;C836,VLOOKUP(C837,$J$1900:$K$2097,2,FALSE),0)</f>
        <v>4902.6041805257928</v>
      </c>
      <c r="L837" s="242">
        <f>L973</f>
        <v>3.7731209149509803</v>
      </c>
      <c r="M837" s="542"/>
      <c r="N837" s="554"/>
      <c r="O837" s="403"/>
      <c r="R837" s="521"/>
      <c r="T837" s="50"/>
      <c r="U837" s="556"/>
      <c r="V837" s="1371" t="s">
        <v>45</v>
      </c>
      <c r="W837" s="923">
        <v>3052.5306501547993</v>
      </c>
      <c r="X837" s="238">
        <v>2179.3577810071401</v>
      </c>
      <c r="Y837" s="212">
        <v>2179.36</v>
      </c>
      <c r="Z837" s="212">
        <v>2179.36</v>
      </c>
      <c r="AA837" s="212">
        <v>2179.36</v>
      </c>
      <c r="AB837" s="984">
        <v>2179.36</v>
      </c>
      <c r="AC837" s="214">
        <v>2436.71</v>
      </c>
      <c r="AD837" s="214">
        <v>3279.14</v>
      </c>
      <c r="AE837" s="214">
        <v>2673.03</v>
      </c>
      <c r="AF837" s="258">
        <f t="shared" si="159"/>
        <v>2563.17</v>
      </c>
      <c r="AG837" s="923"/>
      <c r="AH837" s="115"/>
      <c r="AK837" s="924"/>
      <c r="DF837" s="1502" t="str">
        <f t="shared" si="162"/>
        <v>ASHP-SEER19-Replace_CAC_ElectricHeat_ER1_SF</v>
      </c>
      <c r="DG837" s="1048">
        <f>(DI837+DI838+DI839+DI840)/(DJ837+DJ838+DJ839+DJ840)</f>
        <v>2.3681443479676405</v>
      </c>
      <c r="DH837" s="1298" t="str">
        <f t="shared" si="157"/>
        <v>Cooling Res 6 Year EUL</v>
      </c>
      <c r="DI837" s="1049">
        <f>(INDEX('Avoided Cost Benefits'!$B$4:$B$866,MATCH(DH837,'Avoided Cost Benefits'!$A$4:$A$866,0)))*F837</f>
        <v>2552.5279676181904</v>
      </c>
      <c r="DJ837" s="1952">
        <f t="shared" si="160"/>
        <v>4902.6041805257928</v>
      </c>
      <c r="DM837" s="239"/>
    </row>
    <row r="838" spans="1:117" x14ac:dyDescent="0.25">
      <c r="A838" s="442"/>
      <c r="B838" s="1384">
        <f t="shared" si="158"/>
        <v>354400</v>
      </c>
      <c r="C838" s="18" t="s">
        <v>1317</v>
      </c>
      <c r="D838" s="551" t="s">
        <v>686</v>
      </c>
      <c r="E838" s="1323" t="s">
        <v>1318</v>
      </c>
      <c r="F838" s="212">
        <f>ROUND(((K973*K1063*(1/K1153-1/K1243)*K1693)/1000)*$K$1719,2)</f>
        <v>13145.12</v>
      </c>
      <c r="G838" s="552" t="s">
        <v>1125</v>
      </c>
      <c r="H838" s="66">
        <f>VLOOKUP(G838,'CP FACTORS'!$A$3:$B$38, 2, FALSE)</f>
        <v>0</v>
      </c>
      <c r="I838" s="985">
        <f t="shared" si="156"/>
        <v>0</v>
      </c>
      <c r="J838" s="57">
        <f t="shared" si="163"/>
        <v>6</v>
      </c>
      <c r="K838" s="155">
        <f t="shared" si="164"/>
        <v>0</v>
      </c>
      <c r="L838" s="242"/>
      <c r="M838" s="542"/>
      <c r="N838" s="554"/>
      <c r="O838" s="403"/>
      <c r="R838" s="521"/>
      <c r="T838" s="50"/>
      <c r="U838" s="556"/>
      <c r="V838" s="1371" t="s">
        <v>45</v>
      </c>
      <c r="W838" s="923">
        <v>13965.852998065762</v>
      </c>
      <c r="X838" s="238">
        <v>10399.659574468084</v>
      </c>
      <c r="Y838" s="212">
        <v>10399.66</v>
      </c>
      <c r="Z838" s="212">
        <v>10399.66</v>
      </c>
      <c r="AA838" s="212">
        <v>10399.66</v>
      </c>
      <c r="AB838" s="984">
        <v>10399.66</v>
      </c>
      <c r="AC838" s="214">
        <v>12553.53</v>
      </c>
      <c r="AD838" s="214">
        <v>12962.58</v>
      </c>
      <c r="AE838" s="214">
        <v>13145.12</v>
      </c>
      <c r="AF838" s="258">
        <f t="shared" si="159"/>
        <v>13145.12</v>
      </c>
      <c r="AG838" s="923"/>
      <c r="AH838" s="115"/>
      <c r="AK838" s="924"/>
      <c r="DF838" s="1502" t="str">
        <f t="shared" si="162"/>
        <v>ASHP-SEER19-Replace_CAC_ElectricHeat_ER1_SF</v>
      </c>
      <c r="DG838" s="1052"/>
      <c r="DH838" s="1323" t="str">
        <f t="shared" si="157"/>
        <v>Heating Res 6 Year EUL</v>
      </c>
      <c r="DI838" s="1049">
        <f>(INDEX('Avoided Cost Benefits'!$B$4:$B$866,MATCH(DH838,'Avoided Cost Benefits'!$A$4:$A$866,0)))*F838</f>
        <v>3525.2426472952257</v>
      </c>
      <c r="DJ838" s="1952">
        <f t="shared" si="160"/>
        <v>0</v>
      </c>
      <c r="DM838" s="239"/>
    </row>
    <row r="839" spans="1:117" x14ac:dyDescent="0.25">
      <c r="A839" s="442"/>
      <c r="B839" s="1384">
        <f t="shared" si="158"/>
        <v>354400</v>
      </c>
      <c r="C839" s="18" t="s">
        <v>1317</v>
      </c>
      <c r="D839" s="551" t="s">
        <v>686</v>
      </c>
      <c r="E839" s="1323" t="s">
        <v>1319</v>
      </c>
      <c r="F839" s="212">
        <f>ROUND(((K1334*K1424*(1/K1514-1/K1604)*K1694)/1000)*$K$1719,2)</f>
        <v>842.88</v>
      </c>
      <c r="G839" s="552" t="s">
        <v>1178</v>
      </c>
      <c r="H839" s="66">
        <f>VLOOKUP(G839,'CP FACTORS'!$A$3:$B$38, 2, FALSE)</f>
        <v>9.4741810000000004E-4</v>
      </c>
      <c r="I839" s="985">
        <f t="shared" si="156"/>
        <v>0.79856000000000005</v>
      </c>
      <c r="J839" s="57">
        <f t="shared" si="163"/>
        <v>12</v>
      </c>
      <c r="K839" s="155">
        <f t="shared" si="164"/>
        <v>0</v>
      </c>
      <c r="L839" s="242"/>
      <c r="M839" s="542"/>
      <c r="N839" s="554"/>
      <c r="O839" s="403"/>
      <c r="R839" s="521"/>
      <c r="T839" s="50"/>
      <c r="U839" s="556"/>
      <c r="V839" s="1371" t="s">
        <v>45</v>
      </c>
      <c r="W839" s="923">
        <v>785.26639676113382</v>
      </c>
      <c r="X839" s="241">
        <v>785.26639676113382</v>
      </c>
      <c r="Y839" s="212">
        <v>785.27</v>
      </c>
      <c r="Z839" s="212">
        <v>785.27</v>
      </c>
      <c r="AA839" s="212">
        <v>785.27</v>
      </c>
      <c r="AB839" s="984">
        <v>785.27</v>
      </c>
      <c r="AC839" s="214">
        <v>924.84</v>
      </c>
      <c r="AD839" s="214">
        <v>1051.1199999999999</v>
      </c>
      <c r="AE839" s="214">
        <v>727.55</v>
      </c>
      <c r="AF839" s="258">
        <f t="shared" si="159"/>
        <v>842.88</v>
      </c>
      <c r="AG839" s="923"/>
      <c r="AH839" s="115"/>
      <c r="AK839" s="924"/>
      <c r="DF839" s="1502" t="str">
        <f t="shared" si="162"/>
        <v>ASHP-SEER19-Replace_CAC_ElectricHeat_ER2_SF</v>
      </c>
      <c r="DG839" s="1052"/>
      <c r="DH839" s="1323" t="str">
        <f t="shared" si="157"/>
        <v>Cooling Res ER2 12 Year EUL</v>
      </c>
      <c r="DI839" s="1049">
        <f>(INDEX('Avoided Cost Benefits'!$B$4:$B$866,MATCH(DH839,'Avoided Cost Benefits'!$A$4:$A$866,0)))*F839</f>
        <v>1090.6199658567002</v>
      </c>
      <c r="DJ839" s="1952">
        <f t="shared" si="160"/>
        <v>0</v>
      </c>
      <c r="DM839" s="239"/>
    </row>
    <row r="840" spans="1:117" x14ac:dyDescent="0.25">
      <c r="A840" s="442"/>
      <c r="B840" s="1384">
        <f t="shared" si="158"/>
        <v>354400</v>
      </c>
      <c r="C840" s="18" t="s">
        <v>1317</v>
      </c>
      <c r="D840" s="551" t="s">
        <v>686</v>
      </c>
      <c r="E840" s="1332" t="s">
        <v>1319</v>
      </c>
      <c r="F840" s="212">
        <f>ROUND(((K974*K1064*(1/K1154-1/K1244)*K1694)/1000)*$K$1719,2)</f>
        <v>13145.12</v>
      </c>
      <c r="G840" s="552" t="s">
        <v>1214</v>
      </c>
      <c r="H840" s="66">
        <f>VLOOKUP(G840,'CP FACTORS'!$A$3:$B$38, 2, FALSE)</f>
        <v>0</v>
      </c>
      <c r="I840" s="985">
        <f t="shared" si="156"/>
        <v>0</v>
      </c>
      <c r="J840" s="57">
        <f t="shared" si="163"/>
        <v>12</v>
      </c>
      <c r="K840" s="155">
        <f t="shared" si="164"/>
        <v>0</v>
      </c>
      <c r="L840" s="242"/>
      <c r="M840" s="542"/>
      <c r="N840" s="554"/>
      <c r="O840" s="403"/>
      <c r="R840" s="521"/>
      <c r="T840" s="50"/>
      <c r="U840" s="556"/>
      <c r="V840" s="1371" t="s">
        <v>45</v>
      </c>
      <c r="W840" s="923">
        <v>13965.852998065762</v>
      </c>
      <c r="X840" s="238">
        <v>10399.659574468084</v>
      </c>
      <c r="Y840" s="212">
        <v>10399.66</v>
      </c>
      <c r="Z840" s="212">
        <v>10399.66</v>
      </c>
      <c r="AA840" s="212">
        <v>10399.66</v>
      </c>
      <c r="AB840" s="984">
        <v>10399.66</v>
      </c>
      <c r="AC840" s="214">
        <v>12553.53</v>
      </c>
      <c r="AD840" s="214">
        <v>12962.58</v>
      </c>
      <c r="AE840" s="214">
        <v>13145.12</v>
      </c>
      <c r="AF840" s="258">
        <f t="shared" si="159"/>
        <v>13145.12</v>
      </c>
      <c r="AG840" s="923"/>
      <c r="AH840" s="115"/>
      <c r="AK840" s="924"/>
      <c r="DF840" s="1502" t="str">
        <f t="shared" si="162"/>
        <v>ASHP-SEER19-Replace_CAC_ElectricHeat_ER2_SF</v>
      </c>
      <c r="DG840" s="1052"/>
      <c r="DH840" s="1332" t="str">
        <f t="shared" si="157"/>
        <v>Heating Res ER2 12 Year EUL</v>
      </c>
      <c r="DI840" s="1049">
        <f>(INDEX('Avoided Cost Benefits'!$B$4:$B$866,MATCH(DH840,'Avoided Cost Benefits'!$A$4:$A$866,0)))*F840</f>
        <v>4441.6837996645663</v>
      </c>
      <c r="DJ840" s="1952">
        <f t="shared" si="160"/>
        <v>0</v>
      </c>
      <c r="DM840" s="239"/>
    </row>
    <row r="841" spans="1:117" x14ac:dyDescent="0.25">
      <c r="A841" s="442"/>
      <c r="B841" s="1384">
        <f t="shared" si="158"/>
        <v>354410</v>
      </c>
      <c r="C841" s="18" t="s">
        <v>1320</v>
      </c>
      <c r="D841" s="551" t="s">
        <v>857</v>
      </c>
      <c r="E841" s="197" t="s">
        <v>1321</v>
      </c>
      <c r="F841" s="212">
        <f>ROUND(((K1335*K1425*(1/K1515-1/K1605)*K1695)/1000)*$K$1719,2)</f>
        <v>2563.17</v>
      </c>
      <c r="G841" s="552" t="s">
        <v>1124</v>
      </c>
      <c r="H841" s="66">
        <f>VLOOKUP(G841,'CP FACTORS'!$A$3:$B$38, 2, FALSE)</f>
        <v>9.4741810000000004E-4</v>
      </c>
      <c r="I841" s="985">
        <f t="shared" si="156"/>
        <v>2.4283939999999999</v>
      </c>
      <c r="J841" s="57">
        <f t="shared" si="163"/>
        <v>6</v>
      </c>
      <c r="K841" s="155">
        <f t="shared" si="164"/>
        <v>550.39602164642804</v>
      </c>
      <c r="L841" s="242">
        <f>L975</f>
        <v>3.6</v>
      </c>
      <c r="M841" s="542"/>
      <c r="N841" s="554"/>
      <c r="O841" s="403"/>
      <c r="R841" s="521"/>
      <c r="T841" s="50"/>
      <c r="U841" s="556"/>
      <c r="V841" s="1371" t="s">
        <v>45</v>
      </c>
      <c r="W841" s="923"/>
      <c r="X841" s="238"/>
      <c r="Y841" s="212"/>
      <c r="Z841" s="212"/>
      <c r="AA841" s="212"/>
      <c r="AB841" s="984"/>
      <c r="AC841" s="214">
        <v>2436.71</v>
      </c>
      <c r="AD841" s="212">
        <v>2436.71</v>
      </c>
      <c r="AE841" s="214">
        <v>2673.03</v>
      </c>
      <c r="AF841" s="258">
        <f t="shared" si="159"/>
        <v>2563.17</v>
      </c>
      <c r="AG841" s="923"/>
      <c r="AH841" s="115"/>
      <c r="AK841" s="924"/>
      <c r="DF841" s="1502" t="str">
        <f t="shared" si="162"/>
        <v>ASHP-SEER19-Replace_CAC_NonElectricHeat_ER1_SF</v>
      </c>
      <c r="DG841" s="1048">
        <f>(DI841+DI842+DI843+DI844)/(DJ841+DJ842+DJ843+DJ844)</f>
        <v>6.6191392927894972</v>
      </c>
      <c r="DH841" s="197" t="str">
        <f t="shared" si="157"/>
        <v>Cooling Res 6 Year EUL</v>
      </c>
      <c r="DI841" s="1049">
        <f>(INDEX('Avoided Cost Benefits'!$B$4:$B$866,MATCH(DH841,'Avoided Cost Benefits'!$A$4:$A$866,0)))*F841</f>
        <v>2552.5279676181904</v>
      </c>
      <c r="DJ841" s="1952">
        <f t="shared" si="160"/>
        <v>550.39602164642804</v>
      </c>
      <c r="DM841" s="239"/>
    </row>
    <row r="842" spans="1:117" x14ac:dyDescent="0.25">
      <c r="A842" s="442"/>
      <c r="B842" s="1384">
        <f t="shared" si="158"/>
        <v>354410</v>
      </c>
      <c r="C842" s="18" t="s">
        <v>1320</v>
      </c>
      <c r="D842" s="551" t="s">
        <v>857</v>
      </c>
      <c r="E842" s="197" t="s">
        <v>1321</v>
      </c>
      <c r="F842" s="212">
        <v>0</v>
      </c>
      <c r="G842" s="552" t="s">
        <v>1125</v>
      </c>
      <c r="H842" s="66">
        <f>VLOOKUP(G842,'CP FACTORS'!$A$3:$B$38, 2, FALSE)</f>
        <v>0</v>
      </c>
      <c r="I842" s="985">
        <f t="shared" si="156"/>
        <v>0</v>
      </c>
      <c r="J842" s="57">
        <f t="shared" si="163"/>
        <v>6</v>
      </c>
      <c r="K842" s="155">
        <f t="shared" si="164"/>
        <v>0</v>
      </c>
      <c r="L842" s="242"/>
      <c r="M842" s="542"/>
      <c r="N842" s="554"/>
      <c r="O842" s="403"/>
      <c r="R842" s="521"/>
      <c r="T842" s="50"/>
      <c r="U842" s="556"/>
      <c r="V842" s="1371" t="s">
        <v>45</v>
      </c>
      <c r="W842" s="923"/>
      <c r="X842" s="238"/>
      <c r="Y842" s="212"/>
      <c r="Z842" s="212"/>
      <c r="AA842" s="212"/>
      <c r="AB842" s="984"/>
      <c r="AC842" s="214">
        <v>0</v>
      </c>
      <c r="AD842" s="212">
        <v>0</v>
      </c>
      <c r="AE842" s="212">
        <v>0</v>
      </c>
      <c r="AF842" s="258">
        <f t="shared" si="159"/>
        <v>0</v>
      </c>
      <c r="AG842" s="923"/>
      <c r="AH842" s="115"/>
      <c r="AK842" s="924"/>
      <c r="DF842" s="1502" t="str">
        <f t="shared" si="162"/>
        <v>ASHP-SEER19-Replace_CAC_NonElectricHeat_ER1_SF</v>
      </c>
      <c r="DG842" s="1052"/>
      <c r="DH842" s="197" t="str">
        <f t="shared" si="157"/>
        <v>Heating Res 6 Year EUL</v>
      </c>
      <c r="DI842" s="1049">
        <f>(INDEX('Avoided Cost Benefits'!$B$4:$B$866,MATCH(DH842,'Avoided Cost Benefits'!$A$4:$A$866,0)))*F842</f>
        <v>0</v>
      </c>
      <c r="DJ842" s="1952">
        <f t="shared" si="160"/>
        <v>0</v>
      </c>
      <c r="DM842" s="239"/>
    </row>
    <row r="843" spans="1:117" x14ac:dyDescent="0.25">
      <c r="A843" s="442"/>
      <c r="B843" s="1384">
        <f t="shared" si="158"/>
        <v>354410</v>
      </c>
      <c r="C843" s="18" t="s">
        <v>1320</v>
      </c>
      <c r="D843" s="551" t="s">
        <v>857</v>
      </c>
      <c r="E843" s="197" t="s">
        <v>1322</v>
      </c>
      <c r="F843" s="212">
        <f>ROUND(((K1336*K1426*(1/K1516-1/K1606)*K1696)/1000)*$K$1719,2)</f>
        <v>842.88</v>
      </c>
      <c r="G843" s="552" t="s">
        <v>1178</v>
      </c>
      <c r="H843" s="66">
        <f>VLOOKUP(G843,'CP FACTORS'!$A$3:$B$38, 2, FALSE)</f>
        <v>9.4741810000000004E-4</v>
      </c>
      <c r="I843" s="985">
        <f t="shared" si="156"/>
        <v>0.79856000000000005</v>
      </c>
      <c r="J843" s="57">
        <f t="shared" si="163"/>
        <v>12</v>
      </c>
      <c r="K843" s="155">
        <f t="shared" si="164"/>
        <v>0</v>
      </c>
      <c r="L843" s="242"/>
      <c r="M843" s="542"/>
      <c r="N843" s="554"/>
      <c r="O843" s="403"/>
      <c r="R843" s="521"/>
      <c r="T843" s="50"/>
      <c r="U843" s="556"/>
      <c r="V843" s="1371" t="s">
        <v>45</v>
      </c>
      <c r="W843" s="923"/>
      <c r="X843" s="238"/>
      <c r="Y843" s="212"/>
      <c r="Z843" s="212"/>
      <c r="AA843" s="212"/>
      <c r="AB843" s="984"/>
      <c r="AC843" s="214">
        <v>924.84</v>
      </c>
      <c r="AD843" s="212">
        <v>924.84</v>
      </c>
      <c r="AE843" s="214">
        <v>727.55</v>
      </c>
      <c r="AF843" s="258">
        <f t="shared" si="159"/>
        <v>842.88</v>
      </c>
      <c r="AG843" s="923"/>
      <c r="AH843" s="115"/>
      <c r="AK843" s="924"/>
      <c r="DF843" s="1502" t="str">
        <f t="shared" si="162"/>
        <v>ASHP-SEER19-Replace_CAC_NonElectricHeat_ER2_SF</v>
      </c>
      <c r="DG843" s="1052"/>
      <c r="DH843" s="197" t="str">
        <f t="shared" si="157"/>
        <v>Cooling Res ER2 12 Year EUL</v>
      </c>
      <c r="DI843" s="1049">
        <f>(INDEX('Avoided Cost Benefits'!$B$4:$B$866,MATCH(DH843,'Avoided Cost Benefits'!$A$4:$A$866,0)))*F843</f>
        <v>1090.6199658567002</v>
      </c>
      <c r="DJ843" s="1952">
        <f t="shared" si="160"/>
        <v>0</v>
      </c>
      <c r="DM843" s="239"/>
    </row>
    <row r="844" spans="1:117" x14ac:dyDescent="0.25">
      <c r="A844" s="442"/>
      <c r="B844" s="1384">
        <f t="shared" si="158"/>
        <v>354410</v>
      </c>
      <c r="C844" s="18" t="s">
        <v>1320</v>
      </c>
      <c r="D844" s="551" t="s">
        <v>857</v>
      </c>
      <c r="E844" s="197" t="s">
        <v>1322</v>
      </c>
      <c r="F844" s="212">
        <f>0</f>
        <v>0</v>
      </c>
      <c r="G844" s="552" t="s">
        <v>1214</v>
      </c>
      <c r="H844" s="66">
        <f>VLOOKUP(G844,'CP FACTORS'!$A$3:$B$38, 2, FALSE)</f>
        <v>0</v>
      </c>
      <c r="I844" s="985">
        <f t="shared" si="156"/>
        <v>0</v>
      </c>
      <c r="J844" s="57">
        <f t="shared" si="163"/>
        <v>12</v>
      </c>
      <c r="K844" s="155">
        <f t="shared" si="164"/>
        <v>0</v>
      </c>
      <c r="L844" s="242"/>
      <c r="M844" s="542"/>
      <c r="N844" s="554"/>
      <c r="O844" s="403"/>
      <c r="R844" s="521"/>
      <c r="T844" s="50"/>
      <c r="U844" s="556"/>
      <c r="V844" s="1371" t="s">
        <v>45</v>
      </c>
      <c r="W844" s="923"/>
      <c r="X844" s="238"/>
      <c r="Y844" s="212"/>
      <c r="Z844" s="212"/>
      <c r="AA844" s="212"/>
      <c r="AB844" s="984"/>
      <c r="AC844" s="214">
        <v>0</v>
      </c>
      <c r="AD844" s="212">
        <v>0</v>
      </c>
      <c r="AE844" s="212">
        <v>0</v>
      </c>
      <c r="AF844" s="258">
        <f t="shared" si="159"/>
        <v>0</v>
      </c>
      <c r="AG844" s="923"/>
      <c r="AH844" s="115"/>
      <c r="AK844" s="924"/>
      <c r="DF844" s="1502" t="str">
        <f t="shared" si="162"/>
        <v>ASHP-SEER19-Replace_CAC_NonElectricHeat_ER2_SF</v>
      </c>
      <c r="DG844" s="1052"/>
      <c r="DH844" s="197" t="str">
        <f t="shared" si="157"/>
        <v>Heating Res ER2 12 Year EUL</v>
      </c>
      <c r="DI844" s="1049">
        <f>(INDEX('Avoided Cost Benefits'!$B$4:$B$866,MATCH(DH844,'Avoided Cost Benefits'!$A$4:$A$866,0)))*F844</f>
        <v>0</v>
      </c>
      <c r="DJ844" s="1952">
        <f t="shared" si="160"/>
        <v>0</v>
      </c>
      <c r="DM844" s="239"/>
    </row>
    <row r="845" spans="1:117" x14ac:dyDescent="0.25">
      <c r="A845" s="442"/>
      <c r="B845" s="1384">
        <f t="shared" si="158"/>
        <v>354450</v>
      </c>
      <c r="C845" s="18" t="s">
        <v>1323</v>
      </c>
      <c r="D845" s="551" t="s">
        <v>600</v>
      </c>
      <c r="E845" s="1298" t="s">
        <v>1324</v>
      </c>
      <c r="F845" s="212">
        <f>ROUND(((K1337*K1427*(1/K1517-1/K1607)*K1697)/1000)*$K$1719,2)</f>
        <v>1416.58</v>
      </c>
      <c r="G845" s="552" t="s">
        <v>1124</v>
      </c>
      <c r="H845" s="66">
        <f>VLOOKUP(G845,'CP FACTORS'!$A$3:$B$38, 2, FALSE)</f>
        <v>9.4741810000000004E-4</v>
      </c>
      <c r="I845" s="985">
        <f t="shared" si="156"/>
        <v>1.3420939999999999</v>
      </c>
      <c r="J845" s="57">
        <f t="shared" si="163"/>
        <v>6</v>
      </c>
      <c r="K845" s="155">
        <f t="shared" si="164"/>
        <v>3847.7316315552043</v>
      </c>
      <c r="L845" s="242">
        <f>L977</f>
        <v>3.1</v>
      </c>
      <c r="M845" s="542"/>
      <c r="N845" s="554"/>
      <c r="O845" s="403"/>
      <c r="R845" s="521"/>
      <c r="T845" s="50"/>
      <c r="U845" s="556"/>
      <c r="V845" s="1371" t="s">
        <v>45</v>
      </c>
      <c r="W845" s="923">
        <v>1984.1449226006196</v>
      </c>
      <c r="X845" s="238">
        <v>1416.5825576546411</v>
      </c>
      <c r="Y845" s="212">
        <v>1416.58</v>
      </c>
      <c r="Z845" s="212">
        <v>1416.58</v>
      </c>
      <c r="AA845" s="212">
        <v>1416.58</v>
      </c>
      <c r="AB845" s="984">
        <v>1416.58</v>
      </c>
      <c r="AC845" s="921">
        <v>1416.58</v>
      </c>
      <c r="AD845" s="212">
        <v>1416.58</v>
      </c>
      <c r="AE845" s="212">
        <v>1416.58</v>
      </c>
      <c r="AF845" s="258">
        <f t="shared" si="159"/>
        <v>1416.58</v>
      </c>
      <c r="AG845" s="923"/>
      <c r="AH845" s="115"/>
      <c r="AK845" s="924"/>
      <c r="DF845" s="1502" t="str">
        <f t="shared" si="162"/>
        <v>ASHP-SEER19-Replace_CAC_ElectricHeat_ER1_MF</v>
      </c>
      <c r="DG845" s="1048">
        <f>(DI845+DI846+DI847+DI848)/(DJ845+DJ846+DJ847+DJ848)</f>
        <v>1.5868160812204033</v>
      </c>
      <c r="DH845" s="1298" t="str">
        <f t="shared" si="157"/>
        <v>Cooling Res 6 Year EUL</v>
      </c>
      <c r="DI845" s="1049">
        <f>(INDEX('Avoided Cost Benefits'!$B$4:$B$866,MATCH(DH845,'Avoided Cost Benefits'!$A$4:$A$866,0)))*F845</f>
        <v>1410.6984977073607</v>
      </c>
      <c r="DJ845" s="1952">
        <f t="shared" si="160"/>
        <v>3847.7316315552043</v>
      </c>
      <c r="DM845" s="239"/>
    </row>
    <row r="846" spans="1:117" x14ac:dyDescent="0.25">
      <c r="A846" s="442"/>
      <c r="B846" s="1384">
        <f t="shared" si="158"/>
        <v>354450</v>
      </c>
      <c r="C846" s="18" t="s">
        <v>1323</v>
      </c>
      <c r="D846" s="551" t="s">
        <v>600</v>
      </c>
      <c r="E846" s="1323" t="s">
        <v>1324</v>
      </c>
      <c r="F846" s="212">
        <f>ROUND(((K977*K1067*(1/K1157-1/K1247)*K1697)/1000)*$K$1719,2)</f>
        <v>6759.78</v>
      </c>
      <c r="G846" s="552" t="s">
        <v>1125</v>
      </c>
      <c r="H846" s="66">
        <f>VLOOKUP(G846,'CP FACTORS'!$A$3:$B$38, 2, FALSE)</f>
        <v>0</v>
      </c>
      <c r="I846" s="985">
        <f t="shared" si="156"/>
        <v>0</v>
      </c>
      <c r="J846" s="57">
        <f t="shared" si="163"/>
        <v>6</v>
      </c>
      <c r="K846" s="155">
        <f t="shared" si="164"/>
        <v>0</v>
      </c>
      <c r="L846" s="242"/>
      <c r="M846" s="542"/>
      <c r="N846" s="554"/>
      <c r="O846" s="403"/>
      <c r="R846" s="521"/>
      <c r="T846" s="50"/>
      <c r="U846" s="556"/>
      <c r="V846" s="1371" t="s">
        <v>45</v>
      </c>
      <c r="W846" s="923">
        <v>9077.8044487427451</v>
      </c>
      <c r="X846" s="238">
        <v>6759.7787234042544</v>
      </c>
      <c r="Y846" s="212">
        <v>6759.78</v>
      </c>
      <c r="Z846" s="212">
        <v>6759.78</v>
      </c>
      <c r="AA846" s="212">
        <v>6759.78</v>
      </c>
      <c r="AB846" s="984">
        <v>6759.78</v>
      </c>
      <c r="AC846" s="921">
        <v>6759.78</v>
      </c>
      <c r="AD846" s="212">
        <v>6759.78</v>
      </c>
      <c r="AE846" s="212">
        <v>6759.78</v>
      </c>
      <c r="AF846" s="258">
        <f t="shared" si="159"/>
        <v>6759.78</v>
      </c>
      <c r="AG846" s="923"/>
      <c r="AH846" s="115"/>
      <c r="AK846" s="924"/>
      <c r="DF846" s="1502" t="str">
        <f t="shared" si="162"/>
        <v>ASHP-SEER19-Replace_CAC_ElectricHeat_ER1_MF</v>
      </c>
      <c r="DG846" s="1052"/>
      <c r="DH846" s="1323" t="str">
        <f t="shared" si="157"/>
        <v>Heating Res 6 Year EUL</v>
      </c>
      <c r="DI846" s="1049">
        <f>(INDEX('Avoided Cost Benefits'!$B$4:$B$866,MATCH(DH846,'Avoided Cost Benefits'!$A$4:$A$866,0)))*F846</f>
        <v>1812.8297605752794</v>
      </c>
      <c r="DJ846" s="1952">
        <f t="shared" si="160"/>
        <v>0</v>
      </c>
      <c r="DM846" s="239"/>
    </row>
    <row r="847" spans="1:117" x14ac:dyDescent="0.25">
      <c r="A847" s="442"/>
      <c r="B847" s="1384">
        <f t="shared" si="158"/>
        <v>354450</v>
      </c>
      <c r="C847" s="18" t="s">
        <v>1323</v>
      </c>
      <c r="D847" s="551" t="s">
        <v>600</v>
      </c>
      <c r="E847" s="1323" t="s">
        <v>1325</v>
      </c>
      <c r="F847" s="212">
        <f>ROUND(((K1338*K1428*(1/K1518-1/K1608)*K1698)/1000)*$K$1719,2)</f>
        <v>462.17</v>
      </c>
      <c r="G847" s="552" t="s">
        <v>1178</v>
      </c>
      <c r="H847" s="66">
        <f>VLOOKUP(G847,'CP FACTORS'!$A$3:$B$38, 2, FALSE)</f>
        <v>9.4741810000000004E-4</v>
      </c>
      <c r="I847" s="985">
        <f t="shared" si="156"/>
        <v>0.43786799999999998</v>
      </c>
      <c r="J847" s="57">
        <f t="shared" si="163"/>
        <v>12</v>
      </c>
      <c r="K847" s="155">
        <f t="shared" si="164"/>
        <v>0</v>
      </c>
      <c r="L847" s="242"/>
      <c r="M847" s="542"/>
      <c r="N847" s="554"/>
      <c r="O847" s="403"/>
      <c r="R847" s="521"/>
      <c r="T847" s="50"/>
      <c r="U847" s="556"/>
      <c r="V847" s="1371" t="s">
        <v>45</v>
      </c>
      <c r="W847" s="923">
        <v>510.42315789473696</v>
      </c>
      <c r="X847" s="241">
        <v>510.42315789473696</v>
      </c>
      <c r="Y847" s="212">
        <v>510.42</v>
      </c>
      <c r="Z847" s="212">
        <v>510.42</v>
      </c>
      <c r="AA847" s="212">
        <v>510.42</v>
      </c>
      <c r="AB847" s="984">
        <v>510.42</v>
      </c>
      <c r="AC847" s="921">
        <v>510.42</v>
      </c>
      <c r="AD847" s="212">
        <v>510.42</v>
      </c>
      <c r="AE847" s="214">
        <v>394.97</v>
      </c>
      <c r="AF847" s="258">
        <f t="shared" si="159"/>
        <v>462.17</v>
      </c>
      <c r="AG847" s="923"/>
      <c r="AH847" s="115"/>
      <c r="AK847" s="924"/>
      <c r="DF847" s="1502" t="str">
        <f t="shared" si="162"/>
        <v>ASHP-SEER19-Replace_CAC_ElectricHeat_ER2_MF</v>
      </c>
      <c r="DG847" s="1052"/>
      <c r="DH847" s="1323" t="str">
        <f t="shared" si="157"/>
        <v>Cooling Res ER2 12 Year EUL</v>
      </c>
      <c r="DI847" s="1049">
        <f>(INDEX('Avoided Cost Benefits'!$B$4:$B$866,MATCH(DH847,'Avoided Cost Benefits'!$A$4:$A$866,0)))*F847</f>
        <v>598.01137720670931</v>
      </c>
      <c r="DJ847" s="1952">
        <f t="shared" si="160"/>
        <v>0</v>
      </c>
      <c r="DM847" s="239"/>
    </row>
    <row r="848" spans="1:117" x14ac:dyDescent="0.25">
      <c r="A848" s="442"/>
      <c r="B848" s="1384">
        <f t="shared" si="158"/>
        <v>354450</v>
      </c>
      <c r="C848" s="18" t="s">
        <v>1323</v>
      </c>
      <c r="D848" s="551" t="s">
        <v>600</v>
      </c>
      <c r="E848" s="1299" t="s">
        <v>1325</v>
      </c>
      <c r="F848" s="212">
        <f>ROUND(((K978*K1068*(1/K1158-1/K1248)*K1698)/1000)*$K$1719,2)</f>
        <v>6759.78</v>
      </c>
      <c r="G848" s="552" t="s">
        <v>1214</v>
      </c>
      <c r="H848" s="66">
        <f>VLOOKUP(G848,'CP FACTORS'!$A$3:$B$38, 2, FALSE)</f>
        <v>0</v>
      </c>
      <c r="I848" s="985">
        <f t="shared" si="156"/>
        <v>0</v>
      </c>
      <c r="J848" s="57">
        <f t="shared" si="163"/>
        <v>12</v>
      </c>
      <c r="K848" s="155">
        <f t="shared" si="164"/>
        <v>0</v>
      </c>
      <c r="L848" s="242"/>
      <c r="M848" s="542"/>
      <c r="N848" s="554"/>
      <c r="O848" s="403"/>
      <c r="R848" s="521"/>
      <c r="T848" s="50"/>
      <c r="U848" s="556"/>
      <c r="V848" s="1371" t="s">
        <v>45</v>
      </c>
      <c r="W848" s="923">
        <v>9077.8044487427451</v>
      </c>
      <c r="X848" s="238">
        <v>6759.7787234042544</v>
      </c>
      <c r="Y848" s="212">
        <v>6759.78</v>
      </c>
      <c r="Z848" s="212">
        <v>6759.78</v>
      </c>
      <c r="AA848" s="212">
        <v>6759.78</v>
      </c>
      <c r="AB848" s="984">
        <v>6759.78</v>
      </c>
      <c r="AC848" s="921">
        <v>6759.78</v>
      </c>
      <c r="AD848" s="212">
        <v>6759.78</v>
      </c>
      <c r="AE848" s="212">
        <v>6759.78</v>
      </c>
      <c r="AF848" s="258">
        <f t="shared" si="159"/>
        <v>6759.78</v>
      </c>
      <c r="AG848" s="923"/>
      <c r="AH848" s="115"/>
      <c r="AK848" s="924"/>
      <c r="DF848" s="1502" t="str">
        <f t="shared" si="162"/>
        <v>ASHP-SEER19-Replace_CAC_ElectricHeat_ER2_MF</v>
      </c>
      <c r="DG848" s="1052"/>
      <c r="DH848" s="1299" t="str">
        <f t="shared" si="157"/>
        <v>Heating Res ER2 12 Year EUL</v>
      </c>
      <c r="DI848" s="1049">
        <f>(INDEX('Avoided Cost Benefits'!$B$4:$B$866,MATCH(DH848,'Avoided Cost Benefits'!$A$4:$A$866,0)))*F848</f>
        <v>2284.1027936828682</v>
      </c>
      <c r="DJ848" s="1952">
        <f t="shared" si="160"/>
        <v>0</v>
      </c>
      <c r="DM848" s="239"/>
    </row>
    <row r="849" spans="1:117" x14ac:dyDescent="0.25">
      <c r="A849" s="442"/>
      <c r="B849" s="1384">
        <f t="shared" si="158"/>
        <v>354500</v>
      </c>
      <c r="C849" s="18" t="s">
        <v>1326</v>
      </c>
      <c r="D849" s="551" t="s">
        <v>600</v>
      </c>
      <c r="E849" s="1298" t="s">
        <v>1327</v>
      </c>
      <c r="F849" s="212">
        <f>ROUND(((K1339*K1429*(1/K1519-1/K1609)*K1699)/1000)*$K$1719,2)</f>
        <v>1507.97</v>
      </c>
      <c r="G849" s="552" t="s">
        <v>1124</v>
      </c>
      <c r="H849" s="66">
        <f>VLOOKUP(G849,'CP FACTORS'!$A$3:$B$38, 2, FALSE)</f>
        <v>9.4741810000000004E-4</v>
      </c>
      <c r="I849" s="1115">
        <f t="shared" ref="I849:I874" si="165">ROUND(F849*H849,6)</f>
        <v>1.4286779999999999</v>
      </c>
      <c r="J849" s="57">
        <f t="shared" si="163"/>
        <v>6</v>
      </c>
      <c r="K849" s="155">
        <f t="shared" si="164"/>
        <v>1077.5183641564863</v>
      </c>
      <c r="L849" s="242">
        <f>L979</f>
        <v>3.3</v>
      </c>
      <c r="M849" s="542"/>
      <c r="N849" s="554"/>
      <c r="O849" s="403"/>
      <c r="R849" s="521"/>
      <c r="T849" s="50"/>
      <c r="U849" s="556"/>
      <c r="V849" s="1371" t="s">
        <v>45</v>
      </c>
      <c r="W849" s="923">
        <v>1929.4086842105264</v>
      </c>
      <c r="X849" s="238">
        <v>1507.9749807291337</v>
      </c>
      <c r="Y849" s="212">
        <v>1507.97</v>
      </c>
      <c r="Z849" s="212">
        <v>1507.97</v>
      </c>
      <c r="AA849" s="212">
        <v>1507.97</v>
      </c>
      <c r="AB849" s="984">
        <v>1507.97</v>
      </c>
      <c r="AC849" s="921">
        <v>1507.97</v>
      </c>
      <c r="AD849" s="212">
        <v>1507.97</v>
      </c>
      <c r="AE849" s="212">
        <v>1507.97</v>
      </c>
      <c r="AF849" s="258">
        <f t="shared" si="159"/>
        <v>1507.97</v>
      </c>
      <c r="AG849" s="923"/>
      <c r="AH849" s="115"/>
      <c r="AK849" s="924"/>
      <c r="DF849" s="1502" t="str">
        <f t="shared" si="162"/>
        <v>ASHP-SEER19_ER1_MF</v>
      </c>
      <c r="DG849" s="1048">
        <f>(DI849+DI850+DI851+DI852)/(DJ849+DJ850+DJ851+DJ852)</f>
        <v>2.6449544224040511</v>
      </c>
      <c r="DH849" s="1298" t="str">
        <f t="shared" ref="DH849:DH874" si="166">CONCATENATE(G849," ",J849," Year EUL")</f>
        <v>Cooling Res 6 Year EUL</v>
      </c>
      <c r="DI849" s="1049">
        <f>(INDEX('Avoided Cost Benefits'!$B$4:$B$866,MATCH(DH849,'Avoided Cost Benefits'!$A$4:$A$866,0)))*F849</f>
        <v>1501.7090553218095</v>
      </c>
      <c r="DJ849" s="1952">
        <f t="shared" si="160"/>
        <v>1077.5183641564863</v>
      </c>
      <c r="DM849" s="239"/>
    </row>
    <row r="850" spans="1:117" x14ac:dyDescent="0.25">
      <c r="A850" s="442"/>
      <c r="B850" s="1384">
        <f t="shared" si="158"/>
        <v>354500</v>
      </c>
      <c r="C850" s="18" t="s">
        <v>1326</v>
      </c>
      <c r="D850" s="551" t="s">
        <v>600</v>
      </c>
      <c r="E850" s="1323" t="s">
        <v>1327</v>
      </c>
      <c r="F850" s="212">
        <f>ROUND(((K979*K1069*(1/K1159-1/K1249)*K1699)/1000)*$K$1719,2)</f>
        <v>1798.76</v>
      </c>
      <c r="G850" s="552" t="s">
        <v>1125</v>
      </c>
      <c r="H850" s="66">
        <f>VLOOKUP(G850,'CP FACTORS'!$A$3:$B$38, 2, FALSE)</f>
        <v>0</v>
      </c>
      <c r="I850" s="1115">
        <f t="shared" si="165"/>
        <v>0</v>
      </c>
      <c r="J850" s="57">
        <f t="shared" si="163"/>
        <v>6</v>
      </c>
      <c r="K850" s="155">
        <f t="shared" si="164"/>
        <v>0</v>
      </c>
      <c r="L850" s="242"/>
      <c r="M850" s="542"/>
      <c r="N850" s="554"/>
      <c r="O850" s="403"/>
      <c r="R850" s="521"/>
      <c r="T850" s="50"/>
      <c r="U850" s="556"/>
      <c r="V850" s="1371" t="s">
        <v>45</v>
      </c>
      <c r="W850" s="923">
        <v>4062.4872213622284</v>
      </c>
      <c r="X850" s="238">
        <v>1798.7611070228763</v>
      </c>
      <c r="Y850" s="212">
        <v>1798.76</v>
      </c>
      <c r="Z850" s="212">
        <v>1798.76</v>
      </c>
      <c r="AA850" s="212">
        <v>1798.76</v>
      </c>
      <c r="AB850" s="984">
        <v>1798.76</v>
      </c>
      <c r="AC850" s="921">
        <v>1798.76</v>
      </c>
      <c r="AD850" s="212">
        <v>1798.76</v>
      </c>
      <c r="AE850" s="212">
        <v>1798.76</v>
      </c>
      <c r="AF850" s="258">
        <f t="shared" si="159"/>
        <v>1798.76</v>
      </c>
      <c r="AG850" s="923"/>
      <c r="AH850" s="115"/>
      <c r="AK850" s="924"/>
      <c r="DF850" s="1502" t="str">
        <f t="shared" si="162"/>
        <v>ASHP-SEER19_ER1_MF</v>
      </c>
      <c r="DG850" s="1052"/>
      <c r="DH850" s="1323" t="str">
        <f t="shared" si="166"/>
        <v>Heating Res 6 Year EUL</v>
      </c>
      <c r="DI850" s="1049">
        <f>(INDEX('Avoided Cost Benefits'!$B$4:$B$866,MATCH(DH850,'Avoided Cost Benefits'!$A$4:$A$866,0)))*F850</f>
        <v>482.38931742340571</v>
      </c>
      <c r="DJ850" s="1952">
        <f t="shared" si="160"/>
        <v>0</v>
      </c>
      <c r="DM850" s="239"/>
    </row>
    <row r="851" spans="1:117" x14ac:dyDescent="0.25">
      <c r="A851" s="442"/>
      <c r="B851" s="1384">
        <f t="shared" si="158"/>
        <v>354500</v>
      </c>
      <c r="C851" s="18" t="s">
        <v>1326</v>
      </c>
      <c r="D851" s="551" t="s">
        <v>600</v>
      </c>
      <c r="E851" s="1323" t="s">
        <v>1328</v>
      </c>
      <c r="F851" s="212">
        <f>ROUND(((K1340*K1430*(1/K1520-1/K1610)*K1700)/1000)*$K$1719,2)</f>
        <v>386.93</v>
      </c>
      <c r="G851" s="552" t="s">
        <v>1178</v>
      </c>
      <c r="H851" s="66">
        <f>VLOOKUP(G851,'CP FACTORS'!$A$3:$B$38, 2, FALSE)</f>
        <v>9.4741810000000004E-4</v>
      </c>
      <c r="I851" s="1115">
        <f t="shared" si="165"/>
        <v>0.36658400000000002</v>
      </c>
      <c r="J851" s="57">
        <f t="shared" si="163"/>
        <v>12</v>
      </c>
      <c r="K851" s="155">
        <f t="shared" si="164"/>
        <v>0</v>
      </c>
      <c r="L851" s="242"/>
      <c r="M851" s="542"/>
      <c r="N851" s="554"/>
      <c r="O851" s="403"/>
      <c r="R851" s="521"/>
      <c r="T851" s="50"/>
      <c r="U851" s="556"/>
      <c r="V851" s="1371" t="s">
        <v>45</v>
      </c>
      <c r="W851" s="923">
        <v>420.45225563909776</v>
      </c>
      <c r="X851" s="241">
        <v>420.45225563909776</v>
      </c>
      <c r="Y851" s="212">
        <v>420.45</v>
      </c>
      <c r="Z851" s="212">
        <v>420.45</v>
      </c>
      <c r="AA851" s="212">
        <v>420.45</v>
      </c>
      <c r="AB851" s="984">
        <v>420.45</v>
      </c>
      <c r="AC851" s="921">
        <v>420.45</v>
      </c>
      <c r="AD851" s="212">
        <v>420.45</v>
      </c>
      <c r="AE851" s="214">
        <v>313.94</v>
      </c>
      <c r="AF851" s="258">
        <f t="shared" si="159"/>
        <v>386.93</v>
      </c>
      <c r="AG851" s="923"/>
      <c r="AH851" s="115"/>
      <c r="AK851" s="924"/>
      <c r="DF851" s="1502" t="str">
        <f t="shared" si="162"/>
        <v>ASHP-SEER19_ER2_MF</v>
      </c>
      <c r="DG851" s="1052"/>
      <c r="DH851" s="1323" t="str">
        <f t="shared" si="166"/>
        <v>Cooling Res ER2 12 Year EUL</v>
      </c>
      <c r="DI851" s="1049">
        <f>(INDEX('Avoided Cost Benefits'!$B$4:$B$866,MATCH(DH851,'Avoided Cost Benefits'!$A$4:$A$866,0)))*F851</f>
        <v>500.65677604040081</v>
      </c>
      <c r="DJ851" s="1952">
        <f t="shared" si="160"/>
        <v>0</v>
      </c>
      <c r="DM851" s="239"/>
    </row>
    <row r="852" spans="1:117" x14ac:dyDescent="0.25">
      <c r="A852" s="442"/>
      <c r="B852" s="1384">
        <f t="shared" si="158"/>
        <v>354500</v>
      </c>
      <c r="C852" s="18" t="s">
        <v>1326</v>
      </c>
      <c r="D852" s="551" t="s">
        <v>600</v>
      </c>
      <c r="E852" s="1299" t="s">
        <v>1328</v>
      </c>
      <c r="F852" s="212">
        <f>ROUND(((K980*K1070*(1/K1160-1/K1250)*K1700)/1000)*$K$1719,2)</f>
        <v>1080.9000000000001</v>
      </c>
      <c r="G852" s="552" t="s">
        <v>1214</v>
      </c>
      <c r="H852" s="66">
        <f>VLOOKUP(G852,'CP FACTORS'!$A$3:$B$38, 2, FALSE)</f>
        <v>0</v>
      </c>
      <c r="I852" s="1115">
        <f t="shared" si="165"/>
        <v>0</v>
      </c>
      <c r="J852" s="57">
        <f t="shared" si="163"/>
        <v>12</v>
      </c>
      <c r="K852" s="155">
        <f t="shared" si="164"/>
        <v>0</v>
      </c>
      <c r="L852" s="242"/>
      <c r="M852" s="542"/>
      <c r="N852" s="554"/>
      <c r="O852" s="403"/>
      <c r="R852" s="521"/>
      <c r="T852" s="50"/>
      <c r="U852" s="556"/>
      <c r="V852" s="1371" t="s">
        <v>45</v>
      </c>
      <c r="W852" s="923">
        <v>862.96736842105349</v>
      </c>
      <c r="X852" s="238">
        <v>642.6078562259313</v>
      </c>
      <c r="Y852" s="212">
        <v>642.61</v>
      </c>
      <c r="Z852" s="212">
        <v>642.61</v>
      </c>
      <c r="AA852" s="212">
        <v>642.61</v>
      </c>
      <c r="AB852" s="984">
        <v>642.61</v>
      </c>
      <c r="AC852" s="921">
        <v>642.61</v>
      </c>
      <c r="AD852" s="212">
        <v>642.61</v>
      </c>
      <c r="AE852" s="214">
        <v>424.19</v>
      </c>
      <c r="AF852" s="258">
        <f t="shared" si="159"/>
        <v>1080.9000000000001</v>
      </c>
      <c r="AG852" s="923"/>
      <c r="AH852" s="115"/>
      <c r="AK852" s="924"/>
      <c r="DF852" s="1502" t="str">
        <f t="shared" si="162"/>
        <v>ASHP-SEER19_ER2_MF</v>
      </c>
      <c r="DG852" s="1052"/>
      <c r="DH852" s="1299" t="str">
        <f t="shared" si="166"/>
        <v>Heating Res ER2 12 Year EUL</v>
      </c>
      <c r="DI852" s="1049">
        <f>(INDEX('Avoided Cost Benefits'!$B$4:$B$866,MATCH(DH852,'Avoided Cost Benefits'!$A$4:$A$866,0)))*F852</f>
        <v>365.23181371166106</v>
      </c>
      <c r="DJ852" s="1952">
        <f t="shared" si="160"/>
        <v>0</v>
      </c>
      <c r="DM852" s="239"/>
    </row>
    <row r="853" spans="1:117" x14ac:dyDescent="0.25">
      <c r="A853" s="442"/>
      <c r="B853" s="1384">
        <f t="shared" si="158"/>
        <v>354550</v>
      </c>
      <c r="C853" s="18" t="s">
        <v>1329</v>
      </c>
      <c r="D853" s="551" t="s">
        <v>686</v>
      </c>
      <c r="E853" s="1298" t="s">
        <v>1330</v>
      </c>
      <c r="F853" s="212">
        <f>ROUND(((K1341*K1431*(1/K1521-1/K1611)*K1701)/1000)*$K$1719,2)</f>
        <v>2257.71</v>
      </c>
      <c r="G853" s="552" t="s">
        <v>1124</v>
      </c>
      <c r="H853" s="66">
        <f>VLOOKUP(G853,'CP FACTORS'!$A$3:$B$38, 2, FALSE)</f>
        <v>9.4741810000000004E-4</v>
      </c>
      <c r="I853" s="1115">
        <f t="shared" si="165"/>
        <v>2.138995</v>
      </c>
      <c r="J853" s="57">
        <f t="shared" si="163"/>
        <v>6</v>
      </c>
      <c r="K853" s="155">
        <f t="shared" si="164"/>
        <v>1077.7021397098724</v>
      </c>
      <c r="L853" s="242">
        <f>L981</f>
        <v>2.5833656509695291</v>
      </c>
      <c r="M853" s="542"/>
      <c r="N853" s="554"/>
      <c r="O853" s="403"/>
      <c r="R853" s="521"/>
      <c r="T853" s="50"/>
      <c r="U853" s="556"/>
      <c r="V853" s="1371" t="s">
        <v>45</v>
      </c>
      <c r="W853" s="923">
        <v>3058.88</v>
      </c>
      <c r="X853" s="238">
        <v>2410.520456182473</v>
      </c>
      <c r="Y853" s="212">
        <v>2410.52</v>
      </c>
      <c r="Z853" s="212">
        <v>2410.52</v>
      </c>
      <c r="AA853" s="212">
        <v>2410.52</v>
      </c>
      <c r="AB853" s="984">
        <v>2410.52</v>
      </c>
      <c r="AC853" s="214">
        <v>3652.3</v>
      </c>
      <c r="AD853" s="214">
        <v>2594.98</v>
      </c>
      <c r="AE853" s="214">
        <v>2567.77</v>
      </c>
      <c r="AF853" s="258">
        <f t="shared" si="159"/>
        <v>2257.71</v>
      </c>
      <c r="AG853" s="923"/>
      <c r="AH853" s="115"/>
      <c r="AK853" s="924"/>
      <c r="DF853" s="1502" t="str">
        <f t="shared" si="162"/>
        <v>ASHP-SEER20_ER1_SF</v>
      </c>
      <c r="DG853" s="1048">
        <f>(DI853+DI854+DI855+DI856)/(DJ853+DJ854+DJ855+DJ856)</f>
        <v>3.9998675502126111</v>
      </c>
      <c r="DH853" s="1298" t="str">
        <f t="shared" si="166"/>
        <v>Cooling Res 6 Year EUL</v>
      </c>
      <c r="DI853" s="1049">
        <f>(INDEX('Avoided Cost Benefits'!$B$4:$B$866,MATCH(DH853,'Avoided Cost Benefits'!$A$4:$A$866,0)))*F853</f>
        <v>2248.3362078095734</v>
      </c>
      <c r="DJ853" s="1952">
        <f t="shared" si="160"/>
        <v>1077.7021397098724</v>
      </c>
      <c r="DM853" s="239"/>
    </row>
    <row r="854" spans="1:117" x14ac:dyDescent="0.25">
      <c r="A854" s="442"/>
      <c r="B854" s="1384">
        <f t="shared" si="158"/>
        <v>354550</v>
      </c>
      <c r="C854" s="18" t="s">
        <v>1329</v>
      </c>
      <c r="D854" s="551" t="s">
        <v>686</v>
      </c>
      <c r="E854" s="1323" t="s">
        <v>1330</v>
      </c>
      <c r="F854" s="212">
        <f>ROUND(((K981*K1071*(1/K1161-1/K1251)*K1701)/1000)*$K$1719,2)</f>
        <v>2572.52</v>
      </c>
      <c r="G854" s="552" t="s">
        <v>1125</v>
      </c>
      <c r="H854" s="66">
        <f>VLOOKUP(G854,'CP FACTORS'!$A$3:$B$38, 2, FALSE)</f>
        <v>0</v>
      </c>
      <c r="I854" s="1115">
        <f t="shared" si="165"/>
        <v>0</v>
      </c>
      <c r="J854" s="57">
        <f t="shared" si="163"/>
        <v>6</v>
      </c>
      <c r="K854" s="155">
        <f t="shared" si="164"/>
        <v>0</v>
      </c>
      <c r="L854" s="242"/>
      <c r="M854" s="542"/>
      <c r="N854" s="554"/>
      <c r="O854" s="403"/>
      <c r="R854" s="521"/>
      <c r="T854" s="50"/>
      <c r="U854" s="556"/>
      <c r="V854" s="1371" t="s">
        <v>45</v>
      </c>
      <c r="W854" s="923">
        <v>6249.9803405572748</v>
      </c>
      <c r="X854" s="238">
        <v>2767.3247800351946</v>
      </c>
      <c r="Y854" s="212">
        <v>2767.32</v>
      </c>
      <c r="Z854" s="212">
        <v>2767.32</v>
      </c>
      <c r="AA854" s="212">
        <v>2767.32</v>
      </c>
      <c r="AB854" s="984">
        <v>2767.32</v>
      </c>
      <c r="AC854" s="214">
        <v>5092.7700000000004</v>
      </c>
      <c r="AD854" s="214">
        <v>2662.45</v>
      </c>
      <c r="AE854" s="214">
        <v>2572.52</v>
      </c>
      <c r="AF854" s="258">
        <f t="shared" si="159"/>
        <v>2572.52</v>
      </c>
      <c r="AG854" s="923"/>
      <c r="AH854" s="115"/>
      <c r="AK854" s="924"/>
      <c r="DF854" s="1502" t="str">
        <f t="shared" si="162"/>
        <v>ASHP-SEER20_ER1_SF</v>
      </c>
      <c r="DG854" s="1052"/>
      <c r="DH854" s="1323" t="str">
        <f t="shared" si="166"/>
        <v>Heating Res 6 Year EUL</v>
      </c>
      <c r="DI854" s="1049">
        <f>(INDEX('Avoided Cost Benefits'!$B$4:$B$866,MATCH(DH854,'Avoided Cost Benefits'!$A$4:$A$866,0)))*F854</f>
        <v>689.89535394274935</v>
      </c>
      <c r="DJ854" s="1952">
        <f t="shared" si="160"/>
        <v>0</v>
      </c>
      <c r="DM854" s="239"/>
    </row>
    <row r="855" spans="1:117" x14ac:dyDescent="0.25">
      <c r="A855" s="442"/>
      <c r="B855" s="1384">
        <f t="shared" si="158"/>
        <v>354550</v>
      </c>
      <c r="C855" s="18" t="s">
        <v>1329</v>
      </c>
      <c r="D855" s="551" t="s">
        <v>686</v>
      </c>
      <c r="E855" s="1323" t="s">
        <v>1331</v>
      </c>
      <c r="F855" s="212">
        <f>ROUND(((K1342*K1432*(1/K1522-1/K1612)*K1702)/1000)*$K$1719,2)</f>
        <v>614.66</v>
      </c>
      <c r="G855" s="552" t="s">
        <v>1178</v>
      </c>
      <c r="H855" s="66">
        <f>VLOOKUP(G855,'CP FACTORS'!$A$3:$B$38, 2, FALSE)</f>
        <v>9.4741810000000004E-4</v>
      </c>
      <c r="I855" s="1115">
        <f t="shared" si="165"/>
        <v>0.58233999999999997</v>
      </c>
      <c r="J855" s="57">
        <f t="shared" si="163"/>
        <v>12</v>
      </c>
      <c r="K855" s="155">
        <f t="shared" si="164"/>
        <v>0</v>
      </c>
      <c r="L855" s="242"/>
      <c r="M855" s="542"/>
      <c r="N855" s="554"/>
      <c r="O855" s="403"/>
      <c r="R855" s="521"/>
      <c r="T855" s="50"/>
      <c r="U855" s="556"/>
      <c r="V855" s="1371" t="s">
        <v>45</v>
      </c>
      <c r="W855" s="923">
        <v>737.40857142857124</v>
      </c>
      <c r="X855" s="241">
        <v>737.40857142857124</v>
      </c>
      <c r="Y855" s="212">
        <v>737.41</v>
      </c>
      <c r="Z855" s="212">
        <v>737.41</v>
      </c>
      <c r="AA855" s="212">
        <v>737.41</v>
      </c>
      <c r="AB855" s="984">
        <v>737.41</v>
      </c>
      <c r="AC855" s="214">
        <v>1117.29</v>
      </c>
      <c r="AD855" s="214">
        <v>687.08</v>
      </c>
      <c r="AE855" s="214">
        <v>559.23</v>
      </c>
      <c r="AF855" s="258">
        <f t="shared" si="159"/>
        <v>614.66</v>
      </c>
      <c r="AG855" s="923"/>
      <c r="AH855" s="115"/>
      <c r="AK855" s="924"/>
      <c r="DF855" s="1502" t="str">
        <f t="shared" si="162"/>
        <v>ASHP-SEER20_ER2_SF</v>
      </c>
      <c r="DG855" s="1052"/>
      <c r="DH855" s="1323" t="str">
        <f t="shared" si="166"/>
        <v>Cooling Res ER2 12 Year EUL</v>
      </c>
      <c r="DI855" s="1049">
        <f>(INDEX('Avoided Cost Benefits'!$B$4:$B$866,MATCH(DH855,'Avoided Cost Benefits'!$A$4:$A$866,0)))*F855</f>
        <v>795.32136035198289</v>
      </c>
      <c r="DJ855" s="1952">
        <f t="shared" si="160"/>
        <v>0</v>
      </c>
      <c r="DM855" s="239"/>
    </row>
    <row r="856" spans="1:117" x14ac:dyDescent="0.25">
      <c r="A856" s="442"/>
      <c r="B856" s="1384">
        <f t="shared" si="158"/>
        <v>354550</v>
      </c>
      <c r="C856" s="18" t="s">
        <v>1329</v>
      </c>
      <c r="D856" s="551" t="s">
        <v>686</v>
      </c>
      <c r="E856" s="1299" t="s">
        <v>1331</v>
      </c>
      <c r="F856" s="212">
        <f>ROUND(((K982*K1072*(1/K1162-1/K1252)*K1702)/1000)*$K$1719,2)</f>
        <v>1707.96</v>
      </c>
      <c r="G856" s="552" t="s">
        <v>1214</v>
      </c>
      <c r="H856" s="66">
        <f>VLOOKUP(G856,'CP FACTORS'!$A$3:$B$38, 2, FALSE)</f>
        <v>0</v>
      </c>
      <c r="I856" s="1115">
        <f t="shared" si="165"/>
        <v>0</v>
      </c>
      <c r="J856" s="57">
        <f t="shared" si="163"/>
        <v>12</v>
      </c>
      <c r="K856" s="155">
        <f t="shared" si="164"/>
        <v>0</v>
      </c>
      <c r="L856" s="242"/>
      <c r="M856" s="542"/>
      <c r="N856" s="554"/>
      <c r="O856" s="403"/>
      <c r="R856" s="521"/>
      <c r="T856" s="50"/>
      <c r="U856" s="556"/>
      <c r="V856" s="1371" t="s">
        <v>45</v>
      </c>
      <c r="W856" s="923">
        <v>1327.6421052631592</v>
      </c>
      <c r="X856" s="238">
        <v>988.62747111681745</v>
      </c>
      <c r="Y856" s="212">
        <v>988.63</v>
      </c>
      <c r="Z856" s="212">
        <v>988.63</v>
      </c>
      <c r="AA856" s="212">
        <v>988.63</v>
      </c>
      <c r="AB856" s="984">
        <v>988.63</v>
      </c>
      <c r="AC856" s="214">
        <v>2397.77</v>
      </c>
      <c r="AD856" s="214">
        <v>1163.03</v>
      </c>
      <c r="AE856" s="214">
        <v>917.04</v>
      </c>
      <c r="AF856" s="258">
        <f t="shared" si="159"/>
        <v>1707.96</v>
      </c>
      <c r="AG856" s="923"/>
      <c r="AH856" s="115"/>
      <c r="AK856" s="924"/>
      <c r="DF856" s="1502" t="str">
        <f t="shared" si="162"/>
        <v>ASHP-SEER20_ER2_SF</v>
      </c>
      <c r="DG856" s="1052"/>
      <c r="DH856" s="1299" t="str">
        <f t="shared" si="166"/>
        <v>Heating Res ER2 12 Year EUL</v>
      </c>
      <c r="DI856" s="1049">
        <f>(INDEX('Avoided Cost Benefits'!$B$4:$B$866,MATCH(DH856,'Avoided Cost Benefits'!$A$4:$A$866,0)))*F856</f>
        <v>577.11289531591137</v>
      </c>
      <c r="DJ856" s="1952">
        <f t="shared" si="160"/>
        <v>0</v>
      </c>
      <c r="DM856" s="239"/>
    </row>
    <row r="857" spans="1:117" x14ac:dyDescent="0.25">
      <c r="A857" s="442"/>
      <c r="B857" s="1384">
        <f t="shared" si="158"/>
        <v>354600</v>
      </c>
      <c r="C857" s="18" t="s">
        <v>1332</v>
      </c>
      <c r="D857" s="551" t="s">
        <v>686</v>
      </c>
      <c r="E857" s="202" t="s">
        <v>1333</v>
      </c>
      <c r="F857" s="212">
        <f>ROUND(((K1343*K1433*(1/K1523-1/K1613)*K1703)/1000)*$K$1719,2)</f>
        <v>667.97</v>
      </c>
      <c r="G857" s="552" t="s">
        <v>1124</v>
      </c>
      <c r="H857" s="66">
        <f>VLOOKUP(G857,'CP FACTORS'!$A$3:$B$38, 2, FALSE)</f>
        <v>9.4741810000000004E-4</v>
      </c>
      <c r="I857" s="1115">
        <f t="shared" si="165"/>
        <v>0.63284700000000005</v>
      </c>
      <c r="J857" s="57">
        <f t="shared" si="163"/>
        <v>18</v>
      </c>
      <c r="K857" s="155">
        <f t="shared" si="164"/>
        <v>1081</v>
      </c>
      <c r="L857" s="242">
        <f>L983</f>
        <v>2.8870833333333334</v>
      </c>
      <c r="M857" s="542"/>
      <c r="N857" s="554"/>
      <c r="O857" s="403"/>
      <c r="R857" s="521"/>
      <c r="T857" s="50"/>
      <c r="U857" s="556"/>
      <c r="V857" s="1371" t="s">
        <v>45</v>
      </c>
      <c r="W857" s="923">
        <v>737.40857142857124</v>
      </c>
      <c r="X857" s="241">
        <v>737.40857142857124</v>
      </c>
      <c r="Y857" s="212">
        <v>737.41</v>
      </c>
      <c r="Z857" s="212">
        <v>737.41</v>
      </c>
      <c r="AA857" s="212">
        <v>737.41</v>
      </c>
      <c r="AB857" s="984">
        <v>737.41</v>
      </c>
      <c r="AC857" s="214">
        <v>675.57</v>
      </c>
      <c r="AD857" s="214">
        <v>717.64</v>
      </c>
      <c r="AE857" s="214">
        <v>559.79999999999995</v>
      </c>
      <c r="AF857" s="258">
        <f t="shared" si="159"/>
        <v>667.97</v>
      </c>
      <c r="AG857" s="923"/>
      <c r="AH857" s="115"/>
      <c r="AK857" s="924"/>
      <c r="DF857" s="1502" t="str">
        <f t="shared" si="162"/>
        <v>ASHP-SEER20_ROF_SF</v>
      </c>
      <c r="DG857" s="1048">
        <f>(DI857+DI858)/(DJ857+DJ858)</f>
        <v>2.4962269624491458</v>
      </c>
      <c r="DH857" s="202" t="str">
        <f t="shared" si="166"/>
        <v>Cooling Res 18 Year EUL</v>
      </c>
      <c r="DI857" s="1049">
        <f>(INDEX('Avoided Cost Benefits'!$B$4:$B$866,MATCH(DH857,'Avoided Cost Benefits'!$A$4:$A$866,0)))*F857</f>
        <v>1529.4969318930594</v>
      </c>
      <c r="DJ857" s="1952">
        <f t="shared" si="160"/>
        <v>1081</v>
      </c>
      <c r="DM857" s="239"/>
    </row>
    <row r="858" spans="1:117" x14ac:dyDescent="0.25">
      <c r="A858" s="442"/>
      <c r="B858" s="1384">
        <f t="shared" si="158"/>
        <v>354600</v>
      </c>
      <c r="C858" s="18" t="s">
        <v>1332</v>
      </c>
      <c r="D858" s="551" t="s">
        <v>686</v>
      </c>
      <c r="E858" s="240" t="s">
        <v>1333</v>
      </c>
      <c r="F858" s="212">
        <f>ROUND(((K983*K1073*(1/K1163-1/K1253)*K1703)/1000)*$K$1719,2)</f>
        <v>1928.68</v>
      </c>
      <c r="G858" s="552" t="s">
        <v>1125</v>
      </c>
      <c r="H858" s="66">
        <f>VLOOKUP(G858,'CP FACTORS'!$A$3:$B$38, 2, FALSE)</f>
        <v>0</v>
      </c>
      <c r="I858" s="1115">
        <f t="shared" si="165"/>
        <v>0</v>
      </c>
      <c r="J858" s="57">
        <f t="shared" si="163"/>
        <v>18</v>
      </c>
      <c r="K858" s="155">
        <f t="shared" si="164"/>
        <v>0</v>
      </c>
      <c r="L858" s="242"/>
      <c r="M858" s="542"/>
      <c r="N858" s="554"/>
      <c r="O858" s="403"/>
      <c r="R858" s="521"/>
      <c r="T858" s="50"/>
      <c r="U858" s="556"/>
      <c r="V858" s="1371" t="s">
        <v>45</v>
      </c>
      <c r="W858" s="923">
        <v>1584.0000000000018</v>
      </c>
      <c r="X858" s="238">
        <v>1179.5241413638641</v>
      </c>
      <c r="Y858" s="212">
        <v>1179.52</v>
      </c>
      <c r="Z858" s="212">
        <v>1179.52</v>
      </c>
      <c r="AA858" s="212">
        <v>1179.52</v>
      </c>
      <c r="AB858" s="984">
        <v>1179.52</v>
      </c>
      <c r="AC858" s="214">
        <v>1611.73</v>
      </c>
      <c r="AD858" s="214">
        <v>1338.76</v>
      </c>
      <c r="AE858" s="214">
        <v>1044.78</v>
      </c>
      <c r="AF858" s="258">
        <f t="shared" si="159"/>
        <v>1928.68</v>
      </c>
      <c r="AG858" s="923"/>
      <c r="AH858" s="115"/>
      <c r="AK858" s="924"/>
      <c r="DF858" s="1502" t="str">
        <f t="shared" si="162"/>
        <v>ASHP-SEER20_ROF_SF</v>
      </c>
      <c r="DG858" s="1050"/>
      <c r="DH858" s="240" t="str">
        <f t="shared" si="166"/>
        <v>Heating Res 18 Year EUL</v>
      </c>
      <c r="DI858" s="1049">
        <f>(INDEX('Avoided Cost Benefits'!$B$4:$B$866,MATCH(DH858,'Avoided Cost Benefits'!$A$4:$A$866,0)))*F858</f>
        <v>1168.9244145144671</v>
      </c>
      <c r="DJ858" s="1952">
        <f t="shared" si="160"/>
        <v>0</v>
      </c>
      <c r="DM858" s="239"/>
    </row>
    <row r="859" spans="1:117" x14ac:dyDescent="0.25">
      <c r="A859" s="442"/>
      <c r="B859" s="1384">
        <f t="shared" ref="B859:B888" si="167">VALUE(LEFT(C859,6))</f>
        <v>354650</v>
      </c>
      <c r="C859" s="18" t="s">
        <v>1334</v>
      </c>
      <c r="D859" s="551" t="s">
        <v>600</v>
      </c>
      <c r="E859" s="1298" t="s">
        <v>1335</v>
      </c>
      <c r="F859" s="212">
        <f>ROUND(((K1344*K1434*(1/K1524-1/K1614)*K1704)/1000)*$K$1719,2)</f>
        <v>1471.88</v>
      </c>
      <c r="G859" s="552" t="s">
        <v>1124</v>
      </c>
      <c r="H859" s="66">
        <f>VLOOKUP(G859,'CP FACTORS'!$A$3:$B$38, 2, FALSE)</f>
        <v>9.4741810000000004E-4</v>
      </c>
      <c r="I859" s="1115">
        <f t="shared" si="165"/>
        <v>1.3944859999999999</v>
      </c>
      <c r="J859" s="57">
        <f t="shared" si="163"/>
        <v>6</v>
      </c>
      <c r="K859" s="155">
        <f t="shared" si="164"/>
        <v>3847.7316315552043</v>
      </c>
      <c r="L859" s="242">
        <f>L984</f>
        <v>3.1</v>
      </c>
      <c r="M859" s="542"/>
      <c r="N859" s="554"/>
      <c r="O859" s="403"/>
      <c r="R859" s="521"/>
      <c r="T859" s="50"/>
      <c r="U859" s="556"/>
      <c r="V859" s="1371" t="s">
        <v>45</v>
      </c>
      <c r="W859" s="923">
        <v>2039.4407647058827</v>
      </c>
      <c r="X859" s="238">
        <v>1471.8783997599039</v>
      </c>
      <c r="Y859" s="212">
        <v>1471.88</v>
      </c>
      <c r="Z859" s="212">
        <v>1471.88</v>
      </c>
      <c r="AA859" s="212">
        <v>1471.88</v>
      </c>
      <c r="AB859" s="984">
        <v>1471.88</v>
      </c>
      <c r="AC859" s="921">
        <v>1471.88</v>
      </c>
      <c r="AD859" s="212">
        <v>1471.88</v>
      </c>
      <c r="AE859" s="212">
        <v>1471.88</v>
      </c>
      <c r="AF859" s="258">
        <f t="shared" ref="AF859:AF888" si="168">IF(F859&lt;&gt;"",F859,"")</f>
        <v>1471.88</v>
      </c>
      <c r="AG859" s="923"/>
      <c r="AH859" s="115"/>
      <c r="AK859" s="924"/>
      <c r="DF859" s="1502" t="str">
        <f t="shared" si="162"/>
        <v>ASHP-SEER20-Replace_CAC_ElectricHeat_ER1_MF</v>
      </c>
      <c r="DG859" s="1048">
        <f>(DI859+DI860+DI861+DI862)/(DJ859+DJ860+DJ861+DJ862)</f>
        <v>1.184063273198767</v>
      </c>
      <c r="DH859" s="1298" t="str">
        <f t="shared" si="166"/>
        <v>Cooling Res 6 Year EUL</v>
      </c>
      <c r="DI859" s="1049">
        <f>(INDEX('Avoided Cost Benefits'!$B$4:$B$866,MATCH(DH859,'Avoided Cost Benefits'!$A$4:$A$866,0)))*F859</f>
        <v>1465.7688974893831</v>
      </c>
      <c r="DJ859" s="1952">
        <f t="shared" ref="DJ859:DJ888" si="169">IFERROR(K859/((1+DiscountRate)^(CurrentYear-DiscountYear)),0)</f>
        <v>3847.7316315552043</v>
      </c>
      <c r="DM859" s="239"/>
    </row>
    <row r="860" spans="1:117" x14ac:dyDescent="0.25">
      <c r="A860" s="442"/>
      <c r="B860" s="1384">
        <f t="shared" si="167"/>
        <v>354650</v>
      </c>
      <c r="C860" s="18" t="s">
        <v>1334</v>
      </c>
      <c r="D860" s="551" t="s">
        <v>600</v>
      </c>
      <c r="E860" s="1323" t="s">
        <v>1335</v>
      </c>
      <c r="F860" s="212">
        <f>ROUND(((K984*K1074*(1/K1164-1/K1254)*K1704)/1000)*$K$1719,2)</f>
        <v>6759.78</v>
      </c>
      <c r="G860" s="552" t="s">
        <v>1125</v>
      </c>
      <c r="H860" s="66">
        <f>VLOOKUP(G860,'CP FACTORS'!$A$3:$B$38, 2, FALSE)</f>
        <v>0</v>
      </c>
      <c r="I860" s="1115">
        <f t="shared" si="165"/>
        <v>0</v>
      </c>
      <c r="J860" s="57">
        <f t="shared" ref="J860:J862" si="170">K1871</f>
        <v>6</v>
      </c>
      <c r="K860" s="155">
        <f t="shared" si="164"/>
        <v>0</v>
      </c>
      <c r="L860" s="242"/>
      <c r="M860" s="542"/>
      <c r="N860" s="554"/>
      <c r="O860" s="403"/>
      <c r="R860" s="521"/>
      <c r="T860" s="50"/>
      <c r="U860" s="556"/>
      <c r="V860" s="1371" t="s">
        <v>45</v>
      </c>
      <c r="W860" s="923">
        <v>9077.8044487427451</v>
      </c>
      <c r="X860" s="238">
        <v>6759.7787234042544</v>
      </c>
      <c r="Y860" s="212">
        <v>6759.78</v>
      </c>
      <c r="Z860" s="212">
        <v>6759.78</v>
      </c>
      <c r="AA860" s="212">
        <v>6759.78</v>
      </c>
      <c r="AB860" s="984">
        <v>6759.78</v>
      </c>
      <c r="AC860" s="921">
        <v>6759.78</v>
      </c>
      <c r="AD860" s="212">
        <v>6759.78</v>
      </c>
      <c r="AE860" s="212">
        <v>6759.78</v>
      </c>
      <c r="AF860" s="258">
        <f t="shared" si="168"/>
        <v>6759.78</v>
      </c>
      <c r="AG860" s="923"/>
      <c r="AH860" s="115"/>
      <c r="AK860" s="924"/>
      <c r="DF860" s="1502" t="str">
        <f t="shared" ref="DF860:DF888" si="171">E860</f>
        <v>ASHP-SEER20-Replace_CAC_ElectricHeat_ER1_MF</v>
      </c>
      <c r="DG860" s="1052"/>
      <c r="DH860" s="1323" t="str">
        <f t="shared" si="166"/>
        <v>Heating Res 6 Year EUL</v>
      </c>
      <c r="DI860" s="1049">
        <f>(INDEX('Avoided Cost Benefits'!$B$4:$B$866,MATCH(DH860,'Avoided Cost Benefits'!$A$4:$A$866,0)))*F860</f>
        <v>1812.8297605752794</v>
      </c>
      <c r="DJ860" s="1952">
        <f t="shared" si="169"/>
        <v>0</v>
      </c>
      <c r="DM860" s="239"/>
    </row>
    <row r="861" spans="1:117" x14ac:dyDescent="0.25">
      <c r="A861" s="442"/>
      <c r="B861" s="1384">
        <f t="shared" si="167"/>
        <v>354650</v>
      </c>
      <c r="C861" s="18" t="s">
        <v>1334</v>
      </c>
      <c r="D861" s="551" t="s">
        <v>600</v>
      </c>
      <c r="E861" s="1323" t="s">
        <v>1336</v>
      </c>
      <c r="F861" s="212">
        <f>ROUND(((K1345*K1435*(1/K1525-1/K1615)*K1705)/1000)*$K$1719,2)</f>
        <v>517.47</v>
      </c>
      <c r="G861" s="552" t="s">
        <v>1178</v>
      </c>
      <c r="H861" s="66">
        <f>VLOOKUP(G861,'CP FACTORS'!$A$3:$B$38, 2, FALSE)</f>
        <v>9.4741810000000004E-4</v>
      </c>
      <c r="I861" s="1115">
        <f t="shared" si="165"/>
        <v>0.49025999999999997</v>
      </c>
      <c r="J861" s="57">
        <f t="shared" si="170"/>
        <v>12</v>
      </c>
      <c r="K861" s="155">
        <f t="shared" si="164"/>
        <v>0</v>
      </c>
      <c r="L861" s="242"/>
      <c r="M861" s="542"/>
      <c r="N861" s="554"/>
      <c r="O861" s="403"/>
      <c r="R861" s="521"/>
      <c r="T861" s="50"/>
      <c r="U861" s="556"/>
      <c r="V861" s="1371" t="s">
        <v>45</v>
      </c>
      <c r="W861" s="923">
        <v>565.71900000000005</v>
      </c>
      <c r="X861" s="241">
        <v>565.71900000000005</v>
      </c>
      <c r="Y861" s="212">
        <v>565.72</v>
      </c>
      <c r="Z861" s="212">
        <v>565.72</v>
      </c>
      <c r="AA861" s="212">
        <v>565.72</v>
      </c>
      <c r="AB861" s="984">
        <v>565.72</v>
      </c>
      <c r="AC861" s="921">
        <v>565.72</v>
      </c>
      <c r="AD861" s="212">
        <v>565.72</v>
      </c>
      <c r="AE861" s="214">
        <v>450.27</v>
      </c>
      <c r="AF861" s="258">
        <f t="shared" si="168"/>
        <v>517.47</v>
      </c>
      <c r="AG861" s="923"/>
      <c r="AH861" s="115"/>
      <c r="AK861" s="924"/>
      <c r="DF861" s="1502" t="str">
        <f t="shared" si="171"/>
        <v>ASHP-SEER20-Replace_CAC_ElectricHeat_ER2_MF</v>
      </c>
      <c r="DG861" s="1052"/>
      <c r="DH861" s="1323" t="str">
        <f t="shared" si="166"/>
        <v>Cooling Res ER2 12 Year EUL</v>
      </c>
      <c r="DI861" s="1049">
        <f>(INDEX('Avoided Cost Benefits'!$B$4:$B$866,MATCH(DH861,'Avoided Cost Benefits'!$A$4:$A$866,0)))*F861</f>
        <v>669.56519757482283</v>
      </c>
      <c r="DJ861" s="1952">
        <f t="shared" si="169"/>
        <v>0</v>
      </c>
      <c r="DM861" s="239"/>
    </row>
    <row r="862" spans="1:117" x14ac:dyDescent="0.25">
      <c r="A862" s="442"/>
      <c r="B862" s="1384">
        <f t="shared" si="167"/>
        <v>354650</v>
      </c>
      <c r="C862" s="18" t="s">
        <v>1334</v>
      </c>
      <c r="D862" s="551" t="s">
        <v>600</v>
      </c>
      <c r="E862" s="1299" t="s">
        <v>1336</v>
      </c>
      <c r="F862" s="212">
        <f>ROUND(((K986*K1076*(1/K1166-1/K1256)*K1706)/1000)*$K$1719,2)</f>
        <v>1798.76</v>
      </c>
      <c r="G862" s="552" t="s">
        <v>1214</v>
      </c>
      <c r="H862" s="66">
        <f>VLOOKUP(G862,'CP FACTORS'!$A$3:$B$38, 2, FALSE)</f>
        <v>0</v>
      </c>
      <c r="I862" s="1115">
        <f t="shared" si="165"/>
        <v>0</v>
      </c>
      <c r="J862" s="57">
        <f t="shared" si="170"/>
        <v>12</v>
      </c>
      <c r="K862" s="155">
        <f t="shared" si="164"/>
        <v>0</v>
      </c>
      <c r="L862" s="242"/>
      <c r="M862" s="542"/>
      <c r="N862" s="554"/>
      <c r="O862" s="403"/>
      <c r="R862" s="521"/>
      <c r="T862" s="50"/>
      <c r="U862" s="556"/>
      <c r="V862" s="1371" t="s">
        <v>45</v>
      </c>
      <c r="W862" s="923">
        <v>9077.8044487427451</v>
      </c>
      <c r="X862" s="238">
        <v>6759.7787234042544</v>
      </c>
      <c r="Y862" s="212">
        <v>6759.78</v>
      </c>
      <c r="Z862" s="212">
        <v>6759.78</v>
      </c>
      <c r="AA862" s="212">
        <v>6759.78</v>
      </c>
      <c r="AB862" s="984">
        <v>6759.78</v>
      </c>
      <c r="AC862" s="921">
        <v>6759.78</v>
      </c>
      <c r="AD862" s="212">
        <v>6759.78</v>
      </c>
      <c r="AE862" s="212">
        <v>6759.78</v>
      </c>
      <c r="AF862" s="258">
        <f t="shared" si="168"/>
        <v>1798.76</v>
      </c>
      <c r="AG862" s="923"/>
      <c r="AH862" s="115"/>
      <c r="AK862" s="924"/>
      <c r="DF862" s="1502" t="str">
        <f t="shared" si="171"/>
        <v>ASHP-SEER20-Replace_CAC_ElectricHeat_ER2_MF</v>
      </c>
      <c r="DG862" s="1052"/>
      <c r="DH862" s="1299" t="str">
        <f t="shared" si="166"/>
        <v>Heating Res ER2 12 Year EUL</v>
      </c>
      <c r="DI862" s="1049">
        <f>(INDEX('Avoided Cost Benefits'!$B$4:$B$866,MATCH(DH862,'Avoided Cost Benefits'!$A$4:$A$866,0)))*F862</f>
        <v>607.79385441020202</v>
      </c>
      <c r="DJ862" s="1952">
        <f t="shared" si="169"/>
        <v>0</v>
      </c>
      <c r="DM862" s="239"/>
    </row>
    <row r="863" spans="1:117" x14ac:dyDescent="0.25">
      <c r="A863" s="442"/>
      <c r="B863" s="1384">
        <f t="shared" si="167"/>
        <v>354700</v>
      </c>
      <c r="C863" s="18" t="s">
        <v>1337</v>
      </c>
      <c r="D863" s="551" t="s">
        <v>600</v>
      </c>
      <c r="E863" s="1298" t="s">
        <v>1338</v>
      </c>
      <c r="F863" s="212">
        <f>ROUND(((K1346*K1436*(1/K1526-1/K1616)*K1706)/1000)*$K$1719,2)</f>
        <v>1566.84</v>
      </c>
      <c r="G863" s="552" t="s">
        <v>1124</v>
      </c>
      <c r="H863" s="66">
        <f>VLOOKUP(G863,'CP FACTORS'!$A$3:$B$38, 2, FALSE)</f>
        <v>9.4741810000000004E-4</v>
      </c>
      <c r="I863" s="1115">
        <f t="shared" si="165"/>
        <v>1.484453</v>
      </c>
      <c r="J863" s="57">
        <f t="shared" ref="J863:J878" si="172">K1874</f>
        <v>6</v>
      </c>
      <c r="K863" s="155">
        <f t="shared" si="164"/>
        <v>1077.5183641564863</v>
      </c>
      <c r="L863" s="242">
        <f>L986</f>
        <v>3.3</v>
      </c>
      <c r="M863" s="542"/>
      <c r="N863" s="554"/>
      <c r="O863" s="403"/>
      <c r="R863" s="521"/>
      <c r="T863" s="50"/>
      <c r="U863" s="556"/>
      <c r="V863" s="1371" t="s">
        <v>45</v>
      </c>
      <c r="W863" s="923">
        <v>1988.2719999999999</v>
      </c>
      <c r="X863" s="238">
        <v>1566.8382965186074</v>
      </c>
      <c r="Y863" s="212">
        <v>1566.84</v>
      </c>
      <c r="Z863" s="212">
        <v>1566.84</v>
      </c>
      <c r="AA863" s="212">
        <v>1566.84</v>
      </c>
      <c r="AB863" s="984">
        <v>1566.84</v>
      </c>
      <c r="AC863" s="921">
        <v>1566.84</v>
      </c>
      <c r="AD863" s="212">
        <v>1566.84</v>
      </c>
      <c r="AE863" s="212">
        <v>1566.84</v>
      </c>
      <c r="AF863" s="258">
        <f t="shared" si="168"/>
        <v>1566.84</v>
      </c>
      <c r="AG863" s="923"/>
      <c r="AH863" s="115"/>
      <c r="AK863" s="924"/>
      <c r="DF863" s="1502" t="str">
        <f t="shared" si="171"/>
        <v>ASHP-SEER20_ER1_MF</v>
      </c>
      <c r="DG863" s="1048">
        <f>(DI863+DI864+DI865+DI866)/(DJ863+DJ864+DJ865+DJ866)</f>
        <v>2.7700554875978467</v>
      </c>
      <c r="DH863" s="1298" t="str">
        <f t="shared" si="166"/>
        <v>Cooling Res 6 Year EUL</v>
      </c>
      <c r="DI863" s="1049">
        <f>(INDEX('Avoided Cost Benefits'!$B$4:$B$866,MATCH(DH863,'Avoided Cost Benefits'!$A$4:$A$866,0)))*F863</f>
        <v>1560.3346328112787</v>
      </c>
      <c r="DJ863" s="1952">
        <f t="shared" si="169"/>
        <v>1077.5183641564863</v>
      </c>
      <c r="DM863" s="239"/>
    </row>
    <row r="864" spans="1:117" x14ac:dyDescent="0.25">
      <c r="A864" s="442"/>
      <c r="B864" s="1384">
        <f t="shared" si="167"/>
        <v>354700</v>
      </c>
      <c r="C864" s="18" t="s">
        <v>1337</v>
      </c>
      <c r="D864" s="551" t="s">
        <v>600</v>
      </c>
      <c r="E864" s="1323" t="s">
        <v>1338</v>
      </c>
      <c r="F864" s="212">
        <f>ROUND(((K986*K1076*(1/K1166-1/K1256)*K1706)/1000)*$K$1719,2)</f>
        <v>1798.76</v>
      </c>
      <c r="G864" s="552" t="s">
        <v>1125</v>
      </c>
      <c r="H864" s="66">
        <f>VLOOKUP(G864,'CP FACTORS'!$A$3:$B$38, 2, FALSE)</f>
        <v>0</v>
      </c>
      <c r="I864" s="1115">
        <f t="shared" si="165"/>
        <v>0</v>
      </c>
      <c r="J864" s="57">
        <f t="shared" si="172"/>
        <v>6</v>
      </c>
      <c r="K864" s="155">
        <f t="shared" si="164"/>
        <v>0</v>
      </c>
      <c r="L864" s="242"/>
      <c r="M864" s="542"/>
      <c r="N864" s="554"/>
      <c r="O864" s="403"/>
      <c r="R864" s="521"/>
      <c r="T864" s="50"/>
      <c r="U864" s="556"/>
      <c r="V864" s="1371" t="s">
        <v>45</v>
      </c>
      <c r="W864" s="923">
        <v>4062.4872213622284</v>
      </c>
      <c r="X864" s="238">
        <v>1798.7611070228763</v>
      </c>
      <c r="Y864" s="212">
        <v>1798.76</v>
      </c>
      <c r="Z864" s="212">
        <v>1798.76</v>
      </c>
      <c r="AA864" s="212">
        <v>1798.76</v>
      </c>
      <c r="AB864" s="984">
        <v>1798.76</v>
      </c>
      <c r="AC864" s="921">
        <v>1798.76</v>
      </c>
      <c r="AD864" s="212">
        <v>1798.76</v>
      </c>
      <c r="AE864" s="212">
        <v>1798.76</v>
      </c>
      <c r="AF864" s="258">
        <f t="shared" si="168"/>
        <v>1798.76</v>
      </c>
      <c r="AG864" s="923"/>
      <c r="AH864" s="115"/>
      <c r="AK864" s="924"/>
      <c r="DF864" s="1502" t="str">
        <f t="shared" si="171"/>
        <v>ASHP-SEER20_ER1_MF</v>
      </c>
      <c r="DG864" s="1052"/>
      <c r="DH864" s="1323" t="str">
        <f t="shared" si="166"/>
        <v>Heating Res 6 Year EUL</v>
      </c>
      <c r="DI864" s="1049">
        <f>(INDEX('Avoided Cost Benefits'!$B$4:$B$866,MATCH(DH864,'Avoided Cost Benefits'!$A$4:$A$866,0)))*F864</f>
        <v>482.38931742340571</v>
      </c>
      <c r="DJ864" s="1952">
        <f t="shared" si="169"/>
        <v>0</v>
      </c>
      <c r="DM864" s="239"/>
    </row>
    <row r="865" spans="1:117" x14ac:dyDescent="0.25">
      <c r="A865" s="442"/>
      <c r="B865" s="1384">
        <f t="shared" si="167"/>
        <v>354700</v>
      </c>
      <c r="C865" s="18" t="s">
        <v>1337</v>
      </c>
      <c r="D865" s="551" t="s">
        <v>600</v>
      </c>
      <c r="E865" s="1323" t="s">
        <v>1339</v>
      </c>
      <c r="F865" s="212">
        <f>ROUND(((K1347*K1437*(1/K1527-1/K1617)*K1707)/1000)*$K$1719,2)</f>
        <v>445.8</v>
      </c>
      <c r="G865" s="552" t="s">
        <v>1178</v>
      </c>
      <c r="H865" s="66">
        <f>VLOOKUP(G865,'CP FACTORS'!$A$3:$B$38, 2, FALSE)</f>
        <v>9.4741810000000004E-4</v>
      </c>
      <c r="I865" s="1115">
        <f t="shared" si="165"/>
        <v>0.42235899999999998</v>
      </c>
      <c r="J865" s="57">
        <f t="shared" si="172"/>
        <v>12</v>
      </c>
      <c r="K865" s="155">
        <f t="shared" si="164"/>
        <v>0</v>
      </c>
      <c r="L865" s="242"/>
      <c r="M865" s="542"/>
      <c r="N865" s="554"/>
      <c r="O865" s="403"/>
      <c r="R865" s="521"/>
      <c r="T865" s="50"/>
      <c r="U865" s="556"/>
      <c r="V865" s="1371" t="s">
        <v>45</v>
      </c>
      <c r="W865" s="923">
        <v>479.31557142857133</v>
      </c>
      <c r="X865" s="241">
        <v>479.31557142857133</v>
      </c>
      <c r="Y865" s="212">
        <v>479.32</v>
      </c>
      <c r="Z865" s="212">
        <v>479.32</v>
      </c>
      <c r="AA865" s="212">
        <v>479.32</v>
      </c>
      <c r="AB865" s="984">
        <v>479.32</v>
      </c>
      <c r="AC865" s="921">
        <v>479.32</v>
      </c>
      <c r="AD865" s="212">
        <v>479.32</v>
      </c>
      <c r="AE865" s="214">
        <v>372.8</v>
      </c>
      <c r="AF865" s="258">
        <f t="shared" si="168"/>
        <v>445.8</v>
      </c>
      <c r="AG865" s="923"/>
      <c r="AH865" s="115"/>
      <c r="AK865" s="924"/>
      <c r="DF865" s="1502" t="str">
        <f t="shared" si="171"/>
        <v>ASHP-SEER20_ER2_MF</v>
      </c>
      <c r="DG865" s="1052"/>
      <c r="DH865" s="1323" t="str">
        <f t="shared" si="166"/>
        <v>Cooling Res ER2 12 Year EUL</v>
      </c>
      <c r="DI865" s="1049">
        <f>(INDEX('Avoided Cost Benefits'!$B$4:$B$866,MATCH(DH865,'Avoided Cost Benefits'!$A$4:$A$866,0)))*F865</f>
        <v>576.82989367278492</v>
      </c>
      <c r="DJ865" s="1952">
        <f t="shared" si="169"/>
        <v>0</v>
      </c>
      <c r="DM865" s="239"/>
    </row>
    <row r="866" spans="1:117" x14ac:dyDescent="0.25">
      <c r="A866" s="442"/>
      <c r="B866" s="1384">
        <f t="shared" si="167"/>
        <v>354700</v>
      </c>
      <c r="C866" s="18" t="s">
        <v>1337</v>
      </c>
      <c r="D866" s="551" t="s">
        <v>600</v>
      </c>
      <c r="E866" s="1299" t="s">
        <v>1339</v>
      </c>
      <c r="F866" s="212">
        <f>ROUND(((K987*K1077*(1/K1167-1/K1257)*K1707)/1000)*$K$1719,2)</f>
        <v>1080.9000000000001</v>
      </c>
      <c r="G866" s="552" t="s">
        <v>1214</v>
      </c>
      <c r="H866" s="66">
        <f>VLOOKUP(G866,'CP FACTORS'!$A$3:$B$38, 2, FALSE)</f>
        <v>0</v>
      </c>
      <c r="I866" s="1115">
        <f t="shared" si="165"/>
        <v>0</v>
      </c>
      <c r="J866" s="57">
        <f t="shared" si="172"/>
        <v>12</v>
      </c>
      <c r="K866" s="155">
        <f t="shared" si="164"/>
        <v>0</v>
      </c>
      <c r="L866" s="242"/>
      <c r="M866" s="542"/>
      <c r="N866" s="554"/>
      <c r="O866" s="403"/>
      <c r="R866" s="521"/>
      <c r="T866" s="50"/>
      <c r="U866" s="556"/>
      <c r="V866" s="1371" t="s">
        <v>45</v>
      </c>
      <c r="W866" s="923">
        <v>862.96736842105349</v>
      </c>
      <c r="X866" s="238">
        <v>642.6078562259313</v>
      </c>
      <c r="Y866" s="212">
        <v>642.61</v>
      </c>
      <c r="Z866" s="212">
        <v>642.61</v>
      </c>
      <c r="AA866" s="212">
        <v>642.61</v>
      </c>
      <c r="AB866" s="984">
        <v>642.61</v>
      </c>
      <c r="AC866" s="921">
        <v>642.61</v>
      </c>
      <c r="AD866" s="212">
        <v>642.61</v>
      </c>
      <c r="AE866" s="214">
        <v>424.19</v>
      </c>
      <c r="AF866" s="258">
        <f t="shared" si="168"/>
        <v>1080.9000000000001</v>
      </c>
      <c r="AG866" s="923"/>
      <c r="AH866" s="115"/>
      <c r="AK866" s="924"/>
      <c r="DF866" s="1502" t="str">
        <f t="shared" si="171"/>
        <v>ASHP-SEER20_ER2_MF</v>
      </c>
      <c r="DG866" s="1052"/>
      <c r="DH866" s="1299" t="str">
        <f t="shared" si="166"/>
        <v>Heating Res ER2 12 Year EUL</v>
      </c>
      <c r="DI866" s="1049">
        <f>(INDEX('Avoided Cost Benefits'!$B$4:$B$866,MATCH(DH866,'Avoided Cost Benefits'!$A$4:$A$866,0)))*F866</f>
        <v>365.23181371166106</v>
      </c>
      <c r="DJ866" s="1952">
        <f t="shared" si="169"/>
        <v>0</v>
      </c>
      <c r="DM866" s="239"/>
    </row>
    <row r="867" spans="1:117" x14ac:dyDescent="0.25">
      <c r="A867" s="442"/>
      <c r="B867" s="1384">
        <f t="shared" si="167"/>
        <v>354750</v>
      </c>
      <c r="C867" s="18" t="s">
        <v>1340</v>
      </c>
      <c r="D867" s="551" t="s">
        <v>686</v>
      </c>
      <c r="E867" s="1298" t="s">
        <v>1341</v>
      </c>
      <c r="F867" s="212">
        <f>ROUND(((K1348*K1438*(1/K1528-1/K1618)*K1708)/1000)*$K$1719,2)</f>
        <v>2498.89</v>
      </c>
      <c r="G867" s="552" t="s">
        <v>1124</v>
      </c>
      <c r="H867" s="66">
        <f>VLOOKUP(G867,'CP FACTORS'!$A$3:$B$38, 2, FALSE)</f>
        <v>9.4741810000000004E-4</v>
      </c>
      <c r="I867" s="1115">
        <f t="shared" si="165"/>
        <v>2.3674940000000002</v>
      </c>
      <c r="J867" s="57">
        <f t="shared" si="172"/>
        <v>6</v>
      </c>
      <c r="K867" s="155">
        <f t="shared" si="164"/>
        <v>1078.0210431568885</v>
      </c>
      <c r="L867" s="242">
        <f>L988</f>
        <v>3.3440561485431846</v>
      </c>
      <c r="M867" s="542"/>
      <c r="N867" s="554"/>
      <c r="O867" s="403"/>
      <c r="R867" s="521"/>
      <c r="T867" s="50"/>
      <c r="U867" s="556"/>
      <c r="V867" s="1371" t="s">
        <v>45</v>
      </c>
      <c r="W867" s="923">
        <v>3140.8142857142857</v>
      </c>
      <c r="X867" s="238">
        <v>2492.4547418967586</v>
      </c>
      <c r="Y867" s="212">
        <v>2492.4499999999998</v>
      </c>
      <c r="Z867" s="212">
        <v>2492.4499999999998</v>
      </c>
      <c r="AA867" s="212">
        <v>2492.4499999999998</v>
      </c>
      <c r="AB867" s="984">
        <v>2492.4499999999998</v>
      </c>
      <c r="AC867" s="214">
        <v>2550</v>
      </c>
      <c r="AD867" s="214">
        <v>2958.13</v>
      </c>
      <c r="AE867" s="214">
        <v>2702.24</v>
      </c>
      <c r="AF867" s="258">
        <f t="shared" si="168"/>
        <v>2498.89</v>
      </c>
      <c r="AG867" s="923"/>
      <c r="AH867" s="115"/>
      <c r="AK867" s="924"/>
      <c r="DF867" s="1502" t="str">
        <f t="shared" si="171"/>
        <v>ASHP-SEER21_ER1_SF</v>
      </c>
      <c r="DG867" s="1048">
        <f>(DI867+DI868+DI869+DI870)/(DJ867+DJ868+DJ869+DJ870)</f>
        <v>4.9132558915014366</v>
      </c>
      <c r="DH867" s="1298" t="str">
        <f t="shared" si="166"/>
        <v>Cooling Res 6 Year EUL</v>
      </c>
      <c r="DI867" s="1049">
        <f>(INDEX('Avoided Cost Benefits'!$B$4:$B$866,MATCH(DH867,'Avoided Cost Benefits'!$A$4:$A$866,0)))*F867</f>
        <v>2488.5148519221975</v>
      </c>
      <c r="DJ867" s="1952">
        <f t="shared" si="169"/>
        <v>1078.0210431568885</v>
      </c>
      <c r="DM867" s="239"/>
    </row>
    <row r="868" spans="1:117" x14ac:dyDescent="0.25">
      <c r="A868" s="442"/>
      <c r="B868" s="1384">
        <f t="shared" si="167"/>
        <v>354750</v>
      </c>
      <c r="C868" s="18" t="s">
        <v>1340</v>
      </c>
      <c r="D868" s="551" t="s">
        <v>686</v>
      </c>
      <c r="E868" s="1323" t="s">
        <v>1341</v>
      </c>
      <c r="F868" s="212">
        <f>ROUND(((K988*K1078*(1/K1168-1/K1258)*K1708)/1000)*$K$1719,2)</f>
        <v>3540.79</v>
      </c>
      <c r="G868" s="552" t="s">
        <v>1125</v>
      </c>
      <c r="H868" s="66">
        <f>VLOOKUP(G868,'CP FACTORS'!$A$3:$B$38, 2, FALSE)</f>
        <v>0</v>
      </c>
      <c r="I868" s="1115">
        <f t="shared" si="165"/>
        <v>0</v>
      </c>
      <c r="J868" s="57">
        <f t="shared" si="172"/>
        <v>6</v>
      </c>
      <c r="K868" s="155">
        <f t="shared" si="164"/>
        <v>0</v>
      </c>
      <c r="L868" s="242"/>
      <c r="M868" s="542"/>
      <c r="N868" s="554"/>
      <c r="O868" s="403"/>
      <c r="R868" s="521"/>
      <c r="T868" s="50"/>
      <c r="U868" s="556"/>
      <c r="V868" s="1371" t="s">
        <v>45</v>
      </c>
      <c r="W868" s="923">
        <v>6249.9803405572748</v>
      </c>
      <c r="X868" s="238">
        <v>2767.3247800351946</v>
      </c>
      <c r="Y868" s="212">
        <v>2767.32</v>
      </c>
      <c r="Z868" s="212">
        <v>2767.32</v>
      </c>
      <c r="AA868" s="212">
        <v>2767.32</v>
      </c>
      <c r="AB868" s="984">
        <v>2767.32</v>
      </c>
      <c r="AC868" s="214">
        <v>3612.16</v>
      </c>
      <c r="AD868" s="214">
        <v>3535.71</v>
      </c>
      <c r="AE868" s="214">
        <v>3540.79</v>
      </c>
      <c r="AF868" s="258">
        <f t="shared" si="168"/>
        <v>3540.79</v>
      </c>
      <c r="AG868" s="923"/>
      <c r="AH868" s="115"/>
      <c r="AK868" s="924"/>
      <c r="DF868" s="1502" t="str">
        <f t="shared" si="171"/>
        <v>ASHP-SEER21_ER1_SF</v>
      </c>
      <c r="DG868" s="1052"/>
      <c r="DH868" s="1323" t="str">
        <f t="shared" si="166"/>
        <v>Heating Res 6 Year EUL</v>
      </c>
      <c r="DI868" s="1049">
        <f>(INDEX('Avoided Cost Benefits'!$B$4:$B$866,MATCH(DH868,'Avoided Cost Benefits'!$A$4:$A$866,0)))*F868</f>
        <v>949.56485091931154</v>
      </c>
      <c r="DJ868" s="1952">
        <f t="shared" si="169"/>
        <v>0</v>
      </c>
      <c r="DM868" s="239"/>
    </row>
    <row r="869" spans="1:117" x14ac:dyDescent="0.25">
      <c r="A869" s="442"/>
      <c r="B869" s="1384">
        <f t="shared" si="167"/>
        <v>354750</v>
      </c>
      <c r="C869" s="18" t="s">
        <v>1340</v>
      </c>
      <c r="D869" s="551" t="s">
        <v>686</v>
      </c>
      <c r="E869" s="1323" t="s">
        <v>1342</v>
      </c>
      <c r="F869" s="212">
        <f>ROUND(((K1349*K1439*(1/K1529-1/K1619)*K1709)/1000)*$K$1719,2)</f>
        <v>803.95</v>
      </c>
      <c r="G869" s="552" t="s">
        <v>1178</v>
      </c>
      <c r="H869" s="66">
        <f>VLOOKUP(G869,'CP FACTORS'!$A$3:$B$38, 2, FALSE)</f>
        <v>9.4741810000000004E-4</v>
      </c>
      <c r="I869" s="1115">
        <f t="shared" si="165"/>
        <v>0.76167700000000005</v>
      </c>
      <c r="J869" s="57">
        <f t="shared" si="172"/>
        <v>12</v>
      </c>
      <c r="K869" s="155">
        <f t="shared" ref="K869:K888" si="173">IF(C869&lt;&gt;C868,VLOOKUP(C869,$J$1900:$K$2097,2,FALSE),0)</f>
        <v>0</v>
      </c>
      <c r="L869" s="242"/>
      <c r="M869" s="542"/>
      <c r="N869" s="554"/>
      <c r="O869" s="403"/>
      <c r="R869" s="521"/>
      <c r="T869" s="50"/>
      <c r="U869" s="556"/>
      <c r="V869" s="1371" t="s">
        <v>45</v>
      </c>
      <c r="W869" s="923">
        <v>819.34285714285704</v>
      </c>
      <c r="X869" s="241">
        <v>819.34285714285704</v>
      </c>
      <c r="Y869" s="212">
        <v>819.34</v>
      </c>
      <c r="Z869" s="212">
        <v>819.34</v>
      </c>
      <c r="AA869" s="212">
        <v>819.34</v>
      </c>
      <c r="AB869" s="984">
        <v>819.34</v>
      </c>
      <c r="AC869" s="214">
        <v>905.45</v>
      </c>
      <c r="AD869" s="214">
        <v>877.41</v>
      </c>
      <c r="AE869" s="214">
        <v>723.75</v>
      </c>
      <c r="AF869" s="258">
        <f t="shared" si="168"/>
        <v>803.95</v>
      </c>
      <c r="AG869" s="923"/>
      <c r="AH869" s="115"/>
      <c r="AK869" s="924"/>
      <c r="DF869" s="1502" t="str">
        <f t="shared" si="171"/>
        <v>ASHP-SEER21_ER2_SF</v>
      </c>
      <c r="DG869" s="1052"/>
      <c r="DH869" s="1323" t="str">
        <f t="shared" si="166"/>
        <v>Cooling Res ER2 12 Year EUL</v>
      </c>
      <c r="DI869" s="1049">
        <f>(INDEX('Avoided Cost Benefits'!$B$4:$B$866,MATCH(DH869,'Avoided Cost Benefits'!$A$4:$A$866,0)))*F869</f>
        <v>1040.2476290225111</v>
      </c>
      <c r="DJ869" s="1952">
        <f t="shared" si="169"/>
        <v>0</v>
      </c>
      <c r="DM869" s="239"/>
    </row>
    <row r="870" spans="1:117" x14ac:dyDescent="0.25">
      <c r="A870" s="442"/>
      <c r="B870" s="1384">
        <f t="shared" si="167"/>
        <v>354750</v>
      </c>
      <c r="C870" s="18" t="s">
        <v>1340</v>
      </c>
      <c r="D870" s="551" t="s">
        <v>686</v>
      </c>
      <c r="E870" s="1299" t="s">
        <v>1342</v>
      </c>
      <c r="F870" s="212">
        <f>ROUND(((K989*K1079*(1/K1169-1/K1259)*K1709)/1000)*$K$1719,2)</f>
        <v>2421.65</v>
      </c>
      <c r="G870" s="552" t="s">
        <v>1214</v>
      </c>
      <c r="H870" s="66">
        <f>VLOOKUP(G870,'CP FACTORS'!$A$3:$B$38, 2, FALSE)</f>
        <v>0</v>
      </c>
      <c r="I870" s="1115">
        <f t="shared" si="165"/>
        <v>0</v>
      </c>
      <c r="J870" s="57">
        <f t="shared" si="172"/>
        <v>12</v>
      </c>
      <c r="K870" s="155">
        <f t="shared" si="173"/>
        <v>0</v>
      </c>
      <c r="L870" s="242"/>
      <c r="M870" s="542"/>
      <c r="N870" s="554"/>
      <c r="O870" s="403"/>
      <c r="R870" s="521"/>
      <c r="T870" s="50"/>
      <c r="U870" s="556"/>
      <c r="V870" s="1371" t="s">
        <v>45</v>
      </c>
      <c r="W870" s="923">
        <v>1327.6421052631592</v>
      </c>
      <c r="X870" s="238">
        <v>988.62747111681745</v>
      </c>
      <c r="Y870" s="212">
        <v>988.63</v>
      </c>
      <c r="Z870" s="212">
        <v>988.63</v>
      </c>
      <c r="AA870" s="212">
        <v>988.63</v>
      </c>
      <c r="AB870" s="984">
        <v>988.63</v>
      </c>
      <c r="AC870" s="214">
        <v>1787.85</v>
      </c>
      <c r="AD870" s="214">
        <v>1728.93</v>
      </c>
      <c r="AE870" s="214">
        <v>1397.84</v>
      </c>
      <c r="AF870" s="258">
        <f t="shared" si="168"/>
        <v>2421.65</v>
      </c>
      <c r="AG870" s="923"/>
      <c r="AH870" s="115"/>
      <c r="AK870" s="924"/>
      <c r="DF870" s="1502" t="str">
        <f t="shared" si="171"/>
        <v>ASHP-SEER21_ER2_SF</v>
      </c>
      <c r="DG870" s="1052"/>
      <c r="DH870" s="1299" t="str">
        <f t="shared" si="166"/>
        <v>Heating Res ER2 12 Year EUL</v>
      </c>
      <c r="DI870" s="1049">
        <f>(INDEX('Avoided Cost Benefits'!$B$4:$B$866,MATCH(DH870,'Avoided Cost Benefits'!$A$4:$A$866,0)))*F870</f>
        <v>818.26590958908685</v>
      </c>
      <c r="DJ870" s="1952">
        <f t="shared" si="169"/>
        <v>0</v>
      </c>
      <c r="DM870" s="239"/>
    </row>
    <row r="871" spans="1:117" x14ac:dyDescent="0.25">
      <c r="A871" s="442"/>
      <c r="B871" s="1384">
        <f t="shared" si="167"/>
        <v>354800</v>
      </c>
      <c r="C871" s="18" t="s">
        <v>1343</v>
      </c>
      <c r="D871" s="551" t="s">
        <v>686</v>
      </c>
      <c r="E871" s="202" t="s">
        <v>1344</v>
      </c>
      <c r="F871" s="212">
        <f>ROUND(((K1350*K1440*(1/K1530-1/K1620)*K1710)/1000)*$K$1719,2)</f>
        <v>820</v>
      </c>
      <c r="G871" s="552" t="s">
        <v>1124</v>
      </c>
      <c r="H871" s="66">
        <f>VLOOKUP(G871,'CP FACTORS'!$A$3:$B$38, 2, FALSE)</f>
        <v>9.4741810000000004E-4</v>
      </c>
      <c r="I871" s="1115">
        <f t="shared" si="165"/>
        <v>0.77688299999999999</v>
      </c>
      <c r="J871" s="57">
        <f t="shared" si="172"/>
        <v>18</v>
      </c>
      <c r="K871" s="155">
        <f t="shared" si="173"/>
        <v>1081</v>
      </c>
      <c r="L871" s="242">
        <f>L990</f>
        <v>3.4699494950520831</v>
      </c>
      <c r="M871" s="542"/>
      <c r="N871" s="554"/>
      <c r="O871" s="403"/>
      <c r="R871" s="521"/>
      <c r="T871" s="50"/>
      <c r="U871" s="556"/>
      <c r="V871" s="1371" t="s">
        <v>45</v>
      </c>
      <c r="W871" s="923">
        <v>819.34285714285704</v>
      </c>
      <c r="X871" s="241">
        <v>819.34285714285704</v>
      </c>
      <c r="Y871" s="212">
        <v>819.34</v>
      </c>
      <c r="Z871" s="212">
        <v>819.34</v>
      </c>
      <c r="AA871" s="212">
        <v>819.34</v>
      </c>
      <c r="AB871" s="984">
        <v>819.34</v>
      </c>
      <c r="AC871" s="214">
        <v>995.87</v>
      </c>
      <c r="AD871" s="214">
        <v>924.97</v>
      </c>
      <c r="AE871" s="214">
        <v>812.08</v>
      </c>
      <c r="AF871" s="258">
        <f t="shared" si="168"/>
        <v>820</v>
      </c>
      <c r="AG871" s="923"/>
      <c r="AH871" s="115"/>
      <c r="AK871" s="924"/>
      <c r="DF871" s="1502" t="str">
        <f t="shared" si="171"/>
        <v>ASHP-SEER21_ROF_SF</v>
      </c>
      <c r="DG871" s="1048">
        <f>(DI871+DI872)/(DJ871+DJ872)</f>
        <v>3.1015975504547115</v>
      </c>
      <c r="DH871" s="202" t="str">
        <f t="shared" si="166"/>
        <v>Cooling Res 18 Year EUL</v>
      </c>
      <c r="DI871" s="1049">
        <f>(INDEX('Avoided Cost Benefits'!$B$4:$B$866,MATCH(DH871,'Avoided Cost Benefits'!$A$4:$A$866,0)))*F871</f>
        <v>1877.6104977054488</v>
      </c>
      <c r="DJ871" s="1952">
        <f t="shared" si="169"/>
        <v>1081</v>
      </c>
      <c r="DM871" s="239"/>
    </row>
    <row r="872" spans="1:117" x14ac:dyDescent="0.25">
      <c r="A872" s="442"/>
      <c r="B872" s="1384">
        <f t="shared" si="167"/>
        <v>354800</v>
      </c>
      <c r="C872" s="18" t="s">
        <v>1343</v>
      </c>
      <c r="D872" s="551" t="s">
        <v>686</v>
      </c>
      <c r="E872" s="240" t="s">
        <v>1344</v>
      </c>
      <c r="F872" s="212">
        <f>ROUND(((K990*K1080*(1/K1170-1/K1260)*K1710)/1000)*$K$1719,2)</f>
        <v>2434.0500000000002</v>
      </c>
      <c r="G872" s="552" t="s">
        <v>1125</v>
      </c>
      <c r="H872" s="66">
        <f>VLOOKUP(G872,'CP FACTORS'!$A$3:$B$38, 2, FALSE)</f>
        <v>0</v>
      </c>
      <c r="I872" s="1115">
        <f t="shared" si="165"/>
        <v>0</v>
      </c>
      <c r="J872" s="57">
        <f t="shared" si="172"/>
        <v>18</v>
      </c>
      <c r="K872" s="155">
        <f t="shared" si="173"/>
        <v>0</v>
      </c>
      <c r="L872" s="242"/>
      <c r="M872" s="542"/>
      <c r="N872" s="554"/>
      <c r="O872" s="403"/>
      <c r="R872" s="521"/>
      <c r="T872" s="50"/>
      <c r="U872" s="556"/>
      <c r="V872" s="1371" t="s">
        <v>45</v>
      </c>
      <c r="W872" s="923">
        <v>1584.0000000000018</v>
      </c>
      <c r="X872" s="238">
        <v>1179.5241413638641</v>
      </c>
      <c r="Y872" s="212">
        <v>1179.52</v>
      </c>
      <c r="Z872" s="212">
        <v>1179.52</v>
      </c>
      <c r="AA872" s="212">
        <v>1179.52</v>
      </c>
      <c r="AB872" s="984">
        <v>1179.52</v>
      </c>
      <c r="AC872" s="214">
        <v>2086.7199999999998</v>
      </c>
      <c r="AD872" s="214">
        <v>1933.69</v>
      </c>
      <c r="AE872" s="214">
        <v>1371.7</v>
      </c>
      <c r="AF872" s="258">
        <f t="shared" si="168"/>
        <v>2434.0500000000002</v>
      </c>
      <c r="AG872" s="923"/>
      <c r="AH872" s="115"/>
      <c r="AK872" s="924"/>
      <c r="DF872" s="1502" t="str">
        <f t="shared" si="171"/>
        <v>ASHP-SEER21_ROF_SF</v>
      </c>
      <c r="DG872" s="1050"/>
      <c r="DH872" s="240" t="str">
        <f t="shared" si="166"/>
        <v>Heating Res 18 Year EUL</v>
      </c>
      <c r="DI872" s="1049">
        <f>(INDEX('Avoided Cost Benefits'!$B$4:$B$866,MATCH(DH872,'Avoided Cost Benefits'!$A$4:$A$866,0)))*F872</f>
        <v>1475.2164543360946</v>
      </c>
      <c r="DJ872" s="1952">
        <f t="shared" si="169"/>
        <v>0</v>
      </c>
      <c r="DM872" s="239"/>
    </row>
    <row r="873" spans="1:117" x14ac:dyDescent="0.25">
      <c r="A873" s="442"/>
      <c r="B873" s="1384">
        <f t="shared" si="167"/>
        <v>354850</v>
      </c>
      <c r="C873" s="18" t="s">
        <v>1345</v>
      </c>
      <c r="D873" s="551" t="s">
        <v>600</v>
      </c>
      <c r="E873" s="202" t="s">
        <v>1346</v>
      </c>
      <c r="F873" s="212">
        <f>ROUND((($K$1351*$K$1441*(1/$K$1531-1/$K$1621)*$K$1711)/1000)*$K$1719,2)</f>
        <v>512.58000000000004</v>
      </c>
      <c r="G873" s="552" t="s">
        <v>1124</v>
      </c>
      <c r="H873" s="66">
        <f>VLOOKUP(G873,'CP FACTORS'!$A$3:$B$38, 2, FALSE)</f>
        <v>9.4741810000000004E-4</v>
      </c>
      <c r="I873" s="1115">
        <f t="shared" si="165"/>
        <v>0.485628</v>
      </c>
      <c r="J873" s="57">
        <f t="shared" si="172"/>
        <v>18</v>
      </c>
      <c r="K873" s="155">
        <f t="shared" si="173"/>
        <v>3689</v>
      </c>
      <c r="L873" s="242">
        <f>L991</f>
        <v>2.8</v>
      </c>
      <c r="M873" s="542"/>
      <c r="N873" s="554"/>
      <c r="O873" s="403"/>
      <c r="R873" s="521"/>
      <c r="T873" s="50"/>
      <c r="U873" s="556"/>
      <c r="V873" s="1371" t="s">
        <v>45</v>
      </c>
      <c r="W873" s="923">
        <v>556.1600000000002</v>
      </c>
      <c r="X873" s="241">
        <v>556.1600000000002</v>
      </c>
      <c r="Y873" s="212">
        <v>556.16</v>
      </c>
      <c r="Z873" s="212">
        <v>556.16</v>
      </c>
      <c r="AA873" s="212">
        <v>556.16</v>
      </c>
      <c r="AB873" s="984">
        <v>556.16</v>
      </c>
      <c r="AC873" s="921">
        <v>556.16</v>
      </c>
      <c r="AD873" s="212">
        <v>556.16</v>
      </c>
      <c r="AE873" s="214">
        <v>451.88</v>
      </c>
      <c r="AF873" s="258">
        <f t="shared" si="168"/>
        <v>512.58000000000004</v>
      </c>
      <c r="AG873" s="923"/>
      <c r="AH873" s="115"/>
      <c r="AK873" s="924"/>
      <c r="DF873" s="1502" t="str">
        <f t="shared" si="171"/>
        <v>ASHP-SEER21-Replace_CAC_ElectricHeat_ROF_MF</v>
      </c>
      <c r="DG873" s="1048">
        <f>(DI873+DI874)/(DJ873+DJ874)</f>
        <v>1.3389263665740025</v>
      </c>
      <c r="DH873" s="202" t="str">
        <f t="shared" si="166"/>
        <v>Cooling Res 18 Year EUL</v>
      </c>
      <c r="DI873" s="1049">
        <f>(INDEX('Avoided Cost Benefits'!$B$4:$B$866,MATCH(DH873,'Avoided Cost Benefits'!$A$4:$A$866,0)))*F873</f>
        <v>1173.6897425778768</v>
      </c>
      <c r="DJ873" s="1952">
        <f t="shared" si="169"/>
        <v>3689</v>
      </c>
      <c r="DM873" s="239"/>
    </row>
    <row r="874" spans="1:117" x14ac:dyDescent="0.25">
      <c r="A874" s="442"/>
      <c r="B874" s="1384">
        <f t="shared" si="167"/>
        <v>354850</v>
      </c>
      <c r="C874" s="18" t="s">
        <v>1345</v>
      </c>
      <c r="D874" s="551" t="s">
        <v>600</v>
      </c>
      <c r="E874" s="240" t="s">
        <v>1346</v>
      </c>
      <c r="F874" s="212">
        <f>ROUND((($K$991*$K$1081*(1/$K$1171-1/$K$1261)*$K$1711)/1000)*$K$1719,2)</f>
        <v>6213.11</v>
      </c>
      <c r="G874" s="552" t="s">
        <v>1125</v>
      </c>
      <c r="H874" s="66">
        <f>VLOOKUP(G874,'CP FACTORS'!$A$3:$B$38, 2, FALSE)</f>
        <v>0</v>
      </c>
      <c r="I874" s="1115">
        <f t="shared" si="165"/>
        <v>0</v>
      </c>
      <c r="J874" s="57">
        <f t="shared" si="172"/>
        <v>18</v>
      </c>
      <c r="K874" s="155">
        <f t="shared" si="173"/>
        <v>0</v>
      </c>
      <c r="L874" s="242"/>
      <c r="M874" s="542"/>
      <c r="N874" s="554"/>
      <c r="O874" s="403"/>
      <c r="R874" s="521"/>
      <c r="T874" s="50"/>
      <c r="U874" s="556"/>
      <c r="V874" s="1371" t="s">
        <v>45</v>
      </c>
      <c r="W874" s="923">
        <v>8343.6696919309452</v>
      </c>
      <c r="X874" s="238">
        <v>6213.105952776853</v>
      </c>
      <c r="Y874" s="212">
        <v>6213.11</v>
      </c>
      <c r="Z874" s="212">
        <v>6213.11</v>
      </c>
      <c r="AA874" s="212">
        <v>6213.11</v>
      </c>
      <c r="AB874" s="984">
        <v>6213.11</v>
      </c>
      <c r="AC874" s="921">
        <v>6213.11</v>
      </c>
      <c r="AD874" s="212">
        <v>6213.11</v>
      </c>
      <c r="AE874" s="212">
        <v>6213.11</v>
      </c>
      <c r="AF874" s="258">
        <f t="shared" si="168"/>
        <v>6213.11</v>
      </c>
      <c r="AG874" s="923"/>
      <c r="AH874" s="115"/>
      <c r="AK874" s="924"/>
      <c r="DF874" s="1502" t="str">
        <f t="shared" si="171"/>
        <v>ASHP-SEER21-Replace_CAC_ElectricHeat_ROF_MF</v>
      </c>
      <c r="DG874" s="1050"/>
      <c r="DH874" s="240" t="str">
        <f t="shared" si="166"/>
        <v>Heating Res 18 Year EUL</v>
      </c>
      <c r="DI874" s="1049">
        <f>(INDEX('Avoided Cost Benefits'!$B$4:$B$866,MATCH(DH874,'Avoided Cost Benefits'!$A$4:$A$866,0)))*F874</f>
        <v>3765.609623713618</v>
      </c>
      <c r="DJ874" s="1952">
        <f t="shared" si="169"/>
        <v>0</v>
      </c>
      <c r="DM874" s="239"/>
    </row>
    <row r="875" spans="1:117" x14ac:dyDescent="0.25">
      <c r="A875" s="442"/>
      <c r="B875" s="1384">
        <f t="shared" si="167"/>
        <v>354900</v>
      </c>
      <c r="C875" s="18" t="s">
        <v>1347</v>
      </c>
      <c r="D875" s="551" t="s">
        <v>600</v>
      </c>
      <c r="E875" s="1298" t="s">
        <v>1348</v>
      </c>
      <c r="F875" s="170">
        <f>ROUND(((K1352*K1442*(1/K1532-1/K1622)*K1712)/1000)*$K$1719,2)</f>
        <v>1620.1</v>
      </c>
      <c r="G875" s="552" t="s">
        <v>1124</v>
      </c>
      <c r="H875" s="66">
        <f>VLOOKUP(G875,'CP FACTORS'!$A$3:$B$38, 2, FALSE)</f>
        <v>9.4741810000000004E-4</v>
      </c>
      <c r="I875" s="1115">
        <f t="shared" ref="I875:I888" si="174">ROUND(F875*H875,6)</f>
        <v>1.5349120000000001</v>
      </c>
      <c r="J875" s="57">
        <f t="shared" si="172"/>
        <v>6</v>
      </c>
      <c r="K875" s="155">
        <f t="shared" si="173"/>
        <v>1077.5183641564863</v>
      </c>
      <c r="L875" s="242">
        <f>L992</f>
        <v>3.3</v>
      </c>
      <c r="M875" s="542"/>
      <c r="N875" s="554"/>
      <c r="O875" s="403"/>
      <c r="R875" s="521"/>
      <c r="T875" s="50"/>
      <c r="U875" s="556"/>
      <c r="V875" s="1371" t="s">
        <v>45</v>
      </c>
      <c r="W875" s="923">
        <v>2041.5292857142858</v>
      </c>
      <c r="X875" s="238">
        <v>1620.0955822328933</v>
      </c>
      <c r="Y875" s="212">
        <v>1620.1</v>
      </c>
      <c r="Z875" s="212">
        <v>1620.1</v>
      </c>
      <c r="AA875" s="212">
        <v>1620.1</v>
      </c>
      <c r="AB875" s="984">
        <v>1620.1</v>
      </c>
      <c r="AC875" s="921">
        <v>1620.1</v>
      </c>
      <c r="AD875" s="212">
        <v>1620.1</v>
      </c>
      <c r="AE875" s="212">
        <v>1620.1</v>
      </c>
      <c r="AF875" s="258">
        <f t="shared" si="168"/>
        <v>1620.1</v>
      </c>
      <c r="AG875" s="923"/>
      <c r="AH875" s="115"/>
      <c r="AK875" s="924"/>
      <c r="DF875" s="1502" t="str">
        <f t="shared" si="171"/>
        <v>ASHP-SEER21_ER1_MF</v>
      </c>
      <c r="DG875" s="1048">
        <f>(DI875+DI876+DI877+DI878)/(DJ875+DJ876+DJ877+DJ878)</f>
        <v>2.8832230738248383</v>
      </c>
      <c r="DH875" s="1298" t="str">
        <f t="shared" ref="DH875:DH878" si="175">CONCATENATE(G875," ",J875," Year EUL")</f>
        <v>Cooling Res 6 Year EUL</v>
      </c>
      <c r="DI875" s="1049">
        <f>(INDEX('Avoided Cost Benefits'!$B$4:$B$866,MATCH(DH875,'Avoided Cost Benefits'!$A$4:$A$866,0)))*F875</f>
        <v>1613.3735024747598</v>
      </c>
      <c r="DJ875" s="1952">
        <f t="shared" si="169"/>
        <v>1077.5183641564863</v>
      </c>
      <c r="DM875" s="239"/>
    </row>
    <row r="876" spans="1:117" x14ac:dyDescent="0.25">
      <c r="A876" s="442"/>
      <c r="B876" s="1384">
        <f t="shared" si="167"/>
        <v>354900</v>
      </c>
      <c r="C876" s="18" t="s">
        <v>1347</v>
      </c>
      <c r="D876" s="551" t="s">
        <v>600</v>
      </c>
      <c r="E876" s="1323" t="s">
        <v>1348</v>
      </c>
      <c r="F876" s="212">
        <f>ROUND(((K992*K1082*(1/K1172-1/K1262)*K1712)/1000)*$K$1719,2)</f>
        <v>1798.76</v>
      </c>
      <c r="G876" s="552" t="s">
        <v>1125</v>
      </c>
      <c r="H876" s="66">
        <f>VLOOKUP(G876,'CP FACTORS'!$A$3:$B$38, 2, FALSE)</f>
        <v>0</v>
      </c>
      <c r="I876" s="1115">
        <f t="shared" si="174"/>
        <v>0</v>
      </c>
      <c r="J876" s="57">
        <f t="shared" si="172"/>
        <v>6</v>
      </c>
      <c r="K876" s="155">
        <f t="shared" si="173"/>
        <v>0</v>
      </c>
      <c r="L876" s="242"/>
      <c r="M876" s="542"/>
      <c r="N876" s="554"/>
      <c r="O876" s="403"/>
      <c r="R876" s="521"/>
      <c r="T876" s="50"/>
      <c r="U876" s="556"/>
      <c r="V876" s="1371" t="s">
        <v>45</v>
      </c>
      <c r="W876" s="923">
        <v>4062.4872213622284</v>
      </c>
      <c r="X876" s="238">
        <v>1798.7611070228763</v>
      </c>
      <c r="Y876" s="212">
        <v>1798.76</v>
      </c>
      <c r="Z876" s="212">
        <v>1798.76</v>
      </c>
      <c r="AA876" s="212">
        <v>1798.76</v>
      </c>
      <c r="AB876" s="984">
        <v>1798.76</v>
      </c>
      <c r="AC876" s="921">
        <v>1798.76</v>
      </c>
      <c r="AD876" s="212">
        <v>1798.76</v>
      </c>
      <c r="AE876" s="212">
        <v>1798.76</v>
      </c>
      <c r="AF876" s="258">
        <f t="shared" si="168"/>
        <v>1798.76</v>
      </c>
      <c r="AG876" s="923"/>
      <c r="AH876" s="115"/>
      <c r="AK876" s="924"/>
      <c r="DF876" s="1502" t="str">
        <f t="shared" si="171"/>
        <v>ASHP-SEER21_ER1_MF</v>
      </c>
      <c r="DG876" s="1052"/>
      <c r="DH876" s="1323" t="str">
        <f t="shared" si="175"/>
        <v>Heating Res 6 Year EUL</v>
      </c>
      <c r="DI876" s="1049">
        <f>(INDEX('Avoided Cost Benefits'!$B$4:$B$866,MATCH(DH876,'Avoided Cost Benefits'!$A$4:$A$866,0)))*F876</f>
        <v>482.38931742340571</v>
      </c>
      <c r="DJ876" s="1952">
        <f t="shared" si="169"/>
        <v>0</v>
      </c>
      <c r="DM876" s="239"/>
    </row>
    <row r="877" spans="1:117" x14ac:dyDescent="0.25">
      <c r="A877" s="442"/>
      <c r="B877" s="1384">
        <f t="shared" si="167"/>
        <v>354900</v>
      </c>
      <c r="C877" s="18" t="s">
        <v>1347</v>
      </c>
      <c r="D877" s="551" t="s">
        <v>600</v>
      </c>
      <c r="E877" s="1323" t="s">
        <v>1349</v>
      </c>
      <c r="F877" s="170">
        <f>ROUND(((K1353*K1443*(1/K1533-1/K1623)*K1713)/1000)*$K$1719,2)</f>
        <v>499.05</v>
      </c>
      <c r="G877" s="552" t="s">
        <v>1178</v>
      </c>
      <c r="H877" s="66">
        <f>VLOOKUP(G877,'CP FACTORS'!$A$3:$B$38, 2, FALSE)</f>
        <v>9.4741810000000004E-4</v>
      </c>
      <c r="I877" s="1115">
        <f t="shared" si="174"/>
        <v>0.47280899999999998</v>
      </c>
      <c r="J877" s="57">
        <f t="shared" si="172"/>
        <v>12</v>
      </c>
      <c r="K877" s="155">
        <f t="shared" si="173"/>
        <v>0</v>
      </c>
      <c r="L877" s="242"/>
      <c r="M877" s="542"/>
      <c r="N877" s="554"/>
      <c r="O877" s="403"/>
      <c r="R877" s="521"/>
      <c r="T877" s="50"/>
      <c r="U877" s="556"/>
      <c r="V877" s="1371" t="s">
        <v>45</v>
      </c>
      <c r="W877" s="923">
        <v>532.57285714285706</v>
      </c>
      <c r="X877" s="241">
        <v>532.57285714285706</v>
      </c>
      <c r="Y877" s="212">
        <v>532.57000000000005</v>
      </c>
      <c r="Z877" s="212">
        <v>532.57000000000005</v>
      </c>
      <c r="AA877" s="212">
        <v>532.57000000000005</v>
      </c>
      <c r="AB877" s="984">
        <v>532.57000000000005</v>
      </c>
      <c r="AC877" s="921">
        <v>532.57000000000005</v>
      </c>
      <c r="AD877" s="212">
        <v>532.57000000000005</v>
      </c>
      <c r="AE877" s="214">
        <v>426.06</v>
      </c>
      <c r="AF877" s="258">
        <f t="shared" si="168"/>
        <v>499.05</v>
      </c>
      <c r="AG877" s="923"/>
      <c r="AH877" s="115"/>
      <c r="AK877" s="924"/>
      <c r="DF877" s="1502" t="str">
        <f t="shared" si="171"/>
        <v>ASHP-SEER21_ER2_MF</v>
      </c>
      <c r="DG877" s="1052"/>
      <c r="DH877" s="1323" t="str">
        <f t="shared" si="175"/>
        <v>Cooling Res ER2 12 Year EUL</v>
      </c>
      <c r="DI877" s="1049">
        <f>(INDEX('Avoided Cost Benefits'!$B$4:$B$866,MATCH(DH877,'Avoided Cost Benefits'!$A$4:$A$866,0)))*F877</f>
        <v>645.73117639614918</v>
      </c>
      <c r="DJ877" s="1952">
        <f t="shared" si="169"/>
        <v>0</v>
      </c>
      <c r="DM877" s="239"/>
    </row>
    <row r="878" spans="1:117" x14ac:dyDescent="0.25">
      <c r="A878" s="442"/>
      <c r="B878" s="1384">
        <f t="shared" si="167"/>
        <v>354900</v>
      </c>
      <c r="C878" s="18" t="s">
        <v>1347</v>
      </c>
      <c r="D878" s="551" t="s">
        <v>600</v>
      </c>
      <c r="E878" s="1299" t="s">
        <v>1349</v>
      </c>
      <c r="F878" s="212">
        <f>ROUND(((K993*K1083*(1/K1173-1/K1263)*K1713)/1000)*$K$1719,2)</f>
        <v>1080.9000000000001</v>
      </c>
      <c r="G878" s="552" t="s">
        <v>1214</v>
      </c>
      <c r="H878" s="66">
        <f>VLOOKUP(G878,'CP FACTORS'!$A$3:$B$38, 2, FALSE)</f>
        <v>0</v>
      </c>
      <c r="I878" s="1115">
        <f t="shared" si="174"/>
        <v>0</v>
      </c>
      <c r="J878" s="57">
        <f t="shared" si="172"/>
        <v>12</v>
      </c>
      <c r="K878" s="155">
        <f t="shared" si="173"/>
        <v>0</v>
      </c>
      <c r="L878" s="242"/>
      <c r="M878" s="542"/>
      <c r="N878" s="554"/>
      <c r="O878" s="403"/>
      <c r="R878" s="521"/>
      <c r="T878" s="50"/>
      <c r="U878" s="556"/>
      <c r="V878" s="1371" t="s">
        <v>45</v>
      </c>
      <c r="W878" s="923">
        <v>862.96736842105349</v>
      </c>
      <c r="X878" s="238">
        <v>642.6078562259313</v>
      </c>
      <c r="Y878" s="212">
        <v>642.61</v>
      </c>
      <c r="Z878" s="212">
        <v>642.61</v>
      </c>
      <c r="AA878" s="212">
        <v>642.61</v>
      </c>
      <c r="AB878" s="984">
        <v>642.61</v>
      </c>
      <c r="AC878" s="921">
        <v>642.61</v>
      </c>
      <c r="AD878" s="212">
        <v>642.61</v>
      </c>
      <c r="AE878" s="214">
        <v>424.19</v>
      </c>
      <c r="AF878" s="258">
        <f t="shared" si="168"/>
        <v>1080.9000000000001</v>
      </c>
      <c r="AG878" s="923"/>
      <c r="AH878" s="115"/>
      <c r="AK878" s="924"/>
      <c r="DF878" s="1502" t="str">
        <f t="shared" si="171"/>
        <v>ASHP-SEER21_ER2_MF</v>
      </c>
      <c r="DG878" s="1052"/>
      <c r="DH878" s="1299" t="str">
        <f t="shared" si="175"/>
        <v>Heating Res ER2 12 Year EUL</v>
      </c>
      <c r="DI878" s="1049">
        <f>(INDEX('Avoided Cost Benefits'!$B$4:$B$866,MATCH(DH878,'Avoided Cost Benefits'!$A$4:$A$866,0)))*F878</f>
        <v>365.23181371166106</v>
      </c>
      <c r="DJ878" s="1952">
        <f t="shared" si="169"/>
        <v>0</v>
      </c>
      <c r="DM878" s="239"/>
    </row>
    <row r="879" spans="1:117" x14ac:dyDescent="0.25">
      <c r="A879" s="442"/>
      <c r="B879" s="1384">
        <f t="shared" si="167"/>
        <v>354950</v>
      </c>
      <c r="C879" s="18" t="s">
        <v>1350</v>
      </c>
      <c r="D879" s="551" t="s">
        <v>600</v>
      </c>
      <c r="E879" s="202" t="s">
        <v>1351</v>
      </c>
      <c r="F879" s="212">
        <f>ROUND(((K1354*K1444*(1/K1534-1/K1624)*K1714)/1000)*$K$1719,2)</f>
        <v>248.43</v>
      </c>
      <c r="G879" s="552" t="s">
        <v>1124</v>
      </c>
      <c r="H879" s="66">
        <f>VLOOKUP(G879,'CP FACTORS'!$A$3:$B$38, 2, FALSE)</f>
        <v>9.4741810000000004E-4</v>
      </c>
      <c r="I879" s="985">
        <f t="shared" si="174"/>
        <v>0.23536699999999999</v>
      </c>
      <c r="J879" s="57">
        <f t="shared" ref="J879:J880" si="176">K1890</f>
        <v>18</v>
      </c>
      <c r="K879" s="155">
        <f t="shared" si="173"/>
        <v>630</v>
      </c>
      <c r="L879" s="242">
        <f>L994</f>
        <v>3.3</v>
      </c>
      <c r="M879" s="542"/>
      <c r="N879" s="554"/>
      <c r="O879" s="403"/>
      <c r="R879" s="521"/>
      <c r="T879" s="50"/>
      <c r="U879" s="556"/>
      <c r="V879" s="1371" t="s">
        <v>45</v>
      </c>
      <c r="W879" s="923">
        <v>281.95033613445372</v>
      </c>
      <c r="X879" s="241">
        <v>281.95033613445372</v>
      </c>
      <c r="Y879" s="212">
        <v>281.95</v>
      </c>
      <c r="Z879" s="212">
        <v>281.95</v>
      </c>
      <c r="AA879" s="212">
        <v>281.95</v>
      </c>
      <c r="AB879" s="984">
        <v>281.95</v>
      </c>
      <c r="AC879" s="921">
        <v>281.95</v>
      </c>
      <c r="AD879" s="212">
        <v>281.95</v>
      </c>
      <c r="AE879" s="214">
        <v>175.44</v>
      </c>
      <c r="AF879" s="258">
        <f t="shared" si="168"/>
        <v>248.43</v>
      </c>
      <c r="AG879" s="923"/>
      <c r="AH879" s="115"/>
      <c r="AK879" s="924"/>
      <c r="DF879" s="1502" t="str">
        <f t="shared" si="171"/>
        <v>ASHP-SEER17_ROF_MF</v>
      </c>
      <c r="DG879" s="1048">
        <f>(DI879+DI880)/(DJ879+DJ880)</f>
        <v>2.0621513389005171</v>
      </c>
      <c r="DH879" s="202" t="str">
        <f t="shared" ref="DH879:DH888" si="177">CONCATENATE(G879," ",J879," Year EUL")</f>
        <v>Cooling Res 18 Year EUL</v>
      </c>
      <c r="DI879" s="1049">
        <f>(INDEX('Avoided Cost Benefits'!$B$4:$B$866,MATCH(DH879,'Avoided Cost Benefits'!$A$4:$A$866,0)))*F879</f>
        <v>568.8472877377618</v>
      </c>
      <c r="DJ879" s="1952">
        <f t="shared" si="169"/>
        <v>630</v>
      </c>
      <c r="DM879" s="239"/>
    </row>
    <row r="880" spans="1:117" x14ac:dyDescent="0.25">
      <c r="A880" s="442"/>
      <c r="B880" s="1384">
        <f t="shared" si="167"/>
        <v>354950</v>
      </c>
      <c r="C880" s="18" t="s">
        <v>1350</v>
      </c>
      <c r="D880" s="551" t="s">
        <v>600</v>
      </c>
      <c r="E880" s="240" t="s">
        <v>1351</v>
      </c>
      <c r="F880" s="212">
        <f>ROUND(((K994*K1084*(1/K1174-1/K1264)*K1714)/1000)*$K$1719,2)</f>
        <v>1204.98</v>
      </c>
      <c r="G880" s="552" t="s">
        <v>1125</v>
      </c>
      <c r="H880" s="66">
        <f>VLOOKUP(G880,'CP FACTORS'!$A$3:$B$38, 2, FALSE)</f>
        <v>0</v>
      </c>
      <c r="I880" s="985">
        <f t="shared" si="174"/>
        <v>0</v>
      </c>
      <c r="J880" s="57">
        <f t="shared" si="176"/>
        <v>18</v>
      </c>
      <c r="K880" s="155">
        <f t="shared" si="173"/>
        <v>0</v>
      </c>
      <c r="L880" s="242"/>
      <c r="M880" s="542"/>
      <c r="N880" s="554"/>
      <c r="O880" s="403"/>
      <c r="R880" s="521"/>
      <c r="T880" s="50"/>
      <c r="U880" s="556"/>
      <c r="V880" s="1371" t="s">
        <v>45</v>
      </c>
      <c r="W880" s="923">
        <v>1029.6000000000013</v>
      </c>
      <c r="X880" s="238">
        <v>766.69069188651167</v>
      </c>
      <c r="Y880" s="212">
        <v>766.69</v>
      </c>
      <c r="Z880" s="212">
        <v>766.69</v>
      </c>
      <c r="AA880" s="212">
        <v>766.69</v>
      </c>
      <c r="AB880" s="984">
        <v>766.69</v>
      </c>
      <c r="AC880" s="921">
        <v>766.69</v>
      </c>
      <c r="AD880" s="212">
        <v>766.69</v>
      </c>
      <c r="AE880" s="214">
        <v>548.27</v>
      </c>
      <c r="AF880" s="258">
        <f t="shared" si="168"/>
        <v>1204.98</v>
      </c>
      <c r="AG880" s="923"/>
      <c r="AH880" s="115"/>
      <c r="AK880" s="924"/>
      <c r="DF880" s="1502" t="str">
        <f t="shared" si="171"/>
        <v>ASHP-SEER17_ROF_MF</v>
      </c>
      <c r="DG880" s="1050"/>
      <c r="DH880" s="240" t="str">
        <f t="shared" si="177"/>
        <v>Heating Res 18 Year EUL</v>
      </c>
      <c r="DI880" s="1049">
        <f>(INDEX('Avoided Cost Benefits'!$B$4:$B$866,MATCH(DH880,'Avoided Cost Benefits'!$A$4:$A$866,0)))*F880</f>
        <v>730.30805576956402</v>
      </c>
      <c r="DJ880" s="1952">
        <f t="shared" si="169"/>
        <v>0</v>
      </c>
      <c r="DM880" s="239"/>
    </row>
    <row r="881" spans="1:117" x14ac:dyDescent="0.25">
      <c r="A881" s="442"/>
      <c r="B881" s="1384">
        <f t="shared" si="167"/>
        <v>355000</v>
      </c>
      <c r="C881" s="18" t="s">
        <v>1352</v>
      </c>
      <c r="D881" s="551" t="s">
        <v>600</v>
      </c>
      <c r="E881" s="202" t="s">
        <v>1353</v>
      </c>
      <c r="F881" s="212">
        <f>ROUND(((K1355*K1445*(1/K1535-1/K1625)*K1715)/1000)*$K$1719,2)</f>
        <v>321.52999999999997</v>
      </c>
      <c r="G881" s="552" t="s">
        <v>1124</v>
      </c>
      <c r="H881" s="66">
        <f>VLOOKUP(G881,'CP FACTORS'!$A$3:$B$38, 2, FALSE)</f>
        <v>9.4741810000000004E-4</v>
      </c>
      <c r="I881" s="985">
        <f t="shared" si="174"/>
        <v>0.30462299999999998</v>
      </c>
      <c r="J881" s="57">
        <f t="shared" ref="J881:J888" si="178">K1892</f>
        <v>18</v>
      </c>
      <c r="K881" s="155">
        <f t="shared" si="173"/>
        <v>855</v>
      </c>
      <c r="L881" s="242">
        <f>L995</f>
        <v>3.3</v>
      </c>
      <c r="M881" s="542"/>
      <c r="N881" s="554"/>
      <c r="O881" s="403"/>
      <c r="R881" s="521"/>
      <c r="T881" s="50"/>
      <c r="U881" s="556"/>
      <c r="V881" s="1371" t="s">
        <v>45</v>
      </c>
      <c r="W881" s="923">
        <v>355.04857142857139</v>
      </c>
      <c r="X881" s="241">
        <v>355.04857142857139</v>
      </c>
      <c r="Y881" s="212">
        <v>355.05</v>
      </c>
      <c r="Z881" s="212">
        <v>355.05</v>
      </c>
      <c r="AA881" s="212">
        <v>355.05</v>
      </c>
      <c r="AB881" s="984">
        <v>355.05</v>
      </c>
      <c r="AC881" s="921">
        <v>355.05</v>
      </c>
      <c r="AD881" s="212">
        <v>355.05</v>
      </c>
      <c r="AE881" s="214">
        <v>248.53</v>
      </c>
      <c r="AF881" s="258">
        <f t="shared" si="168"/>
        <v>321.52999999999997</v>
      </c>
      <c r="AG881" s="923"/>
      <c r="AH881" s="115"/>
      <c r="AK881" s="924"/>
      <c r="DF881" s="1502" t="str">
        <f t="shared" si="171"/>
        <v>ASHP-SEER18_ROF_MF</v>
      </c>
      <c r="DG881" s="1048">
        <f>(DI881+DI882)/(DJ881+DJ882)</f>
        <v>1.7152484796152838</v>
      </c>
      <c r="DH881" s="202" t="str">
        <f t="shared" si="177"/>
        <v>Cooling Res 18 Year EUL</v>
      </c>
      <c r="DI881" s="1049">
        <f>(INDEX('Avoided Cost Benefits'!$B$4:$B$866,MATCH(DH881,'Avoided Cost Benefits'!$A$4:$A$866,0)))*F881</f>
        <v>736.22939430150359</v>
      </c>
      <c r="DJ881" s="1952">
        <f t="shared" si="169"/>
        <v>855</v>
      </c>
      <c r="DM881" s="239"/>
    </row>
    <row r="882" spans="1:117" x14ac:dyDescent="0.25">
      <c r="A882" s="442"/>
      <c r="B882" s="1384">
        <f t="shared" si="167"/>
        <v>355000</v>
      </c>
      <c r="C882" s="18" t="s">
        <v>1352</v>
      </c>
      <c r="D882" s="551" t="s">
        <v>600</v>
      </c>
      <c r="E882" s="240" t="s">
        <v>1353</v>
      </c>
      <c r="F882" s="212">
        <f>ROUND(((K995*K1085*(1/K1175-1/K1265)*K1715)/1000)*$K$1719,2)</f>
        <v>1204.98</v>
      </c>
      <c r="G882" s="552" t="s">
        <v>1125</v>
      </c>
      <c r="H882" s="66">
        <f>VLOOKUP(G882,'CP FACTORS'!$A$3:$B$38, 2, FALSE)</f>
        <v>0</v>
      </c>
      <c r="I882" s="985">
        <f t="shared" si="174"/>
        <v>0</v>
      </c>
      <c r="J882" s="57">
        <f t="shared" si="178"/>
        <v>18</v>
      </c>
      <c r="K882" s="155">
        <f t="shared" si="173"/>
        <v>0</v>
      </c>
      <c r="L882" s="242"/>
      <c r="M882" s="542"/>
      <c r="N882" s="554"/>
      <c r="O882" s="403"/>
      <c r="R882" s="521"/>
      <c r="T882" s="50"/>
      <c r="U882" s="556"/>
      <c r="V882" s="1371" t="s">
        <v>45</v>
      </c>
      <c r="W882" s="923">
        <v>1029.6000000000013</v>
      </c>
      <c r="X882" s="238">
        <v>766.69069188651167</v>
      </c>
      <c r="Y882" s="212">
        <v>766.69</v>
      </c>
      <c r="Z882" s="212">
        <v>766.69</v>
      </c>
      <c r="AA882" s="212">
        <v>766.69</v>
      </c>
      <c r="AB882" s="984">
        <v>766.69</v>
      </c>
      <c r="AC882" s="921">
        <v>766.69</v>
      </c>
      <c r="AD882" s="212">
        <v>766.69</v>
      </c>
      <c r="AE882" s="214">
        <v>548.27</v>
      </c>
      <c r="AF882" s="258">
        <f t="shared" si="168"/>
        <v>1204.98</v>
      </c>
      <c r="AG882" s="923"/>
      <c r="AH882" s="115"/>
      <c r="AK882" s="924"/>
      <c r="DF882" s="1502" t="str">
        <f t="shared" si="171"/>
        <v>ASHP-SEER18_ROF_MF</v>
      </c>
      <c r="DG882" s="1050"/>
      <c r="DH882" s="240" t="str">
        <f t="shared" si="177"/>
        <v>Heating Res 18 Year EUL</v>
      </c>
      <c r="DI882" s="1049">
        <f>(INDEX('Avoided Cost Benefits'!$B$4:$B$866,MATCH(DH882,'Avoided Cost Benefits'!$A$4:$A$866,0)))*F882</f>
        <v>730.30805576956402</v>
      </c>
      <c r="DJ882" s="1952">
        <f t="shared" si="169"/>
        <v>0</v>
      </c>
      <c r="DM882" s="239"/>
    </row>
    <row r="883" spans="1:117" x14ac:dyDescent="0.25">
      <c r="A883" s="442"/>
      <c r="B883" s="1384">
        <f t="shared" si="167"/>
        <v>355050</v>
      </c>
      <c r="C883" s="18" t="s">
        <v>1354</v>
      </c>
      <c r="D883" s="551" t="s">
        <v>600</v>
      </c>
      <c r="E883" s="202" t="s">
        <v>1355</v>
      </c>
      <c r="F883" s="212">
        <f>ROUND(((K1356*K1446*(1/K1536-1/K1626)*K1716)/1000)*$K$1719,2)</f>
        <v>386.93</v>
      </c>
      <c r="G883" s="552" t="s">
        <v>1124</v>
      </c>
      <c r="H883" s="66">
        <f>VLOOKUP(G883,'CP FACTORS'!$A$3:$B$38, 2, FALSE)</f>
        <v>9.4741810000000004E-4</v>
      </c>
      <c r="I883" s="985">
        <f t="shared" si="174"/>
        <v>0.36658400000000002</v>
      </c>
      <c r="J883" s="57">
        <f t="shared" si="178"/>
        <v>18</v>
      </c>
      <c r="K883" s="155">
        <f t="shared" si="173"/>
        <v>1081</v>
      </c>
      <c r="L883" s="242">
        <f>L996</f>
        <v>3.3</v>
      </c>
      <c r="M883" s="542"/>
      <c r="N883" s="554"/>
      <c r="O883" s="403"/>
      <c r="R883" s="521"/>
      <c r="T883" s="50"/>
      <c r="U883" s="556"/>
      <c r="V883" s="1371" t="s">
        <v>45</v>
      </c>
      <c r="W883" s="923">
        <v>420.45225563909776</v>
      </c>
      <c r="X883" s="241">
        <v>420.45225563909776</v>
      </c>
      <c r="Y883" s="212">
        <v>420.45</v>
      </c>
      <c r="Z883" s="212">
        <v>420.45</v>
      </c>
      <c r="AA883" s="212">
        <v>420.45</v>
      </c>
      <c r="AB883" s="984">
        <v>420.45</v>
      </c>
      <c r="AC883" s="921">
        <v>420.45</v>
      </c>
      <c r="AD883" s="212">
        <v>420.45</v>
      </c>
      <c r="AE883" s="214">
        <v>313.94</v>
      </c>
      <c r="AF883" s="258">
        <f t="shared" si="168"/>
        <v>386.93</v>
      </c>
      <c r="AG883" s="923"/>
      <c r="AH883" s="115"/>
      <c r="AK883" s="924"/>
      <c r="DF883" s="1502" t="str">
        <f t="shared" si="171"/>
        <v>ASHP-SEER19_ROF_MF</v>
      </c>
      <c r="DG883" s="1048">
        <f>(DI883+DI884)/(DJ883+DJ884)</f>
        <v>1.4951788493132057</v>
      </c>
      <c r="DH883" s="202" t="str">
        <f t="shared" si="177"/>
        <v>Cooling Res 18 Year EUL</v>
      </c>
      <c r="DI883" s="1049">
        <f>(INDEX('Avoided Cost Benefits'!$B$4:$B$866,MATCH(DH883,'Avoided Cost Benefits'!$A$4:$A$866,0)))*F883</f>
        <v>885.98028033801131</v>
      </c>
      <c r="DJ883" s="1952">
        <f t="shared" si="169"/>
        <v>1081</v>
      </c>
      <c r="DM883" s="239"/>
    </row>
    <row r="884" spans="1:117" x14ac:dyDescent="0.25">
      <c r="A884" s="442"/>
      <c r="B884" s="1384">
        <f t="shared" si="167"/>
        <v>355050</v>
      </c>
      <c r="C884" s="18" t="s">
        <v>1354</v>
      </c>
      <c r="D884" s="551" t="s">
        <v>600</v>
      </c>
      <c r="E884" s="240" t="s">
        <v>1355</v>
      </c>
      <c r="F884" s="212">
        <f>ROUND(((K996*K1086*(1/K1176-1/K1266)*K1716)/1000)*$K$1719,2)</f>
        <v>1204.98</v>
      </c>
      <c r="G884" s="552" t="s">
        <v>1125</v>
      </c>
      <c r="H884" s="66">
        <f>VLOOKUP(G884,'CP FACTORS'!$A$3:$B$38, 2, FALSE)</f>
        <v>0</v>
      </c>
      <c r="I884" s="985">
        <f t="shared" si="174"/>
        <v>0</v>
      </c>
      <c r="J884" s="57">
        <f t="shared" si="178"/>
        <v>18</v>
      </c>
      <c r="K884" s="155">
        <f t="shared" si="173"/>
        <v>0</v>
      </c>
      <c r="L884" s="242"/>
      <c r="M884" s="542"/>
      <c r="N884" s="554"/>
      <c r="O884" s="403"/>
      <c r="R884" s="521"/>
      <c r="T884" s="50"/>
      <c r="U884" s="556"/>
      <c r="V884" s="1371" t="s">
        <v>45</v>
      </c>
      <c r="W884" s="923">
        <v>1029.6000000000013</v>
      </c>
      <c r="X884" s="238">
        <v>766.69069188651167</v>
      </c>
      <c r="Y884" s="212">
        <v>766.69</v>
      </c>
      <c r="Z884" s="212">
        <v>766.69</v>
      </c>
      <c r="AA884" s="212">
        <v>766.69</v>
      </c>
      <c r="AB884" s="984">
        <v>766.69</v>
      </c>
      <c r="AC884" s="921">
        <v>766.69</v>
      </c>
      <c r="AD884" s="212">
        <v>766.69</v>
      </c>
      <c r="AE884" s="214">
        <v>548.27</v>
      </c>
      <c r="AF884" s="258">
        <f t="shared" si="168"/>
        <v>1204.98</v>
      </c>
      <c r="AG884" s="923"/>
      <c r="AH884" s="115"/>
      <c r="AK884" s="924"/>
      <c r="DF884" s="1502" t="str">
        <f t="shared" si="171"/>
        <v>ASHP-SEER19_ROF_MF</v>
      </c>
      <c r="DG884" s="1050"/>
      <c r="DH884" s="240" t="str">
        <f t="shared" si="177"/>
        <v>Heating Res 18 Year EUL</v>
      </c>
      <c r="DI884" s="1049">
        <f>(INDEX('Avoided Cost Benefits'!$B$4:$B$866,MATCH(DH884,'Avoided Cost Benefits'!$A$4:$A$866,0)))*F884</f>
        <v>730.30805576956402</v>
      </c>
      <c r="DJ884" s="1952">
        <f t="shared" si="169"/>
        <v>0</v>
      </c>
      <c r="DM884" s="239"/>
    </row>
    <row r="885" spans="1:117" x14ac:dyDescent="0.25">
      <c r="A885" s="442"/>
      <c r="B885" s="1384">
        <f t="shared" si="167"/>
        <v>355100</v>
      </c>
      <c r="C885" s="18" t="s">
        <v>1356</v>
      </c>
      <c r="D885" s="551" t="s">
        <v>600</v>
      </c>
      <c r="E885" s="202" t="s">
        <v>1357</v>
      </c>
      <c r="F885" s="212">
        <f>ROUND(((K1357*K1447*(1/K1537-1/K1627)*K1717)/1000)*$K$1719,2)</f>
        <v>445.8</v>
      </c>
      <c r="G885" s="552" t="s">
        <v>1124</v>
      </c>
      <c r="H885" s="66">
        <f>VLOOKUP(G885,'CP FACTORS'!$A$3:$B$38, 2, FALSE)</f>
        <v>9.4741810000000004E-4</v>
      </c>
      <c r="I885" s="985">
        <f t="shared" si="174"/>
        <v>0.42235899999999998</v>
      </c>
      <c r="J885" s="57">
        <f t="shared" si="178"/>
        <v>18</v>
      </c>
      <c r="K885" s="155">
        <f t="shared" si="173"/>
        <v>1081</v>
      </c>
      <c r="L885" s="242">
        <f>L997</f>
        <v>3.3</v>
      </c>
      <c r="M885" s="542"/>
      <c r="N885" s="554"/>
      <c r="O885" s="403"/>
      <c r="R885" s="521"/>
      <c r="T885" s="50"/>
      <c r="U885" s="556"/>
      <c r="V885" s="1371" t="s">
        <v>45</v>
      </c>
      <c r="W885" s="923">
        <v>479.31557142857133</v>
      </c>
      <c r="X885" s="241">
        <v>479.31557142857133</v>
      </c>
      <c r="Y885" s="212">
        <v>479.32</v>
      </c>
      <c r="Z885" s="212">
        <v>479.32</v>
      </c>
      <c r="AA885" s="212">
        <v>479.32</v>
      </c>
      <c r="AB885" s="984">
        <v>479.32</v>
      </c>
      <c r="AC885" s="921">
        <v>479.32</v>
      </c>
      <c r="AD885" s="212">
        <v>479.32</v>
      </c>
      <c r="AE885" s="214">
        <v>372.8</v>
      </c>
      <c r="AF885" s="258">
        <f t="shared" si="168"/>
        <v>445.8</v>
      </c>
      <c r="AG885" s="923"/>
      <c r="AH885" s="115"/>
      <c r="AK885" s="924"/>
      <c r="DF885" s="1502" t="str">
        <f t="shared" si="171"/>
        <v>ASHP-SEER20_ROF_MF</v>
      </c>
      <c r="DG885" s="1048">
        <f>(DI885+DI886)/(DJ885+DJ886)</f>
        <v>1.6198769946618212</v>
      </c>
      <c r="DH885" s="202" t="str">
        <f t="shared" si="177"/>
        <v>Cooling Res 18 Year EUL</v>
      </c>
      <c r="DI885" s="1049">
        <f>(INDEX('Avoided Cost Benefits'!$B$4:$B$866,MATCH(DH885,'Avoided Cost Benefits'!$A$4:$A$866,0)))*F885</f>
        <v>1020.7789754598648</v>
      </c>
      <c r="DJ885" s="1952">
        <f t="shared" si="169"/>
        <v>1081</v>
      </c>
      <c r="DM885" s="239"/>
    </row>
    <row r="886" spans="1:117" x14ac:dyDescent="0.25">
      <c r="A886" s="442"/>
      <c r="B886" s="1384">
        <f t="shared" si="167"/>
        <v>355100</v>
      </c>
      <c r="C886" s="18" t="s">
        <v>1356</v>
      </c>
      <c r="D886" s="551" t="s">
        <v>600</v>
      </c>
      <c r="E886" s="240" t="s">
        <v>1357</v>
      </c>
      <c r="F886" s="212">
        <f>ROUND(((K997*K1087*(1/K1177-1/K1267)*K1717)/1000)*$K$1719,2)</f>
        <v>1204.98</v>
      </c>
      <c r="G886" s="552" t="s">
        <v>1125</v>
      </c>
      <c r="H886" s="66">
        <f>VLOOKUP(G886,'CP FACTORS'!$A$3:$B$38, 2, FALSE)</f>
        <v>0</v>
      </c>
      <c r="I886" s="985">
        <f t="shared" si="174"/>
        <v>0</v>
      </c>
      <c r="J886" s="57">
        <f t="shared" si="178"/>
        <v>18</v>
      </c>
      <c r="K886" s="155">
        <f t="shared" si="173"/>
        <v>0</v>
      </c>
      <c r="L886" s="242"/>
      <c r="M886" s="542"/>
      <c r="N886" s="554"/>
      <c r="O886" s="403"/>
      <c r="R886" s="521"/>
      <c r="T886" s="50"/>
      <c r="U886" s="556"/>
      <c r="V886" s="1371" t="s">
        <v>45</v>
      </c>
      <c r="W886" s="923">
        <v>1029.6000000000013</v>
      </c>
      <c r="X886" s="238">
        <v>766.69069188651167</v>
      </c>
      <c r="Y886" s="212">
        <v>766.69</v>
      </c>
      <c r="Z886" s="212">
        <v>766.69</v>
      </c>
      <c r="AA886" s="212">
        <v>766.69</v>
      </c>
      <c r="AB886" s="984">
        <v>766.69</v>
      </c>
      <c r="AC886" s="921">
        <v>766.69</v>
      </c>
      <c r="AD886" s="212">
        <v>766.69</v>
      </c>
      <c r="AE886" s="214">
        <v>548.27</v>
      </c>
      <c r="AF886" s="258">
        <f t="shared" si="168"/>
        <v>1204.98</v>
      </c>
      <c r="AG886" s="923"/>
      <c r="AH886" s="115"/>
      <c r="AK886" s="924"/>
      <c r="DF886" s="1502" t="str">
        <f t="shared" si="171"/>
        <v>ASHP-SEER20_ROF_MF</v>
      </c>
      <c r="DG886" s="1050"/>
      <c r="DH886" s="240" t="str">
        <f t="shared" si="177"/>
        <v>Heating Res 18 Year EUL</v>
      </c>
      <c r="DI886" s="1049">
        <f>(INDEX('Avoided Cost Benefits'!$B$4:$B$866,MATCH(DH886,'Avoided Cost Benefits'!$A$4:$A$866,0)))*F886</f>
        <v>730.30805576956402</v>
      </c>
      <c r="DJ886" s="1952">
        <f t="shared" si="169"/>
        <v>0</v>
      </c>
      <c r="DM886" s="239"/>
    </row>
    <row r="887" spans="1:117" x14ac:dyDescent="0.25">
      <c r="A887" s="442"/>
      <c r="B887" s="1384">
        <f t="shared" si="167"/>
        <v>355150</v>
      </c>
      <c r="C887" s="18" t="s">
        <v>1358</v>
      </c>
      <c r="D887" s="551" t="s">
        <v>600</v>
      </c>
      <c r="E887" s="202" t="s">
        <v>1359</v>
      </c>
      <c r="F887" s="212">
        <f>ROUND(((K1358*K1448*(1/K1538-1/K1628)*K1718)/1000)*$K$1719,2)</f>
        <v>499.05</v>
      </c>
      <c r="G887" s="552" t="s">
        <v>1124</v>
      </c>
      <c r="H887" s="66">
        <f>VLOOKUP(G887,'CP FACTORS'!$A$3:$B$38, 2, FALSE)</f>
        <v>9.4741810000000004E-4</v>
      </c>
      <c r="I887" s="985">
        <f t="shared" si="174"/>
        <v>0.47280899999999998</v>
      </c>
      <c r="J887" s="57">
        <f t="shared" si="178"/>
        <v>18</v>
      </c>
      <c r="K887" s="155">
        <f t="shared" si="173"/>
        <v>1081</v>
      </c>
      <c r="L887" s="242">
        <f>L998</f>
        <v>3.3</v>
      </c>
      <c r="M887" s="542"/>
      <c r="N887" s="554"/>
      <c r="O887" s="403"/>
      <c r="R887" s="521"/>
      <c r="T887" s="50"/>
      <c r="U887" s="556"/>
      <c r="V887" s="1371" t="s">
        <v>45</v>
      </c>
      <c r="W887" s="923">
        <v>532.57285714285706</v>
      </c>
      <c r="X887" s="241">
        <v>532.57285714285706</v>
      </c>
      <c r="Y887" s="212">
        <v>532.57000000000005</v>
      </c>
      <c r="Z887" s="212">
        <v>532.57000000000005</v>
      </c>
      <c r="AA887" s="212">
        <v>532.57000000000005</v>
      </c>
      <c r="AB887" s="984">
        <v>532.57000000000005</v>
      </c>
      <c r="AC887" s="921">
        <v>532.57000000000005</v>
      </c>
      <c r="AD887" s="212">
        <v>532.57000000000005</v>
      </c>
      <c r="AE887" s="214">
        <v>426.06</v>
      </c>
      <c r="AF887" s="258">
        <f t="shared" si="168"/>
        <v>499.05</v>
      </c>
      <c r="AG887" s="923"/>
      <c r="AH887" s="115"/>
      <c r="AK887" s="924"/>
      <c r="DF887" s="1502" t="str">
        <f t="shared" si="171"/>
        <v>ASHP-SEER21_ROF_MF</v>
      </c>
      <c r="DG887" s="1048">
        <f>(DI887+DI888)/(DJ887+DJ888)</f>
        <v>1.7326708835664208</v>
      </c>
      <c r="DH887" s="202" t="str">
        <f t="shared" si="177"/>
        <v>Cooling Res 18 Year EUL</v>
      </c>
      <c r="DI887" s="1049">
        <f>(INDEX('Avoided Cost Benefits'!$B$4:$B$866,MATCH(DH887,'Avoided Cost Benefits'!$A$4:$A$866,0)))*F887</f>
        <v>1142.7091693657369</v>
      </c>
      <c r="DJ887" s="1952">
        <f t="shared" si="169"/>
        <v>1081</v>
      </c>
      <c r="DM887" s="239"/>
    </row>
    <row r="888" spans="1:117" x14ac:dyDescent="0.25">
      <c r="A888" s="442"/>
      <c r="B888" s="1384">
        <f t="shared" si="167"/>
        <v>355150</v>
      </c>
      <c r="C888" s="18" t="s">
        <v>1358</v>
      </c>
      <c r="D888" s="551" t="s">
        <v>600</v>
      </c>
      <c r="E888" s="240" t="s">
        <v>1359</v>
      </c>
      <c r="F888" s="212">
        <f>ROUND(((K998*K1088*(1/K1178-1/K1268)*K1718)/1000)*$K$1719,2)</f>
        <v>1204.98</v>
      </c>
      <c r="G888" s="552" t="s">
        <v>1125</v>
      </c>
      <c r="H888" s="66">
        <f>VLOOKUP(G888,'CP FACTORS'!$A$3:$B$38, 2, FALSE)</f>
        <v>0</v>
      </c>
      <c r="I888" s="985">
        <f t="shared" si="174"/>
        <v>0</v>
      </c>
      <c r="J888" s="57">
        <f t="shared" si="178"/>
        <v>18</v>
      </c>
      <c r="K888" s="155">
        <f t="shared" si="173"/>
        <v>0</v>
      </c>
      <c r="L888" s="242"/>
      <c r="M888" s="542"/>
      <c r="N888" s="554"/>
      <c r="O888" s="403"/>
      <c r="R888" s="521"/>
      <c r="T888" s="50"/>
      <c r="U888" s="556"/>
      <c r="V888" s="1371" t="s">
        <v>45</v>
      </c>
      <c r="W888" s="923">
        <v>1029.6000000000013</v>
      </c>
      <c r="X888" s="238">
        <v>766.69069188651167</v>
      </c>
      <c r="Y888" s="212">
        <v>766.69</v>
      </c>
      <c r="Z888" s="212">
        <v>766.69</v>
      </c>
      <c r="AA888" s="212">
        <v>766.69</v>
      </c>
      <c r="AB888" s="984">
        <v>766.69</v>
      </c>
      <c r="AC888" s="921">
        <v>766.69</v>
      </c>
      <c r="AD888" s="212">
        <v>766.69</v>
      </c>
      <c r="AE888" s="214">
        <v>548.27</v>
      </c>
      <c r="AF888" s="258">
        <f t="shared" si="168"/>
        <v>1204.98</v>
      </c>
      <c r="AG888" s="923"/>
      <c r="AH888" s="115"/>
      <c r="AK888" s="924"/>
      <c r="DF888" s="1502" t="str">
        <f t="shared" si="171"/>
        <v>ASHP-SEER21_ROF_MF</v>
      </c>
      <c r="DG888" s="1050"/>
      <c r="DH888" s="240" t="str">
        <f t="shared" si="177"/>
        <v>Heating Res 18 Year EUL</v>
      </c>
      <c r="DI888" s="1049">
        <f>(INDEX('Avoided Cost Benefits'!$B$4:$B$866,MATCH(DH888,'Avoided Cost Benefits'!$A$4:$A$866,0)))*F888</f>
        <v>730.30805576956402</v>
      </c>
      <c r="DJ888" s="1952">
        <f t="shared" si="169"/>
        <v>0</v>
      </c>
      <c r="DM888" s="239"/>
    </row>
    <row r="889" spans="1:117" hidden="1" outlineLevel="1" x14ac:dyDescent="0.25">
      <c r="A889" s="442"/>
      <c r="C889" s="49"/>
      <c r="D889" s="74" t="s">
        <v>94</v>
      </c>
      <c r="E889" s="50" t="s">
        <v>1130</v>
      </c>
      <c r="F889" s="100"/>
      <c r="G889" s="550"/>
      <c r="H889" s="100" t="s">
        <v>1115</v>
      </c>
      <c r="I889" s="49"/>
      <c r="J889" s="49"/>
      <c r="K889" s="49"/>
      <c r="L889" s="49"/>
      <c r="M889" s="49"/>
      <c r="N889" s="49"/>
      <c r="Q889" s="100"/>
      <c r="T889" s="50"/>
      <c r="U889" s="50"/>
      <c r="V889" s="50"/>
      <c r="DG889" s="555"/>
      <c r="DH889" s="243"/>
      <c r="DI889" s="1049"/>
      <c r="DJ889" s="1127"/>
    </row>
    <row r="890" spans="1:117" hidden="1" outlineLevel="1" x14ac:dyDescent="0.25">
      <c r="A890" s="442"/>
      <c r="C890" s="49"/>
      <c r="D890" s="71" t="s">
        <v>604</v>
      </c>
      <c r="E890" s="100" t="s">
        <v>1132</v>
      </c>
      <c r="F890" s="100"/>
      <c r="G890" s="550"/>
      <c r="H890" s="100" t="s">
        <v>1360</v>
      </c>
      <c r="I890" s="49"/>
      <c r="J890" s="49"/>
      <c r="K890" s="49"/>
      <c r="L890" s="49"/>
      <c r="M890" s="49"/>
      <c r="N890" s="49"/>
      <c r="Q890" s="100"/>
      <c r="T890" s="50"/>
      <c r="U890" s="50"/>
      <c r="V890" s="50"/>
      <c r="DG890" s="555"/>
      <c r="DH890" s="151"/>
      <c r="DI890" s="1049"/>
      <c r="DJ890" s="1127"/>
    </row>
    <row r="891" spans="1:117" hidden="1" outlineLevel="1" x14ac:dyDescent="0.25">
      <c r="A891" s="442"/>
      <c r="C891" s="49"/>
      <c r="D891" s="71"/>
      <c r="E891" s="100" t="s">
        <v>1133</v>
      </c>
      <c r="G891" s="100"/>
      <c r="T891" s="50"/>
      <c r="U891" s="50"/>
      <c r="V891" s="50"/>
      <c r="DG891" s="555"/>
      <c r="DH891" s="151"/>
      <c r="DI891" s="1049"/>
      <c r="DJ891" s="1127"/>
    </row>
    <row r="892" spans="1:117" hidden="1" outlineLevel="1" x14ac:dyDescent="0.25">
      <c r="A892" s="442"/>
      <c r="C892" s="49"/>
      <c r="D892" s="100"/>
      <c r="E892" s="100" t="s">
        <v>1134</v>
      </c>
      <c r="G892" s="100"/>
      <c r="H892" s="49"/>
      <c r="T892" s="50"/>
      <c r="U892" s="50"/>
      <c r="V892" s="50"/>
      <c r="DG892" s="555"/>
      <c r="DH892" s="151"/>
      <c r="DI892" s="1049"/>
      <c r="DJ892" s="1127"/>
    </row>
    <row r="893" spans="1:117" hidden="1" outlineLevel="1" x14ac:dyDescent="0.25">
      <c r="A893" s="442"/>
      <c r="C893" s="49"/>
      <c r="D893" s="100"/>
      <c r="E893" s="100" t="s">
        <v>1135</v>
      </c>
      <c r="G893" s="100"/>
      <c r="H893" s="49"/>
      <c r="T893" s="50"/>
      <c r="U893" s="50"/>
      <c r="V893" s="50"/>
      <c r="DG893" s="555"/>
      <c r="DH893" s="151"/>
      <c r="DI893" s="1049"/>
      <c r="DJ893" s="1127"/>
    </row>
    <row r="894" spans="1:117" hidden="1" outlineLevel="1" x14ac:dyDescent="0.25">
      <c r="A894" s="442"/>
      <c r="C894" s="49"/>
      <c r="D894" s="100"/>
      <c r="E894" s="100"/>
      <c r="G894" s="100"/>
      <c r="H894" s="49"/>
      <c r="T894" s="50"/>
      <c r="U894" s="50"/>
      <c r="V894" s="50"/>
      <c r="DG894" s="555"/>
      <c r="DH894" s="151"/>
      <c r="DI894" s="1049"/>
      <c r="DJ894" s="1127"/>
    </row>
    <row r="895" spans="1:117" hidden="1" outlineLevel="1" x14ac:dyDescent="0.25">
      <c r="A895" s="442"/>
      <c r="C895" s="49"/>
      <c r="D895" s="100"/>
      <c r="E895" s="100" t="s">
        <v>1136</v>
      </c>
      <c r="G895" s="100"/>
      <c r="H895" s="49"/>
      <c r="T895" s="50"/>
      <c r="U895" s="50"/>
      <c r="V895" s="50"/>
      <c r="DG895" s="555"/>
      <c r="DH895" s="151"/>
      <c r="DI895" s="1049"/>
      <c r="DJ895" s="1127"/>
    </row>
    <row r="896" spans="1:117" hidden="1" outlineLevel="1" x14ac:dyDescent="0.25">
      <c r="A896" s="442"/>
      <c r="C896" s="49"/>
      <c r="D896" s="100"/>
      <c r="E896" s="100" t="s">
        <v>1137</v>
      </c>
      <c r="G896" s="100"/>
      <c r="H896" s="49"/>
      <c r="T896" s="50"/>
      <c r="U896" s="50"/>
      <c r="V896" s="50"/>
      <c r="DG896" s="555"/>
      <c r="DH896" s="151"/>
      <c r="DI896" s="1049"/>
      <c r="DJ896" s="1127"/>
    </row>
    <row r="897" spans="1:114" hidden="1" outlineLevel="1" x14ac:dyDescent="0.25">
      <c r="A897" s="442"/>
      <c r="C897" s="49"/>
      <c r="D897" s="100"/>
      <c r="E897" s="100" t="s">
        <v>1138</v>
      </c>
      <c r="G897" s="100"/>
      <c r="H897" s="49"/>
      <c r="T897" s="50"/>
      <c r="U897" s="50"/>
      <c r="V897" s="50"/>
      <c r="DG897" s="555"/>
      <c r="DH897" s="151"/>
      <c r="DI897" s="1049"/>
      <c r="DJ897" s="1127"/>
    </row>
    <row r="898" spans="1:114" hidden="1" outlineLevel="1" x14ac:dyDescent="0.25">
      <c r="A898" s="442"/>
      <c r="C898" s="49"/>
      <c r="D898" s="100"/>
      <c r="E898" s="100" t="s">
        <v>1134</v>
      </c>
      <c r="G898" s="100"/>
      <c r="H898" s="49"/>
      <c r="T898" s="50"/>
      <c r="U898" s="50"/>
      <c r="V898" s="50"/>
      <c r="DG898" s="555"/>
      <c r="DH898" s="151"/>
      <c r="DI898" s="1049"/>
      <c r="DJ898" s="1127"/>
    </row>
    <row r="899" spans="1:114" hidden="1" outlineLevel="1" x14ac:dyDescent="0.25">
      <c r="A899" s="442"/>
      <c r="C899" s="49"/>
      <c r="D899" s="100"/>
      <c r="E899" s="100" t="s">
        <v>1139</v>
      </c>
      <c r="G899" s="100"/>
      <c r="H899" s="49"/>
      <c r="T899" s="50"/>
      <c r="U899" s="50"/>
      <c r="V899" s="50"/>
      <c r="DG899" s="555"/>
      <c r="DH899" s="151"/>
      <c r="DI899" s="1049"/>
      <c r="DJ899" s="1127"/>
    </row>
    <row r="900" spans="1:114" hidden="1" outlineLevel="1" x14ac:dyDescent="0.25">
      <c r="A900" s="442"/>
      <c r="C900" s="49"/>
      <c r="D900" s="100"/>
      <c r="E900" s="100" t="s">
        <v>1140</v>
      </c>
      <c r="G900" s="100"/>
      <c r="H900" s="49"/>
      <c r="T900" s="50"/>
      <c r="U900" s="50"/>
      <c r="V900" s="50"/>
      <c r="DG900" s="555"/>
      <c r="DH900" s="151"/>
      <c r="DI900" s="1049"/>
      <c r="DJ900" s="1127"/>
    </row>
    <row r="901" spans="1:114" hidden="1" outlineLevel="1" x14ac:dyDescent="0.25">
      <c r="A901" s="442"/>
      <c r="C901" s="49"/>
      <c r="D901" s="100"/>
      <c r="E901" s="100" t="s">
        <v>1141</v>
      </c>
      <c r="G901" s="100"/>
      <c r="H901" s="49"/>
      <c r="T901" s="50"/>
      <c r="U901" s="50"/>
      <c r="V901" s="50"/>
      <c r="DG901" s="555"/>
      <c r="DH901" s="151"/>
      <c r="DI901" s="1049"/>
      <c r="DJ901" s="1127"/>
    </row>
    <row r="902" spans="1:114" hidden="1" outlineLevel="1" x14ac:dyDescent="0.25">
      <c r="A902" s="442"/>
      <c r="C902" s="49"/>
      <c r="D902" s="100"/>
      <c r="E902" s="100" t="s">
        <v>1134</v>
      </c>
      <c r="G902" s="100"/>
      <c r="J902" s="100"/>
      <c r="T902" s="50"/>
      <c r="U902" s="50"/>
      <c r="V902" s="768"/>
      <c r="DG902" s="555"/>
      <c r="DH902" s="151"/>
      <c r="DI902" s="1049"/>
      <c r="DJ902" s="1127"/>
    </row>
    <row r="903" spans="1:114" hidden="1" outlineLevel="1" x14ac:dyDescent="0.25">
      <c r="A903" s="442"/>
      <c r="C903" s="49"/>
      <c r="D903" s="100"/>
      <c r="E903" s="100" t="s">
        <v>1135</v>
      </c>
      <c r="G903" s="100"/>
      <c r="T903" s="50"/>
      <c r="U903" s="50"/>
      <c r="V903" s="50"/>
      <c r="DG903" s="555"/>
      <c r="DH903" s="151"/>
      <c r="DI903" s="1049"/>
      <c r="DJ903" s="1127"/>
    </row>
    <row r="904" spans="1:114" hidden="1" outlineLevel="1" x14ac:dyDescent="0.25">
      <c r="A904" s="442"/>
      <c r="C904" s="49"/>
      <c r="D904" s="100"/>
      <c r="E904" s="100"/>
      <c r="G904" s="100"/>
      <c r="H904" s="49"/>
      <c r="T904" s="50"/>
      <c r="U904" s="50"/>
      <c r="V904" s="50"/>
      <c r="W904" s="925"/>
      <c r="DG904" s="555"/>
      <c r="DH904" s="151"/>
      <c r="DI904" s="1049"/>
      <c r="DJ904" s="1127"/>
    </row>
    <row r="905" spans="1:114" hidden="1" outlineLevel="1" x14ac:dyDescent="0.25">
      <c r="A905" s="442"/>
      <c r="C905" s="49"/>
      <c r="D905" s="100"/>
      <c r="E905" s="50" t="s">
        <v>709</v>
      </c>
      <c r="T905" s="50"/>
      <c r="U905" s="50"/>
      <c r="V905" s="50"/>
      <c r="DG905" s="555"/>
      <c r="DH905" s="151"/>
      <c r="DI905" s="1049"/>
      <c r="DJ905" s="1127"/>
    </row>
    <row r="906" spans="1:114" hidden="1" outlineLevel="1" x14ac:dyDescent="0.25">
      <c r="A906" s="442"/>
      <c r="C906" s="49"/>
      <c r="D906" s="100"/>
      <c r="E906" s="100"/>
      <c r="Q906" s="1663" t="str">
        <f>B706</f>
        <v>Air Source Heat Pumps</v>
      </c>
      <c r="T906" s="50"/>
      <c r="U906" s="50"/>
      <c r="V906" s="50"/>
      <c r="DG906" s="555"/>
      <c r="DH906" s="151"/>
      <c r="DI906" s="1049"/>
      <c r="DJ906" s="1127"/>
    </row>
    <row r="907" spans="1:114" hidden="1" outlineLevel="1" x14ac:dyDescent="0.25">
      <c r="A907" s="442"/>
      <c r="C907" s="49"/>
      <c r="D907" s="100"/>
      <c r="E907" s="100"/>
      <c r="K907" s="49"/>
      <c r="L907" s="49"/>
      <c r="M907" s="49"/>
      <c r="Q907" s="196"/>
      <c r="T907" s="50"/>
      <c r="U907" s="50"/>
      <c r="V907" s="50"/>
      <c r="DG907" s="555"/>
      <c r="DH907" s="151"/>
      <c r="DI907" s="1049"/>
      <c r="DJ907" s="1127"/>
    </row>
    <row r="908" spans="1:114" ht="30" hidden="1" customHeight="1" outlineLevel="1" x14ac:dyDescent="0.25">
      <c r="A908" s="442"/>
      <c r="C908" s="49"/>
      <c r="D908" s="1373" t="s">
        <v>712</v>
      </c>
      <c r="E908" s="1373" t="s">
        <v>608</v>
      </c>
      <c r="F908" s="2220" t="s">
        <v>609</v>
      </c>
      <c r="G908" s="2220"/>
      <c r="H908" s="2220"/>
      <c r="I908" s="2220"/>
      <c r="J908" s="1300" t="s">
        <v>42</v>
      </c>
      <c r="K908" s="1300" t="s">
        <v>610</v>
      </c>
      <c r="L908" s="1300" t="s">
        <v>1004</v>
      </c>
      <c r="M908" s="1373" t="s">
        <v>1005</v>
      </c>
      <c r="S908" s="2175" t="s">
        <v>1142</v>
      </c>
      <c r="T908" s="2175"/>
      <c r="U908" s="50"/>
      <c r="V908" s="763" t="s">
        <v>52</v>
      </c>
      <c r="W908" s="1651">
        <v>43252</v>
      </c>
      <c r="X908" s="1651" t="e">
        <f>#REF!</f>
        <v>#REF!</v>
      </c>
      <c r="Y908" s="1651" t="e">
        <f>#REF!</f>
        <v>#REF!</v>
      </c>
      <c r="Z908" s="1651" t="e">
        <f>#REF!</f>
        <v>#REF!</v>
      </c>
      <c r="AA908" s="1651" t="e">
        <f>#REF!</f>
        <v>#REF!</v>
      </c>
      <c r="AB908" s="1651" t="e">
        <f>#REF!</f>
        <v>#REF!</v>
      </c>
      <c r="AC908" s="1651" t="e">
        <f>#REF!</f>
        <v>#REF!</v>
      </c>
      <c r="AD908" s="1651" t="e">
        <f>#REF!</f>
        <v>#REF!</v>
      </c>
      <c r="AE908" s="1651" t="e">
        <f>#REF!</f>
        <v>#REF!</v>
      </c>
      <c r="AF908" s="1651" t="e">
        <f>#REF!</f>
        <v>#REF!</v>
      </c>
      <c r="AG908" s="1651" t="e">
        <f>#REF!</f>
        <v>#REF!</v>
      </c>
      <c r="DG908" s="555"/>
      <c r="DH908" s="151"/>
      <c r="DI908" s="1049"/>
      <c r="DJ908" s="1127"/>
    </row>
    <row r="909" spans="1:114" ht="15" hidden="1" customHeight="1" outlineLevel="1" x14ac:dyDescent="0.25">
      <c r="A909" s="442"/>
      <c r="C909" s="49"/>
      <c r="D909" s="2177" t="s">
        <v>1143</v>
      </c>
      <c r="E909" s="2177" t="s">
        <v>1144</v>
      </c>
      <c r="F909" s="2176" t="str">
        <f>$E$709</f>
        <v>ASHP-SEER15-Replace_CAC_ElectricHeat_ER1_SF</v>
      </c>
      <c r="G909" s="2176"/>
      <c r="H909" s="2176"/>
      <c r="I909" s="2176"/>
      <c r="J909" s="986" t="str">
        <f>$C$709</f>
        <v>352300_2024_12_</v>
      </c>
      <c r="K909" s="1589">
        <v>30871.809203867651</v>
      </c>
      <c r="L909" s="988">
        <f t="shared" ref="L909:L932" si="179">K909/12000</f>
        <v>2.5726507669889709</v>
      </c>
      <c r="M909" s="873" t="s">
        <v>1024</v>
      </c>
      <c r="R909" s="1897" t="s">
        <v>1010</v>
      </c>
      <c r="S909" s="1897" t="s">
        <v>1083</v>
      </c>
      <c r="T909" s="1499" t="s">
        <v>1084</v>
      </c>
      <c r="U909" s="50"/>
      <c r="V909" s="2177" t="s">
        <v>1143</v>
      </c>
      <c r="W909" s="1326">
        <v>33600</v>
      </c>
      <c r="X909" s="794">
        <f>3.06*12000</f>
        <v>36720</v>
      </c>
      <c r="Y909" s="794">
        <v>34800</v>
      </c>
      <c r="Z909" s="1326">
        <v>34800</v>
      </c>
      <c r="AA909" s="1326">
        <v>34800</v>
      </c>
      <c r="AB909" s="790">
        <v>34457.142857142855</v>
      </c>
      <c r="AC909" s="790">
        <v>34555.932203389835</v>
      </c>
      <c r="AD909" s="790">
        <v>32616.186021300451</v>
      </c>
      <c r="AE909" s="928">
        <v>30871.809203867651</v>
      </c>
      <c r="AF909" s="258">
        <f t="shared" ref="AF909:AF931" si="180">IF(K909&lt;&gt;"",K909,"")</f>
        <v>30871.809203867651</v>
      </c>
      <c r="AG909" s="1326"/>
      <c r="DG909" s="555"/>
      <c r="DH909" s="151"/>
      <c r="DI909" s="1049"/>
      <c r="DJ909" s="1127"/>
    </row>
    <row r="910" spans="1:114" ht="15" hidden="1" customHeight="1" outlineLevel="1" x14ac:dyDescent="0.25">
      <c r="A910" s="442"/>
      <c r="C910" s="49"/>
      <c r="D910" s="2177"/>
      <c r="E910" s="2177"/>
      <c r="F910" s="2176" t="str">
        <f>$E$711</f>
        <v>ASHP-SEER15-Replace_CAC_ElectricHeat_ER2_SF</v>
      </c>
      <c r="G910" s="2176"/>
      <c r="H910" s="2176"/>
      <c r="I910" s="2176"/>
      <c r="J910" s="986" t="str">
        <f>$C$711</f>
        <v>352300_2024_12_</v>
      </c>
      <c r="K910" s="1589">
        <v>30871.809203867651</v>
      </c>
      <c r="L910" s="988">
        <f t="shared" si="179"/>
        <v>2.5726507669889709</v>
      </c>
      <c r="M910" s="873" t="s">
        <v>1024</v>
      </c>
      <c r="R910" s="1896">
        <v>15.2</v>
      </c>
      <c r="S910" s="1896">
        <v>7000</v>
      </c>
      <c r="T910" s="68">
        <v>600</v>
      </c>
      <c r="U910" s="151"/>
      <c r="V910" s="2177"/>
      <c r="W910" s="1326">
        <v>33600</v>
      </c>
      <c r="X910" s="794">
        <f t="shared" ref="X910:X925" si="181">3.06*12000</f>
        <v>36720</v>
      </c>
      <c r="Y910" s="794">
        <v>34800</v>
      </c>
      <c r="Z910" s="1326">
        <v>34800</v>
      </c>
      <c r="AA910" s="1326">
        <v>34800</v>
      </c>
      <c r="AB910" s="790">
        <v>34457.142857142855</v>
      </c>
      <c r="AC910" s="790">
        <f>AC909</f>
        <v>34555.932203389835</v>
      </c>
      <c r="AD910" s="790">
        <v>32616.186021300451</v>
      </c>
      <c r="AE910" s="928">
        <v>30871.809203867651</v>
      </c>
      <c r="AF910" s="258">
        <f t="shared" si="180"/>
        <v>30871.809203867651</v>
      </c>
      <c r="AG910" s="1326"/>
      <c r="DG910" s="555"/>
      <c r="DH910" s="151"/>
      <c r="DI910" s="1049"/>
      <c r="DJ910" s="1127"/>
    </row>
    <row r="911" spans="1:114" ht="15" hidden="1" customHeight="1" outlineLevel="1" x14ac:dyDescent="0.25">
      <c r="A911" s="442"/>
      <c r="C911" s="49"/>
      <c r="D911" s="2177"/>
      <c r="E911" s="2177"/>
      <c r="F911" s="2176" t="str">
        <f>$E$713</f>
        <v>ASHP-SEER15-Replace_CAC_NonElectricHeat_ER1_SF</v>
      </c>
      <c r="G911" s="2176"/>
      <c r="H911" s="2176"/>
      <c r="I911" s="2176"/>
      <c r="J911" s="986" t="str">
        <f>$C$713</f>
        <v>352310_2024_12_</v>
      </c>
      <c r="K911" s="1589">
        <v>30871.809203867651</v>
      </c>
      <c r="L911" s="988">
        <f t="shared" si="179"/>
        <v>2.5726507669889709</v>
      </c>
      <c r="M911" s="873" t="s">
        <v>1024</v>
      </c>
      <c r="R911" s="1896">
        <v>16.2</v>
      </c>
      <c r="S911" s="1896">
        <v>7286</v>
      </c>
      <c r="T911" s="68">
        <v>600</v>
      </c>
      <c r="U911" s="151"/>
      <c r="V911" s="2177"/>
      <c r="W911" s="1326"/>
      <c r="X911" s="794"/>
      <c r="Y911" s="794"/>
      <c r="Z911" s="1326"/>
      <c r="AA911" s="1326"/>
      <c r="AB911" s="790"/>
      <c r="AC911" s="790">
        <v>34555.932203389835</v>
      </c>
      <c r="AD911" s="928">
        <v>32616.186021300451</v>
      </c>
      <c r="AE911" s="928">
        <v>30871.809203867651</v>
      </c>
      <c r="AF911" s="258">
        <f t="shared" si="180"/>
        <v>30871.809203867651</v>
      </c>
      <c r="AG911" s="1326"/>
      <c r="DG911" s="555"/>
      <c r="DH911" s="151"/>
      <c r="DI911" s="1049"/>
      <c r="DJ911" s="1127"/>
    </row>
    <row r="912" spans="1:114" ht="15" hidden="1" customHeight="1" outlineLevel="1" x14ac:dyDescent="0.25">
      <c r="A912" s="442"/>
      <c r="C912" s="49"/>
      <c r="D912" s="2177"/>
      <c r="E912" s="2177"/>
      <c r="F912" s="2176" t="str">
        <f>$E$715</f>
        <v>ASHP-SEER15-Replace_CAC_NonElectricHeat_ER2_SF</v>
      </c>
      <c r="G912" s="2176"/>
      <c r="H912" s="2176"/>
      <c r="I912" s="2176"/>
      <c r="J912" s="986" t="str">
        <f>$C$715</f>
        <v>352310_2024_12_</v>
      </c>
      <c r="K912" s="1589">
        <v>30871.809203867651</v>
      </c>
      <c r="L912" s="988">
        <f t="shared" si="179"/>
        <v>2.5726507669889709</v>
      </c>
      <c r="M912" s="873" t="s">
        <v>1024</v>
      </c>
      <c r="R912" s="1896">
        <v>17.100000000000001</v>
      </c>
      <c r="S912" s="1896">
        <v>7495</v>
      </c>
      <c r="T912" s="68">
        <v>600</v>
      </c>
      <c r="U912" s="151"/>
      <c r="V912" s="2177"/>
      <c r="W912" s="1326"/>
      <c r="X912" s="794"/>
      <c r="Y912" s="794"/>
      <c r="Z912" s="1326"/>
      <c r="AA912" s="1326"/>
      <c r="AB912" s="790"/>
      <c r="AC912" s="790">
        <f>AC911</f>
        <v>34555.932203389835</v>
      </c>
      <c r="AD912" s="928">
        <v>32616.186021300451</v>
      </c>
      <c r="AE912" s="928">
        <v>30871.809203867651</v>
      </c>
      <c r="AF912" s="258">
        <f t="shared" si="180"/>
        <v>30871.809203867651</v>
      </c>
      <c r="AG912" s="1326"/>
      <c r="DG912" s="555"/>
      <c r="DH912" s="151"/>
      <c r="DI912" s="1049"/>
      <c r="DJ912" s="1127"/>
    </row>
    <row r="913" spans="1:114" ht="15" hidden="1" customHeight="1" outlineLevel="1" x14ac:dyDescent="0.25">
      <c r="A913" s="442"/>
      <c r="C913" s="49"/>
      <c r="D913" s="2177"/>
      <c r="E913" s="2177"/>
      <c r="F913" s="2176" t="str">
        <f>$E$717</f>
        <v>ASHP-SEER15_ER1_SF</v>
      </c>
      <c r="G913" s="2176"/>
      <c r="H913" s="2176"/>
      <c r="I913" s="2176"/>
      <c r="J913" s="986" t="str">
        <f>$C$717</f>
        <v>352350_2024_12_</v>
      </c>
      <c r="K913" s="1589">
        <v>30871.809203867651</v>
      </c>
      <c r="L913" s="988">
        <f t="shared" si="179"/>
        <v>2.5726507669889709</v>
      </c>
      <c r="M913" s="873" t="s">
        <v>1024</v>
      </c>
      <c r="R913" s="1896">
        <v>18.100000000000001</v>
      </c>
      <c r="S913" s="1896">
        <v>7720</v>
      </c>
      <c r="T913" s="68">
        <v>600</v>
      </c>
      <c r="U913" s="151"/>
      <c r="V913" s="2177"/>
      <c r="W913" s="1326">
        <v>37200</v>
      </c>
      <c r="X913" s="794">
        <f t="shared" si="181"/>
        <v>36720</v>
      </c>
      <c r="Y913" s="794">
        <v>35160</v>
      </c>
      <c r="Z913" s="1326">
        <v>35160</v>
      </c>
      <c r="AA913" s="1326">
        <v>35160</v>
      </c>
      <c r="AB913" s="790">
        <v>37222.222222222219</v>
      </c>
      <c r="AC913" s="790">
        <v>37480.519480519484</v>
      </c>
      <c r="AD913" s="928">
        <v>32616.186021300451</v>
      </c>
      <c r="AE913" s="928">
        <v>30871.809203867651</v>
      </c>
      <c r="AF913" s="258">
        <f t="shared" si="180"/>
        <v>30871.809203867651</v>
      </c>
      <c r="AG913" s="1326"/>
      <c r="DG913" s="555"/>
      <c r="DH913" s="151"/>
      <c r="DI913" s="1049"/>
      <c r="DJ913" s="1127"/>
    </row>
    <row r="914" spans="1:114" ht="15" hidden="1" customHeight="1" outlineLevel="1" x14ac:dyDescent="0.25">
      <c r="A914" s="442"/>
      <c r="C914" s="49"/>
      <c r="D914" s="2177"/>
      <c r="E914" s="2177"/>
      <c r="F914" s="2176" t="str">
        <f>$E$719</f>
        <v>ASHP-SEER15_ER2_SF</v>
      </c>
      <c r="G914" s="2176"/>
      <c r="H914" s="2176"/>
      <c r="I914" s="2176"/>
      <c r="J914" s="986" t="str">
        <f>$C$719</f>
        <v>352350_2024_12_</v>
      </c>
      <c r="K914" s="1589">
        <v>30871.809203867651</v>
      </c>
      <c r="L914" s="988">
        <f t="shared" si="179"/>
        <v>2.5726507669889709</v>
      </c>
      <c r="M914" s="873" t="s">
        <v>1024</v>
      </c>
      <c r="R914" s="1896">
        <v>19</v>
      </c>
      <c r="S914" s="1896">
        <v>7946</v>
      </c>
      <c r="T914" s="68">
        <v>600</v>
      </c>
      <c r="U914" s="151"/>
      <c r="V914" s="2177"/>
      <c r="W914" s="1326">
        <v>37200</v>
      </c>
      <c r="X914" s="794">
        <f t="shared" si="181"/>
        <v>36720</v>
      </c>
      <c r="Y914" s="794">
        <v>35160</v>
      </c>
      <c r="Z914" s="1326">
        <v>35160</v>
      </c>
      <c r="AA914" s="1326">
        <v>35160</v>
      </c>
      <c r="AB914" s="790">
        <v>37222.222222222219</v>
      </c>
      <c r="AC914" s="790">
        <f>AC913</f>
        <v>37480.519480519484</v>
      </c>
      <c r="AD914" s="928">
        <v>32616.186021300451</v>
      </c>
      <c r="AE914" s="928">
        <v>30871.809203867651</v>
      </c>
      <c r="AF914" s="258">
        <f t="shared" si="180"/>
        <v>30871.809203867651</v>
      </c>
      <c r="AG914" s="1326"/>
      <c r="DG914" s="555"/>
      <c r="DH914" s="151"/>
      <c r="DI914" s="1049"/>
      <c r="DJ914" s="1127"/>
    </row>
    <row r="915" spans="1:114" ht="15" hidden="1" customHeight="1" outlineLevel="1" x14ac:dyDescent="0.25">
      <c r="A915" s="442"/>
      <c r="C915" s="49"/>
      <c r="D915" s="2177"/>
      <c r="E915" s="2177"/>
      <c r="F915" s="2176" t="str">
        <f>$E$721</f>
        <v>ASHP-SEER15-Replace_CAC_ElectricHeat_ROF_SF</v>
      </c>
      <c r="G915" s="2176"/>
      <c r="H915" s="2176"/>
      <c r="I915" s="2176"/>
      <c r="J915" s="986" t="str">
        <f>$C$721</f>
        <v>352400_2024_12_</v>
      </c>
      <c r="K915" s="1589">
        <v>33671.908441765758</v>
      </c>
      <c r="L915" s="988">
        <f t="shared" si="179"/>
        <v>2.8059923701471465</v>
      </c>
      <c r="M915" s="873" t="s">
        <v>1024</v>
      </c>
      <c r="T915" s="196"/>
      <c r="U915" s="151"/>
      <c r="V915" s="2177"/>
      <c r="W915" s="1326">
        <v>31200</v>
      </c>
      <c r="X915" s="794">
        <f t="shared" si="181"/>
        <v>36720</v>
      </c>
      <c r="Y915" s="794">
        <v>34320</v>
      </c>
      <c r="Z915" s="1326">
        <v>34320</v>
      </c>
      <c r="AA915" s="1326">
        <v>34320</v>
      </c>
      <c r="AB915" s="790">
        <v>35872.340425531918</v>
      </c>
      <c r="AC915" s="790">
        <v>37047.619047619046</v>
      </c>
      <c r="AD915" s="928">
        <v>33764.105504587154</v>
      </c>
      <c r="AE915" s="928">
        <v>33671.908441765758</v>
      </c>
      <c r="AF915" s="258">
        <f t="shared" si="180"/>
        <v>33671.908441765758</v>
      </c>
      <c r="AG915" s="1326"/>
      <c r="DG915" s="555"/>
      <c r="DH915" s="151"/>
      <c r="DI915" s="1049"/>
      <c r="DJ915" s="1127"/>
    </row>
    <row r="916" spans="1:114" ht="15" hidden="1" customHeight="1" outlineLevel="1" x14ac:dyDescent="0.25">
      <c r="A916" s="442"/>
      <c r="C916" s="49"/>
      <c r="D916" s="2177"/>
      <c r="E916" s="2177"/>
      <c r="F916" s="2176" t="str">
        <f>$E$723</f>
        <v>ASHP-SEER15-Replace_CAC_NonElectricHeat_ROF_SF</v>
      </c>
      <c r="G916" s="2176"/>
      <c r="H916" s="2176"/>
      <c r="I916" s="2176"/>
      <c r="J916" s="986" t="str">
        <f>$C$723</f>
        <v>352410_2024_12_</v>
      </c>
      <c r="K916" s="1589">
        <v>33671.908441765758</v>
      </c>
      <c r="L916" s="988">
        <f t="shared" si="179"/>
        <v>2.8059923701471465</v>
      </c>
      <c r="M916" s="873" t="s">
        <v>1024</v>
      </c>
      <c r="S916" s="2175" t="s">
        <v>1080</v>
      </c>
      <c r="T916" s="2175"/>
      <c r="U916" s="151"/>
      <c r="V916" s="2177"/>
      <c r="W916" s="1326"/>
      <c r="X916" s="794"/>
      <c r="Y916" s="794"/>
      <c r="Z916" s="1326"/>
      <c r="AA916" s="1326"/>
      <c r="AB916" s="790"/>
      <c r="AC916" s="790">
        <v>37047.619047619046</v>
      </c>
      <c r="AD916" s="928">
        <v>33764.105504587154</v>
      </c>
      <c r="AE916" s="928">
        <v>33671.908441765758</v>
      </c>
      <c r="AF916" s="258">
        <f t="shared" si="180"/>
        <v>33671.908441765758</v>
      </c>
      <c r="AG916" s="1326"/>
      <c r="DG916" s="555"/>
      <c r="DH916" s="151"/>
      <c r="DI916" s="1049"/>
      <c r="DJ916" s="1127"/>
    </row>
    <row r="917" spans="1:114" ht="15" hidden="1" customHeight="1" outlineLevel="1" x14ac:dyDescent="0.25">
      <c r="A917" s="442"/>
      <c r="C917" s="49"/>
      <c r="D917" s="2177"/>
      <c r="E917" s="2177"/>
      <c r="F917" s="2176" t="str">
        <f>$E$725</f>
        <v>ASHP-SEER16-Replace_CAC_ElectricHeat_ER1_SF</v>
      </c>
      <c r="G917" s="2176"/>
      <c r="H917" s="2176"/>
      <c r="I917" s="2176"/>
      <c r="J917" s="986" t="str">
        <f>$C$725</f>
        <v>352500_2024_12_</v>
      </c>
      <c r="K917" s="1589">
        <v>30372.354967100247</v>
      </c>
      <c r="L917" s="988">
        <f t="shared" si="179"/>
        <v>2.5310295805916874</v>
      </c>
      <c r="M917" s="873" t="s">
        <v>1024</v>
      </c>
      <c r="Q917" s="1897" t="s">
        <v>1081</v>
      </c>
      <c r="R917" s="1897" t="s">
        <v>1082</v>
      </c>
      <c r="S917" s="1897" t="s">
        <v>1083</v>
      </c>
      <c r="T917" s="1499" t="s">
        <v>1084</v>
      </c>
      <c r="U917" s="151"/>
      <c r="V917" s="2177"/>
      <c r="W917" s="1326">
        <v>37200</v>
      </c>
      <c r="X917" s="794">
        <f t="shared" si="181"/>
        <v>36720</v>
      </c>
      <c r="Y917" s="794">
        <v>38160</v>
      </c>
      <c r="Z917" s="1326">
        <v>38160</v>
      </c>
      <c r="AA917" s="1326">
        <v>38160</v>
      </c>
      <c r="AB917" s="790">
        <v>35375.776397515532</v>
      </c>
      <c r="AC917" s="790">
        <v>35069.908814589668</v>
      </c>
      <c r="AD917" s="928">
        <v>33051.122544058344</v>
      </c>
      <c r="AE917" s="928">
        <v>30372.354967100247</v>
      </c>
      <c r="AF917" s="258">
        <f t="shared" si="180"/>
        <v>30372.354967100247</v>
      </c>
      <c r="AG917" s="1326"/>
      <c r="DG917" s="555"/>
      <c r="DH917" s="151"/>
      <c r="DI917" s="1049"/>
      <c r="DJ917" s="1127"/>
    </row>
    <row r="918" spans="1:114" ht="15" hidden="1" customHeight="1" outlineLevel="1" x14ac:dyDescent="0.25">
      <c r="A918" s="442"/>
      <c r="C918" s="49"/>
      <c r="D918" s="2177"/>
      <c r="E918" s="2177"/>
      <c r="F918" s="2176" t="str">
        <f>$E$727</f>
        <v>ASHP-SEER16-Replace_CAC_ElectricHeat_ER2_SF</v>
      </c>
      <c r="G918" s="2176"/>
      <c r="H918" s="2176"/>
      <c r="I918" s="2176"/>
      <c r="J918" s="986" t="str">
        <f>$C$727</f>
        <v>352500_2024_12_</v>
      </c>
      <c r="K918" s="1589">
        <v>30372.354967100247</v>
      </c>
      <c r="L918" s="988">
        <f t="shared" si="179"/>
        <v>2.5310295805916874</v>
      </c>
      <c r="M918" s="873" t="s">
        <v>1024</v>
      </c>
      <c r="Q918" s="1307" t="s">
        <v>1152</v>
      </c>
      <c r="R918" s="1307" t="s">
        <v>1152</v>
      </c>
      <c r="S918" s="1307">
        <v>6865</v>
      </c>
      <c r="T918" s="68">
        <v>600</v>
      </c>
      <c r="U918" s="151"/>
      <c r="V918" s="2177"/>
      <c r="W918" s="1326">
        <v>37200</v>
      </c>
      <c r="X918" s="794">
        <f t="shared" si="181"/>
        <v>36720</v>
      </c>
      <c r="Y918" s="794">
        <v>38160</v>
      </c>
      <c r="Z918" s="1326">
        <v>38160</v>
      </c>
      <c r="AA918" s="1326">
        <v>38160</v>
      </c>
      <c r="AB918" s="790">
        <v>35375.776397515532</v>
      </c>
      <c r="AC918" s="790">
        <f>AC917</f>
        <v>35069.908814589668</v>
      </c>
      <c r="AD918" s="928">
        <v>33051.122544058344</v>
      </c>
      <c r="AE918" s="928">
        <v>30372.354967100247</v>
      </c>
      <c r="AF918" s="258">
        <f t="shared" si="180"/>
        <v>30372.354967100247</v>
      </c>
      <c r="AG918" s="1326"/>
      <c r="DG918" s="555"/>
      <c r="DH918" s="151"/>
      <c r="DI918" s="1049"/>
      <c r="DJ918" s="1127"/>
    </row>
    <row r="919" spans="1:114" ht="15" hidden="1" customHeight="1" outlineLevel="1" x14ac:dyDescent="0.25">
      <c r="A919" s="442"/>
      <c r="C919" s="49"/>
      <c r="D919" s="2177"/>
      <c r="E919" s="2177"/>
      <c r="F919" s="2176" t="str">
        <f>$E$729</f>
        <v>ASHP-SEER16-Replace_CAC_NonElectricHeat_ER1_SF</v>
      </c>
      <c r="G919" s="2176"/>
      <c r="H919" s="2176"/>
      <c r="I919" s="2176"/>
      <c r="J919" s="986" t="str">
        <f>$C$729</f>
        <v>352510_2024_12_</v>
      </c>
      <c r="K919" s="1589">
        <v>30372.354967100247</v>
      </c>
      <c r="L919" s="988">
        <f t="shared" si="179"/>
        <v>2.5310295805916874</v>
      </c>
      <c r="M919" s="873" t="s">
        <v>1024</v>
      </c>
      <c r="Q919" s="1307" t="s">
        <v>1085</v>
      </c>
      <c r="R919" s="1307" t="s">
        <v>1085</v>
      </c>
      <c r="S919" s="1307">
        <f>2011+3338</f>
        <v>5349</v>
      </c>
      <c r="T919" s="68"/>
      <c r="U919" s="151"/>
      <c r="V919" s="2177"/>
      <c r="W919" s="1326"/>
      <c r="X919" s="794"/>
      <c r="Y919" s="794"/>
      <c r="Z919" s="1326"/>
      <c r="AA919" s="1326"/>
      <c r="AB919" s="790"/>
      <c r="AC919" s="790">
        <v>35069.908814589668</v>
      </c>
      <c r="AD919" s="928">
        <v>33051.122544058344</v>
      </c>
      <c r="AE919" s="928">
        <v>30372.354967100247</v>
      </c>
      <c r="AF919" s="258">
        <f t="shared" si="180"/>
        <v>30372.354967100247</v>
      </c>
      <c r="AG919" s="1326"/>
      <c r="DG919" s="555"/>
      <c r="DH919" s="151"/>
      <c r="DI919" s="1049"/>
      <c r="DJ919" s="1127"/>
    </row>
    <row r="920" spans="1:114" ht="15" hidden="1" customHeight="1" outlineLevel="1" x14ac:dyDescent="0.25">
      <c r="A920" s="442"/>
      <c r="C920" s="49"/>
      <c r="D920" s="2177"/>
      <c r="E920" s="2177"/>
      <c r="F920" s="2176" t="str">
        <f>$E$731</f>
        <v>ASHP-SEER16-Replace_CAC_NonElectricHeat_ER2_SF</v>
      </c>
      <c r="G920" s="2176"/>
      <c r="H920" s="2176"/>
      <c r="I920" s="2176"/>
      <c r="J920" s="986" t="str">
        <f>$C$731</f>
        <v>352510_2024_12_</v>
      </c>
      <c r="K920" s="1589">
        <v>30372.354967100247</v>
      </c>
      <c r="L920" s="988">
        <f t="shared" si="179"/>
        <v>2.5310295805916874</v>
      </c>
      <c r="M920" s="873" t="s">
        <v>1024</v>
      </c>
      <c r="Q920" s="1307" t="s">
        <v>1157</v>
      </c>
      <c r="R920" s="1307" t="s">
        <v>1157</v>
      </c>
      <c r="S920" s="1307">
        <v>7722</v>
      </c>
      <c r="T920" s="68">
        <v>674</v>
      </c>
      <c r="U920" s="151"/>
      <c r="V920" s="2177"/>
      <c r="W920" s="1326"/>
      <c r="X920" s="794"/>
      <c r="Y920" s="794"/>
      <c r="Z920" s="1326"/>
      <c r="AA920" s="1326"/>
      <c r="AB920" s="790"/>
      <c r="AC920" s="790">
        <f>AC919</f>
        <v>35069.908814589668</v>
      </c>
      <c r="AD920" s="928">
        <v>33051.122544058344</v>
      </c>
      <c r="AE920" s="928">
        <v>30372.354967100247</v>
      </c>
      <c r="AF920" s="258">
        <f t="shared" si="180"/>
        <v>30372.354967100247</v>
      </c>
      <c r="AG920" s="1326"/>
      <c r="DG920" s="555"/>
      <c r="DH920" s="151"/>
      <c r="DI920" s="1049"/>
      <c r="DJ920" s="1127"/>
    </row>
    <row r="921" spans="1:114" ht="15" hidden="1" customHeight="1" outlineLevel="1" x14ac:dyDescent="0.25">
      <c r="A921" s="442"/>
      <c r="C921" s="49"/>
      <c r="D921" s="2177"/>
      <c r="E921" s="2177"/>
      <c r="F921" s="2176" t="str">
        <f>$E$733</f>
        <v>ASHP-SEER16_ER1_SF</v>
      </c>
      <c r="G921" s="2176"/>
      <c r="H921" s="2176"/>
      <c r="I921" s="2176"/>
      <c r="J921" s="986" t="str">
        <f>$C$733</f>
        <v>352550_2024_12_</v>
      </c>
      <c r="K921" s="1589">
        <v>30372.354967100247</v>
      </c>
      <c r="L921" s="988">
        <f t="shared" si="179"/>
        <v>2.5310295805916874</v>
      </c>
      <c r="M921" s="873" t="s">
        <v>1024</v>
      </c>
      <c r="Q921" s="1307" t="s">
        <v>1091</v>
      </c>
      <c r="R921" s="1307" t="s">
        <v>1091</v>
      </c>
      <c r="S921" s="1307">
        <f>2296+3670</f>
        <v>5966</v>
      </c>
      <c r="T921" s="68"/>
      <c r="U921" s="151"/>
      <c r="V921" s="2177"/>
      <c r="W921" s="1326">
        <v>39600</v>
      </c>
      <c r="X921" s="794">
        <f t="shared" si="181"/>
        <v>36720</v>
      </c>
      <c r="Y921" s="794">
        <v>37800</v>
      </c>
      <c r="Z921" s="1326">
        <v>37800</v>
      </c>
      <c r="AA921" s="1326">
        <v>37800</v>
      </c>
      <c r="AB921" s="790">
        <v>37317.757009345798</v>
      </c>
      <c r="AC921" s="790">
        <v>36536.170212765959</v>
      </c>
      <c r="AD921" s="928">
        <v>33051.122544058344</v>
      </c>
      <c r="AE921" s="928">
        <v>30372.354967100247</v>
      </c>
      <c r="AF921" s="258">
        <f t="shared" si="180"/>
        <v>30372.354967100247</v>
      </c>
      <c r="AG921" s="1326"/>
      <c r="DG921" s="555"/>
      <c r="DH921" s="151"/>
      <c r="DI921" s="1049"/>
      <c r="DJ921" s="1127"/>
    </row>
    <row r="922" spans="1:114" ht="15" hidden="1" customHeight="1" outlineLevel="1" x14ac:dyDescent="0.25">
      <c r="A922" s="442"/>
      <c r="C922" s="49"/>
      <c r="D922" s="2177"/>
      <c r="E922" s="2177"/>
      <c r="F922" s="2176" t="str">
        <f>$E$735</f>
        <v>ASHP-SEER16_ER2_SF</v>
      </c>
      <c r="G922" s="2176"/>
      <c r="H922" s="2176"/>
      <c r="I922" s="2176"/>
      <c r="J922" s="986" t="str">
        <f>$C$735</f>
        <v>352550_2024_12_</v>
      </c>
      <c r="K922" s="1589">
        <v>30372.354967100247</v>
      </c>
      <c r="L922" s="988">
        <f t="shared" si="179"/>
        <v>2.5310295805916874</v>
      </c>
      <c r="M922" s="873" t="s">
        <v>1024</v>
      </c>
      <c r="T922" s="196"/>
      <c r="U922" s="151"/>
      <c r="V922" s="2177"/>
      <c r="W922" s="1326">
        <v>39600</v>
      </c>
      <c r="X922" s="794">
        <f t="shared" si="181"/>
        <v>36720</v>
      </c>
      <c r="Y922" s="794">
        <v>37800</v>
      </c>
      <c r="Z922" s="1326">
        <v>37800</v>
      </c>
      <c r="AA922" s="1326">
        <v>37800</v>
      </c>
      <c r="AB922" s="790">
        <v>37317.757009345798</v>
      </c>
      <c r="AC922" s="790">
        <f>AC921</f>
        <v>36536.170212765959</v>
      </c>
      <c r="AD922" s="928">
        <v>33051.122544058344</v>
      </c>
      <c r="AE922" s="928">
        <v>30372.354967100247</v>
      </c>
      <c r="AF922" s="258">
        <f t="shared" si="180"/>
        <v>30372.354967100247</v>
      </c>
      <c r="AG922" s="1326"/>
      <c r="DG922" s="555"/>
      <c r="DH922" s="151"/>
      <c r="DI922" s="1049"/>
      <c r="DJ922" s="1127"/>
    </row>
    <row r="923" spans="1:114" ht="15" hidden="1" customHeight="1" outlineLevel="1" x14ac:dyDescent="0.25">
      <c r="A923" s="442"/>
      <c r="C923" s="49"/>
      <c r="D923" s="2177"/>
      <c r="E923" s="2177"/>
      <c r="F923" s="2176" t="str">
        <f>$E$737</f>
        <v>ASHP-SEER16-Replace_CAC_ElectricHeat_ROF_SF</v>
      </c>
      <c r="G923" s="2176"/>
      <c r="H923" s="2176"/>
      <c r="I923" s="2176"/>
      <c r="J923" s="986" t="str">
        <f>$C$737</f>
        <v>352600_2024_12_</v>
      </c>
      <c r="K923" s="1589">
        <v>33725.225943636367</v>
      </c>
      <c r="L923" s="988">
        <f t="shared" si="179"/>
        <v>2.8104354953030306</v>
      </c>
      <c r="M923" s="873" t="s">
        <v>1024</v>
      </c>
      <c r="R923" s="1897" t="s">
        <v>1015</v>
      </c>
      <c r="S923" s="1897" t="s">
        <v>610</v>
      </c>
      <c r="T923" s="1499" t="s">
        <v>611</v>
      </c>
      <c r="U923" s="50"/>
      <c r="V923" s="2177"/>
      <c r="W923" s="1326">
        <v>38400</v>
      </c>
      <c r="X923" s="794">
        <f t="shared" si="181"/>
        <v>36720</v>
      </c>
      <c r="Y923" s="794">
        <v>37320</v>
      </c>
      <c r="Z923" s="1326">
        <v>37320</v>
      </c>
      <c r="AA923" s="1326">
        <v>37320</v>
      </c>
      <c r="AB923" s="790">
        <v>35428.571428571428</v>
      </c>
      <c r="AC923" s="790">
        <v>35468.354430379746</v>
      </c>
      <c r="AD923" s="928">
        <v>35642.967406424148</v>
      </c>
      <c r="AE923" s="928">
        <v>33725.225943636367</v>
      </c>
      <c r="AF923" s="258">
        <f t="shared" si="180"/>
        <v>33725.225943636367</v>
      </c>
      <c r="AG923" s="1326"/>
      <c r="DG923" s="555"/>
      <c r="DH923" s="151"/>
      <c r="DI923" s="1049"/>
      <c r="DJ923" s="1127"/>
    </row>
    <row r="924" spans="1:114" ht="15" hidden="1" customHeight="1" outlineLevel="1" x14ac:dyDescent="0.25">
      <c r="A924" s="442"/>
      <c r="C924" s="49"/>
      <c r="D924" s="2177"/>
      <c r="E924" s="2177"/>
      <c r="F924" s="2176" t="str">
        <f>$E$739</f>
        <v>ASHP-SEER16-Replace_CAC_NonElectricHeat_ROF_SF</v>
      </c>
      <c r="G924" s="2176"/>
      <c r="H924" s="2176"/>
      <c r="I924" s="2176"/>
      <c r="J924" s="986" t="str">
        <f>$C$739</f>
        <v>352610_2024_12_</v>
      </c>
      <c r="K924" s="1589">
        <v>33725.225943636367</v>
      </c>
      <c r="L924" s="988">
        <f>K924/12000</f>
        <v>2.8104354953030306</v>
      </c>
      <c r="M924" s="873" t="s">
        <v>1024</v>
      </c>
      <c r="R924" s="1307" t="s">
        <v>1016</v>
      </c>
      <c r="S924" s="247">
        <v>2.3128228708516586E-2</v>
      </c>
      <c r="T924" s="1512" t="s">
        <v>1017</v>
      </c>
      <c r="U924" s="50"/>
      <c r="V924" s="2177"/>
      <c r="W924" s="1326"/>
      <c r="X924" s="794"/>
      <c r="Y924" s="794"/>
      <c r="Z924" s="1326"/>
      <c r="AA924" s="1326"/>
      <c r="AB924" s="790"/>
      <c r="AC924" s="790"/>
      <c r="AD924" s="928">
        <v>35642.967406424148</v>
      </c>
      <c r="AE924" s="928">
        <v>33725.225943636367</v>
      </c>
      <c r="AF924" s="258">
        <f t="shared" si="180"/>
        <v>33725.225943636367</v>
      </c>
      <c r="AG924" s="1326"/>
      <c r="DG924" s="555"/>
      <c r="DH924" s="151"/>
      <c r="DI924" s="1049"/>
      <c r="DJ924" s="1127"/>
    </row>
    <row r="925" spans="1:114" ht="15" hidden="1" customHeight="1" outlineLevel="1" x14ac:dyDescent="0.25">
      <c r="A925" s="442"/>
      <c r="C925" s="49"/>
      <c r="D925" s="2177"/>
      <c r="E925" s="2177"/>
      <c r="F925" s="2176" t="str">
        <f>$E$741</f>
        <v>ASHP-SEER16_ROF_SF</v>
      </c>
      <c r="G925" s="2176"/>
      <c r="H925" s="2176"/>
      <c r="I925" s="2176"/>
      <c r="J925" s="986" t="str">
        <f>$C$741</f>
        <v>352650_2024_12_</v>
      </c>
      <c r="K925" s="1589">
        <v>33725.225943636367</v>
      </c>
      <c r="L925" s="988">
        <f t="shared" si="179"/>
        <v>2.8104354953030306</v>
      </c>
      <c r="M925" s="873" t="s">
        <v>1024</v>
      </c>
      <c r="R925" s="1307" t="s">
        <v>1018</v>
      </c>
      <c r="S925" s="1307">
        <v>6</v>
      </c>
      <c r="T925" s="68" t="s">
        <v>1019</v>
      </c>
      <c r="U925" s="50"/>
      <c r="V925" s="2177"/>
      <c r="W925" s="1326">
        <v>39600</v>
      </c>
      <c r="X925" s="794">
        <f t="shared" si="181"/>
        <v>36720</v>
      </c>
      <c r="Y925" s="794">
        <v>39000</v>
      </c>
      <c r="Z925" s="1326">
        <v>39000</v>
      </c>
      <c r="AA925" s="1326">
        <v>39000</v>
      </c>
      <c r="AB925" s="1326">
        <v>39000</v>
      </c>
      <c r="AC925" s="790">
        <v>37105.263157894733</v>
      </c>
      <c r="AD925" s="928">
        <v>35642.967406424148</v>
      </c>
      <c r="AE925" s="928">
        <v>33725.225943636367</v>
      </c>
      <c r="AF925" s="258">
        <f t="shared" si="180"/>
        <v>33725.225943636367</v>
      </c>
      <c r="AG925" s="1326"/>
      <c r="DG925" s="555"/>
      <c r="DH925" s="151"/>
      <c r="DI925" s="1049"/>
      <c r="DJ925" s="1127"/>
    </row>
    <row r="926" spans="1:114" ht="15" hidden="1" customHeight="1" outlineLevel="1" x14ac:dyDescent="0.25">
      <c r="A926" s="442"/>
      <c r="C926" s="49"/>
      <c r="D926" s="2177"/>
      <c r="E926" s="2177"/>
      <c r="F926" s="2176" t="str">
        <f>$E$743</f>
        <v>ASHP-SEER16-Replace_CAC_ElectricHeat_ER1_MF</v>
      </c>
      <c r="G926" s="2176"/>
      <c r="H926" s="2176"/>
      <c r="I926" s="2176"/>
      <c r="J926" s="986" t="str">
        <f>$C$743</f>
        <v>353000_2024_12_</v>
      </c>
      <c r="K926" s="1589">
        <v>34066.666666666664</v>
      </c>
      <c r="L926" s="988">
        <f t="shared" si="179"/>
        <v>2.8388888888888886</v>
      </c>
      <c r="M926" s="873" t="s">
        <v>1026</v>
      </c>
      <c r="P926" s="248"/>
      <c r="Q926" s="196"/>
      <c r="R926" s="1307" t="s">
        <v>1020</v>
      </c>
      <c r="S926" s="189">
        <f>(1-S924)^(S925-1)</f>
        <v>0.88958571378558426</v>
      </c>
      <c r="T926" s="68" t="s">
        <v>1021</v>
      </c>
      <c r="U926" s="50"/>
      <c r="V926" s="2177"/>
      <c r="W926" s="1326">
        <v>37200</v>
      </c>
      <c r="X926" s="1326">
        <v>37200</v>
      </c>
      <c r="Y926" s="1326">
        <v>37200</v>
      </c>
      <c r="Z926" s="1326">
        <v>37200</v>
      </c>
      <c r="AA926" s="1326">
        <v>37200</v>
      </c>
      <c r="AB926" s="794">
        <v>39600</v>
      </c>
      <c r="AC926" s="790">
        <v>24000</v>
      </c>
      <c r="AD926" s="928">
        <v>34066.666666666664</v>
      </c>
      <c r="AE926" s="990">
        <v>34066.666666666664</v>
      </c>
      <c r="AF926" s="258">
        <f t="shared" si="180"/>
        <v>34066.666666666664</v>
      </c>
      <c r="AG926" s="1326"/>
      <c r="DG926" s="555"/>
      <c r="DH926" s="151"/>
      <c r="DI926" s="1049"/>
      <c r="DJ926" s="1127"/>
    </row>
    <row r="927" spans="1:114" ht="15" hidden="1" customHeight="1" outlineLevel="1" x14ac:dyDescent="0.25">
      <c r="A927" s="442"/>
      <c r="C927" s="49"/>
      <c r="D927" s="2177"/>
      <c r="E927" s="2177"/>
      <c r="F927" s="2176" t="str">
        <f>$E$745</f>
        <v>ASHP-SEER16-Replace_CAC_ElectricHeat_ER2_MF</v>
      </c>
      <c r="G927" s="2176"/>
      <c r="H927" s="2176"/>
      <c r="I927" s="2176"/>
      <c r="J927" s="986" t="str">
        <f>$C$745</f>
        <v>353000_2024_12_</v>
      </c>
      <c r="K927" s="1589">
        <v>34066.666666666664</v>
      </c>
      <c r="L927" s="988">
        <f t="shared" si="179"/>
        <v>2.8388888888888886</v>
      </c>
      <c r="M927" s="873" t="s">
        <v>1112</v>
      </c>
      <c r="P927" s="248"/>
      <c r="Q927" s="196"/>
      <c r="R927" s="248"/>
      <c r="T927" s="169"/>
      <c r="U927" s="50"/>
      <c r="V927" s="2177"/>
      <c r="W927" s="1326">
        <v>37200</v>
      </c>
      <c r="X927" s="1326">
        <v>37200</v>
      </c>
      <c r="Y927" s="1326">
        <v>37200</v>
      </c>
      <c r="Z927" s="1326">
        <v>37200</v>
      </c>
      <c r="AA927" s="1326">
        <v>37200</v>
      </c>
      <c r="AB927" s="794">
        <v>39600</v>
      </c>
      <c r="AC927" s="790">
        <f>AC926</f>
        <v>24000</v>
      </c>
      <c r="AD927" s="928">
        <v>34066.666666666664</v>
      </c>
      <c r="AE927" s="990">
        <v>34066.666666666664</v>
      </c>
      <c r="AF927" s="258">
        <f t="shared" si="180"/>
        <v>34066.666666666664</v>
      </c>
      <c r="AG927" s="1326"/>
      <c r="DG927" s="555"/>
      <c r="DH927" s="151"/>
      <c r="DI927" s="1049"/>
      <c r="DJ927" s="1127"/>
    </row>
    <row r="928" spans="1:114" ht="15" hidden="1" customHeight="1" outlineLevel="1" x14ac:dyDescent="0.25">
      <c r="A928" s="442"/>
      <c r="C928" s="49"/>
      <c r="D928" s="2177"/>
      <c r="E928" s="2177"/>
      <c r="F928" s="2176" t="str">
        <f>$E$747</f>
        <v>ASHP-SEER17-Replace_CAC_ElectricHeat_ROF_SF</v>
      </c>
      <c r="G928" s="2176"/>
      <c r="H928" s="2176"/>
      <c r="I928" s="2176"/>
      <c r="J928" s="986" t="str">
        <f>$C$747</f>
        <v>353100_2024_12_</v>
      </c>
      <c r="K928" s="1589">
        <v>38543.962847058829</v>
      </c>
      <c r="L928" s="988">
        <f t="shared" si="179"/>
        <v>3.2119969039215692</v>
      </c>
      <c r="M928" s="873" t="s">
        <v>1024</v>
      </c>
      <c r="P928" s="248"/>
      <c r="Q928" s="196"/>
      <c r="R928" s="248"/>
      <c r="T928" s="169"/>
      <c r="U928" s="50"/>
      <c r="V928" s="2177"/>
      <c r="W928" s="1326">
        <v>33600</v>
      </c>
      <c r="X928" s="1326">
        <v>33600</v>
      </c>
      <c r="Y928" s="1326">
        <v>33600</v>
      </c>
      <c r="Z928" s="1326">
        <v>33600</v>
      </c>
      <c r="AA928" s="1326">
        <v>33600</v>
      </c>
      <c r="AB928" s="1326">
        <v>33600</v>
      </c>
      <c r="AC928" s="790">
        <v>32400.000000000004</v>
      </c>
      <c r="AD928" s="928">
        <v>35402.476190000001</v>
      </c>
      <c r="AE928" s="928">
        <v>38543.962847058829</v>
      </c>
      <c r="AF928" s="258">
        <f t="shared" si="180"/>
        <v>38543.962847058829</v>
      </c>
      <c r="AG928" s="1326"/>
      <c r="DG928" s="555"/>
      <c r="DH928" s="151"/>
      <c r="DI928" s="1049"/>
      <c r="DJ928" s="1127"/>
    </row>
    <row r="929" spans="1:114" ht="15" hidden="1" customHeight="1" outlineLevel="1" x14ac:dyDescent="0.25">
      <c r="A929" s="442"/>
      <c r="C929" s="49"/>
      <c r="D929" s="2177"/>
      <c r="E929" s="2177"/>
      <c r="F929" s="2176" t="str">
        <f>$E$749</f>
        <v>ASHP-SEER17-Replace_CAC_NonElectricHeat_ROF_SF</v>
      </c>
      <c r="G929" s="2176"/>
      <c r="H929" s="2176"/>
      <c r="I929" s="2176"/>
      <c r="J929" s="986" t="str">
        <f>$C$749</f>
        <v>353110_2024_12_</v>
      </c>
      <c r="K929" s="1589">
        <v>38543.962847058829</v>
      </c>
      <c r="L929" s="988">
        <f t="shared" si="179"/>
        <v>3.2119969039215692</v>
      </c>
      <c r="M929" s="873" t="s">
        <v>1024</v>
      </c>
      <c r="P929" s="248"/>
      <c r="Q929" s="196"/>
      <c r="R929" s="248"/>
      <c r="T929" s="169"/>
      <c r="U929" s="50"/>
      <c r="V929" s="2177"/>
      <c r="W929" s="1326"/>
      <c r="X929" s="794"/>
      <c r="Y929" s="794"/>
      <c r="Z929" s="1326"/>
      <c r="AA929" s="1326"/>
      <c r="AB929" s="790"/>
      <c r="AC929" s="790"/>
      <c r="AD929" s="928">
        <v>35402.476190000001</v>
      </c>
      <c r="AE929" s="928">
        <v>38543.962847058829</v>
      </c>
      <c r="AF929" s="258">
        <f t="shared" si="180"/>
        <v>38543.962847058829</v>
      </c>
      <c r="AG929" s="1326"/>
      <c r="DG929" s="555"/>
      <c r="DH929" s="151"/>
      <c r="DI929" s="1049"/>
      <c r="DJ929" s="1127"/>
    </row>
    <row r="930" spans="1:114" ht="15" hidden="1" customHeight="1" outlineLevel="1" x14ac:dyDescent="0.25">
      <c r="A930" s="442"/>
      <c r="C930" s="49"/>
      <c r="D930" s="2177"/>
      <c r="E930" s="2177"/>
      <c r="F930" s="2176" t="str">
        <f>$E$751</f>
        <v>ASHP-SEER18-Replace_CAC_ElectricHeat_ROF_SF</v>
      </c>
      <c r="G930" s="2176"/>
      <c r="H930" s="2176"/>
      <c r="I930" s="2176"/>
      <c r="J930" s="986" t="str">
        <f>$C$751</f>
        <v>353200_2024_12_</v>
      </c>
      <c r="K930" s="1589">
        <v>36024.444439999999</v>
      </c>
      <c r="L930" s="988">
        <f t="shared" si="179"/>
        <v>3.0020370366666667</v>
      </c>
      <c r="M930" s="873" t="s">
        <v>1024</v>
      </c>
      <c r="P930" s="248"/>
      <c r="Q930" s="196"/>
      <c r="R930" s="248"/>
      <c r="T930" s="169"/>
      <c r="U930" s="50"/>
      <c r="V930" s="2177"/>
      <c r="W930" s="1326">
        <v>33600</v>
      </c>
      <c r="X930" s="1326">
        <v>33600</v>
      </c>
      <c r="Y930" s="1326">
        <v>33600</v>
      </c>
      <c r="Z930" s="1326">
        <v>33600</v>
      </c>
      <c r="AA930" s="1326">
        <v>33600</v>
      </c>
      <c r="AB930" s="794">
        <v>36000</v>
      </c>
      <c r="AC930" s="790">
        <v>36486.486486486487</v>
      </c>
      <c r="AD930" s="928">
        <v>37478.667573056096</v>
      </c>
      <c r="AE930" s="928">
        <v>36024.444439999999</v>
      </c>
      <c r="AF930" s="258">
        <f t="shared" si="180"/>
        <v>36024.444439999999</v>
      </c>
      <c r="AG930" s="1326"/>
      <c r="DG930" s="555"/>
      <c r="DH930" s="151"/>
      <c r="DI930" s="1049"/>
      <c r="DJ930" s="1127"/>
    </row>
    <row r="931" spans="1:114" ht="15" hidden="1" customHeight="1" outlineLevel="1" x14ac:dyDescent="0.25">
      <c r="A931" s="442"/>
      <c r="C931" s="49"/>
      <c r="D931" s="2177"/>
      <c r="E931" s="2177"/>
      <c r="F931" s="2176" t="str">
        <f>$E$753</f>
        <v>ASHP-SEER18-Replace_CAC_NonElectricHeat_ROF_SF</v>
      </c>
      <c r="G931" s="2176"/>
      <c r="H931" s="2176"/>
      <c r="I931" s="2176"/>
      <c r="J931" s="986" t="str">
        <f>$C$753</f>
        <v>353210_2024_12_</v>
      </c>
      <c r="K931" s="1589">
        <v>36024.444439999999</v>
      </c>
      <c r="L931" s="988">
        <f>K931/12000</f>
        <v>3.0020370366666667</v>
      </c>
      <c r="M931" s="873" t="s">
        <v>1024</v>
      </c>
      <c r="P931" s="248"/>
      <c r="Q931" s="196"/>
      <c r="R931" s="248"/>
      <c r="T931" s="169"/>
      <c r="U931" s="50"/>
      <c r="V931" s="2177"/>
      <c r="W931" s="1326"/>
      <c r="X931" s="794"/>
      <c r="Y931" s="794"/>
      <c r="Z931" s="1326"/>
      <c r="AA931" s="1326"/>
      <c r="AB931" s="790"/>
      <c r="AC931" s="790"/>
      <c r="AD931" s="928">
        <v>37478.667573056096</v>
      </c>
      <c r="AE931" s="928">
        <v>36024.444439999999</v>
      </c>
      <c r="AF931" s="258">
        <f t="shared" si="180"/>
        <v>36024.444439999999</v>
      </c>
      <c r="AG931" s="1326"/>
      <c r="DG931" s="555"/>
      <c r="DH931" s="151"/>
      <c r="DI931" s="1049"/>
      <c r="DJ931" s="1127"/>
    </row>
    <row r="932" spans="1:114" ht="15" hidden="1" customHeight="1" outlineLevel="1" x14ac:dyDescent="0.25">
      <c r="A932" s="442"/>
      <c r="C932" s="49"/>
      <c r="D932" s="2177"/>
      <c r="E932" s="2177"/>
      <c r="F932" s="2176" t="str">
        <f>$E$755</f>
        <v>ASHP-SEER19-Replace_CAC_ElectricHeat_ROF_SF</v>
      </c>
      <c r="G932" s="2176"/>
      <c r="H932" s="2176"/>
      <c r="I932" s="2176"/>
      <c r="J932" s="986" t="str">
        <f>$C$755</f>
        <v>353300_2024_12_</v>
      </c>
      <c r="K932" s="1589">
        <v>35904.395607692306</v>
      </c>
      <c r="L932" s="988">
        <f t="shared" si="179"/>
        <v>2.9920329673076922</v>
      </c>
      <c r="M932" s="873" t="s">
        <v>1026</v>
      </c>
      <c r="P932" s="248"/>
      <c r="Q932" s="196"/>
      <c r="R932" s="248"/>
      <c r="T932" s="169"/>
      <c r="U932" s="50"/>
      <c r="V932" s="2177"/>
      <c r="W932" s="1326">
        <v>33600</v>
      </c>
      <c r="X932" s="1326">
        <v>33600</v>
      </c>
      <c r="Y932" s="1326">
        <v>33600</v>
      </c>
      <c r="Z932" s="1326">
        <v>33600</v>
      </c>
      <c r="AA932" s="1326">
        <v>33600</v>
      </c>
      <c r="AB932" s="1326">
        <v>33600</v>
      </c>
      <c r="AC932" s="790">
        <v>48000</v>
      </c>
      <c r="AD932" s="928">
        <v>35904.395607692306</v>
      </c>
      <c r="AE932" s="990">
        <v>35904.395607692306</v>
      </c>
      <c r="AF932" s="258">
        <f t="shared" ref="AF932:AF967" si="182">IF(K932&lt;&gt;"",K932,"")</f>
        <v>35904.395607692306</v>
      </c>
      <c r="AG932" s="1326"/>
      <c r="DG932" s="555"/>
      <c r="DH932" s="151"/>
      <c r="DI932" s="1049"/>
      <c r="DJ932" s="1127"/>
    </row>
    <row r="933" spans="1:114" ht="15" hidden="1" customHeight="1" outlineLevel="1" x14ac:dyDescent="0.25">
      <c r="A933" s="442"/>
      <c r="C933" s="49"/>
      <c r="D933" s="2177"/>
      <c r="E933" s="2177"/>
      <c r="F933" s="2176" t="str">
        <f>$E$757</f>
        <v>ASHP-SEER19-Replace_CAC_NonElectricHeat_ROF_SF</v>
      </c>
      <c r="G933" s="2176"/>
      <c r="H933" s="2176"/>
      <c r="I933" s="2176"/>
      <c r="J933" s="986" t="str">
        <f>$C$757</f>
        <v>353310_2024_12_</v>
      </c>
      <c r="K933" s="1589">
        <v>35904.395607692306</v>
      </c>
      <c r="L933" s="988">
        <f>K933/12000</f>
        <v>2.9920329673076922</v>
      </c>
      <c r="M933" s="873" t="s">
        <v>1112</v>
      </c>
      <c r="P933" s="248"/>
      <c r="Q933" s="196"/>
      <c r="R933" s="248"/>
      <c r="T933" s="169"/>
      <c r="U933" s="50"/>
      <c r="V933" s="2177"/>
      <c r="W933" s="1326"/>
      <c r="X933" s="794"/>
      <c r="Y933" s="794"/>
      <c r="Z933" s="1326"/>
      <c r="AA933" s="1326"/>
      <c r="AB933" s="790"/>
      <c r="AC933" s="790"/>
      <c r="AD933" s="928">
        <v>35904.395607692306</v>
      </c>
      <c r="AE933" s="990">
        <v>35904.395607692306</v>
      </c>
      <c r="AF933" s="258">
        <f t="shared" si="182"/>
        <v>35904.395607692306</v>
      </c>
      <c r="AG933" s="1326"/>
      <c r="DG933" s="555"/>
      <c r="DH933" s="151"/>
      <c r="DI933" s="1049"/>
      <c r="DJ933" s="1127"/>
    </row>
    <row r="934" spans="1:114" ht="15" hidden="1" customHeight="1" outlineLevel="1" x14ac:dyDescent="0.25">
      <c r="A934" s="442"/>
      <c r="C934" s="49"/>
      <c r="D934" s="2177"/>
      <c r="E934" s="2177"/>
      <c r="F934" s="2176" t="str">
        <f>$E$759</f>
        <v>ASHP-SEER20-Replace_CAC_ElectricHeat_ER1_SF</v>
      </c>
      <c r="G934" s="2176"/>
      <c r="H934" s="2176"/>
      <c r="I934" s="2176"/>
      <c r="J934" s="986" t="str">
        <f>$C$759</f>
        <v>353400_2024_12_</v>
      </c>
      <c r="K934" s="1589">
        <v>31000.387811634351</v>
      </c>
      <c r="L934" s="988">
        <f t="shared" ref="L934:L970" si="183">K934/12000</f>
        <v>2.5833656509695291</v>
      </c>
      <c r="M934" s="873" t="s">
        <v>1024</v>
      </c>
      <c r="P934" s="248"/>
      <c r="Q934" s="196"/>
      <c r="R934" s="248"/>
      <c r="T934" s="169"/>
      <c r="U934" s="50"/>
      <c r="V934" s="2177"/>
      <c r="W934" s="1326">
        <v>37200</v>
      </c>
      <c r="X934" s="1326">
        <v>37200</v>
      </c>
      <c r="Y934" s="1326">
        <v>37200</v>
      </c>
      <c r="Z934" s="1326">
        <v>37200</v>
      </c>
      <c r="AA934" s="1326">
        <v>37200</v>
      </c>
      <c r="AB934" s="1326">
        <v>37200</v>
      </c>
      <c r="AC934" s="790">
        <v>36000</v>
      </c>
      <c r="AD934" s="928">
        <v>33382.234755555553</v>
      </c>
      <c r="AE934" s="928">
        <v>31000.387811634351</v>
      </c>
      <c r="AF934" s="258">
        <f t="shared" si="182"/>
        <v>31000.387811634351</v>
      </c>
      <c r="AG934" s="1326"/>
      <c r="DG934" s="555"/>
      <c r="DH934" s="151"/>
      <c r="DI934" s="1049"/>
      <c r="DJ934" s="1127"/>
    </row>
    <row r="935" spans="1:114" ht="15" hidden="1" customHeight="1" outlineLevel="1" x14ac:dyDescent="0.25">
      <c r="A935" s="442"/>
      <c r="C935" s="49"/>
      <c r="D935" s="2177"/>
      <c r="E935" s="2177"/>
      <c r="F935" s="2176" t="str">
        <f>$E$761</f>
        <v>ASHP-SEER20-Replace_CAC_ElectricHeat_ER2_SF</v>
      </c>
      <c r="G935" s="2176"/>
      <c r="H935" s="2176"/>
      <c r="I935" s="2176"/>
      <c r="J935" s="986" t="str">
        <f>$C$761</f>
        <v>353400_2024_12_</v>
      </c>
      <c r="K935" s="1589">
        <v>31000.387811634351</v>
      </c>
      <c r="L935" s="988">
        <f t="shared" si="183"/>
        <v>2.5833656509695291</v>
      </c>
      <c r="M935" s="873" t="s">
        <v>1024</v>
      </c>
      <c r="P935" s="248"/>
      <c r="Q935" s="196"/>
      <c r="R935" s="248"/>
      <c r="T935" s="169"/>
      <c r="U935" s="50"/>
      <c r="V935" s="2177"/>
      <c r="W935" s="1326">
        <v>37200</v>
      </c>
      <c r="X935" s="1326">
        <v>37200</v>
      </c>
      <c r="Y935" s="1326">
        <v>37200</v>
      </c>
      <c r="Z935" s="1326">
        <v>37200</v>
      </c>
      <c r="AA935" s="1326">
        <v>37200</v>
      </c>
      <c r="AB935" s="1326">
        <v>37200</v>
      </c>
      <c r="AC935" s="790">
        <f>AC934</f>
        <v>36000</v>
      </c>
      <c r="AD935" s="928">
        <v>33382.234755555553</v>
      </c>
      <c r="AE935" s="928">
        <v>31000.387811634351</v>
      </c>
      <c r="AF935" s="258">
        <f t="shared" si="182"/>
        <v>31000.387811634351</v>
      </c>
      <c r="AG935" s="1326"/>
      <c r="DG935" s="555"/>
      <c r="DH935" s="151"/>
      <c r="DI935" s="1049"/>
      <c r="DJ935" s="1127"/>
    </row>
    <row r="936" spans="1:114" ht="15" hidden="1" customHeight="1" outlineLevel="1" x14ac:dyDescent="0.25">
      <c r="A936" s="442"/>
      <c r="C936" s="49"/>
      <c r="D936" s="2177"/>
      <c r="E936" s="2177"/>
      <c r="F936" s="2176" t="str">
        <f>$E$763</f>
        <v>ASHP-SEER20-Replace_CAC_NonElectricHeat_ER1_SF</v>
      </c>
      <c r="G936" s="2176"/>
      <c r="H936" s="2176"/>
      <c r="I936" s="2176"/>
      <c r="J936" s="986" t="str">
        <f>$C$763</f>
        <v>353410_2024_12_</v>
      </c>
      <c r="K936" s="1589">
        <v>31000.387811634351</v>
      </c>
      <c r="L936" s="988">
        <f t="shared" si="183"/>
        <v>2.5833656509695291</v>
      </c>
      <c r="M936" s="873" t="s">
        <v>1024</v>
      </c>
      <c r="P936" s="248"/>
      <c r="Q936" s="196"/>
      <c r="R936" s="248"/>
      <c r="T936" s="169"/>
      <c r="U936" s="50"/>
      <c r="V936" s="2177"/>
      <c r="W936" s="1326"/>
      <c r="X936" s="1326"/>
      <c r="Y936" s="1326"/>
      <c r="Z936" s="1326"/>
      <c r="AA936" s="1326"/>
      <c r="AB936" s="1326"/>
      <c r="AC936" s="790">
        <v>36000</v>
      </c>
      <c r="AD936" s="928">
        <v>33382.234755555553</v>
      </c>
      <c r="AE936" s="928">
        <v>31000.387811634351</v>
      </c>
      <c r="AF936" s="258">
        <f t="shared" si="182"/>
        <v>31000.387811634351</v>
      </c>
      <c r="AG936" s="1326"/>
      <c r="DG936" s="555"/>
      <c r="DH936" s="151"/>
      <c r="DI936" s="1049"/>
      <c r="DJ936" s="1127"/>
    </row>
    <row r="937" spans="1:114" ht="15" hidden="1" customHeight="1" outlineLevel="1" x14ac:dyDescent="0.25">
      <c r="A937" s="442"/>
      <c r="C937" s="49"/>
      <c r="D937" s="2177"/>
      <c r="E937" s="2177"/>
      <c r="F937" s="2176" t="str">
        <f>$E$765</f>
        <v>ASHP-SEER20-Replace_CAC_NonElectricHeat_ER2_SF</v>
      </c>
      <c r="G937" s="2176"/>
      <c r="H937" s="2176"/>
      <c r="I937" s="2176"/>
      <c r="J937" s="986" t="str">
        <f>$C$765</f>
        <v>353410_2024_12_</v>
      </c>
      <c r="K937" s="1589">
        <v>31000.387811634351</v>
      </c>
      <c r="L937" s="988">
        <f t="shared" si="183"/>
        <v>2.5833656509695291</v>
      </c>
      <c r="M937" s="873" t="s">
        <v>1024</v>
      </c>
      <c r="P937" s="248"/>
      <c r="Q937" s="196"/>
      <c r="R937" s="248"/>
      <c r="T937" s="169"/>
      <c r="U937" s="50"/>
      <c r="V937" s="2177"/>
      <c r="W937" s="1326"/>
      <c r="X937" s="1326"/>
      <c r="Y937" s="1326"/>
      <c r="Z937" s="1326"/>
      <c r="AA937" s="1326"/>
      <c r="AB937" s="1326"/>
      <c r="AC937" s="790">
        <f>AC936</f>
        <v>36000</v>
      </c>
      <c r="AD937" s="928">
        <v>33382.234755555553</v>
      </c>
      <c r="AE937" s="928">
        <v>31000.387811634351</v>
      </c>
      <c r="AF937" s="258">
        <f t="shared" si="182"/>
        <v>31000.387811634351</v>
      </c>
      <c r="AG937" s="1326"/>
      <c r="DG937" s="555"/>
      <c r="DH937" s="151"/>
      <c r="DI937" s="1049"/>
      <c r="DJ937" s="1127"/>
    </row>
    <row r="938" spans="1:114" ht="15" hidden="1" customHeight="1" outlineLevel="1" x14ac:dyDescent="0.25">
      <c r="A938" s="442"/>
      <c r="C938" s="49"/>
      <c r="D938" s="2177"/>
      <c r="E938" s="2177"/>
      <c r="F938" s="2176" t="str">
        <f>$E$767</f>
        <v>ASHP-SEER20-Replace_CAC_ElectricHeat_ROF_SF</v>
      </c>
      <c r="G938" s="2176"/>
      <c r="H938" s="2176"/>
      <c r="I938" s="2176"/>
      <c r="J938" s="986" t="str">
        <f>$C$767</f>
        <v>353450_2024_12_</v>
      </c>
      <c r="K938" s="1589">
        <v>34645</v>
      </c>
      <c r="L938" s="988">
        <f t="shared" si="183"/>
        <v>2.8870833333333334</v>
      </c>
      <c r="M938" s="873" t="s">
        <v>1026</v>
      </c>
      <c r="P938" s="248"/>
      <c r="Q938" s="196"/>
      <c r="R938" s="248"/>
      <c r="T938" s="169"/>
      <c r="U938" s="50"/>
      <c r="V938" s="2177"/>
      <c r="W938" s="1326">
        <v>38400</v>
      </c>
      <c r="X938" s="1326">
        <v>38400</v>
      </c>
      <c r="Y938" s="1326">
        <v>38400</v>
      </c>
      <c r="Z938" s="1326">
        <v>38400</v>
      </c>
      <c r="AA938" s="1326">
        <v>38400</v>
      </c>
      <c r="AB938" s="1326">
        <v>38400</v>
      </c>
      <c r="AC938" s="790">
        <v>30000</v>
      </c>
      <c r="AD938" s="928">
        <v>34645</v>
      </c>
      <c r="AE938" s="990">
        <v>34645</v>
      </c>
      <c r="AF938" s="258">
        <f t="shared" si="182"/>
        <v>34645</v>
      </c>
      <c r="AG938" s="1326"/>
      <c r="DG938" s="555"/>
      <c r="DH938" s="151"/>
      <c r="DI938" s="1049"/>
      <c r="DJ938" s="1127"/>
    </row>
    <row r="939" spans="1:114" ht="15" hidden="1" customHeight="1" outlineLevel="1" x14ac:dyDescent="0.25">
      <c r="A939" s="442"/>
      <c r="C939" s="49"/>
      <c r="D939" s="2177"/>
      <c r="E939" s="2177"/>
      <c r="F939" s="2176" t="str">
        <f>$E$769</f>
        <v>ASHP-SEER20-Replace_CAC_NonElectricHeat_ROF_SF</v>
      </c>
      <c r="G939" s="2176"/>
      <c r="H939" s="2176"/>
      <c r="I939" s="2176"/>
      <c r="J939" s="986" t="str">
        <f>$C$769</f>
        <v>353460_2024_12_</v>
      </c>
      <c r="K939" s="1589">
        <v>34645</v>
      </c>
      <c r="L939" s="988">
        <f t="shared" si="183"/>
        <v>2.8870833333333334</v>
      </c>
      <c r="M939" s="873" t="s">
        <v>1112</v>
      </c>
      <c r="P939" s="248"/>
      <c r="Q939" s="196"/>
      <c r="R939" s="248"/>
      <c r="T939" s="169"/>
      <c r="U939" s="50"/>
      <c r="V939" s="2177"/>
      <c r="W939" s="1326"/>
      <c r="X939" s="794"/>
      <c r="Y939" s="794"/>
      <c r="Z939" s="1326"/>
      <c r="AA939" s="1326"/>
      <c r="AB939" s="790"/>
      <c r="AC939" s="790"/>
      <c r="AD939" s="928">
        <v>34645</v>
      </c>
      <c r="AE939" s="990">
        <v>34645</v>
      </c>
      <c r="AF939" s="258">
        <f t="shared" si="182"/>
        <v>34645</v>
      </c>
      <c r="AG939" s="1326"/>
      <c r="DG939" s="555"/>
      <c r="DH939" s="151"/>
      <c r="DI939" s="1049"/>
      <c r="DJ939" s="1127"/>
    </row>
    <row r="940" spans="1:114" ht="15" hidden="1" customHeight="1" outlineLevel="1" x14ac:dyDescent="0.25">
      <c r="A940" s="442"/>
      <c r="C940" s="49"/>
      <c r="D940" s="2177"/>
      <c r="E940" s="2177"/>
      <c r="F940" s="2176" t="str">
        <f>$E$771</f>
        <v>ASHP-SEER21-Replace_CAC_ElectricHeat_ER1_SF</v>
      </c>
      <c r="G940" s="2176"/>
      <c r="H940" s="2176"/>
      <c r="I940" s="2176"/>
      <c r="J940" s="986" t="str">
        <f>$C$771</f>
        <v>353550_2024_12_</v>
      </c>
      <c r="K940" s="1589">
        <v>40128.673782518214</v>
      </c>
      <c r="L940" s="988">
        <f t="shared" si="183"/>
        <v>3.3440561485431846</v>
      </c>
      <c r="M940" s="873" t="s">
        <v>1024</v>
      </c>
      <c r="T940" s="50"/>
      <c r="U940" s="50"/>
      <c r="V940" s="2177"/>
      <c r="W940" s="1326">
        <v>37200</v>
      </c>
      <c r="X940" s="1326">
        <v>37200</v>
      </c>
      <c r="Y940" s="1326">
        <v>37200</v>
      </c>
      <c r="Z940" s="1326">
        <v>37200</v>
      </c>
      <c r="AA940" s="1326">
        <v>37200</v>
      </c>
      <c r="AB940" s="1326">
        <v>37200</v>
      </c>
      <c r="AC940" s="790">
        <v>43090.909090909088</v>
      </c>
      <c r="AD940" s="928">
        <v>40225.166612626257</v>
      </c>
      <c r="AE940" s="928">
        <v>40128.673782518214</v>
      </c>
      <c r="AF940" s="258">
        <f t="shared" si="182"/>
        <v>40128.673782518214</v>
      </c>
      <c r="AG940" s="1326"/>
      <c r="DG940" s="555"/>
      <c r="DH940" s="151"/>
      <c r="DI940" s="1049"/>
      <c r="DJ940" s="1127"/>
    </row>
    <row r="941" spans="1:114" ht="15" hidden="1" customHeight="1" outlineLevel="1" x14ac:dyDescent="0.25">
      <c r="A941" s="442"/>
      <c r="C941" s="49"/>
      <c r="D941" s="2177"/>
      <c r="E941" s="2177"/>
      <c r="F941" s="2176" t="str">
        <f>$E$773</f>
        <v>ASHP-SEER21-Replace_CAC_ElectricHeat_ER2_SF</v>
      </c>
      <c r="G941" s="2176"/>
      <c r="H941" s="2176"/>
      <c r="I941" s="2176"/>
      <c r="J941" s="986" t="str">
        <f>$C$773</f>
        <v>353550_2024_12_</v>
      </c>
      <c r="K941" s="1589">
        <v>40128.673782518214</v>
      </c>
      <c r="L941" s="988">
        <f t="shared" si="183"/>
        <v>3.3440561485431846</v>
      </c>
      <c r="M941" s="873" t="s">
        <v>1024</v>
      </c>
      <c r="T941" s="50"/>
      <c r="U941" s="50"/>
      <c r="V941" s="2177"/>
      <c r="W941" s="1326">
        <v>37200</v>
      </c>
      <c r="X941" s="1326">
        <v>37200</v>
      </c>
      <c r="Y941" s="1326">
        <v>37200</v>
      </c>
      <c r="Z941" s="1326">
        <v>37200</v>
      </c>
      <c r="AA941" s="1326">
        <v>37200</v>
      </c>
      <c r="AB941" s="1326">
        <v>37200</v>
      </c>
      <c r="AC941" s="790">
        <f>AC940</f>
        <v>43090.909090909088</v>
      </c>
      <c r="AD941" s="928">
        <v>40225.166612626257</v>
      </c>
      <c r="AE941" s="928">
        <v>40128.673782518214</v>
      </c>
      <c r="AF941" s="258">
        <f t="shared" si="182"/>
        <v>40128.673782518214</v>
      </c>
      <c r="AG941" s="1326"/>
      <c r="DG941" s="555"/>
      <c r="DH941" s="151"/>
      <c r="DI941" s="1049"/>
      <c r="DJ941" s="1127"/>
    </row>
    <row r="942" spans="1:114" ht="15" hidden="1" customHeight="1" outlineLevel="1" x14ac:dyDescent="0.25">
      <c r="A942" s="442"/>
      <c r="C942" s="49"/>
      <c r="D942" s="2177"/>
      <c r="E942" s="2177"/>
      <c r="F942" s="2176" t="str">
        <f>$E$775</f>
        <v>ASHP-SEER21-Replace_CAC_NonElectricHeat_ER1_SF</v>
      </c>
      <c r="G942" s="2176"/>
      <c r="H942" s="2176"/>
      <c r="I942" s="2176"/>
      <c r="J942" s="986" t="str">
        <f>$C$775</f>
        <v>353560_2024_12_</v>
      </c>
      <c r="K942" s="1589">
        <v>40128.673782518214</v>
      </c>
      <c r="L942" s="988">
        <f t="shared" si="183"/>
        <v>3.3440561485431846</v>
      </c>
      <c r="M942" s="873" t="s">
        <v>1024</v>
      </c>
      <c r="T942" s="50"/>
      <c r="U942" s="50"/>
      <c r="V942" s="2177"/>
      <c r="W942" s="1326"/>
      <c r="X942" s="1326"/>
      <c r="Y942" s="1326"/>
      <c r="Z942" s="1326"/>
      <c r="AA942" s="1326"/>
      <c r="AB942" s="1326"/>
      <c r="AC942" s="790">
        <v>43090.909090909088</v>
      </c>
      <c r="AD942" s="928">
        <v>40225.166612626257</v>
      </c>
      <c r="AE942" s="928">
        <v>40128.673782518214</v>
      </c>
      <c r="AF942" s="258">
        <f t="shared" si="182"/>
        <v>40128.673782518214</v>
      </c>
      <c r="AG942" s="1326"/>
      <c r="DG942" s="555"/>
      <c r="DH942" s="151"/>
      <c r="DI942" s="1049"/>
      <c r="DJ942" s="1127"/>
    </row>
    <row r="943" spans="1:114" ht="15" hidden="1" customHeight="1" outlineLevel="1" x14ac:dyDescent="0.25">
      <c r="A943" s="442"/>
      <c r="C943" s="49"/>
      <c r="D943" s="2177"/>
      <c r="E943" s="2177"/>
      <c r="F943" s="2176" t="str">
        <f>$E$777</f>
        <v>ASHP-SEER21-Replace_CAC_NonElectricHeat_ER2_SF</v>
      </c>
      <c r="G943" s="2176"/>
      <c r="H943" s="2176"/>
      <c r="I943" s="2176"/>
      <c r="J943" s="986" t="str">
        <f>$C$777</f>
        <v>353560_2024_12_</v>
      </c>
      <c r="K943" s="1589">
        <v>40128.673782518214</v>
      </c>
      <c r="L943" s="988">
        <f t="shared" si="183"/>
        <v>3.3440561485431846</v>
      </c>
      <c r="M943" s="873" t="s">
        <v>1024</v>
      </c>
      <c r="T943" s="50"/>
      <c r="U943" s="50"/>
      <c r="V943" s="2177"/>
      <c r="W943" s="1326"/>
      <c r="X943" s="1326"/>
      <c r="Y943" s="1326"/>
      <c r="Z943" s="1326"/>
      <c r="AA943" s="1326"/>
      <c r="AB943" s="1326"/>
      <c r="AC943" s="790">
        <f>AC942</f>
        <v>43090.909090909088</v>
      </c>
      <c r="AD943" s="928">
        <v>40225.166612626257</v>
      </c>
      <c r="AE943" s="928">
        <v>40128.673782518214</v>
      </c>
      <c r="AF943" s="258">
        <f t="shared" si="182"/>
        <v>40128.673782518214</v>
      </c>
      <c r="AG943" s="1326"/>
      <c r="DG943" s="555"/>
      <c r="DH943" s="151"/>
      <c r="DI943" s="1049"/>
      <c r="DJ943" s="1127"/>
    </row>
    <row r="944" spans="1:114" ht="15" hidden="1" customHeight="1" outlineLevel="1" x14ac:dyDescent="0.25">
      <c r="A944" s="442"/>
      <c r="C944" s="49"/>
      <c r="D944" s="2177"/>
      <c r="E944" s="2177"/>
      <c r="F944" s="2176" t="str">
        <f>$E$779</f>
        <v>ASHP-SEER21-Replace_CAC_ElectricHeat_ER1_MF</v>
      </c>
      <c r="G944" s="2176"/>
      <c r="H944" s="2176"/>
      <c r="I944" s="2176"/>
      <c r="J944" s="986" t="str">
        <f>$C$779</f>
        <v>353600_2024_12_</v>
      </c>
      <c r="K944" s="1590">
        <v>37200</v>
      </c>
      <c r="L944" s="988">
        <f t="shared" si="183"/>
        <v>3.1</v>
      </c>
      <c r="M944" s="873" t="s">
        <v>1361</v>
      </c>
      <c r="T944" s="50"/>
      <c r="U944" s="50"/>
      <c r="V944" s="2177"/>
      <c r="W944" s="1326">
        <v>37200</v>
      </c>
      <c r="X944" s="1326">
        <v>37200</v>
      </c>
      <c r="Y944" s="1326">
        <v>37200</v>
      </c>
      <c r="Z944" s="1326">
        <v>37200</v>
      </c>
      <c r="AA944" s="1326">
        <v>37200</v>
      </c>
      <c r="AB944" s="1326">
        <v>37200</v>
      </c>
      <c r="AC944" s="766">
        <v>37200</v>
      </c>
      <c r="AD944" s="990">
        <v>37200</v>
      </c>
      <c r="AE944" s="929">
        <v>37200</v>
      </c>
      <c r="AF944" s="258">
        <f t="shared" si="182"/>
        <v>37200</v>
      </c>
      <c r="AG944" s="1326"/>
      <c r="DG944" s="555"/>
      <c r="DH944" s="151"/>
      <c r="DI944" s="1049"/>
      <c r="DJ944" s="1127"/>
    </row>
    <row r="945" spans="1:114" ht="15" hidden="1" customHeight="1" outlineLevel="1" x14ac:dyDescent="0.25">
      <c r="A945" s="442"/>
      <c r="C945" s="49"/>
      <c r="D945" s="2177"/>
      <c r="E945" s="2177"/>
      <c r="F945" s="2176" t="str">
        <f>$E$781</f>
        <v>ASHP-SEER21-Replace_CAC_ElectricHeat_ER2_MF</v>
      </c>
      <c r="G945" s="2176"/>
      <c r="H945" s="2176"/>
      <c r="I945" s="2176"/>
      <c r="J945" s="986" t="str">
        <f>$C$781</f>
        <v>353600_2024_12_</v>
      </c>
      <c r="K945" s="1590">
        <v>37200</v>
      </c>
      <c r="L945" s="988">
        <f t="shared" si="183"/>
        <v>3.1</v>
      </c>
      <c r="M945" s="873" t="s">
        <v>1361</v>
      </c>
      <c r="T945" s="50"/>
      <c r="U945" s="50"/>
      <c r="V945" s="2177"/>
      <c r="W945" s="1326">
        <v>37200</v>
      </c>
      <c r="X945" s="1326">
        <v>37200</v>
      </c>
      <c r="Y945" s="1326">
        <v>37200</v>
      </c>
      <c r="Z945" s="1326">
        <v>37200</v>
      </c>
      <c r="AA945" s="1326">
        <v>37200</v>
      </c>
      <c r="AB945" s="1326">
        <v>37200</v>
      </c>
      <c r="AC945" s="766">
        <v>37200</v>
      </c>
      <c r="AD945" s="990">
        <v>37200</v>
      </c>
      <c r="AE945" s="929">
        <v>37200</v>
      </c>
      <c r="AF945" s="258">
        <f t="shared" si="182"/>
        <v>37200</v>
      </c>
      <c r="AG945" s="1326"/>
      <c r="DG945" s="555"/>
      <c r="DH945" s="151"/>
      <c r="DI945" s="1049"/>
      <c r="DJ945" s="1127"/>
    </row>
    <row r="946" spans="1:114" ht="15" hidden="1" customHeight="1" outlineLevel="1" x14ac:dyDescent="0.25">
      <c r="A946" s="442"/>
      <c r="C946" s="49"/>
      <c r="D946" s="2177"/>
      <c r="E946" s="2177"/>
      <c r="F946" s="2176" t="str">
        <f>$E$783</f>
        <v>ASHP-SEER21-Replace_CAC_ElectricHeat_ROF_SF</v>
      </c>
      <c r="G946" s="2176"/>
      <c r="H946" s="2176"/>
      <c r="I946" s="2176"/>
      <c r="J946" s="986" t="str">
        <f>$C$783</f>
        <v>353650_2024_12_</v>
      </c>
      <c r="K946" s="1589">
        <v>41639.393940624999</v>
      </c>
      <c r="L946" s="988">
        <f t="shared" si="183"/>
        <v>3.4699494950520831</v>
      </c>
      <c r="M946" s="873" t="s">
        <v>1026</v>
      </c>
      <c r="T946" s="50"/>
      <c r="U946" s="50"/>
      <c r="V946" s="2177"/>
      <c r="W946" s="1326">
        <v>38400</v>
      </c>
      <c r="X946" s="1326">
        <v>38400</v>
      </c>
      <c r="Y946" s="1326">
        <v>38400</v>
      </c>
      <c r="Z946" s="1326">
        <v>38400</v>
      </c>
      <c r="AA946" s="1326">
        <v>38400</v>
      </c>
      <c r="AB946" s="1326">
        <v>38400</v>
      </c>
      <c r="AC946" s="790">
        <v>42000</v>
      </c>
      <c r="AD946" s="928">
        <v>41639.393940624999</v>
      </c>
      <c r="AE946" s="990">
        <v>41639.393940624999</v>
      </c>
      <c r="AF946" s="258">
        <f t="shared" si="182"/>
        <v>41639.393940624999</v>
      </c>
      <c r="AG946" s="1326"/>
      <c r="DG946" s="555"/>
      <c r="DH946" s="151"/>
      <c r="DI946" s="1049"/>
      <c r="DJ946" s="1127"/>
    </row>
    <row r="947" spans="1:114" ht="15" hidden="1" customHeight="1" outlineLevel="1" x14ac:dyDescent="0.25">
      <c r="A947" s="442"/>
      <c r="C947" s="49"/>
      <c r="D947" s="2177"/>
      <c r="E947" s="2177"/>
      <c r="F947" s="2176" t="str">
        <f>$E$785</f>
        <v>ASHP-SEER21-Replace_CAC_NonElectricHeat_ROF_SF</v>
      </c>
      <c r="G947" s="2176"/>
      <c r="H947" s="2176"/>
      <c r="I947" s="2176"/>
      <c r="J947" s="986" t="str">
        <f>$C$785</f>
        <v>353660_2024_12_</v>
      </c>
      <c r="K947" s="1589">
        <v>41639.393940624999</v>
      </c>
      <c r="L947" s="988">
        <f t="shared" si="183"/>
        <v>3.4699494950520831</v>
      </c>
      <c r="M947" s="873" t="s">
        <v>1026</v>
      </c>
      <c r="T947" s="50"/>
      <c r="U947" s="50"/>
      <c r="V947" s="2177"/>
      <c r="W947" s="1326"/>
      <c r="X947" s="794"/>
      <c r="Y947" s="794"/>
      <c r="Z947" s="1326"/>
      <c r="AA947" s="1326"/>
      <c r="AB947" s="790"/>
      <c r="AC947" s="790"/>
      <c r="AD947" s="928">
        <v>41639.393940624999</v>
      </c>
      <c r="AE947" s="990">
        <v>41639.393940624999</v>
      </c>
      <c r="AF947" s="258">
        <f t="shared" si="182"/>
        <v>41639.393940624999</v>
      </c>
      <c r="AG947" s="1326"/>
      <c r="DG947" s="555"/>
      <c r="DH947" s="151"/>
      <c r="DI947" s="1049"/>
      <c r="DJ947" s="1127"/>
    </row>
    <row r="948" spans="1:114" ht="15" hidden="1" customHeight="1" outlineLevel="1" x14ac:dyDescent="0.25">
      <c r="A948" s="442"/>
      <c r="C948" s="49"/>
      <c r="D948" s="2177"/>
      <c r="E948" s="2177"/>
      <c r="F948" s="2176" t="str">
        <f>$E$787</f>
        <v>ASHP-SEER17_ER1_SF</v>
      </c>
      <c r="G948" s="2176"/>
      <c r="H948" s="2176"/>
      <c r="I948" s="2176"/>
      <c r="J948" s="986" t="str">
        <f>$C$787</f>
        <v>353750_2024_12_</v>
      </c>
      <c r="K948" s="1589">
        <v>31924.430692636917</v>
      </c>
      <c r="L948" s="988">
        <f t="shared" si="183"/>
        <v>2.6603692243864097</v>
      </c>
      <c r="M948" s="873" t="s">
        <v>1024</v>
      </c>
      <c r="T948" s="50"/>
      <c r="U948" s="50"/>
      <c r="V948" s="2177"/>
      <c r="W948" s="1326">
        <v>39600</v>
      </c>
      <c r="X948" s="1326">
        <v>39600</v>
      </c>
      <c r="Y948" s="1326">
        <v>39600</v>
      </c>
      <c r="Z948" s="1326">
        <v>39600</v>
      </c>
      <c r="AA948" s="1326">
        <v>39600</v>
      </c>
      <c r="AB948" s="1326">
        <v>39600</v>
      </c>
      <c r="AC948" s="790">
        <v>35142.857142857138</v>
      </c>
      <c r="AD948" s="928">
        <v>35218.736819625796</v>
      </c>
      <c r="AE948" s="928">
        <v>31924.430692636917</v>
      </c>
      <c r="AF948" s="258">
        <f t="shared" si="182"/>
        <v>31924.430692636917</v>
      </c>
      <c r="AG948" s="1326"/>
      <c r="DG948" s="555"/>
      <c r="DH948" s="151"/>
      <c r="DI948" s="1049"/>
      <c r="DJ948" s="1127"/>
    </row>
    <row r="949" spans="1:114" ht="15" hidden="1" customHeight="1" outlineLevel="1" x14ac:dyDescent="0.25">
      <c r="A949" s="442"/>
      <c r="C949" s="49"/>
      <c r="D949" s="2177"/>
      <c r="E949" s="2177"/>
      <c r="F949" s="2176" t="str">
        <f>$E$789</f>
        <v>ASHP-SEER17_ER2_SF</v>
      </c>
      <c r="G949" s="2176"/>
      <c r="H949" s="2176"/>
      <c r="I949" s="2176"/>
      <c r="J949" s="986" t="str">
        <f>$C$789</f>
        <v>353750_2024_12_</v>
      </c>
      <c r="K949" s="1589">
        <v>31924.430692636917</v>
      </c>
      <c r="L949" s="988">
        <f t="shared" si="183"/>
        <v>2.6603692243864097</v>
      </c>
      <c r="M949" s="873" t="s">
        <v>1024</v>
      </c>
      <c r="T949" s="50"/>
      <c r="U949" s="50"/>
      <c r="V949" s="2177"/>
      <c r="W949" s="1326">
        <v>39600</v>
      </c>
      <c r="X949" s="1326">
        <v>39600</v>
      </c>
      <c r="Y949" s="1326">
        <v>39600</v>
      </c>
      <c r="Z949" s="1326">
        <v>39600</v>
      </c>
      <c r="AA949" s="1326">
        <v>39600</v>
      </c>
      <c r="AB949" s="1326">
        <v>39600</v>
      </c>
      <c r="AC949" s="790">
        <f>AC948</f>
        <v>35142.857142857138</v>
      </c>
      <c r="AD949" s="928">
        <v>35218.736819625796</v>
      </c>
      <c r="AE949" s="928">
        <v>31924.430692636917</v>
      </c>
      <c r="AF949" s="258">
        <f t="shared" si="182"/>
        <v>31924.430692636917</v>
      </c>
      <c r="AG949" s="1326"/>
      <c r="DG949" s="555"/>
      <c r="DH949" s="151"/>
      <c r="DI949" s="1049"/>
      <c r="DJ949" s="1127"/>
    </row>
    <row r="950" spans="1:114" ht="15" hidden="1" customHeight="1" outlineLevel="1" x14ac:dyDescent="0.25">
      <c r="A950" s="442"/>
      <c r="C950" s="49"/>
      <c r="D950" s="2177"/>
      <c r="E950" s="2177"/>
      <c r="F950" s="2176" t="str">
        <f>$E$791</f>
        <v>ASHP-SEER17_ROF_SF</v>
      </c>
      <c r="G950" s="2176"/>
      <c r="H950" s="2176"/>
      <c r="I950" s="2176"/>
      <c r="J950" s="986" t="str">
        <f>$C$791</f>
        <v>353800_2024_12_</v>
      </c>
      <c r="K950" s="1589">
        <v>38543.962847058829</v>
      </c>
      <c r="L950" s="988">
        <f>K950/12000</f>
        <v>3.2119969039215692</v>
      </c>
      <c r="M950" s="873" t="s">
        <v>1024</v>
      </c>
      <c r="T950" s="50"/>
      <c r="U950" s="50"/>
      <c r="V950" s="2177"/>
      <c r="W950" s="1326">
        <v>39600</v>
      </c>
      <c r="X950" s="1326">
        <v>39600</v>
      </c>
      <c r="Y950" s="1326">
        <v>39600</v>
      </c>
      <c r="Z950" s="1326">
        <v>39600</v>
      </c>
      <c r="AA950" s="1326">
        <v>39600</v>
      </c>
      <c r="AB950" s="1326">
        <v>39600</v>
      </c>
      <c r="AC950" s="790">
        <v>46285.71428571429</v>
      </c>
      <c r="AD950" s="928">
        <v>35402.476190000001</v>
      </c>
      <c r="AE950" s="928">
        <v>38543.962847058829</v>
      </c>
      <c r="AF950" s="258">
        <f t="shared" si="182"/>
        <v>38543.962847058829</v>
      </c>
      <c r="AG950" s="1326"/>
      <c r="DG950" s="555"/>
      <c r="DH950" s="151"/>
      <c r="DI950" s="1049"/>
      <c r="DJ950" s="1127"/>
    </row>
    <row r="951" spans="1:114" ht="15" hidden="1" customHeight="1" outlineLevel="1" x14ac:dyDescent="0.25">
      <c r="A951" s="442"/>
      <c r="C951" s="49"/>
      <c r="D951" s="2177"/>
      <c r="E951" s="2177"/>
      <c r="F951" s="2176" t="str">
        <f>$E$793</f>
        <v>ASHP-SEER18_ER1_SF</v>
      </c>
      <c r="G951" s="2176"/>
      <c r="H951" s="2176"/>
      <c r="I951" s="2176"/>
      <c r="J951" s="986" t="str">
        <f>$C$793</f>
        <v>353850_2024_12_</v>
      </c>
      <c r="K951" s="1589">
        <v>34705.508067129631</v>
      </c>
      <c r="L951" s="988">
        <f t="shared" si="183"/>
        <v>2.8921256722608026</v>
      </c>
      <c r="M951" s="873" t="s">
        <v>1024</v>
      </c>
      <c r="T951" s="50"/>
      <c r="U951" s="50"/>
      <c r="V951" s="2177"/>
      <c r="W951" s="1326">
        <v>39600</v>
      </c>
      <c r="X951" s="1326">
        <v>39600</v>
      </c>
      <c r="Y951" s="1326">
        <v>39600</v>
      </c>
      <c r="Z951" s="1326">
        <v>39600</v>
      </c>
      <c r="AA951" s="1326">
        <v>39600</v>
      </c>
      <c r="AB951" s="794">
        <v>42600</v>
      </c>
      <c r="AC951" s="790">
        <v>38521.739130434784</v>
      </c>
      <c r="AD951" s="928">
        <v>36089.906153434065</v>
      </c>
      <c r="AE951" s="928">
        <v>34705.508067129631</v>
      </c>
      <c r="AF951" s="258">
        <f t="shared" si="182"/>
        <v>34705.508067129631</v>
      </c>
      <c r="AG951" s="1326"/>
      <c r="DG951" s="555"/>
      <c r="DH951" s="151"/>
      <c r="DI951" s="1049"/>
      <c r="DJ951" s="1127"/>
    </row>
    <row r="952" spans="1:114" ht="15" hidden="1" customHeight="1" outlineLevel="1" x14ac:dyDescent="0.25">
      <c r="A952" s="442"/>
      <c r="C952" s="49"/>
      <c r="D952" s="2177"/>
      <c r="E952" s="2177"/>
      <c r="F952" s="2176" t="str">
        <f>$E$795</f>
        <v>ASHP-SEER18_ER2_SF</v>
      </c>
      <c r="G952" s="2176"/>
      <c r="H952" s="2176"/>
      <c r="I952" s="2176"/>
      <c r="J952" s="986" t="str">
        <f>$C$795</f>
        <v>353850_2024_12_</v>
      </c>
      <c r="K952" s="1589">
        <v>34705.508067129631</v>
      </c>
      <c r="L952" s="988">
        <f t="shared" si="183"/>
        <v>2.8921256722608026</v>
      </c>
      <c r="M952" s="873" t="s">
        <v>1024</v>
      </c>
      <c r="T952" s="50"/>
      <c r="U952" s="50"/>
      <c r="V952" s="2177"/>
      <c r="W952" s="1326">
        <v>39600</v>
      </c>
      <c r="X952" s="1326">
        <v>39600</v>
      </c>
      <c r="Y952" s="1326">
        <v>39600</v>
      </c>
      <c r="Z952" s="1326">
        <v>39600</v>
      </c>
      <c r="AA952" s="1326">
        <v>39600</v>
      </c>
      <c r="AB952" s="794">
        <v>42600</v>
      </c>
      <c r="AC952" s="790">
        <f>AC951</f>
        <v>38521.739130434784</v>
      </c>
      <c r="AD952" s="928">
        <v>36089.906153434065</v>
      </c>
      <c r="AE952" s="928">
        <v>34705.508067129631</v>
      </c>
      <c r="AF952" s="258">
        <f t="shared" si="182"/>
        <v>34705.508067129631</v>
      </c>
      <c r="AG952" s="1326"/>
      <c r="DG952" s="555"/>
      <c r="DH952" s="151"/>
      <c r="DI952" s="1049"/>
      <c r="DJ952" s="1127"/>
    </row>
    <row r="953" spans="1:114" ht="15" hidden="1" customHeight="1" outlineLevel="1" x14ac:dyDescent="0.25">
      <c r="A953" s="442"/>
      <c r="C953" s="49"/>
      <c r="D953" s="2177"/>
      <c r="E953" s="2177"/>
      <c r="F953" s="2176" t="str">
        <f>$E$797</f>
        <v>ASHP-SEER18_ROF_SF</v>
      </c>
      <c r="G953" s="2176"/>
      <c r="H953" s="2176"/>
      <c r="I953" s="2176"/>
      <c r="J953" s="986" t="str">
        <f>$C$797</f>
        <v>353950_2024_12_</v>
      </c>
      <c r="K953" s="1589">
        <v>36024.444439999999</v>
      </c>
      <c r="L953" s="988">
        <f t="shared" si="183"/>
        <v>3.0020370366666667</v>
      </c>
      <c r="M953" s="873" t="s">
        <v>1024</v>
      </c>
      <c r="T953" s="50"/>
      <c r="U953" s="50"/>
      <c r="V953" s="2177"/>
      <c r="W953" s="1326">
        <v>39600</v>
      </c>
      <c r="X953" s="1326">
        <v>39600</v>
      </c>
      <c r="Y953" s="1326">
        <v>39600</v>
      </c>
      <c r="Z953" s="1326">
        <v>39600</v>
      </c>
      <c r="AA953" s="1326">
        <v>39600</v>
      </c>
      <c r="AB953" s="1326">
        <v>39600</v>
      </c>
      <c r="AC953" s="790">
        <v>41250</v>
      </c>
      <c r="AD953" s="928">
        <v>37478.667573056096</v>
      </c>
      <c r="AE953" s="928">
        <v>36024.444439999999</v>
      </c>
      <c r="AF953" s="258">
        <f t="shared" si="182"/>
        <v>36024.444439999999</v>
      </c>
      <c r="AG953" s="1326"/>
      <c r="DG953" s="555"/>
      <c r="DH953" s="151"/>
      <c r="DI953" s="1049"/>
      <c r="DJ953" s="1127"/>
    </row>
    <row r="954" spans="1:114" ht="15" hidden="1" customHeight="1" outlineLevel="1" x14ac:dyDescent="0.25">
      <c r="A954" s="442"/>
      <c r="C954" s="49"/>
      <c r="D954" s="2177"/>
      <c r="E954" s="2177"/>
      <c r="F954" s="2176" t="str">
        <f>$E$799</f>
        <v>ASHP-SEER19_ER1_SF</v>
      </c>
      <c r="G954" s="2176"/>
      <c r="H954" s="2176"/>
      <c r="I954" s="2176"/>
      <c r="J954" s="986" t="str">
        <f>$C$799</f>
        <v>354000_2024_12_</v>
      </c>
      <c r="K954" s="1589">
        <v>45277.450979411762</v>
      </c>
      <c r="L954" s="988">
        <f t="shared" si="183"/>
        <v>3.7731209149509803</v>
      </c>
      <c r="M954" s="873" t="s">
        <v>1024</v>
      </c>
      <c r="T954" s="50"/>
      <c r="U954" s="50"/>
      <c r="V954" s="2177"/>
      <c r="W954" s="1326">
        <v>39600</v>
      </c>
      <c r="X954" s="1326">
        <v>39600</v>
      </c>
      <c r="Y954" s="1326">
        <v>39600</v>
      </c>
      <c r="Z954" s="1326">
        <v>39600</v>
      </c>
      <c r="AA954" s="1326">
        <v>39600</v>
      </c>
      <c r="AB954" s="1326">
        <v>39600</v>
      </c>
      <c r="AC954" s="790">
        <v>48000</v>
      </c>
      <c r="AD954" s="928">
        <v>45277.450979411769</v>
      </c>
      <c r="AE954" s="990">
        <v>45277.450979411762</v>
      </c>
      <c r="AF954" s="258">
        <f t="shared" si="182"/>
        <v>45277.450979411762</v>
      </c>
      <c r="AG954" s="1326"/>
      <c r="DG954" s="555"/>
      <c r="DH954" s="151"/>
      <c r="DI954" s="1049"/>
      <c r="DJ954" s="1127"/>
    </row>
    <row r="955" spans="1:114" ht="15" hidden="1" customHeight="1" outlineLevel="1" x14ac:dyDescent="0.25">
      <c r="A955" s="442"/>
      <c r="C955" s="49"/>
      <c r="D955" s="2177"/>
      <c r="E955" s="2177"/>
      <c r="F955" s="2176" t="str">
        <f>$E$801</f>
        <v>ASHP-SEER19_ER2_SF</v>
      </c>
      <c r="G955" s="2176"/>
      <c r="H955" s="2176"/>
      <c r="I955" s="2176"/>
      <c r="J955" s="986" t="str">
        <f>$C$801</f>
        <v>354000_2024_12_</v>
      </c>
      <c r="K955" s="1589">
        <v>45277.450979411762</v>
      </c>
      <c r="L955" s="988">
        <f t="shared" si="183"/>
        <v>3.7731209149509803</v>
      </c>
      <c r="M955" s="873" t="s">
        <v>1024</v>
      </c>
      <c r="T955" s="50"/>
      <c r="U955" s="50"/>
      <c r="V955" s="2177"/>
      <c r="W955" s="1326">
        <v>39600</v>
      </c>
      <c r="X955" s="1326">
        <v>39600</v>
      </c>
      <c r="Y955" s="1326">
        <v>39600</v>
      </c>
      <c r="Z955" s="1326">
        <v>39600</v>
      </c>
      <c r="AA955" s="1326">
        <v>39600</v>
      </c>
      <c r="AB955" s="1326">
        <v>39600</v>
      </c>
      <c r="AC955" s="790">
        <f>AC954</f>
        <v>48000</v>
      </c>
      <c r="AD955" s="928">
        <v>45277.450979411769</v>
      </c>
      <c r="AE955" s="990">
        <v>45277.450979411762</v>
      </c>
      <c r="AF955" s="258">
        <f t="shared" si="182"/>
        <v>45277.450979411762</v>
      </c>
      <c r="AG955" s="1326"/>
      <c r="DG955" s="555"/>
      <c r="DH955" s="151"/>
      <c r="DI955" s="1049"/>
      <c r="DJ955" s="1127"/>
    </row>
    <row r="956" spans="1:114" ht="15" hidden="1" customHeight="1" outlineLevel="1" x14ac:dyDescent="0.25">
      <c r="A956" s="442"/>
      <c r="C956" s="49"/>
      <c r="D956" s="2177"/>
      <c r="E956" s="2177"/>
      <c r="F956" s="2176" t="str">
        <f>$E$803</f>
        <v>ASHP-SEER19_ROF_SF</v>
      </c>
      <c r="G956" s="2176"/>
      <c r="H956" s="2176"/>
      <c r="I956" s="2176"/>
      <c r="J956" s="986" t="str">
        <f>$C$803</f>
        <v>354050_2024_12_</v>
      </c>
      <c r="K956" s="1589">
        <v>35904.395607692306</v>
      </c>
      <c r="L956" s="988">
        <f t="shared" si="183"/>
        <v>2.9920329673076922</v>
      </c>
      <c r="M956" s="873" t="s">
        <v>1026</v>
      </c>
      <c r="T956" s="50"/>
      <c r="U956" s="50"/>
      <c r="V956" s="2177"/>
      <c r="W956" s="1326">
        <v>39600</v>
      </c>
      <c r="X956" s="1326">
        <v>39600</v>
      </c>
      <c r="Y956" s="1326">
        <v>39600</v>
      </c>
      <c r="Z956" s="1326">
        <v>39600</v>
      </c>
      <c r="AA956" s="1326">
        <v>39600</v>
      </c>
      <c r="AB956" s="1326">
        <v>39600</v>
      </c>
      <c r="AC956" s="790">
        <v>26133.333333333332</v>
      </c>
      <c r="AD956" s="928">
        <v>35904.395607692306</v>
      </c>
      <c r="AE956" s="990">
        <v>35904.395607692306</v>
      </c>
      <c r="AF956" s="258">
        <f t="shared" si="182"/>
        <v>35904.395607692306</v>
      </c>
      <c r="AG956" s="1326"/>
      <c r="DG956" s="555"/>
      <c r="DH956" s="151"/>
      <c r="DI956" s="1049"/>
      <c r="DJ956" s="1127"/>
    </row>
    <row r="957" spans="1:114" ht="15" hidden="1" customHeight="1" outlineLevel="1" x14ac:dyDescent="0.25">
      <c r="A957" s="442"/>
      <c r="C957" s="49"/>
      <c r="D957" s="2177"/>
      <c r="E957" s="2177"/>
      <c r="F957" s="2176" t="str">
        <f>$E$805</f>
        <v>ASHP-SEER17-Replace_CAC_ElectricHeat_ER1_SF</v>
      </c>
      <c r="G957" s="2176"/>
      <c r="H957" s="2176"/>
      <c r="I957" s="2176"/>
      <c r="J957" s="986" t="str">
        <f>$C$805</f>
        <v>354100_2024_12_</v>
      </c>
      <c r="K957" s="1589">
        <v>31924.430692636917</v>
      </c>
      <c r="L957" s="988">
        <f t="shared" si="183"/>
        <v>2.6603692243864097</v>
      </c>
      <c r="M957" s="873" t="s">
        <v>1024</v>
      </c>
      <c r="T957" s="50"/>
      <c r="U957" s="50"/>
      <c r="V957" s="2177"/>
      <c r="W957" s="1326">
        <v>37200</v>
      </c>
      <c r="X957" s="1326">
        <v>37200</v>
      </c>
      <c r="Y957" s="1326">
        <v>37200</v>
      </c>
      <c r="Z957" s="1326">
        <v>37200</v>
      </c>
      <c r="AA957" s="1326">
        <v>37200</v>
      </c>
      <c r="AB957" s="1326">
        <v>37200</v>
      </c>
      <c r="AC957" s="790">
        <v>34090.909090909088</v>
      </c>
      <c r="AD957" s="928">
        <v>35218.736819625796</v>
      </c>
      <c r="AE957" s="928">
        <v>31924.430692636917</v>
      </c>
      <c r="AF957" s="258">
        <f t="shared" si="182"/>
        <v>31924.430692636917</v>
      </c>
      <c r="AG957" s="1326"/>
      <c r="DG957" s="555"/>
      <c r="DH957" s="151"/>
      <c r="DI957" s="1049"/>
      <c r="DJ957" s="1127"/>
    </row>
    <row r="958" spans="1:114" ht="15" hidden="1" customHeight="1" outlineLevel="1" x14ac:dyDescent="0.25">
      <c r="A958" s="442"/>
      <c r="C958" s="49"/>
      <c r="D958" s="2177"/>
      <c r="E958" s="2177"/>
      <c r="F958" s="2176" t="str">
        <f>$E$807</f>
        <v>ASHP-SEER17-Replace_CAC_ElectricHeat_ER2_SF</v>
      </c>
      <c r="G958" s="2176"/>
      <c r="H958" s="2176"/>
      <c r="I958" s="2176"/>
      <c r="J958" s="986" t="str">
        <f>$C$807</f>
        <v>354100_2024_12_</v>
      </c>
      <c r="K958" s="1589">
        <v>31924.430692636917</v>
      </c>
      <c r="L958" s="988">
        <f t="shared" si="183"/>
        <v>2.6603692243864097</v>
      </c>
      <c r="M958" s="873" t="s">
        <v>1024</v>
      </c>
      <c r="T958" s="50"/>
      <c r="U958" s="50"/>
      <c r="V958" s="2177"/>
      <c r="W958" s="1326">
        <v>37200</v>
      </c>
      <c r="X958" s="1326">
        <v>37200</v>
      </c>
      <c r="Y958" s="1326">
        <v>37200</v>
      </c>
      <c r="Z958" s="1326">
        <v>37200</v>
      </c>
      <c r="AA958" s="1326">
        <v>37200</v>
      </c>
      <c r="AB958" s="1326">
        <v>37200</v>
      </c>
      <c r="AC958" s="790">
        <v>34090.909090909088</v>
      </c>
      <c r="AD958" s="928">
        <v>35218.736819625796</v>
      </c>
      <c r="AE958" s="928">
        <v>31924.430692636917</v>
      </c>
      <c r="AF958" s="258">
        <f t="shared" si="182"/>
        <v>31924.430692636917</v>
      </c>
      <c r="AG958" s="1326"/>
      <c r="DG958" s="555"/>
      <c r="DH958" s="151"/>
      <c r="DI958" s="1049"/>
      <c r="DJ958" s="1127"/>
    </row>
    <row r="959" spans="1:114" ht="15" hidden="1" customHeight="1" outlineLevel="1" x14ac:dyDescent="0.25">
      <c r="A959" s="442"/>
      <c r="C959" s="49"/>
      <c r="D959" s="2177"/>
      <c r="E959" s="2177"/>
      <c r="F959" s="2176" t="str">
        <f>$E$809</f>
        <v>ASHP-SEER17-Replace_CAC_NonElectricHeat_ER1_SF</v>
      </c>
      <c r="G959" s="2176"/>
      <c r="H959" s="2176"/>
      <c r="I959" s="2176"/>
      <c r="J959" s="986" t="str">
        <f>$C$809</f>
        <v>354110_2024_12_</v>
      </c>
      <c r="K959" s="1589">
        <v>31924.430692636917</v>
      </c>
      <c r="L959" s="988">
        <f t="shared" si="183"/>
        <v>2.6603692243864097</v>
      </c>
      <c r="M959" s="873" t="s">
        <v>1024</v>
      </c>
      <c r="T959" s="50"/>
      <c r="U959" s="50"/>
      <c r="V959" s="2177"/>
      <c r="W959" s="1326"/>
      <c r="X959" s="1326"/>
      <c r="Y959" s="1326"/>
      <c r="Z959" s="1326"/>
      <c r="AA959" s="1326"/>
      <c r="AB959" s="1326"/>
      <c r="AC959" s="790">
        <v>34090.909090909088</v>
      </c>
      <c r="AD959" s="928">
        <v>35218.736819625796</v>
      </c>
      <c r="AE959" s="928">
        <v>31924.430692636917</v>
      </c>
      <c r="AF959" s="258">
        <f t="shared" si="182"/>
        <v>31924.430692636917</v>
      </c>
      <c r="AG959" s="1326"/>
      <c r="DG959" s="555"/>
      <c r="DH959" s="151"/>
      <c r="DI959" s="1049"/>
      <c r="DJ959" s="1127"/>
    </row>
    <row r="960" spans="1:114" ht="15" hidden="1" customHeight="1" outlineLevel="1" x14ac:dyDescent="0.25">
      <c r="A960" s="442"/>
      <c r="C960" s="49"/>
      <c r="D960" s="2177"/>
      <c r="E960" s="2177"/>
      <c r="F960" s="2176" t="str">
        <f>$E$811</f>
        <v>ASHP-SEER17-Replace_CAC_NonElectricHeat_ER2_SF</v>
      </c>
      <c r="G960" s="2176"/>
      <c r="H960" s="2176"/>
      <c r="I960" s="2176"/>
      <c r="J960" s="986" t="str">
        <f>$C$811</f>
        <v>354110_2024_12_</v>
      </c>
      <c r="K960" s="1589">
        <v>31924.430692636917</v>
      </c>
      <c r="L960" s="988">
        <f t="shared" si="183"/>
        <v>2.6603692243864097</v>
      </c>
      <c r="M960" s="873" t="s">
        <v>1024</v>
      </c>
      <c r="T960" s="50"/>
      <c r="U960" s="50"/>
      <c r="V960" s="2177"/>
      <c r="W960" s="1326"/>
      <c r="X960" s="1326"/>
      <c r="Y960" s="1326"/>
      <c r="Z960" s="1326"/>
      <c r="AA960" s="1326"/>
      <c r="AB960" s="1326"/>
      <c r="AC960" s="790">
        <v>34090.909090909088</v>
      </c>
      <c r="AD960" s="928">
        <v>35218.736819625796</v>
      </c>
      <c r="AE960" s="928">
        <v>31924.430692636917</v>
      </c>
      <c r="AF960" s="258">
        <f t="shared" si="182"/>
        <v>31924.430692636917</v>
      </c>
      <c r="AG960" s="1326"/>
      <c r="DG960" s="555"/>
      <c r="DH960" s="151"/>
      <c r="DI960" s="1049"/>
      <c r="DJ960" s="1127"/>
    </row>
    <row r="961" spans="1:114" ht="15" hidden="1" customHeight="1" outlineLevel="1" x14ac:dyDescent="0.25">
      <c r="A961" s="442"/>
      <c r="C961" s="49"/>
      <c r="D961" s="2177"/>
      <c r="E961" s="2177"/>
      <c r="F961" s="2176" t="str">
        <f>$E$813</f>
        <v>ASHP-SEER17-Replace_CAC_ElectricHeat_ER1_MF</v>
      </c>
      <c r="G961" s="2176"/>
      <c r="H961" s="2176"/>
      <c r="I961" s="2176"/>
      <c r="J961" s="986" t="str">
        <f>$C$813</f>
        <v>354150_2024_12_</v>
      </c>
      <c r="K961" s="1590">
        <v>37200</v>
      </c>
      <c r="L961" s="988">
        <f t="shared" si="183"/>
        <v>3.1</v>
      </c>
      <c r="M961" s="873" t="s">
        <v>1112</v>
      </c>
      <c r="P961" s="248"/>
      <c r="Q961" s="196"/>
      <c r="R961" s="248"/>
      <c r="T961" s="169"/>
      <c r="U961" s="50"/>
      <c r="V961" s="2177"/>
      <c r="W961" s="1326">
        <v>37200</v>
      </c>
      <c r="X961" s="1326">
        <v>37200</v>
      </c>
      <c r="Y961" s="1326">
        <v>37200</v>
      </c>
      <c r="Z961" s="1326">
        <v>37200</v>
      </c>
      <c r="AA961" s="1326">
        <v>37200</v>
      </c>
      <c r="AB961" s="1326">
        <v>37200</v>
      </c>
      <c r="AC961" s="766">
        <v>37200</v>
      </c>
      <c r="AD961" s="990">
        <v>37200</v>
      </c>
      <c r="AE961" s="929">
        <v>37200</v>
      </c>
      <c r="AF961" s="258">
        <f t="shared" si="182"/>
        <v>37200</v>
      </c>
      <c r="AG961" s="1326"/>
      <c r="DG961" s="555"/>
      <c r="DH961" s="151"/>
      <c r="DI961" s="1049"/>
      <c r="DJ961" s="1127"/>
    </row>
    <row r="962" spans="1:114" ht="15" hidden="1" customHeight="1" outlineLevel="1" x14ac:dyDescent="0.25">
      <c r="A962" s="442"/>
      <c r="C962" s="49"/>
      <c r="D962" s="2177"/>
      <c r="E962" s="2177"/>
      <c r="F962" s="2176" t="str">
        <f>$E$815</f>
        <v>ASHP-SEER17-Replace_CAC_ElectricHeat_ER2_MF</v>
      </c>
      <c r="G962" s="2176"/>
      <c r="H962" s="2176"/>
      <c r="I962" s="2176"/>
      <c r="J962" s="986" t="str">
        <f>$C$815</f>
        <v>354150_2024_12_</v>
      </c>
      <c r="K962" s="1590">
        <v>37200</v>
      </c>
      <c r="L962" s="988">
        <f t="shared" si="183"/>
        <v>3.1</v>
      </c>
      <c r="M962" s="873" t="s">
        <v>1112</v>
      </c>
      <c r="T962" s="50"/>
      <c r="U962" s="50"/>
      <c r="V962" s="2177"/>
      <c r="W962" s="1326">
        <v>37200</v>
      </c>
      <c r="X962" s="1326">
        <v>37200</v>
      </c>
      <c r="Y962" s="1326">
        <v>37200</v>
      </c>
      <c r="Z962" s="1326">
        <v>37200</v>
      </c>
      <c r="AA962" s="1326">
        <v>37200</v>
      </c>
      <c r="AB962" s="1326">
        <v>37200</v>
      </c>
      <c r="AC962" s="766">
        <v>37200</v>
      </c>
      <c r="AD962" s="990">
        <v>37200</v>
      </c>
      <c r="AE962" s="929">
        <v>37200</v>
      </c>
      <c r="AF962" s="258">
        <f t="shared" si="182"/>
        <v>37200</v>
      </c>
      <c r="AG962" s="1326"/>
      <c r="DG962" s="555"/>
      <c r="DH962" s="151"/>
      <c r="DI962" s="1049"/>
      <c r="DJ962" s="1127"/>
    </row>
    <row r="963" spans="1:114" ht="15" hidden="1" customHeight="1" outlineLevel="1" x14ac:dyDescent="0.25">
      <c r="A963" s="442"/>
      <c r="C963" s="49"/>
      <c r="D963" s="2177"/>
      <c r="E963" s="2177"/>
      <c r="F963" s="2176" t="str">
        <f>$E$817</f>
        <v>ASHP-SEER17_ER1_MF</v>
      </c>
      <c r="G963" s="2176"/>
      <c r="H963" s="2176"/>
      <c r="I963" s="2176"/>
      <c r="J963" s="986" t="str">
        <f>$C$817</f>
        <v>354200_2024_12_</v>
      </c>
      <c r="K963" s="1590">
        <v>39600</v>
      </c>
      <c r="L963" s="988">
        <f t="shared" si="183"/>
        <v>3.3</v>
      </c>
      <c r="M963" s="873" t="s">
        <v>1112</v>
      </c>
      <c r="T963" s="50"/>
      <c r="U963" s="50"/>
      <c r="V963" s="2177"/>
      <c r="W963" s="1326">
        <v>39600</v>
      </c>
      <c r="X963" s="1326">
        <v>39600</v>
      </c>
      <c r="Y963" s="1326">
        <v>39600</v>
      </c>
      <c r="Z963" s="1326">
        <v>39600</v>
      </c>
      <c r="AA963" s="1326">
        <v>39600</v>
      </c>
      <c r="AB963" s="1326">
        <v>39600</v>
      </c>
      <c r="AC963" s="766">
        <v>39600</v>
      </c>
      <c r="AD963" s="990">
        <v>39600</v>
      </c>
      <c r="AE963" s="929">
        <v>39600</v>
      </c>
      <c r="AF963" s="258">
        <f t="shared" si="182"/>
        <v>39600</v>
      </c>
      <c r="AG963" s="1326"/>
      <c r="DG963" s="555"/>
      <c r="DH963" s="151"/>
      <c r="DI963" s="1049"/>
      <c r="DJ963" s="1127"/>
    </row>
    <row r="964" spans="1:114" ht="15" hidden="1" customHeight="1" outlineLevel="1" x14ac:dyDescent="0.25">
      <c r="A964" s="442"/>
      <c r="C964" s="49"/>
      <c r="D964" s="2177"/>
      <c r="E964" s="2177"/>
      <c r="F964" s="2176" t="str">
        <f>$E$819</f>
        <v>ASHP-SEER17_ER2_MF</v>
      </c>
      <c r="G964" s="2176"/>
      <c r="H964" s="2176"/>
      <c r="I964" s="2176"/>
      <c r="J964" s="986" t="str">
        <f>$C$819</f>
        <v>354200_2024_12_</v>
      </c>
      <c r="K964" s="1590">
        <v>39600</v>
      </c>
      <c r="L964" s="988">
        <f t="shared" si="183"/>
        <v>3.3</v>
      </c>
      <c r="M964" s="873" t="s">
        <v>1112</v>
      </c>
      <c r="T964" s="50"/>
      <c r="U964" s="50"/>
      <c r="V964" s="2177"/>
      <c r="W964" s="1326">
        <v>39600</v>
      </c>
      <c r="X964" s="1326">
        <v>39600</v>
      </c>
      <c r="Y964" s="1326">
        <v>39600</v>
      </c>
      <c r="Z964" s="1326">
        <v>39600</v>
      </c>
      <c r="AA964" s="1326">
        <v>39600</v>
      </c>
      <c r="AB964" s="1326">
        <v>39600</v>
      </c>
      <c r="AC964" s="766">
        <v>39600</v>
      </c>
      <c r="AD964" s="990">
        <v>39600</v>
      </c>
      <c r="AE964" s="929">
        <v>39600</v>
      </c>
      <c r="AF964" s="258">
        <f t="shared" si="182"/>
        <v>39600</v>
      </c>
      <c r="AG964" s="1326"/>
      <c r="DG964" s="555"/>
      <c r="DH964" s="151"/>
      <c r="DI964" s="1049"/>
      <c r="DJ964" s="1127"/>
    </row>
    <row r="965" spans="1:114" ht="15" hidden="1" customHeight="1" outlineLevel="1" x14ac:dyDescent="0.25">
      <c r="A965" s="442"/>
      <c r="C965" s="49"/>
      <c r="D965" s="2177"/>
      <c r="E965" s="2177"/>
      <c r="F965" s="2176" t="str">
        <f>$E$821</f>
        <v>ASHP-SEER18-Replace_CAC_ElectricHeat_ER1_SF</v>
      </c>
      <c r="G965" s="2176"/>
      <c r="H965" s="2176"/>
      <c r="I965" s="2176"/>
      <c r="J965" s="986" t="str">
        <f>$C$821</f>
        <v>354250_2024_12_</v>
      </c>
      <c r="K965" s="1589">
        <v>34705.508067129631</v>
      </c>
      <c r="L965" s="988">
        <f t="shared" si="183"/>
        <v>2.8921256722608026</v>
      </c>
      <c r="M965" s="873" t="s">
        <v>1024</v>
      </c>
      <c r="T965" s="50"/>
      <c r="U965" s="50"/>
      <c r="V965" s="2177"/>
      <c r="W965" s="1326">
        <v>37200</v>
      </c>
      <c r="X965" s="1326">
        <v>37200</v>
      </c>
      <c r="Y965" s="1326">
        <v>37200</v>
      </c>
      <c r="Z965" s="1326">
        <v>37200</v>
      </c>
      <c r="AA965" s="1326">
        <v>37200</v>
      </c>
      <c r="AB965" s="790">
        <v>40965.517241379312</v>
      </c>
      <c r="AC965" s="790">
        <v>37721.739130434784</v>
      </c>
      <c r="AD965" s="928">
        <v>36089.906153434065</v>
      </c>
      <c r="AE965" s="928">
        <v>34705.508067129631</v>
      </c>
      <c r="AF965" s="258">
        <f t="shared" si="182"/>
        <v>34705.508067129631</v>
      </c>
      <c r="AG965" s="1326"/>
      <c r="DG965" s="555"/>
      <c r="DH965" s="151"/>
      <c r="DI965" s="1049"/>
      <c r="DJ965" s="1127"/>
    </row>
    <row r="966" spans="1:114" ht="15" hidden="1" customHeight="1" outlineLevel="1" x14ac:dyDescent="0.25">
      <c r="A966" s="442"/>
      <c r="C966" s="49"/>
      <c r="D966" s="2177"/>
      <c r="E966" s="2177"/>
      <c r="F966" s="2176" t="str">
        <f>$E$823</f>
        <v>ASHP-SEER18-Replace_CAC_ElectricHeat_ER2_SF</v>
      </c>
      <c r="G966" s="2176"/>
      <c r="H966" s="2176"/>
      <c r="I966" s="2176"/>
      <c r="J966" s="986" t="str">
        <f>$C$823</f>
        <v>354250_2024_12_</v>
      </c>
      <c r="K966" s="1589">
        <v>34705.508067129631</v>
      </c>
      <c r="L966" s="988">
        <f t="shared" si="183"/>
        <v>2.8921256722608026</v>
      </c>
      <c r="M966" s="873" t="s">
        <v>1024</v>
      </c>
      <c r="T966" s="50"/>
      <c r="U966" s="50"/>
      <c r="V966" s="2177"/>
      <c r="W966" s="1326">
        <v>37200</v>
      </c>
      <c r="X966" s="1326">
        <v>37200</v>
      </c>
      <c r="Y966" s="1326">
        <v>37200</v>
      </c>
      <c r="Z966" s="1326">
        <v>37200</v>
      </c>
      <c r="AA966" s="1326">
        <v>37200</v>
      </c>
      <c r="AB966" s="790">
        <v>40965.517241379312</v>
      </c>
      <c r="AC966" s="790">
        <f>AC965</f>
        <v>37721.739130434784</v>
      </c>
      <c r="AD966" s="928">
        <v>36089.906153434065</v>
      </c>
      <c r="AE966" s="928">
        <v>34705.508067129631</v>
      </c>
      <c r="AF966" s="258">
        <f t="shared" si="182"/>
        <v>34705.508067129631</v>
      </c>
      <c r="AG966" s="1326"/>
      <c r="DG966" s="555"/>
      <c r="DH966" s="151"/>
      <c r="DI966" s="1049"/>
      <c r="DJ966" s="1127"/>
    </row>
    <row r="967" spans="1:114" ht="15" hidden="1" customHeight="1" outlineLevel="1" x14ac:dyDescent="0.25">
      <c r="A967" s="442"/>
      <c r="C967" s="49"/>
      <c r="D967" s="2177"/>
      <c r="E967" s="2177"/>
      <c r="F967" s="2176" t="str">
        <f>$E$825</f>
        <v>ASHP-SEER18-Replace_CAC_NonElectricHeat_ER1_SF</v>
      </c>
      <c r="G967" s="2176"/>
      <c r="H967" s="2176"/>
      <c r="I967" s="2176"/>
      <c r="J967" s="986" t="str">
        <f>$C$825</f>
        <v>354260_2024_12_</v>
      </c>
      <c r="K967" s="1589">
        <v>34705.508067129631</v>
      </c>
      <c r="L967" s="988">
        <f t="shared" si="183"/>
        <v>2.8921256722608026</v>
      </c>
      <c r="M967" s="873" t="s">
        <v>1024</v>
      </c>
      <c r="T967" s="50"/>
      <c r="U967" s="50"/>
      <c r="V967" s="2177"/>
      <c r="W967" s="1326"/>
      <c r="X967" s="1326"/>
      <c r="Y967" s="1326"/>
      <c r="Z967" s="1326"/>
      <c r="AA967" s="1326"/>
      <c r="AB967" s="790"/>
      <c r="AC967" s="790">
        <v>37721.739130434784</v>
      </c>
      <c r="AD967" s="928">
        <v>36089.906153434065</v>
      </c>
      <c r="AE967" s="928">
        <v>34705.508067129631</v>
      </c>
      <c r="AF967" s="258">
        <f t="shared" si="182"/>
        <v>34705.508067129631</v>
      </c>
      <c r="AG967" s="1326"/>
      <c r="DG967" s="555"/>
      <c r="DH967" s="151"/>
      <c r="DI967" s="1049"/>
      <c r="DJ967" s="1127"/>
    </row>
    <row r="968" spans="1:114" ht="15" hidden="1" customHeight="1" outlineLevel="1" x14ac:dyDescent="0.25">
      <c r="A968" s="442"/>
      <c r="C968" s="49"/>
      <c r="D968" s="2177"/>
      <c r="E968" s="2177"/>
      <c r="F968" s="2176" t="str">
        <f>$E$827</f>
        <v>ASHP-SEER18-Replace_CAC_NonElectricHeat_ER2_SF</v>
      </c>
      <c r="G968" s="2176"/>
      <c r="H968" s="2176"/>
      <c r="I968" s="2176"/>
      <c r="J968" s="986" t="str">
        <f>$C$827</f>
        <v>354260_2024_12_</v>
      </c>
      <c r="K968" s="1589">
        <v>34705.508067129631</v>
      </c>
      <c r="L968" s="988">
        <f t="shared" si="183"/>
        <v>2.8921256722608026</v>
      </c>
      <c r="M968" s="873" t="s">
        <v>1024</v>
      </c>
      <c r="T968" s="50"/>
      <c r="U968" s="50"/>
      <c r="V968" s="2177"/>
      <c r="W968" s="1326"/>
      <c r="X968" s="1326"/>
      <c r="Y968" s="1326"/>
      <c r="Z968" s="1326"/>
      <c r="AA968" s="1326"/>
      <c r="AB968" s="790"/>
      <c r="AC968" s="790">
        <f>AC967</f>
        <v>37721.739130434784</v>
      </c>
      <c r="AD968" s="928">
        <v>36089.906153434065</v>
      </c>
      <c r="AE968" s="928">
        <v>34705.508067129631</v>
      </c>
      <c r="AF968" s="258">
        <f t="shared" ref="AF968:AF998" si="184">IF(K968&lt;&gt;"",K968,"")</f>
        <v>34705.508067129631</v>
      </c>
      <c r="AG968" s="1326"/>
      <c r="DG968" s="555"/>
      <c r="DH968" s="151"/>
      <c r="DI968" s="1049"/>
      <c r="DJ968" s="1127"/>
    </row>
    <row r="969" spans="1:114" ht="15" hidden="1" customHeight="1" outlineLevel="1" x14ac:dyDescent="0.25">
      <c r="A969" s="442"/>
      <c r="C969" s="49"/>
      <c r="D969" s="2177"/>
      <c r="E969" s="2177"/>
      <c r="F969" s="2176" t="str">
        <f>$E$829</f>
        <v>ASHP-SEER18-Replace_CAC_ElectricHeat_ER1_MF</v>
      </c>
      <c r="G969" s="2176"/>
      <c r="H969" s="2176"/>
      <c r="I969" s="2176"/>
      <c r="J969" s="986" t="str">
        <f>$C$829</f>
        <v>354300_2024_12_</v>
      </c>
      <c r="K969" s="1590">
        <v>18000</v>
      </c>
      <c r="L969" s="988">
        <f t="shared" si="183"/>
        <v>1.5</v>
      </c>
      <c r="M969" s="873" t="s">
        <v>1362</v>
      </c>
      <c r="T969" s="50"/>
      <c r="U969" s="50"/>
      <c r="V969" s="2177"/>
      <c r="W969" s="1326">
        <v>37200</v>
      </c>
      <c r="X969" s="1326">
        <v>37200</v>
      </c>
      <c r="Y969" s="1326">
        <v>37200</v>
      </c>
      <c r="Z969" s="1326">
        <v>37200</v>
      </c>
      <c r="AA969" s="1326">
        <v>37200</v>
      </c>
      <c r="AB969" s="790">
        <v>48000</v>
      </c>
      <c r="AC969" s="790">
        <v>18000</v>
      </c>
      <c r="AD969" s="990">
        <v>18000</v>
      </c>
      <c r="AE969" s="929">
        <v>18000</v>
      </c>
      <c r="AF969" s="258">
        <f t="shared" si="184"/>
        <v>18000</v>
      </c>
      <c r="AG969" s="1326"/>
      <c r="DG969" s="555"/>
      <c r="DH969" s="151"/>
      <c r="DI969" s="1049"/>
      <c r="DJ969" s="1127"/>
    </row>
    <row r="970" spans="1:114" ht="15" hidden="1" customHeight="1" outlineLevel="1" x14ac:dyDescent="0.25">
      <c r="A970" s="442"/>
      <c r="C970" s="49"/>
      <c r="D970" s="2177"/>
      <c r="E970" s="2177"/>
      <c r="F970" s="2176" t="str">
        <f>$E$831</f>
        <v>ASHP-SEER18-Replace_CAC_ElectricHeat_ER2_MF</v>
      </c>
      <c r="G970" s="2176"/>
      <c r="H970" s="2176"/>
      <c r="I970" s="2176"/>
      <c r="J970" s="986" t="str">
        <f>$C$831</f>
        <v>354300_2024_12_</v>
      </c>
      <c r="K970" s="1590">
        <v>18000</v>
      </c>
      <c r="L970" s="988">
        <f t="shared" si="183"/>
        <v>1.5</v>
      </c>
      <c r="M970" s="873" t="s">
        <v>1362</v>
      </c>
      <c r="T970" s="50"/>
      <c r="U970" s="50"/>
      <c r="V970" s="2177"/>
      <c r="W970" s="1326">
        <v>37200</v>
      </c>
      <c r="X970" s="1326">
        <v>37200</v>
      </c>
      <c r="Y970" s="1326">
        <v>37200</v>
      </c>
      <c r="Z970" s="1326">
        <v>37200</v>
      </c>
      <c r="AA970" s="1326">
        <v>37200</v>
      </c>
      <c r="AB970" s="790">
        <v>48000</v>
      </c>
      <c r="AC970" s="790">
        <f>AC969</f>
        <v>18000</v>
      </c>
      <c r="AD970" s="990">
        <v>18000</v>
      </c>
      <c r="AE970" s="929">
        <v>18000</v>
      </c>
      <c r="AF970" s="258">
        <f t="shared" si="184"/>
        <v>18000</v>
      </c>
      <c r="AG970" s="1326"/>
      <c r="DG970" s="555"/>
      <c r="DH970" s="151"/>
      <c r="DI970" s="1049"/>
      <c r="DJ970" s="1127"/>
    </row>
    <row r="971" spans="1:114" ht="15" hidden="1" customHeight="1" outlineLevel="1" x14ac:dyDescent="0.25">
      <c r="A971" s="442"/>
      <c r="C971" s="49"/>
      <c r="D971" s="2177"/>
      <c r="E971" s="2177"/>
      <c r="F971" s="2176" t="str">
        <f>$E$833</f>
        <v>ASHP-SEER18_ER1_MF</v>
      </c>
      <c r="G971" s="2176"/>
      <c r="H971" s="2176"/>
      <c r="I971" s="2176"/>
      <c r="J971" s="986" t="str">
        <f>$C$833</f>
        <v>354350_2024_12_</v>
      </c>
      <c r="K971" s="1589">
        <v>30000</v>
      </c>
      <c r="L971" s="988">
        <f>K971/12000</f>
        <v>2.5</v>
      </c>
      <c r="M971" s="873" t="s">
        <v>1026</v>
      </c>
      <c r="T971" s="50"/>
      <c r="U971" s="50"/>
      <c r="V971" s="2177"/>
      <c r="W971" s="1326">
        <v>39600</v>
      </c>
      <c r="X971" s="1326">
        <v>39600</v>
      </c>
      <c r="Y971" s="1326">
        <v>39600</v>
      </c>
      <c r="Z971" s="1326">
        <v>39600</v>
      </c>
      <c r="AA971" s="1326">
        <v>39600</v>
      </c>
      <c r="AB971" s="1326">
        <v>39600</v>
      </c>
      <c r="AC971" s="790">
        <v>60000</v>
      </c>
      <c r="AD971" s="928">
        <v>30000</v>
      </c>
      <c r="AE971" s="990">
        <v>30000</v>
      </c>
      <c r="AF971" s="258">
        <f t="shared" si="184"/>
        <v>30000</v>
      </c>
      <c r="AG971" s="1326"/>
      <c r="DG971" s="555"/>
      <c r="DH971" s="151"/>
      <c r="DI971" s="1049"/>
      <c r="DJ971" s="1127"/>
    </row>
    <row r="972" spans="1:114" ht="15" hidden="1" customHeight="1" outlineLevel="1" x14ac:dyDescent="0.25">
      <c r="A972" s="442"/>
      <c r="C972" s="49"/>
      <c r="D972" s="2177"/>
      <c r="E972" s="2177"/>
      <c r="F972" s="2176" t="str">
        <f>$E$835</f>
        <v>ASHP-SEER18_ER2_MF</v>
      </c>
      <c r="G972" s="2176"/>
      <c r="H972" s="2176"/>
      <c r="I972" s="2176"/>
      <c r="J972" s="986" t="str">
        <f>$C$835</f>
        <v>354350_2024_12_</v>
      </c>
      <c r="K972" s="1589">
        <v>30000</v>
      </c>
      <c r="L972" s="988">
        <f>K972/12000</f>
        <v>2.5</v>
      </c>
      <c r="M972" s="873" t="s">
        <v>1026</v>
      </c>
      <c r="T972" s="50"/>
      <c r="U972" s="50"/>
      <c r="V972" s="2177"/>
      <c r="W972" s="1326">
        <v>39600</v>
      </c>
      <c r="X972" s="1326">
        <v>39600</v>
      </c>
      <c r="Y972" s="1326">
        <v>39600</v>
      </c>
      <c r="Z972" s="1326">
        <v>39600</v>
      </c>
      <c r="AA972" s="1326">
        <v>39600</v>
      </c>
      <c r="AB972" s="1326">
        <v>39600</v>
      </c>
      <c r="AC972" s="790">
        <f>AC971</f>
        <v>60000</v>
      </c>
      <c r="AD972" s="928">
        <v>30000</v>
      </c>
      <c r="AE972" s="990">
        <v>30000</v>
      </c>
      <c r="AF972" s="258">
        <f t="shared" si="184"/>
        <v>30000</v>
      </c>
      <c r="AG972" s="1326"/>
      <c r="DG972" s="555"/>
      <c r="DH972" s="151"/>
      <c r="DI972" s="1049"/>
      <c r="DJ972" s="1127"/>
    </row>
    <row r="973" spans="1:114" ht="15" hidden="1" customHeight="1" outlineLevel="1" x14ac:dyDescent="0.25">
      <c r="A973" s="442"/>
      <c r="C973" s="49"/>
      <c r="D973" s="2177"/>
      <c r="E973" s="2177"/>
      <c r="F973" s="2176" t="str">
        <f>$E$837</f>
        <v>ASHP-SEER19-Replace_CAC_ElectricHeat_ER1_SF</v>
      </c>
      <c r="G973" s="2176"/>
      <c r="H973" s="2176"/>
      <c r="I973" s="2176"/>
      <c r="J973" s="986" t="str">
        <f>$C$837</f>
        <v>354400_2024_12_</v>
      </c>
      <c r="K973" s="1589">
        <v>45277.450979411762</v>
      </c>
      <c r="L973" s="988">
        <f t="shared" ref="L973:L998" si="185">K973/12000</f>
        <v>3.7731209149509803</v>
      </c>
      <c r="M973" s="873" t="s">
        <v>1024</v>
      </c>
      <c r="T973" s="50"/>
      <c r="U973" s="50"/>
      <c r="V973" s="2177"/>
      <c r="W973" s="1326">
        <v>37200</v>
      </c>
      <c r="X973" s="1326">
        <v>37200</v>
      </c>
      <c r="Y973" s="1326">
        <v>37200</v>
      </c>
      <c r="Z973" s="1326">
        <v>37200</v>
      </c>
      <c r="AA973" s="1326">
        <v>37200</v>
      </c>
      <c r="AB973" s="1326">
        <v>37200</v>
      </c>
      <c r="AC973" s="790">
        <v>43200</v>
      </c>
      <c r="AD973" s="928">
        <v>45277.450979411769</v>
      </c>
      <c r="AE973" s="990">
        <v>45277.450979411762</v>
      </c>
      <c r="AF973" s="258">
        <f t="shared" si="184"/>
        <v>45277.450979411762</v>
      </c>
      <c r="AG973" s="1326"/>
      <c r="DG973" s="555"/>
      <c r="DH973" s="151"/>
      <c r="DI973" s="1049"/>
      <c r="DJ973" s="1127"/>
    </row>
    <row r="974" spans="1:114" ht="15" hidden="1" customHeight="1" outlineLevel="1" x14ac:dyDescent="0.25">
      <c r="A974" s="442"/>
      <c r="C974" s="49"/>
      <c r="D974" s="2177"/>
      <c r="E974" s="2177"/>
      <c r="F974" s="2176" t="str">
        <f>$E$839</f>
        <v>ASHP-SEER19-Replace_CAC_ElectricHeat_ER2_SF</v>
      </c>
      <c r="G974" s="2176"/>
      <c r="H974" s="2176"/>
      <c r="I974" s="2176"/>
      <c r="J974" s="986" t="str">
        <f>$C$839</f>
        <v>354400_2024_12_</v>
      </c>
      <c r="K974" s="1589">
        <v>45277.450979411762</v>
      </c>
      <c r="L974" s="988">
        <f t="shared" si="185"/>
        <v>3.7731209149509803</v>
      </c>
      <c r="M974" s="873" t="s">
        <v>1024</v>
      </c>
      <c r="T974" s="50"/>
      <c r="U974" s="50"/>
      <c r="V974" s="2177"/>
      <c r="W974" s="1326">
        <v>37200</v>
      </c>
      <c r="X974" s="1326">
        <v>37200</v>
      </c>
      <c r="Y974" s="1326">
        <v>37200</v>
      </c>
      <c r="Z974" s="1326">
        <v>37200</v>
      </c>
      <c r="AA974" s="1326">
        <v>37200</v>
      </c>
      <c r="AB974" s="1326">
        <v>37200</v>
      </c>
      <c r="AC974" s="790">
        <f>AC973</f>
        <v>43200</v>
      </c>
      <c r="AD974" s="928">
        <v>45277.450979411769</v>
      </c>
      <c r="AE974" s="990">
        <v>45277.450979411762</v>
      </c>
      <c r="AF974" s="258">
        <f t="shared" si="184"/>
        <v>45277.450979411762</v>
      </c>
      <c r="AG974" s="1326"/>
      <c r="DG974" s="555"/>
      <c r="DH974" s="151"/>
      <c r="DI974" s="1049"/>
      <c r="DJ974" s="1127"/>
    </row>
    <row r="975" spans="1:114" ht="15" hidden="1" customHeight="1" outlineLevel="1" x14ac:dyDescent="0.25">
      <c r="A975" s="442"/>
      <c r="C975" s="49"/>
      <c r="D975" s="2177"/>
      <c r="E975" s="2177"/>
      <c r="F975" s="2176" t="str">
        <f>$E$841</f>
        <v>ASHP-SEER19-Replace_CAC_NonElectricHeat_ER1_SF</v>
      </c>
      <c r="G975" s="2176"/>
      <c r="H975" s="2176"/>
      <c r="I975" s="2176"/>
      <c r="J975" s="986" t="str">
        <f>$C$841</f>
        <v>354410_2024_12_</v>
      </c>
      <c r="K975" s="1589">
        <v>43200</v>
      </c>
      <c r="L975" s="988">
        <f t="shared" si="185"/>
        <v>3.6</v>
      </c>
      <c r="M975" s="873" t="s">
        <v>1024</v>
      </c>
      <c r="T975" s="50"/>
      <c r="U975" s="50"/>
      <c r="V975" s="2177"/>
      <c r="W975" s="1326"/>
      <c r="X975" s="1326"/>
      <c r="Y975" s="1326"/>
      <c r="Z975" s="1326"/>
      <c r="AA975" s="1326"/>
      <c r="AB975" s="1326"/>
      <c r="AC975" s="790">
        <v>43200</v>
      </c>
      <c r="AD975" s="990">
        <v>43200</v>
      </c>
      <c r="AE975" s="990">
        <v>43200</v>
      </c>
      <c r="AF975" s="258">
        <f t="shared" si="184"/>
        <v>43200</v>
      </c>
      <c r="AG975" s="1326"/>
      <c r="DG975" s="555"/>
      <c r="DH975" s="151"/>
      <c r="DI975" s="1049"/>
      <c r="DJ975" s="1127"/>
    </row>
    <row r="976" spans="1:114" ht="15" hidden="1" customHeight="1" outlineLevel="1" x14ac:dyDescent="0.25">
      <c r="A976" s="442"/>
      <c r="C976" s="49"/>
      <c r="D976" s="2177"/>
      <c r="E976" s="2177"/>
      <c r="F976" s="2176" t="str">
        <f>$E$843</f>
        <v>ASHP-SEER19-Replace_CAC_NonElectricHeat_ER2_SF</v>
      </c>
      <c r="G976" s="2176"/>
      <c r="H976" s="2176"/>
      <c r="I976" s="2176"/>
      <c r="J976" s="986" t="str">
        <f>$C$843</f>
        <v>354410_2024_12_</v>
      </c>
      <c r="K976" s="1589">
        <v>43200</v>
      </c>
      <c r="L976" s="988">
        <f t="shared" si="185"/>
        <v>3.6</v>
      </c>
      <c r="M976" s="873" t="s">
        <v>1024</v>
      </c>
      <c r="T976" s="50"/>
      <c r="U976" s="50"/>
      <c r="V976" s="2177"/>
      <c r="W976" s="1326"/>
      <c r="X976" s="1326"/>
      <c r="Y976" s="1326"/>
      <c r="Z976" s="1326"/>
      <c r="AA976" s="1326"/>
      <c r="AB976" s="1326"/>
      <c r="AC976" s="790">
        <f>AC975</f>
        <v>43200</v>
      </c>
      <c r="AD976" s="990">
        <v>43200</v>
      </c>
      <c r="AE976" s="990">
        <v>43200</v>
      </c>
      <c r="AF976" s="258">
        <f t="shared" si="184"/>
        <v>43200</v>
      </c>
      <c r="AG976" s="1326"/>
      <c r="DG976" s="555"/>
      <c r="DH976" s="151"/>
      <c r="DI976" s="1049"/>
      <c r="DJ976" s="1127"/>
    </row>
    <row r="977" spans="1:114" ht="15" hidden="1" customHeight="1" outlineLevel="1" x14ac:dyDescent="0.25">
      <c r="A977" s="442"/>
      <c r="C977" s="49"/>
      <c r="D977" s="2177"/>
      <c r="E977" s="2177"/>
      <c r="F977" s="2176" t="str">
        <f>$E$845</f>
        <v>ASHP-SEER19-Replace_CAC_ElectricHeat_ER1_MF</v>
      </c>
      <c r="G977" s="2176"/>
      <c r="H977" s="2176"/>
      <c r="I977" s="2176"/>
      <c r="J977" s="986" t="str">
        <f>$C$845</f>
        <v>354450_2024_12_</v>
      </c>
      <c r="K977" s="1590">
        <v>37200</v>
      </c>
      <c r="L977" s="988">
        <f t="shared" si="185"/>
        <v>3.1</v>
      </c>
      <c r="M977" s="873" t="s">
        <v>1112</v>
      </c>
      <c r="T977" s="50"/>
      <c r="U977" s="50"/>
      <c r="V977" s="2177"/>
      <c r="W977" s="1326">
        <v>37200</v>
      </c>
      <c r="X977" s="1326">
        <v>37200</v>
      </c>
      <c r="Y977" s="1326">
        <v>37200</v>
      </c>
      <c r="Z977" s="1326">
        <v>37200</v>
      </c>
      <c r="AA977" s="1326">
        <v>37200</v>
      </c>
      <c r="AB977" s="1326">
        <v>37200</v>
      </c>
      <c r="AC977" s="766">
        <v>37200</v>
      </c>
      <c r="AD977" s="990">
        <v>37200</v>
      </c>
      <c r="AE977" s="929">
        <v>37200</v>
      </c>
      <c r="AF977" s="258">
        <f t="shared" si="184"/>
        <v>37200</v>
      </c>
      <c r="AG977" s="1326"/>
      <c r="DG977" s="555"/>
      <c r="DH977" s="151"/>
      <c r="DI977" s="1049"/>
      <c r="DJ977" s="1127"/>
    </row>
    <row r="978" spans="1:114" ht="15" hidden="1" customHeight="1" outlineLevel="1" x14ac:dyDescent="0.25">
      <c r="A978" s="442"/>
      <c r="C978" s="49"/>
      <c r="D978" s="2177"/>
      <c r="E978" s="2177"/>
      <c r="F978" s="2176" t="str">
        <f>$E$847</f>
        <v>ASHP-SEER19-Replace_CAC_ElectricHeat_ER2_MF</v>
      </c>
      <c r="G978" s="2176"/>
      <c r="H978" s="2176"/>
      <c r="I978" s="2176"/>
      <c r="J978" s="986" t="str">
        <f>$C$847</f>
        <v>354450_2024_12_</v>
      </c>
      <c r="K978" s="1590">
        <v>37200</v>
      </c>
      <c r="L978" s="988">
        <f t="shared" si="185"/>
        <v>3.1</v>
      </c>
      <c r="M978" s="873" t="s">
        <v>1112</v>
      </c>
      <c r="T978" s="50"/>
      <c r="U978" s="50"/>
      <c r="V978" s="2177"/>
      <c r="W978" s="1326">
        <v>37200</v>
      </c>
      <c r="X978" s="1326">
        <v>37200</v>
      </c>
      <c r="Y978" s="1326">
        <v>37200</v>
      </c>
      <c r="Z978" s="1326">
        <v>37200</v>
      </c>
      <c r="AA978" s="1326">
        <v>37200</v>
      </c>
      <c r="AB978" s="1326">
        <v>37200</v>
      </c>
      <c r="AC978" s="766">
        <v>37200</v>
      </c>
      <c r="AD978" s="990">
        <v>37200</v>
      </c>
      <c r="AE978" s="929">
        <v>37200</v>
      </c>
      <c r="AF978" s="258">
        <f t="shared" si="184"/>
        <v>37200</v>
      </c>
      <c r="AG978" s="1326"/>
      <c r="DG978" s="555"/>
      <c r="DH978" s="151"/>
      <c r="DI978" s="1049"/>
      <c r="DJ978" s="1127"/>
    </row>
    <row r="979" spans="1:114" ht="15" hidden="1" customHeight="1" outlineLevel="1" x14ac:dyDescent="0.25">
      <c r="A979" s="442"/>
      <c r="C979" s="49"/>
      <c r="D979" s="2177"/>
      <c r="E979" s="2177"/>
      <c r="F979" s="2176" t="str">
        <f>$E$849</f>
        <v>ASHP-SEER19_ER1_MF</v>
      </c>
      <c r="G979" s="2176"/>
      <c r="H979" s="2176"/>
      <c r="I979" s="2176"/>
      <c r="J979" s="986" t="str">
        <f>$C$849</f>
        <v>354500_2024_12_</v>
      </c>
      <c r="K979" s="1590">
        <v>39600</v>
      </c>
      <c r="L979" s="988">
        <f t="shared" si="185"/>
        <v>3.3</v>
      </c>
      <c r="M979" s="873" t="s">
        <v>1112</v>
      </c>
      <c r="T979" s="50"/>
      <c r="U979" s="50"/>
      <c r="V979" s="2177"/>
      <c r="W979" s="1326">
        <v>39600</v>
      </c>
      <c r="X979" s="1326">
        <v>39600</v>
      </c>
      <c r="Y979" s="1326">
        <v>39600</v>
      </c>
      <c r="Z979" s="1326">
        <v>39600</v>
      </c>
      <c r="AA979" s="1326">
        <v>39600</v>
      </c>
      <c r="AB979" s="1326">
        <v>39600</v>
      </c>
      <c r="AC979" s="766">
        <v>39600</v>
      </c>
      <c r="AD979" s="990">
        <v>39600</v>
      </c>
      <c r="AE979" s="929">
        <v>39600</v>
      </c>
      <c r="AF979" s="258">
        <f t="shared" si="184"/>
        <v>39600</v>
      </c>
      <c r="AG979" s="1326"/>
      <c r="DG979" s="555"/>
      <c r="DH979" s="151"/>
      <c r="DI979" s="1049"/>
      <c r="DJ979" s="1127"/>
    </row>
    <row r="980" spans="1:114" ht="15" hidden="1" customHeight="1" outlineLevel="1" x14ac:dyDescent="0.25">
      <c r="A980" s="442"/>
      <c r="C980" s="49"/>
      <c r="D980" s="2177"/>
      <c r="E980" s="2177"/>
      <c r="F980" s="2176" t="str">
        <f>$E$851</f>
        <v>ASHP-SEER19_ER2_MF</v>
      </c>
      <c r="G980" s="2176"/>
      <c r="H980" s="2176"/>
      <c r="I980" s="2176"/>
      <c r="J980" s="986" t="str">
        <f>$C$851</f>
        <v>354500_2024_12_</v>
      </c>
      <c r="K980" s="1590">
        <v>39600</v>
      </c>
      <c r="L980" s="988">
        <f t="shared" si="185"/>
        <v>3.3</v>
      </c>
      <c r="M980" s="873" t="s">
        <v>1112</v>
      </c>
      <c r="T980" s="50"/>
      <c r="U980" s="50"/>
      <c r="V980" s="2177"/>
      <c r="W980" s="1326">
        <v>39600</v>
      </c>
      <c r="X980" s="1326">
        <v>39600</v>
      </c>
      <c r="Y980" s="1326">
        <v>39600</v>
      </c>
      <c r="Z980" s="1326">
        <v>39600</v>
      </c>
      <c r="AA980" s="1326">
        <v>39600</v>
      </c>
      <c r="AB980" s="1326">
        <v>39600</v>
      </c>
      <c r="AC980" s="766">
        <v>39600</v>
      </c>
      <c r="AD980" s="990">
        <v>39600</v>
      </c>
      <c r="AE980" s="929">
        <v>39600</v>
      </c>
      <c r="AF980" s="258">
        <f t="shared" si="184"/>
        <v>39600</v>
      </c>
      <c r="AG980" s="1326"/>
      <c r="DG980" s="555"/>
      <c r="DH980" s="151"/>
      <c r="DI980" s="1049"/>
      <c r="DJ980" s="1127"/>
    </row>
    <row r="981" spans="1:114" ht="15" hidden="1" customHeight="1" outlineLevel="1" x14ac:dyDescent="0.25">
      <c r="A981" s="442"/>
      <c r="C981" s="49"/>
      <c r="D981" s="2177"/>
      <c r="E981" s="2177"/>
      <c r="F981" s="2176" t="str">
        <f>$E$853</f>
        <v>ASHP-SEER20_ER1_SF</v>
      </c>
      <c r="G981" s="2176"/>
      <c r="H981" s="2176"/>
      <c r="I981" s="2176"/>
      <c r="J981" s="986" t="str">
        <f>$C$853</f>
        <v>354550_2024_12_</v>
      </c>
      <c r="K981" s="1589">
        <v>31000.387811634351</v>
      </c>
      <c r="L981" s="988">
        <f t="shared" si="185"/>
        <v>2.5833656509695291</v>
      </c>
      <c r="M981" s="873" t="s">
        <v>1024</v>
      </c>
      <c r="T981" s="50"/>
      <c r="U981" s="50"/>
      <c r="V981" s="2177"/>
      <c r="W981" s="1326">
        <v>39600</v>
      </c>
      <c r="X981" s="1326">
        <v>39600</v>
      </c>
      <c r="Y981" s="1326">
        <v>39600</v>
      </c>
      <c r="Z981" s="1326">
        <v>39600</v>
      </c>
      <c r="AA981" s="1326">
        <v>39600</v>
      </c>
      <c r="AB981" s="1326">
        <v>39600</v>
      </c>
      <c r="AC981" s="790">
        <v>60000</v>
      </c>
      <c r="AD981" s="928">
        <v>33382.234755555553</v>
      </c>
      <c r="AE981" s="928">
        <v>31000.387811634351</v>
      </c>
      <c r="AF981" s="258">
        <f t="shared" si="184"/>
        <v>31000.387811634351</v>
      </c>
      <c r="AG981" s="1326"/>
      <c r="DG981" s="555"/>
      <c r="DH981" s="151"/>
      <c r="DI981" s="1049"/>
      <c r="DJ981" s="1127"/>
    </row>
    <row r="982" spans="1:114" ht="15" hidden="1" customHeight="1" outlineLevel="1" x14ac:dyDescent="0.25">
      <c r="A982" s="442"/>
      <c r="C982" s="49"/>
      <c r="D982" s="2177"/>
      <c r="E982" s="2177"/>
      <c r="F982" s="2176" t="str">
        <f>$E$855</f>
        <v>ASHP-SEER20_ER2_SF</v>
      </c>
      <c r="G982" s="2176"/>
      <c r="H982" s="2176"/>
      <c r="I982" s="2176"/>
      <c r="J982" s="986" t="str">
        <f>$C$855</f>
        <v>354550_2024_12_</v>
      </c>
      <c r="K982" s="1589">
        <v>31000.387811634351</v>
      </c>
      <c r="L982" s="988">
        <f t="shared" si="185"/>
        <v>2.5833656509695291</v>
      </c>
      <c r="M982" s="873" t="s">
        <v>1024</v>
      </c>
      <c r="T982" s="50"/>
      <c r="U982" s="50"/>
      <c r="V982" s="2177"/>
      <c r="W982" s="1326">
        <v>39600</v>
      </c>
      <c r="X982" s="1326">
        <v>39600</v>
      </c>
      <c r="Y982" s="1326">
        <v>39600</v>
      </c>
      <c r="Z982" s="1326">
        <v>39600</v>
      </c>
      <c r="AA982" s="1326">
        <v>39600</v>
      </c>
      <c r="AB982" s="1326">
        <v>39600</v>
      </c>
      <c r="AC982" s="790">
        <f>AC981</f>
        <v>60000</v>
      </c>
      <c r="AD982" s="928">
        <v>33382.234755555553</v>
      </c>
      <c r="AE982" s="928">
        <v>31000.387811634351</v>
      </c>
      <c r="AF982" s="258">
        <f t="shared" si="184"/>
        <v>31000.387811634351</v>
      </c>
      <c r="AG982" s="1326"/>
      <c r="DG982" s="555"/>
      <c r="DH982" s="151"/>
      <c r="DI982" s="1049"/>
      <c r="DJ982" s="1127"/>
    </row>
    <row r="983" spans="1:114" ht="15" hidden="1" customHeight="1" outlineLevel="1" x14ac:dyDescent="0.25">
      <c r="A983" s="442"/>
      <c r="C983" s="49"/>
      <c r="D983" s="2177"/>
      <c r="E983" s="2177"/>
      <c r="F983" s="2176" t="str">
        <f>$E$857</f>
        <v>ASHP-SEER20_ROF_SF</v>
      </c>
      <c r="G983" s="2176"/>
      <c r="H983" s="2176"/>
      <c r="I983" s="2176"/>
      <c r="J983" s="986" t="str">
        <f>$C$857</f>
        <v>354600_2024_12_</v>
      </c>
      <c r="K983" s="1589">
        <v>34645</v>
      </c>
      <c r="L983" s="988">
        <f t="shared" si="185"/>
        <v>2.8870833333333334</v>
      </c>
      <c r="M983" s="873" t="s">
        <v>1026</v>
      </c>
      <c r="T983" s="50"/>
      <c r="U983" s="50"/>
      <c r="V983" s="2177"/>
      <c r="W983" s="1326">
        <v>39600</v>
      </c>
      <c r="X983" s="1326">
        <v>39600</v>
      </c>
      <c r="Y983" s="1326">
        <v>39600</v>
      </c>
      <c r="Z983" s="1326">
        <v>39600</v>
      </c>
      <c r="AA983" s="1326">
        <v>39600</v>
      </c>
      <c r="AB983" s="1326">
        <v>39600</v>
      </c>
      <c r="AC983" s="790">
        <v>36000</v>
      </c>
      <c r="AD983" s="928">
        <v>34645</v>
      </c>
      <c r="AE983" s="990">
        <v>34645</v>
      </c>
      <c r="AF983" s="258">
        <f t="shared" si="184"/>
        <v>34645</v>
      </c>
      <c r="AG983" s="1326"/>
      <c r="DG983" s="555"/>
      <c r="DH983" s="151"/>
      <c r="DI983" s="1049"/>
      <c r="DJ983" s="1127"/>
    </row>
    <row r="984" spans="1:114" ht="15" hidden="1" customHeight="1" outlineLevel="1" x14ac:dyDescent="0.25">
      <c r="A984" s="442"/>
      <c r="C984" s="49"/>
      <c r="D984" s="2177"/>
      <c r="E984" s="2177"/>
      <c r="F984" s="2176" t="str">
        <f>$E$859</f>
        <v>ASHP-SEER20-Replace_CAC_ElectricHeat_ER1_MF</v>
      </c>
      <c r="G984" s="2176"/>
      <c r="H984" s="2176"/>
      <c r="I984" s="2176"/>
      <c r="J984" s="986" t="str">
        <f>$C$859</f>
        <v>354650_2024_12_</v>
      </c>
      <c r="K984" s="1590">
        <v>37200</v>
      </c>
      <c r="L984" s="988">
        <f t="shared" si="185"/>
        <v>3.1</v>
      </c>
      <c r="M984" s="873" t="s">
        <v>1112</v>
      </c>
      <c r="T984" s="50"/>
      <c r="U984" s="50"/>
      <c r="V984" s="2177"/>
      <c r="W984" s="1326">
        <v>37200</v>
      </c>
      <c r="X984" s="1326">
        <v>37200</v>
      </c>
      <c r="Y984" s="1326">
        <v>37200</v>
      </c>
      <c r="Z984" s="1326">
        <v>37200</v>
      </c>
      <c r="AA984" s="1326">
        <v>37200</v>
      </c>
      <c r="AB984" s="1326">
        <v>37200</v>
      </c>
      <c r="AC984" s="766">
        <v>37200</v>
      </c>
      <c r="AD984" s="990">
        <v>37200</v>
      </c>
      <c r="AE984" s="929">
        <v>37200</v>
      </c>
      <c r="AF984" s="258">
        <f t="shared" si="184"/>
        <v>37200</v>
      </c>
      <c r="AG984" s="1326"/>
      <c r="DG984" s="555"/>
      <c r="DH984" s="151"/>
      <c r="DI984" s="1049"/>
      <c r="DJ984" s="1127"/>
    </row>
    <row r="985" spans="1:114" ht="15" hidden="1" customHeight="1" outlineLevel="1" x14ac:dyDescent="0.25">
      <c r="A985" s="442"/>
      <c r="C985" s="49"/>
      <c r="D985" s="2177"/>
      <c r="E985" s="2177"/>
      <c r="F985" s="2176" t="str">
        <f>$E$861</f>
        <v>ASHP-SEER20-Replace_CAC_ElectricHeat_ER2_MF</v>
      </c>
      <c r="G985" s="2176"/>
      <c r="H985" s="2176"/>
      <c r="I985" s="2176"/>
      <c r="J985" s="986" t="str">
        <f>$C$861</f>
        <v>354650_2024_12_</v>
      </c>
      <c r="K985" s="1590">
        <v>37200</v>
      </c>
      <c r="L985" s="988">
        <f t="shared" si="185"/>
        <v>3.1</v>
      </c>
      <c r="M985" s="873" t="s">
        <v>1112</v>
      </c>
      <c r="T985" s="50"/>
      <c r="U985" s="50"/>
      <c r="V985" s="2177"/>
      <c r="W985" s="1326">
        <v>37200</v>
      </c>
      <c r="X985" s="1326">
        <v>37200</v>
      </c>
      <c r="Y985" s="1326">
        <v>37200</v>
      </c>
      <c r="Z985" s="1326">
        <v>37200</v>
      </c>
      <c r="AA985" s="1326">
        <v>37200</v>
      </c>
      <c r="AB985" s="1326">
        <v>37200</v>
      </c>
      <c r="AC985" s="766">
        <v>37200</v>
      </c>
      <c r="AD985" s="990">
        <v>37200</v>
      </c>
      <c r="AE985" s="929">
        <v>37200</v>
      </c>
      <c r="AF985" s="258">
        <f t="shared" si="184"/>
        <v>37200</v>
      </c>
      <c r="AG985" s="1326"/>
      <c r="DG985" s="555"/>
      <c r="DH985" s="151"/>
      <c r="DI985" s="1049"/>
      <c r="DJ985" s="1127"/>
    </row>
    <row r="986" spans="1:114" ht="15" hidden="1" customHeight="1" outlineLevel="1" x14ac:dyDescent="0.25">
      <c r="A986" s="442"/>
      <c r="C986" s="49"/>
      <c r="D986" s="2177"/>
      <c r="E986" s="2177"/>
      <c r="F986" s="2176" t="str">
        <f>$E$863</f>
        <v>ASHP-SEER20_ER1_MF</v>
      </c>
      <c r="G986" s="2176"/>
      <c r="H986" s="2176"/>
      <c r="I986" s="2176"/>
      <c r="J986" s="986" t="str">
        <f>$C$863</f>
        <v>354700_2024_12_</v>
      </c>
      <c r="K986" s="1590">
        <v>39600</v>
      </c>
      <c r="L986" s="988">
        <f t="shared" si="185"/>
        <v>3.3</v>
      </c>
      <c r="M986" s="873" t="s">
        <v>1112</v>
      </c>
      <c r="T986" s="50"/>
      <c r="U986" s="50"/>
      <c r="V986" s="2177"/>
      <c r="W986" s="1326">
        <v>39600</v>
      </c>
      <c r="X986" s="1326">
        <v>39600</v>
      </c>
      <c r="Y986" s="1326">
        <v>39600</v>
      </c>
      <c r="Z986" s="1326">
        <v>39600</v>
      </c>
      <c r="AA986" s="1326">
        <v>39600</v>
      </c>
      <c r="AB986" s="1326">
        <v>39600</v>
      </c>
      <c r="AC986" s="766">
        <v>39600</v>
      </c>
      <c r="AD986" s="990">
        <v>39600</v>
      </c>
      <c r="AE986" s="929">
        <v>39600</v>
      </c>
      <c r="AF986" s="258">
        <f t="shared" si="184"/>
        <v>39600</v>
      </c>
      <c r="AG986" s="1326"/>
      <c r="DG986" s="555"/>
      <c r="DH986" s="151"/>
      <c r="DI986" s="1049"/>
      <c r="DJ986" s="1127"/>
    </row>
    <row r="987" spans="1:114" ht="15" hidden="1" customHeight="1" outlineLevel="1" x14ac:dyDescent="0.25">
      <c r="A987" s="442"/>
      <c r="C987" s="49"/>
      <c r="D987" s="2177"/>
      <c r="E987" s="2177"/>
      <c r="F987" s="2176" t="str">
        <f>$E$865</f>
        <v>ASHP-SEER20_ER2_MF</v>
      </c>
      <c r="G987" s="2176"/>
      <c r="H987" s="2176"/>
      <c r="I987" s="2176"/>
      <c r="J987" s="986" t="str">
        <f>$C$865</f>
        <v>354700_2024_12_</v>
      </c>
      <c r="K987" s="1590">
        <v>39600</v>
      </c>
      <c r="L987" s="988">
        <f t="shared" si="185"/>
        <v>3.3</v>
      </c>
      <c r="M987" s="873" t="s">
        <v>1112</v>
      </c>
      <c r="T987" s="50"/>
      <c r="U987" s="50"/>
      <c r="V987" s="2177"/>
      <c r="W987" s="1326">
        <v>39600</v>
      </c>
      <c r="X987" s="1326">
        <v>39600</v>
      </c>
      <c r="Y987" s="1326">
        <v>39600</v>
      </c>
      <c r="Z987" s="1326">
        <v>39600</v>
      </c>
      <c r="AA987" s="1326">
        <v>39600</v>
      </c>
      <c r="AB987" s="1326">
        <v>39600</v>
      </c>
      <c r="AC987" s="766">
        <v>39600</v>
      </c>
      <c r="AD987" s="990">
        <v>39600</v>
      </c>
      <c r="AE987" s="929">
        <v>39600</v>
      </c>
      <c r="AF987" s="258">
        <f t="shared" si="184"/>
        <v>39600</v>
      </c>
      <c r="AG987" s="1326"/>
      <c r="DG987" s="555"/>
      <c r="DH987" s="151"/>
      <c r="DI987" s="1049"/>
      <c r="DJ987" s="1127"/>
    </row>
    <row r="988" spans="1:114" ht="15" hidden="1" customHeight="1" outlineLevel="1" x14ac:dyDescent="0.25">
      <c r="A988" s="442"/>
      <c r="C988" s="49"/>
      <c r="D988" s="2177"/>
      <c r="E988" s="2177"/>
      <c r="F988" s="2176" t="str">
        <f>$E$867</f>
        <v>ASHP-SEER21_ER1_SF</v>
      </c>
      <c r="G988" s="2176"/>
      <c r="H988" s="2176"/>
      <c r="I988" s="2176"/>
      <c r="J988" s="986" t="str">
        <f>$C$867</f>
        <v>354750_2024_12_</v>
      </c>
      <c r="K988" s="1589">
        <v>40128.673782518214</v>
      </c>
      <c r="L988" s="988">
        <f t="shared" si="185"/>
        <v>3.3440561485431846</v>
      </c>
      <c r="M988" s="873" t="s">
        <v>1024</v>
      </c>
      <c r="T988" s="50"/>
      <c r="U988" s="50"/>
      <c r="V988" s="2177"/>
      <c r="W988" s="1326">
        <v>39600</v>
      </c>
      <c r="X988" s="1326">
        <v>39600</v>
      </c>
      <c r="Y988" s="1326">
        <v>39600</v>
      </c>
      <c r="Z988" s="1326">
        <v>39600</v>
      </c>
      <c r="AA988" s="1326">
        <v>39600</v>
      </c>
      <c r="AB988" s="1326">
        <v>39600</v>
      </c>
      <c r="AC988" s="790">
        <v>40615.384615384617</v>
      </c>
      <c r="AD988" s="928">
        <v>40225.166612626257</v>
      </c>
      <c r="AE988" s="928">
        <v>40128.673782518214</v>
      </c>
      <c r="AF988" s="258">
        <f t="shared" si="184"/>
        <v>40128.673782518214</v>
      </c>
      <c r="AG988" s="1326"/>
      <c r="DG988" s="555"/>
      <c r="DH988" s="151"/>
      <c r="DI988" s="1049"/>
      <c r="DJ988" s="1127"/>
    </row>
    <row r="989" spans="1:114" ht="15" hidden="1" customHeight="1" outlineLevel="1" x14ac:dyDescent="0.25">
      <c r="A989" s="442"/>
      <c r="C989" s="49"/>
      <c r="D989" s="2177"/>
      <c r="E989" s="2177"/>
      <c r="F989" s="2176" t="str">
        <f>$E$869</f>
        <v>ASHP-SEER21_ER2_SF</v>
      </c>
      <c r="G989" s="2176"/>
      <c r="H989" s="2176"/>
      <c r="I989" s="2176"/>
      <c r="J989" s="986" t="str">
        <f>$C$869</f>
        <v>354750_2024_12_</v>
      </c>
      <c r="K989" s="1589">
        <v>40128.673782518214</v>
      </c>
      <c r="L989" s="988">
        <f t="shared" si="185"/>
        <v>3.3440561485431846</v>
      </c>
      <c r="M989" s="873" t="s">
        <v>1024</v>
      </c>
      <c r="T989" s="50"/>
      <c r="U989" s="50"/>
      <c r="V989" s="2177"/>
      <c r="W989" s="1326">
        <v>39600</v>
      </c>
      <c r="X989" s="1326">
        <v>39600</v>
      </c>
      <c r="Y989" s="1326">
        <v>39600</v>
      </c>
      <c r="Z989" s="1326">
        <v>39600</v>
      </c>
      <c r="AA989" s="1326">
        <v>39600</v>
      </c>
      <c r="AB989" s="1326">
        <v>39600</v>
      </c>
      <c r="AC989" s="790">
        <f>AC988</f>
        <v>40615.384615384617</v>
      </c>
      <c r="AD989" s="928">
        <v>40225.166612626257</v>
      </c>
      <c r="AE989" s="928">
        <v>40128.673782518214</v>
      </c>
      <c r="AF989" s="258">
        <f t="shared" si="184"/>
        <v>40128.673782518214</v>
      </c>
      <c r="AG989" s="1326"/>
      <c r="DG989" s="555"/>
      <c r="DH989" s="151"/>
      <c r="DI989" s="1049"/>
      <c r="DJ989" s="1127"/>
    </row>
    <row r="990" spans="1:114" ht="15" hidden="1" customHeight="1" outlineLevel="1" x14ac:dyDescent="0.25">
      <c r="A990" s="442"/>
      <c r="C990" s="49"/>
      <c r="D990" s="2177"/>
      <c r="E990" s="2177"/>
      <c r="F990" s="2176" t="str">
        <f>$E$871</f>
        <v>ASHP-SEER21_ROF_SF</v>
      </c>
      <c r="G990" s="2176"/>
      <c r="H990" s="2176"/>
      <c r="I990" s="2176"/>
      <c r="J990" s="986" t="str">
        <f>$C$871</f>
        <v>354800_2024_12_</v>
      </c>
      <c r="K990" s="1589">
        <v>41639.393940624999</v>
      </c>
      <c r="L990" s="988">
        <f t="shared" si="185"/>
        <v>3.4699494950520831</v>
      </c>
      <c r="M990" s="873" t="s">
        <v>1026</v>
      </c>
      <c r="T990" s="50"/>
      <c r="U990" s="50"/>
      <c r="V990" s="2177"/>
      <c r="W990" s="1326">
        <v>39600</v>
      </c>
      <c r="X990" s="1326">
        <v>39600</v>
      </c>
      <c r="Y990" s="1326">
        <v>39600</v>
      </c>
      <c r="Z990" s="1326">
        <v>39600</v>
      </c>
      <c r="AA990" s="1326">
        <v>39600</v>
      </c>
      <c r="AB990" s="1326">
        <v>39600</v>
      </c>
      <c r="AC990" s="790">
        <v>46500</v>
      </c>
      <c r="AD990" s="928">
        <v>41639.393940624999</v>
      </c>
      <c r="AE990" s="990">
        <v>41639.393940624999</v>
      </c>
      <c r="AF990" s="258">
        <f t="shared" si="184"/>
        <v>41639.393940624999</v>
      </c>
      <c r="AG990" s="1326"/>
      <c r="DG990" s="555"/>
      <c r="DH990" s="151"/>
      <c r="DI990" s="1049"/>
      <c r="DJ990" s="1127"/>
    </row>
    <row r="991" spans="1:114" ht="15" hidden="1" customHeight="1" outlineLevel="1" x14ac:dyDescent="0.25">
      <c r="A991" s="442"/>
      <c r="C991" s="49"/>
      <c r="D991" s="2177"/>
      <c r="E991" s="2177"/>
      <c r="F991" s="2176" t="str">
        <f>$E$873</f>
        <v>ASHP-SEER21-Replace_CAC_ElectricHeat_ROF_MF</v>
      </c>
      <c r="G991" s="2176"/>
      <c r="H991" s="2176"/>
      <c r="I991" s="2176"/>
      <c r="J991" s="986" t="str">
        <f>$C$873</f>
        <v>354850_2024_12_</v>
      </c>
      <c r="K991" s="1590">
        <v>33600</v>
      </c>
      <c r="L991" s="988">
        <f t="shared" si="185"/>
        <v>2.8</v>
      </c>
      <c r="M991" s="873" t="s">
        <v>1112</v>
      </c>
      <c r="T991" s="50"/>
      <c r="U991" s="50"/>
      <c r="V991" s="2177"/>
      <c r="W991" s="1326">
        <v>33600</v>
      </c>
      <c r="X991" s="1326">
        <v>33600</v>
      </c>
      <c r="Y991" s="1326">
        <v>33600</v>
      </c>
      <c r="Z991" s="1326">
        <v>33600</v>
      </c>
      <c r="AA991" s="1326">
        <v>33600</v>
      </c>
      <c r="AB991" s="1326">
        <v>33600</v>
      </c>
      <c r="AC991" s="766">
        <v>33600</v>
      </c>
      <c r="AD991" s="990">
        <v>33600</v>
      </c>
      <c r="AE991" s="929">
        <v>33600</v>
      </c>
      <c r="AF991" s="258">
        <f t="shared" si="184"/>
        <v>33600</v>
      </c>
      <c r="AG991" s="1326"/>
      <c r="DG991" s="555"/>
      <c r="DH991" s="151"/>
      <c r="DI991" s="1049"/>
      <c r="DJ991" s="1127"/>
    </row>
    <row r="992" spans="1:114" ht="15" hidden="1" customHeight="1" outlineLevel="1" x14ac:dyDescent="0.25">
      <c r="A992" s="442"/>
      <c r="C992" s="49"/>
      <c r="D992" s="2177"/>
      <c r="E992" s="2177"/>
      <c r="F992" s="2176" t="str">
        <f>$E$875</f>
        <v>ASHP-SEER21_ER1_MF</v>
      </c>
      <c r="G992" s="2176"/>
      <c r="H992" s="2176"/>
      <c r="I992" s="2176"/>
      <c r="J992" s="986" t="str">
        <f>$C$875</f>
        <v>354900_2024_12_</v>
      </c>
      <c r="K992" s="1590">
        <v>39600</v>
      </c>
      <c r="L992" s="988">
        <f t="shared" si="185"/>
        <v>3.3</v>
      </c>
      <c r="M992" s="873" t="s">
        <v>1112</v>
      </c>
      <c r="T992" s="50"/>
      <c r="U992" s="50"/>
      <c r="V992" s="2177"/>
      <c r="W992" s="1326">
        <v>39600</v>
      </c>
      <c r="X992" s="1326">
        <v>39600</v>
      </c>
      <c r="Y992" s="1326">
        <v>39600</v>
      </c>
      <c r="Z992" s="1326">
        <v>39600</v>
      </c>
      <c r="AA992" s="1326">
        <v>39600</v>
      </c>
      <c r="AB992" s="1326">
        <v>39600</v>
      </c>
      <c r="AC992" s="766">
        <v>39600</v>
      </c>
      <c r="AD992" s="990">
        <v>39600</v>
      </c>
      <c r="AE992" s="929">
        <v>39600</v>
      </c>
      <c r="AF992" s="258">
        <f t="shared" si="184"/>
        <v>39600</v>
      </c>
      <c r="AG992" s="1326"/>
      <c r="DG992" s="555"/>
      <c r="DH992" s="151"/>
      <c r="DI992" s="1049"/>
      <c r="DJ992" s="1127"/>
    </row>
    <row r="993" spans="1:114" ht="15" hidden="1" customHeight="1" outlineLevel="1" x14ac:dyDescent="0.25">
      <c r="A993" s="442"/>
      <c r="C993" s="49"/>
      <c r="D993" s="2177"/>
      <c r="E993" s="2177"/>
      <c r="F993" s="2176" t="str">
        <f>$E$877</f>
        <v>ASHP-SEER21_ER2_MF</v>
      </c>
      <c r="G993" s="2176"/>
      <c r="H993" s="2176"/>
      <c r="I993" s="2176"/>
      <c r="J993" s="986" t="str">
        <f>$C$877</f>
        <v>354900_2024_12_</v>
      </c>
      <c r="K993" s="1590">
        <v>39600</v>
      </c>
      <c r="L993" s="988">
        <f t="shared" si="185"/>
        <v>3.3</v>
      </c>
      <c r="M993" s="873" t="s">
        <v>1112</v>
      </c>
      <c r="T993" s="50"/>
      <c r="U993" s="50"/>
      <c r="V993" s="2177"/>
      <c r="W993" s="1326">
        <v>39600</v>
      </c>
      <c r="X993" s="1326">
        <v>39600</v>
      </c>
      <c r="Y993" s="1326">
        <v>39600</v>
      </c>
      <c r="Z993" s="1326">
        <v>39600</v>
      </c>
      <c r="AA993" s="1326">
        <v>39600</v>
      </c>
      <c r="AB993" s="1326">
        <v>39600</v>
      </c>
      <c r="AC993" s="766">
        <v>39600</v>
      </c>
      <c r="AD993" s="990">
        <v>39600</v>
      </c>
      <c r="AE993" s="929">
        <v>39600</v>
      </c>
      <c r="AF993" s="258">
        <f t="shared" si="184"/>
        <v>39600</v>
      </c>
      <c r="AG993" s="1326"/>
      <c r="DG993" s="555"/>
      <c r="DH993" s="151"/>
      <c r="DI993" s="1049"/>
      <c r="DJ993" s="1127"/>
    </row>
    <row r="994" spans="1:114" ht="15" hidden="1" customHeight="1" outlineLevel="1" x14ac:dyDescent="0.25">
      <c r="A994" s="442"/>
      <c r="C994" s="49"/>
      <c r="D994" s="2177"/>
      <c r="E994" s="2177"/>
      <c r="F994" s="2176" t="str">
        <f>$E$879</f>
        <v>ASHP-SEER17_ROF_MF</v>
      </c>
      <c r="G994" s="2176"/>
      <c r="H994" s="2176"/>
      <c r="I994" s="2176"/>
      <c r="J994" s="986" t="str">
        <f>$C$879</f>
        <v>354950_2024_12_</v>
      </c>
      <c r="K994" s="1590">
        <v>39600</v>
      </c>
      <c r="L994" s="988">
        <f t="shared" si="185"/>
        <v>3.3</v>
      </c>
      <c r="M994" s="873" t="s">
        <v>1112</v>
      </c>
      <c r="T994" s="50"/>
      <c r="U994" s="50"/>
      <c r="V994" s="2177"/>
      <c r="W994" s="1326">
        <v>39600</v>
      </c>
      <c r="X994" s="1326">
        <v>39600</v>
      </c>
      <c r="Y994" s="1326">
        <v>39600</v>
      </c>
      <c r="Z994" s="1326">
        <v>39600</v>
      </c>
      <c r="AA994" s="1326">
        <v>39600</v>
      </c>
      <c r="AB994" s="1326">
        <v>39600</v>
      </c>
      <c r="AC994" s="766">
        <v>39600</v>
      </c>
      <c r="AD994" s="990">
        <v>39600</v>
      </c>
      <c r="AE994" s="929">
        <v>39600</v>
      </c>
      <c r="AF994" s="258">
        <f t="shared" si="184"/>
        <v>39600</v>
      </c>
      <c r="AG994" s="1326"/>
      <c r="DG994" s="555"/>
      <c r="DH994" s="151"/>
      <c r="DI994" s="1049"/>
      <c r="DJ994" s="1127"/>
    </row>
    <row r="995" spans="1:114" ht="15" hidden="1" customHeight="1" outlineLevel="1" x14ac:dyDescent="0.25">
      <c r="A995" s="442"/>
      <c r="C995" s="49"/>
      <c r="D995" s="2177"/>
      <c r="E995" s="2177"/>
      <c r="F995" s="2176" t="str">
        <f>$E$881</f>
        <v>ASHP-SEER18_ROF_MF</v>
      </c>
      <c r="G995" s="2176"/>
      <c r="H995" s="2176"/>
      <c r="I995" s="2176"/>
      <c r="J995" s="986" t="str">
        <f>$C$881</f>
        <v>355000_2024_12_</v>
      </c>
      <c r="K995" s="1590">
        <v>39600</v>
      </c>
      <c r="L995" s="988">
        <f t="shared" si="185"/>
        <v>3.3</v>
      </c>
      <c r="M995" s="873" t="s">
        <v>1112</v>
      </c>
      <c r="P995" s="248"/>
      <c r="Q995" s="196"/>
      <c r="R995" s="248"/>
      <c r="T995" s="169"/>
      <c r="U995" s="50"/>
      <c r="V995" s="2177"/>
      <c r="W995" s="1326">
        <v>39600</v>
      </c>
      <c r="X995" s="1326">
        <v>39600</v>
      </c>
      <c r="Y995" s="1326">
        <v>39600</v>
      </c>
      <c r="Z995" s="1326">
        <v>39600</v>
      </c>
      <c r="AA995" s="1326">
        <v>39600</v>
      </c>
      <c r="AB995" s="1326">
        <v>39600</v>
      </c>
      <c r="AC995" s="766">
        <v>39600</v>
      </c>
      <c r="AD995" s="990">
        <v>39600</v>
      </c>
      <c r="AE995" s="929">
        <v>39600</v>
      </c>
      <c r="AF995" s="258">
        <f t="shared" si="184"/>
        <v>39600</v>
      </c>
      <c r="AG995" s="1326"/>
      <c r="DG995" s="555"/>
      <c r="DH995" s="151"/>
      <c r="DI995" s="1049"/>
      <c r="DJ995" s="1127"/>
    </row>
    <row r="996" spans="1:114" ht="15" hidden="1" customHeight="1" outlineLevel="1" x14ac:dyDescent="0.25">
      <c r="A996" s="442"/>
      <c r="C996" s="49"/>
      <c r="D996" s="2177"/>
      <c r="E996" s="2177"/>
      <c r="F996" s="2176" t="str">
        <f>$E$883</f>
        <v>ASHP-SEER19_ROF_MF</v>
      </c>
      <c r="G996" s="2176"/>
      <c r="H996" s="2176"/>
      <c r="I996" s="2176"/>
      <c r="J996" s="986" t="str">
        <f>$C$883</f>
        <v>355050_2024_12_</v>
      </c>
      <c r="K996" s="1590">
        <v>39600</v>
      </c>
      <c r="L996" s="988">
        <f t="shared" si="185"/>
        <v>3.3</v>
      </c>
      <c r="M996" s="873" t="s">
        <v>1112</v>
      </c>
      <c r="P996" s="248"/>
      <c r="Q996" s="196"/>
      <c r="R996" s="248"/>
      <c r="T996" s="169"/>
      <c r="U996" s="50"/>
      <c r="V996" s="2177"/>
      <c r="W996" s="1326">
        <v>39600</v>
      </c>
      <c r="X996" s="1326">
        <v>39600</v>
      </c>
      <c r="Y996" s="1326">
        <v>39600</v>
      </c>
      <c r="Z996" s="1326">
        <v>39600</v>
      </c>
      <c r="AA996" s="1326">
        <v>39600</v>
      </c>
      <c r="AB996" s="1326">
        <v>39600</v>
      </c>
      <c r="AC996" s="766">
        <v>39600</v>
      </c>
      <c r="AD996" s="990">
        <v>39600</v>
      </c>
      <c r="AE996" s="929">
        <v>39600</v>
      </c>
      <c r="AF996" s="258">
        <f t="shared" si="184"/>
        <v>39600</v>
      </c>
      <c r="AG996" s="1326"/>
      <c r="DG996" s="555"/>
      <c r="DH996" s="151"/>
      <c r="DI996" s="1049"/>
      <c r="DJ996" s="1127"/>
    </row>
    <row r="997" spans="1:114" ht="15" hidden="1" customHeight="1" outlineLevel="1" x14ac:dyDescent="0.25">
      <c r="A997" s="442"/>
      <c r="C997" s="49"/>
      <c r="D997" s="2177"/>
      <c r="E997" s="2177"/>
      <c r="F997" s="2176" t="str">
        <f>$E$885</f>
        <v>ASHP-SEER20_ROF_MF</v>
      </c>
      <c r="G997" s="2176"/>
      <c r="H997" s="2176"/>
      <c r="I997" s="2176"/>
      <c r="J997" s="986" t="str">
        <f>$C$885</f>
        <v>355100_2024_12_</v>
      </c>
      <c r="K997" s="1590">
        <v>39600</v>
      </c>
      <c r="L997" s="988">
        <f t="shared" si="185"/>
        <v>3.3</v>
      </c>
      <c r="M997" s="873" t="s">
        <v>1112</v>
      </c>
      <c r="T997" s="50"/>
      <c r="U997" s="50"/>
      <c r="V997" s="2177"/>
      <c r="W997" s="1326">
        <v>39600</v>
      </c>
      <c r="X997" s="1326">
        <v>39600</v>
      </c>
      <c r="Y997" s="1326">
        <v>39600</v>
      </c>
      <c r="Z997" s="1326">
        <v>39600</v>
      </c>
      <c r="AA997" s="1326">
        <v>39600</v>
      </c>
      <c r="AB997" s="1326">
        <v>39600</v>
      </c>
      <c r="AC997" s="766">
        <v>39600</v>
      </c>
      <c r="AD997" s="990">
        <v>39600</v>
      </c>
      <c r="AE997" s="929">
        <v>39600</v>
      </c>
      <c r="AF997" s="258">
        <f t="shared" si="184"/>
        <v>39600</v>
      </c>
      <c r="AG997" s="1326"/>
      <c r="DG997" s="555"/>
      <c r="DH997" s="151"/>
      <c r="DI997" s="1049"/>
      <c r="DJ997" s="1127"/>
    </row>
    <row r="998" spans="1:114" ht="15.75" hidden="1" customHeight="1" outlineLevel="1" x14ac:dyDescent="0.25">
      <c r="A998" s="442"/>
      <c r="C998" s="49"/>
      <c r="D998" s="2177"/>
      <c r="E998" s="2177"/>
      <c r="F998" s="2176" t="str">
        <f>$E$887</f>
        <v>ASHP-SEER21_ROF_MF</v>
      </c>
      <c r="G998" s="2176"/>
      <c r="H998" s="2176"/>
      <c r="I998" s="2176"/>
      <c r="J998" s="986" t="str">
        <f>$C$887</f>
        <v>355150_2024_12_</v>
      </c>
      <c r="K998" s="1590">
        <v>39600</v>
      </c>
      <c r="L998" s="988">
        <f t="shared" si="185"/>
        <v>3.3</v>
      </c>
      <c r="M998" s="873" t="s">
        <v>1112</v>
      </c>
      <c r="T998" s="50"/>
      <c r="U998" s="50"/>
      <c r="V998" s="2177"/>
      <c r="W998" s="1326">
        <v>39600</v>
      </c>
      <c r="X998" s="1326">
        <v>39600</v>
      </c>
      <c r="Y998" s="1326">
        <v>39600</v>
      </c>
      <c r="Z998" s="1326">
        <v>39600</v>
      </c>
      <c r="AA998" s="1326">
        <v>39600</v>
      </c>
      <c r="AB998" s="1326">
        <v>39600</v>
      </c>
      <c r="AC998" s="766">
        <v>39600</v>
      </c>
      <c r="AD998" s="990">
        <v>39600</v>
      </c>
      <c r="AE998" s="929">
        <v>39600</v>
      </c>
      <c r="AF998" s="258">
        <f t="shared" si="184"/>
        <v>39600</v>
      </c>
      <c r="AG998" s="1326"/>
      <c r="DG998" s="555"/>
      <c r="DH998" s="151"/>
      <c r="DI998" s="1049"/>
      <c r="DJ998" s="1127"/>
    </row>
    <row r="999" spans="1:114" ht="15" hidden="1" customHeight="1" outlineLevel="1" x14ac:dyDescent="0.25">
      <c r="A999" s="442"/>
      <c r="C999" s="49"/>
      <c r="D999" s="2177" t="s">
        <v>1146</v>
      </c>
      <c r="E999" s="2177" t="s">
        <v>1147</v>
      </c>
      <c r="F999" s="2176" t="str">
        <f>$E$709</f>
        <v>ASHP-SEER15-Replace_CAC_ElectricHeat_ER1_SF</v>
      </c>
      <c r="G999" s="2176"/>
      <c r="H999" s="2176"/>
      <c r="I999" s="2176"/>
      <c r="J999" s="986" t="str">
        <f>$C$709</f>
        <v>352300_2024_12_</v>
      </c>
      <c r="K999" s="1616">
        <v>1496</v>
      </c>
      <c r="L999" s="12"/>
      <c r="M999" s="2210" t="s">
        <v>1363</v>
      </c>
      <c r="T999" s="50"/>
      <c r="U999" s="50"/>
      <c r="V999" s="2177" t="s">
        <v>1146</v>
      </c>
      <c r="W999" s="1326">
        <v>2009</v>
      </c>
      <c r="X999" s="794">
        <v>1496</v>
      </c>
      <c r="Y999" s="1326">
        <v>1496</v>
      </c>
      <c r="Z999" s="1326">
        <v>1496</v>
      </c>
      <c r="AA999" s="1326">
        <v>1496</v>
      </c>
      <c r="AB999" s="1326">
        <v>1496</v>
      </c>
      <c r="AC999" s="1326">
        <v>1496</v>
      </c>
      <c r="AD999" s="1326">
        <v>1496</v>
      </c>
      <c r="AE999" s="1326">
        <v>1496</v>
      </c>
      <c r="AF999" s="258">
        <f t="shared" ref="AF999:AF1021" si="186">IF(K999&lt;&gt;"",K999,"")</f>
        <v>1496</v>
      </c>
      <c r="AG999" s="1326"/>
      <c r="DG999" s="555"/>
      <c r="DH999" s="151"/>
      <c r="DI999" s="1049"/>
      <c r="DJ999" s="1127"/>
    </row>
    <row r="1000" spans="1:114" ht="15" hidden="1" customHeight="1" outlineLevel="1" x14ac:dyDescent="0.25">
      <c r="A1000" s="442"/>
      <c r="C1000" s="49"/>
      <c r="D1000" s="2177"/>
      <c r="E1000" s="2177"/>
      <c r="F1000" s="2176" t="str">
        <f>$E$711</f>
        <v>ASHP-SEER15-Replace_CAC_ElectricHeat_ER2_SF</v>
      </c>
      <c r="G1000" s="2176"/>
      <c r="H1000" s="2176"/>
      <c r="I1000" s="2176"/>
      <c r="J1000" s="986" t="str">
        <f>$C$711</f>
        <v>352300_2024_12_</v>
      </c>
      <c r="K1000" s="1616">
        <v>1496</v>
      </c>
      <c r="L1000" s="12"/>
      <c r="M1000" s="2211"/>
      <c r="T1000" s="50"/>
      <c r="U1000" s="50"/>
      <c r="V1000" s="2177"/>
      <c r="W1000" s="1326">
        <v>2009</v>
      </c>
      <c r="X1000" s="794">
        <v>1496</v>
      </c>
      <c r="Y1000" s="1326">
        <v>1496</v>
      </c>
      <c r="Z1000" s="1326">
        <v>1496</v>
      </c>
      <c r="AA1000" s="1326">
        <v>1496</v>
      </c>
      <c r="AB1000" s="1326">
        <v>1496</v>
      </c>
      <c r="AC1000" s="1326">
        <v>1496</v>
      </c>
      <c r="AD1000" s="1326">
        <v>1496</v>
      </c>
      <c r="AE1000" s="1326">
        <v>1496</v>
      </c>
      <c r="AF1000" s="258">
        <f t="shared" si="186"/>
        <v>1496</v>
      </c>
      <c r="AG1000" s="1326"/>
      <c r="DG1000" s="555"/>
      <c r="DH1000" s="151"/>
      <c r="DI1000" s="1049"/>
      <c r="DJ1000" s="1127"/>
    </row>
    <row r="1001" spans="1:114" ht="15" hidden="1" customHeight="1" outlineLevel="1" x14ac:dyDescent="0.25">
      <c r="A1001" s="442"/>
      <c r="C1001" s="49"/>
      <c r="D1001" s="2177"/>
      <c r="E1001" s="2177"/>
      <c r="F1001" s="2176" t="str">
        <f>$E$713</f>
        <v>ASHP-SEER15-Replace_CAC_NonElectricHeat_ER1_SF</v>
      </c>
      <c r="G1001" s="2176"/>
      <c r="H1001" s="2176"/>
      <c r="I1001" s="2176"/>
      <c r="J1001" s="986" t="str">
        <f>$C$713</f>
        <v>352310_2024_12_</v>
      </c>
      <c r="K1001" s="1618">
        <v>1496</v>
      </c>
      <c r="L1001" s="12"/>
      <c r="M1001" s="2211"/>
      <c r="T1001" s="50"/>
      <c r="U1001" s="50"/>
      <c r="V1001" s="2177"/>
      <c r="W1001" s="1326"/>
      <c r="X1001" s="794"/>
      <c r="Y1001" s="1326"/>
      <c r="Z1001" s="1326"/>
      <c r="AA1001" s="1326"/>
      <c r="AB1001" s="1326"/>
      <c r="AC1001" s="790">
        <v>1496</v>
      </c>
      <c r="AD1001" s="766">
        <v>1496</v>
      </c>
      <c r="AE1001" s="766">
        <v>1496</v>
      </c>
      <c r="AF1001" s="258">
        <f t="shared" si="186"/>
        <v>1496</v>
      </c>
      <c r="AG1001" s="1326"/>
      <c r="DG1001" s="555"/>
      <c r="DH1001" s="151"/>
      <c r="DI1001" s="1049"/>
      <c r="DJ1001" s="1127"/>
    </row>
    <row r="1002" spans="1:114" ht="15" hidden="1" customHeight="1" outlineLevel="1" x14ac:dyDescent="0.25">
      <c r="A1002" s="442"/>
      <c r="C1002" s="49"/>
      <c r="D1002" s="2177"/>
      <c r="E1002" s="2177"/>
      <c r="F1002" s="2176" t="str">
        <f>$E$715</f>
        <v>ASHP-SEER15-Replace_CAC_NonElectricHeat_ER2_SF</v>
      </c>
      <c r="G1002" s="2176"/>
      <c r="H1002" s="2176"/>
      <c r="I1002" s="2176"/>
      <c r="J1002" s="986" t="str">
        <f>$C$715</f>
        <v>352310_2024_12_</v>
      </c>
      <c r="K1002" s="1618">
        <v>1496</v>
      </c>
      <c r="L1002" s="12"/>
      <c r="M1002" s="2211"/>
      <c r="T1002" s="50"/>
      <c r="U1002" s="50"/>
      <c r="V1002" s="2177"/>
      <c r="W1002" s="1326"/>
      <c r="X1002" s="794"/>
      <c r="Y1002" s="1326"/>
      <c r="Z1002" s="1326"/>
      <c r="AA1002" s="1326"/>
      <c r="AB1002" s="1326"/>
      <c r="AC1002" s="790">
        <v>1496</v>
      </c>
      <c r="AD1002" s="766">
        <v>1496</v>
      </c>
      <c r="AE1002" s="766">
        <v>1496</v>
      </c>
      <c r="AF1002" s="258">
        <f t="shared" si="186"/>
        <v>1496</v>
      </c>
      <c r="AG1002" s="1326"/>
      <c r="DG1002" s="555"/>
      <c r="DH1002" s="151"/>
      <c r="DI1002" s="1049"/>
      <c r="DJ1002" s="1127"/>
    </row>
    <row r="1003" spans="1:114" ht="15" hidden="1" customHeight="1" outlineLevel="1" x14ac:dyDescent="0.25">
      <c r="A1003" s="442"/>
      <c r="C1003" s="49"/>
      <c r="D1003" s="2177"/>
      <c r="E1003" s="2177"/>
      <c r="F1003" s="2176" t="str">
        <f>$E$717</f>
        <v>ASHP-SEER15_ER1_SF</v>
      </c>
      <c r="G1003" s="2176"/>
      <c r="H1003" s="2176"/>
      <c r="I1003" s="2176"/>
      <c r="J1003" s="986" t="str">
        <f>$C$717</f>
        <v>352350_2024_12_</v>
      </c>
      <c r="K1003" s="1616">
        <v>1496</v>
      </c>
      <c r="L1003" s="12"/>
      <c r="M1003" s="2211"/>
      <c r="T1003" s="50"/>
      <c r="U1003" s="50"/>
      <c r="V1003" s="2177"/>
      <c r="W1003" s="1326">
        <v>2009</v>
      </c>
      <c r="X1003" s="794">
        <v>1496</v>
      </c>
      <c r="Y1003" s="1326">
        <v>1496</v>
      </c>
      <c r="Z1003" s="1326">
        <v>1496</v>
      </c>
      <c r="AA1003" s="1326">
        <v>1496</v>
      </c>
      <c r="AB1003" s="1326">
        <v>1496</v>
      </c>
      <c r="AC1003" s="1326">
        <v>1496</v>
      </c>
      <c r="AD1003" s="1326">
        <v>1496</v>
      </c>
      <c r="AE1003" s="1326">
        <v>1496</v>
      </c>
      <c r="AF1003" s="258">
        <f t="shared" si="186"/>
        <v>1496</v>
      </c>
      <c r="AG1003" s="1326"/>
      <c r="DG1003" s="555"/>
      <c r="DH1003" s="151"/>
      <c r="DI1003" s="1049"/>
      <c r="DJ1003" s="1127"/>
    </row>
    <row r="1004" spans="1:114" ht="15" hidden="1" customHeight="1" outlineLevel="1" x14ac:dyDescent="0.25">
      <c r="A1004" s="442"/>
      <c r="C1004" s="49"/>
      <c r="D1004" s="2177"/>
      <c r="E1004" s="2177"/>
      <c r="F1004" s="2176" t="str">
        <f>$E$719</f>
        <v>ASHP-SEER15_ER2_SF</v>
      </c>
      <c r="G1004" s="2176"/>
      <c r="H1004" s="2176"/>
      <c r="I1004" s="2176"/>
      <c r="J1004" s="986" t="str">
        <f>$C$719</f>
        <v>352350_2024_12_</v>
      </c>
      <c r="K1004" s="1616">
        <v>1496</v>
      </c>
      <c r="L1004" s="12"/>
      <c r="M1004" s="2211"/>
      <c r="P1004" s="248"/>
      <c r="Q1004" s="248"/>
      <c r="R1004" s="248"/>
      <c r="T1004" s="169"/>
      <c r="U1004" s="50"/>
      <c r="V1004" s="2177"/>
      <c r="W1004" s="1326">
        <v>2009</v>
      </c>
      <c r="X1004" s="794">
        <v>1496</v>
      </c>
      <c r="Y1004" s="1326">
        <v>1496</v>
      </c>
      <c r="Z1004" s="1326">
        <v>1496</v>
      </c>
      <c r="AA1004" s="1326">
        <v>1496</v>
      </c>
      <c r="AB1004" s="1326">
        <v>1496</v>
      </c>
      <c r="AC1004" s="1326">
        <v>1496</v>
      </c>
      <c r="AD1004" s="1326">
        <v>1496</v>
      </c>
      <c r="AE1004" s="1326">
        <v>1496</v>
      </c>
      <c r="AF1004" s="258">
        <f t="shared" si="186"/>
        <v>1496</v>
      </c>
      <c r="AG1004" s="1326"/>
      <c r="DG1004" s="555"/>
      <c r="DH1004" s="151"/>
      <c r="DI1004" s="1049"/>
      <c r="DJ1004" s="1127"/>
    </row>
    <row r="1005" spans="1:114" ht="15" hidden="1" customHeight="1" outlineLevel="1" x14ac:dyDescent="0.25">
      <c r="A1005" s="442"/>
      <c r="C1005" s="49"/>
      <c r="D1005" s="2177"/>
      <c r="E1005" s="2177"/>
      <c r="F1005" s="2176" t="str">
        <f>$E$721</f>
        <v>ASHP-SEER15-Replace_CAC_ElectricHeat_ROF_SF</v>
      </c>
      <c r="G1005" s="2176"/>
      <c r="H1005" s="2176"/>
      <c r="I1005" s="2176"/>
      <c r="J1005" s="986" t="str">
        <f>$C$721</f>
        <v>352400_2024_12_</v>
      </c>
      <c r="K1005" s="1616">
        <v>1496</v>
      </c>
      <c r="L1005" s="12"/>
      <c r="M1005" s="2211"/>
      <c r="P1005" s="248"/>
      <c r="Q1005" s="248"/>
      <c r="R1005" s="248"/>
      <c r="T1005" s="169"/>
      <c r="U1005" s="50"/>
      <c r="V1005" s="2177"/>
      <c r="W1005" s="1326">
        <v>2009</v>
      </c>
      <c r="X1005" s="794">
        <v>1496</v>
      </c>
      <c r="Y1005" s="1326">
        <v>1496</v>
      </c>
      <c r="Z1005" s="1326">
        <v>1496</v>
      </c>
      <c r="AA1005" s="1326">
        <v>1496</v>
      </c>
      <c r="AB1005" s="1326">
        <v>1496</v>
      </c>
      <c r="AC1005" s="1326">
        <v>1496</v>
      </c>
      <c r="AD1005" s="1326">
        <v>1496</v>
      </c>
      <c r="AE1005" s="1326">
        <v>1496</v>
      </c>
      <c r="AF1005" s="258">
        <f t="shared" si="186"/>
        <v>1496</v>
      </c>
      <c r="AG1005" s="1326"/>
      <c r="DG1005" s="555"/>
      <c r="DH1005" s="151"/>
      <c r="DI1005" s="1049"/>
      <c r="DJ1005" s="1127"/>
    </row>
    <row r="1006" spans="1:114" ht="15" hidden="1" customHeight="1" outlineLevel="1" x14ac:dyDescent="0.25">
      <c r="A1006" s="442"/>
      <c r="C1006" s="49"/>
      <c r="D1006" s="2177"/>
      <c r="E1006" s="2177"/>
      <c r="F1006" s="2176" t="str">
        <f>$E$723</f>
        <v>ASHP-SEER15-Replace_CAC_NonElectricHeat_ROF_SF</v>
      </c>
      <c r="G1006" s="2176"/>
      <c r="H1006" s="2176"/>
      <c r="I1006" s="2176"/>
      <c r="J1006" s="986" t="str">
        <f>$C$723</f>
        <v>352410_2024_12_</v>
      </c>
      <c r="K1006" s="1618">
        <v>1496</v>
      </c>
      <c r="L1006" s="12"/>
      <c r="M1006" s="2211"/>
      <c r="P1006" s="248"/>
      <c r="Q1006" s="248"/>
      <c r="R1006" s="248"/>
      <c r="T1006" s="169"/>
      <c r="U1006" s="50"/>
      <c r="V1006" s="2177"/>
      <c r="W1006" s="1326"/>
      <c r="X1006" s="794"/>
      <c r="Y1006" s="1326"/>
      <c r="Z1006" s="1326"/>
      <c r="AA1006" s="1326"/>
      <c r="AB1006" s="1326"/>
      <c r="AC1006" s="790">
        <v>1496</v>
      </c>
      <c r="AD1006" s="766">
        <v>1496</v>
      </c>
      <c r="AE1006" s="766">
        <v>1496</v>
      </c>
      <c r="AF1006" s="258">
        <f t="shared" si="186"/>
        <v>1496</v>
      </c>
      <c r="AG1006" s="1326"/>
      <c r="DG1006" s="555"/>
      <c r="DH1006" s="151"/>
      <c r="DI1006" s="1049"/>
      <c r="DJ1006" s="1127"/>
    </row>
    <row r="1007" spans="1:114" ht="15" hidden="1" customHeight="1" outlineLevel="1" x14ac:dyDescent="0.25">
      <c r="A1007" s="442"/>
      <c r="C1007" s="49"/>
      <c r="D1007" s="2177"/>
      <c r="E1007" s="2177"/>
      <c r="F1007" s="2176" t="str">
        <f>$E$725</f>
        <v>ASHP-SEER16-Replace_CAC_ElectricHeat_ER1_SF</v>
      </c>
      <c r="G1007" s="2176"/>
      <c r="H1007" s="2176"/>
      <c r="I1007" s="2176"/>
      <c r="J1007" s="986" t="str">
        <f>$C$725</f>
        <v>352500_2024_12_</v>
      </c>
      <c r="K1007" s="1616">
        <v>1496</v>
      </c>
      <c r="L1007" s="12"/>
      <c r="M1007" s="2211"/>
      <c r="P1007" s="248"/>
      <c r="Q1007" s="248"/>
      <c r="R1007" s="248"/>
      <c r="T1007" s="169"/>
      <c r="U1007" s="50"/>
      <c r="V1007" s="2177"/>
      <c r="W1007" s="1326">
        <v>2009</v>
      </c>
      <c r="X1007" s="794">
        <v>1496</v>
      </c>
      <c r="Y1007" s="1326">
        <v>1496</v>
      </c>
      <c r="Z1007" s="1326">
        <v>1496</v>
      </c>
      <c r="AA1007" s="1326">
        <v>1496</v>
      </c>
      <c r="AB1007" s="1326">
        <v>1496</v>
      </c>
      <c r="AC1007" s="1326">
        <v>1496</v>
      </c>
      <c r="AD1007" s="1326">
        <v>1496</v>
      </c>
      <c r="AE1007" s="1326">
        <v>1496</v>
      </c>
      <c r="AF1007" s="258">
        <f t="shared" si="186"/>
        <v>1496</v>
      </c>
      <c r="AG1007" s="1326"/>
      <c r="DG1007" s="555"/>
      <c r="DH1007" s="151"/>
      <c r="DI1007" s="1049"/>
      <c r="DJ1007" s="1127"/>
    </row>
    <row r="1008" spans="1:114" ht="15" hidden="1" customHeight="1" outlineLevel="1" x14ac:dyDescent="0.25">
      <c r="A1008" s="442"/>
      <c r="C1008" s="49"/>
      <c r="D1008" s="2177"/>
      <c r="E1008" s="2177"/>
      <c r="F1008" s="2176" t="str">
        <f>$E$727</f>
        <v>ASHP-SEER16-Replace_CAC_ElectricHeat_ER2_SF</v>
      </c>
      <c r="G1008" s="2176"/>
      <c r="H1008" s="2176"/>
      <c r="I1008" s="2176"/>
      <c r="J1008" s="986" t="str">
        <f>$C$727</f>
        <v>352500_2024_12_</v>
      </c>
      <c r="K1008" s="1616">
        <v>1496</v>
      </c>
      <c r="L1008" s="12"/>
      <c r="M1008" s="2211"/>
      <c r="T1008" s="50"/>
      <c r="U1008" s="50"/>
      <c r="V1008" s="2177"/>
      <c r="W1008" s="1326">
        <v>2009</v>
      </c>
      <c r="X1008" s="794">
        <v>1496</v>
      </c>
      <c r="Y1008" s="1326">
        <v>1496</v>
      </c>
      <c r="Z1008" s="1326">
        <v>1496</v>
      </c>
      <c r="AA1008" s="1326">
        <v>1496</v>
      </c>
      <c r="AB1008" s="1326">
        <v>1496</v>
      </c>
      <c r="AC1008" s="1326">
        <v>1496</v>
      </c>
      <c r="AD1008" s="1326">
        <v>1496</v>
      </c>
      <c r="AE1008" s="1326">
        <v>1496</v>
      </c>
      <c r="AF1008" s="258">
        <f t="shared" si="186"/>
        <v>1496</v>
      </c>
      <c r="AG1008" s="1326"/>
      <c r="DG1008" s="555"/>
      <c r="DH1008" s="151"/>
      <c r="DI1008" s="1049"/>
      <c r="DJ1008" s="1127"/>
    </row>
    <row r="1009" spans="1:114" ht="15" hidden="1" customHeight="1" outlineLevel="1" x14ac:dyDescent="0.25">
      <c r="A1009" s="442"/>
      <c r="C1009" s="49"/>
      <c r="D1009" s="2177"/>
      <c r="E1009" s="2177"/>
      <c r="F1009" s="2176" t="str">
        <f>$E$729</f>
        <v>ASHP-SEER16-Replace_CAC_NonElectricHeat_ER1_SF</v>
      </c>
      <c r="G1009" s="2176"/>
      <c r="H1009" s="2176"/>
      <c r="I1009" s="2176"/>
      <c r="J1009" s="986" t="str">
        <f>$C$729</f>
        <v>352510_2024_12_</v>
      </c>
      <c r="K1009" s="1618">
        <v>1496</v>
      </c>
      <c r="L1009" s="12"/>
      <c r="M1009" s="2211"/>
      <c r="T1009" s="50"/>
      <c r="U1009" s="50"/>
      <c r="V1009" s="2177"/>
      <c r="W1009" s="1326"/>
      <c r="X1009" s="794"/>
      <c r="Y1009" s="1326"/>
      <c r="Z1009" s="1326"/>
      <c r="AA1009" s="1326"/>
      <c r="AB1009" s="1326"/>
      <c r="AC1009" s="790">
        <v>1496</v>
      </c>
      <c r="AD1009" s="766">
        <v>1496</v>
      </c>
      <c r="AE1009" s="766">
        <v>1496</v>
      </c>
      <c r="AF1009" s="258">
        <f t="shared" si="186"/>
        <v>1496</v>
      </c>
      <c r="AG1009" s="1326"/>
      <c r="DG1009" s="555"/>
      <c r="DH1009" s="151"/>
      <c r="DI1009" s="1049"/>
      <c r="DJ1009" s="1127"/>
    </row>
    <row r="1010" spans="1:114" ht="15" hidden="1" customHeight="1" outlineLevel="1" x14ac:dyDescent="0.25">
      <c r="A1010" s="442"/>
      <c r="C1010" s="49"/>
      <c r="D1010" s="2177"/>
      <c r="E1010" s="2177"/>
      <c r="F1010" s="2176" t="str">
        <f>$E$731</f>
        <v>ASHP-SEER16-Replace_CAC_NonElectricHeat_ER2_SF</v>
      </c>
      <c r="G1010" s="2176"/>
      <c r="H1010" s="2176"/>
      <c r="I1010" s="2176"/>
      <c r="J1010" s="986" t="str">
        <f>$C$731</f>
        <v>352510_2024_12_</v>
      </c>
      <c r="K1010" s="1618">
        <v>1496</v>
      </c>
      <c r="L1010" s="12"/>
      <c r="M1010" s="2211"/>
      <c r="T1010" s="50"/>
      <c r="U1010" s="50"/>
      <c r="V1010" s="2177"/>
      <c r="W1010" s="1326"/>
      <c r="X1010" s="794"/>
      <c r="Y1010" s="1326"/>
      <c r="Z1010" s="1326"/>
      <c r="AA1010" s="1326"/>
      <c r="AB1010" s="1326"/>
      <c r="AC1010" s="790">
        <v>1496</v>
      </c>
      <c r="AD1010" s="766">
        <v>1496</v>
      </c>
      <c r="AE1010" s="766">
        <v>1496</v>
      </c>
      <c r="AF1010" s="258">
        <f t="shared" si="186"/>
        <v>1496</v>
      </c>
      <c r="AG1010" s="1326"/>
      <c r="DG1010" s="555"/>
      <c r="DH1010" s="151"/>
      <c r="DI1010" s="1049"/>
      <c r="DJ1010" s="1127"/>
    </row>
    <row r="1011" spans="1:114" ht="15" hidden="1" customHeight="1" outlineLevel="1" x14ac:dyDescent="0.25">
      <c r="A1011" s="442"/>
      <c r="C1011" s="49"/>
      <c r="D1011" s="2177"/>
      <c r="E1011" s="2177"/>
      <c r="F1011" s="2176" t="str">
        <f>$E$733</f>
        <v>ASHP-SEER16_ER1_SF</v>
      </c>
      <c r="G1011" s="2176"/>
      <c r="H1011" s="2176"/>
      <c r="I1011" s="2176"/>
      <c r="J1011" s="986" t="str">
        <f>$C$733</f>
        <v>352550_2024_12_</v>
      </c>
      <c r="K1011" s="1616">
        <v>1496</v>
      </c>
      <c r="L1011" s="12"/>
      <c r="M1011" s="2211"/>
      <c r="T1011" s="50"/>
      <c r="U1011" s="50"/>
      <c r="V1011" s="2177"/>
      <c r="W1011" s="1326">
        <v>2009</v>
      </c>
      <c r="X1011" s="794">
        <v>1496</v>
      </c>
      <c r="Y1011" s="1326">
        <v>1496</v>
      </c>
      <c r="Z1011" s="1326">
        <v>1496</v>
      </c>
      <c r="AA1011" s="1326">
        <v>1496</v>
      </c>
      <c r="AB1011" s="1326">
        <v>1496</v>
      </c>
      <c r="AC1011" s="1326">
        <v>1496</v>
      </c>
      <c r="AD1011" s="1326">
        <v>1496</v>
      </c>
      <c r="AE1011" s="1326">
        <v>1496</v>
      </c>
      <c r="AF1011" s="258">
        <f t="shared" si="186"/>
        <v>1496</v>
      </c>
      <c r="AG1011" s="1326"/>
      <c r="DG1011" s="555"/>
      <c r="DH1011" s="151"/>
      <c r="DI1011" s="1049"/>
      <c r="DJ1011" s="1127"/>
    </row>
    <row r="1012" spans="1:114" ht="15" hidden="1" customHeight="1" outlineLevel="1" x14ac:dyDescent="0.25">
      <c r="A1012" s="442"/>
      <c r="C1012" s="49"/>
      <c r="D1012" s="2177"/>
      <c r="E1012" s="2177"/>
      <c r="F1012" s="2176" t="str">
        <f>$E$735</f>
        <v>ASHP-SEER16_ER2_SF</v>
      </c>
      <c r="G1012" s="2176"/>
      <c r="H1012" s="2176"/>
      <c r="I1012" s="2176"/>
      <c r="J1012" s="986" t="str">
        <f>$C$735</f>
        <v>352550_2024_12_</v>
      </c>
      <c r="K1012" s="1616">
        <v>1496</v>
      </c>
      <c r="L1012" s="249"/>
      <c r="M1012" s="2211"/>
      <c r="T1012" s="50"/>
      <c r="U1012" s="50"/>
      <c r="V1012" s="2177"/>
      <c r="W1012" s="1326">
        <v>2009</v>
      </c>
      <c r="X1012" s="794">
        <v>1496</v>
      </c>
      <c r="Y1012" s="1326">
        <v>1496</v>
      </c>
      <c r="Z1012" s="1326">
        <v>1496</v>
      </c>
      <c r="AA1012" s="1326">
        <v>1496</v>
      </c>
      <c r="AB1012" s="1326">
        <v>1496</v>
      </c>
      <c r="AC1012" s="1326">
        <v>1496</v>
      </c>
      <c r="AD1012" s="1326">
        <v>1496</v>
      </c>
      <c r="AE1012" s="1326">
        <v>1496</v>
      </c>
      <c r="AF1012" s="258">
        <f t="shared" si="186"/>
        <v>1496</v>
      </c>
      <c r="AG1012" s="1326"/>
      <c r="DG1012" s="555"/>
      <c r="DH1012" s="151"/>
      <c r="DI1012" s="1049"/>
      <c r="DJ1012" s="1127"/>
    </row>
    <row r="1013" spans="1:114" ht="15" hidden="1" customHeight="1" outlineLevel="1" x14ac:dyDescent="0.25">
      <c r="A1013" s="442"/>
      <c r="C1013" s="49"/>
      <c r="D1013" s="2177"/>
      <c r="E1013" s="2177"/>
      <c r="F1013" s="2176" t="str">
        <f>$E$737</f>
        <v>ASHP-SEER16-Replace_CAC_ElectricHeat_ROF_SF</v>
      </c>
      <c r="G1013" s="2176"/>
      <c r="H1013" s="2176"/>
      <c r="I1013" s="2176"/>
      <c r="J1013" s="986" t="str">
        <f>$C$737</f>
        <v>352600_2024_12_</v>
      </c>
      <c r="K1013" s="1616">
        <v>1496</v>
      </c>
      <c r="L1013" s="249"/>
      <c r="M1013" s="2211"/>
      <c r="T1013" s="50"/>
      <c r="U1013" s="50"/>
      <c r="V1013" s="2177"/>
      <c r="W1013" s="1326">
        <v>2009</v>
      </c>
      <c r="X1013" s="794">
        <v>1496</v>
      </c>
      <c r="Y1013" s="1326">
        <v>1496</v>
      </c>
      <c r="Z1013" s="1326">
        <v>1496</v>
      </c>
      <c r="AA1013" s="1326">
        <v>1496</v>
      </c>
      <c r="AB1013" s="1326">
        <v>1496</v>
      </c>
      <c r="AC1013" s="1326">
        <v>1496</v>
      </c>
      <c r="AD1013" s="1326">
        <v>1496</v>
      </c>
      <c r="AE1013" s="1326">
        <v>1496</v>
      </c>
      <c r="AF1013" s="258">
        <f t="shared" si="186"/>
        <v>1496</v>
      </c>
      <c r="AG1013" s="1326"/>
      <c r="DG1013" s="555"/>
      <c r="DH1013" s="151"/>
      <c r="DI1013" s="1049"/>
      <c r="DJ1013" s="1127"/>
    </row>
    <row r="1014" spans="1:114" ht="15" hidden="1" customHeight="1" outlineLevel="1" x14ac:dyDescent="0.25">
      <c r="A1014" s="442"/>
      <c r="C1014" s="49"/>
      <c r="D1014" s="2177"/>
      <c r="E1014" s="2177"/>
      <c r="F1014" s="2176" t="str">
        <f>$E$739</f>
        <v>ASHP-SEER16-Replace_CAC_NonElectricHeat_ROF_SF</v>
      </c>
      <c r="G1014" s="2176"/>
      <c r="H1014" s="2176"/>
      <c r="I1014" s="2176"/>
      <c r="J1014" s="986" t="str">
        <f>$C$739</f>
        <v>352610_2024_12_</v>
      </c>
      <c r="K1014" s="1616">
        <v>1496</v>
      </c>
      <c r="L1014" s="249"/>
      <c r="M1014" s="2211"/>
      <c r="T1014" s="50"/>
      <c r="U1014" s="50"/>
      <c r="V1014" s="2177"/>
      <c r="W1014" s="1326"/>
      <c r="X1014" s="794"/>
      <c r="Y1014" s="1326"/>
      <c r="Z1014" s="1326"/>
      <c r="AA1014" s="1326"/>
      <c r="AB1014" s="1326"/>
      <c r="AC1014" s="1326"/>
      <c r="AD1014" s="794">
        <v>1496</v>
      </c>
      <c r="AE1014" s="1326">
        <v>1496</v>
      </c>
      <c r="AF1014" s="258">
        <f t="shared" si="186"/>
        <v>1496</v>
      </c>
      <c r="AG1014" s="1326"/>
      <c r="DG1014" s="555"/>
      <c r="DH1014" s="151"/>
      <c r="DI1014" s="1049"/>
      <c r="DJ1014" s="1127"/>
    </row>
    <row r="1015" spans="1:114" ht="15" hidden="1" customHeight="1" outlineLevel="1" x14ac:dyDescent="0.25">
      <c r="A1015" s="442"/>
      <c r="C1015" s="49"/>
      <c r="D1015" s="2177"/>
      <c r="E1015" s="2177"/>
      <c r="F1015" s="2176" t="str">
        <f>$E$741</f>
        <v>ASHP-SEER16_ROF_SF</v>
      </c>
      <c r="G1015" s="2176"/>
      <c r="H1015" s="2176"/>
      <c r="I1015" s="2176"/>
      <c r="J1015" s="986" t="str">
        <f>$C$741</f>
        <v>352650_2024_12_</v>
      </c>
      <c r="K1015" s="1616">
        <v>1496</v>
      </c>
      <c r="L1015" s="249"/>
      <c r="M1015" s="2211"/>
      <c r="T1015" s="50"/>
      <c r="U1015" s="50"/>
      <c r="V1015" s="2177"/>
      <c r="W1015" s="1326">
        <v>2009</v>
      </c>
      <c r="X1015" s="794">
        <v>1496</v>
      </c>
      <c r="Y1015" s="1326">
        <v>1496</v>
      </c>
      <c r="Z1015" s="1326">
        <v>1496</v>
      </c>
      <c r="AA1015" s="1326">
        <v>1496</v>
      </c>
      <c r="AB1015" s="1326">
        <v>1496</v>
      </c>
      <c r="AC1015" s="1326">
        <v>1496</v>
      </c>
      <c r="AD1015" s="1326">
        <v>1496</v>
      </c>
      <c r="AE1015" s="1326">
        <v>1496</v>
      </c>
      <c r="AF1015" s="258">
        <f t="shared" si="186"/>
        <v>1496</v>
      </c>
      <c r="AG1015" s="1326"/>
      <c r="DG1015" s="555"/>
      <c r="DH1015" s="151"/>
      <c r="DI1015" s="1049"/>
      <c r="DJ1015" s="1127"/>
    </row>
    <row r="1016" spans="1:114" ht="15" hidden="1" customHeight="1" outlineLevel="1" x14ac:dyDescent="0.25">
      <c r="A1016" s="442"/>
      <c r="C1016" s="49"/>
      <c r="D1016" s="2177"/>
      <c r="E1016" s="2177"/>
      <c r="F1016" s="2176" t="str">
        <f>$E$743</f>
        <v>ASHP-SEER16-Replace_CAC_ElectricHeat_ER1_MF</v>
      </c>
      <c r="G1016" s="2176"/>
      <c r="H1016" s="2176"/>
      <c r="I1016" s="2176"/>
      <c r="J1016" s="986" t="str">
        <f>$C$743</f>
        <v>353000_2024_12_</v>
      </c>
      <c r="K1016" s="1616">
        <v>1496</v>
      </c>
      <c r="L1016" s="249"/>
      <c r="M1016" s="744" t="s">
        <v>1363</v>
      </c>
      <c r="P1016" s="248"/>
      <c r="Q1016" s="248"/>
      <c r="R1016" s="248"/>
      <c r="T1016" s="169"/>
      <c r="U1016" s="50"/>
      <c r="V1016" s="2177"/>
      <c r="W1016" s="1326">
        <v>2009</v>
      </c>
      <c r="X1016" s="794">
        <v>1496</v>
      </c>
      <c r="Y1016" s="1326">
        <v>1496</v>
      </c>
      <c r="Z1016" s="1326">
        <v>1496</v>
      </c>
      <c r="AA1016" s="1326">
        <v>1496</v>
      </c>
      <c r="AB1016" s="1326">
        <v>1496</v>
      </c>
      <c r="AC1016" s="1326">
        <v>1496</v>
      </c>
      <c r="AD1016" s="1326">
        <v>1496</v>
      </c>
      <c r="AE1016" s="1326">
        <v>1496</v>
      </c>
      <c r="AF1016" s="258">
        <f t="shared" si="186"/>
        <v>1496</v>
      </c>
      <c r="AG1016" s="1326"/>
      <c r="DG1016" s="555"/>
      <c r="DH1016" s="151"/>
      <c r="DI1016" s="1049"/>
      <c r="DJ1016" s="1127"/>
    </row>
    <row r="1017" spans="1:114" ht="15" hidden="1" customHeight="1" outlineLevel="1" x14ac:dyDescent="0.25">
      <c r="A1017" s="442"/>
      <c r="C1017" s="49"/>
      <c r="D1017" s="2177"/>
      <c r="E1017" s="2177"/>
      <c r="F1017" s="2176" t="str">
        <f>$E$745</f>
        <v>ASHP-SEER16-Replace_CAC_ElectricHeat_ER2_MF</v>
      </c>
      <c r="G1017" s="2176"/>
      <c r="H1017" s="2176"/>
      <c r="I1017" s="2176"/>
      <c r="J1017" s="986" t="str">
        <f>$C$745</f>
        <v>353000_2024_12_</v>
      </c>
      <c r="K1017" s="1616">
        <v>1496</v>
      </c>
      <c r="L1017" s="249"/>
      <c r="M1017" s="744" t="s">
        <v>1363</v>
      </c>
      <c r="P1017" s="248"/>
      <c r="Q1017" s="248"/>
      <c r="R1017" s="248"/>
      <c r="T1017" s="169"/>
      <c r="U1017" s="50"/>
      <c r="V1017" s="2177"/>
      <c r="W1017" s="1326">
        <v>2009</v>
      </c>
      <c r="X1017" s="794">
        <v>1496</v>
      </c>
      <c r="Y1017" s="1326">
        <v>1496</v>
      </c>
      <c r="Z1017" s="1326">
        <v>1496</v>
      </c>
      <c r="AA1017" s="1326">
        <v>1496</v>
      </c>
      <c r="AB1017" s="1326">
        <v>1496</v>
      </c>
      <c r="AC1017" s="1326">
        <v>1496</v>
      </c>
      <c r="AD1017" s="1326">
        <v>1496</v>
      </c>
      <c r="AE1017" s="1326">
        <v>1496</v>
      </c>
      <c r="AF1017" s="258">
        <f t="shared" si="186"/>
        <v>1496</v>
      </c>
      <c r="AG1017" s="1326"/>
      <c r="DG1017" s="555"/>
      <c r="DH1017" s="151"/>
      <c r="DI1017" s="1049"/>
      <c r="DJ1017" s="1127"/>
    </row>
    <row r="1018" spans="1:114" ht="15" hidden="1" customHeight="1" outlineLevel="1" x14ac:dyDescent="0.25">
      <c r="A1018" s="442"/>
      <c r="C1018" s="49"/>
      <c r="D1018" s="2177"/>
      <c r="E1018" s="2177"/>
      <c r="F1018" s="2176" t="str">
        <f>$E$747</f>
        <v>ASHP-SEER17-Replace_CAC_ElectricHeat_ROF_SF</v>
      </c>
      <c r="G1018" s="2176"/>
      <c r="H1018" s="2176"/>
      <c r="I1018" s="2176"/>
      <c r="J1018" s="986" t="str">
        <f>$C$747</f>
        <v>353100_2024_12_</v>
      </c>
      <c r="K1018" s="1616">
        <v>1496</v>
      </c>
      <c r="L1018" s="249"/>
      <c r="M1018" s="744" t="s">
        <v>1363</v>
      </c>
      <c r="P1018" s="248"/>
      <c r="Q1018" s="248"/>
      <c r="R1018" s="248"/>
      <c r="T1018" s="169"/>
      <c r="U1018" s="50"/>
      <c r="V1018" s="2177"/>
      <c r="W1018" s="1326">
        <v>2009</v>
      </c>
      <c r="X1018" s="794">
        <v>1496</v>
      </c>
      <c r="Y1018" s="1326">
        <v>1496</v>
      </c>
      <c r="Z1018" s="1326">
        <v>1496</v>
      </c>
      <c r="AA1018" s="1326">
        <v>1496</v>
      </c>
      <c r="AB1018" s="1326">
        <v>1496</v>
      </c>
      <c r="AC1018" s="1326">
        <v>1496</v>
      </c>
      <c r="AD1018" s="1326">
        <v>1496</v>
      </c>
      <c r="AE1018" s="1326">
        <v>1496</v>
      </c>
      <c r="AF1018" s="258">
        <f t="shared" si="186"/>
        <v>1496</v>
      </c>
      <c r="AG1018" s="1326"/>
      <c r="DG1018" s="555"/>
      <c r="DH1018" s="151"/>
      <c r="DI1018" s="1049"/>
      <c r="DJ1018" s="1127"/>
    </row>
    <row r="1019" spans="1:114" ht="15" hidden="1" customHeight="1" outlineLevel="1" x14ac:dyDescent="0.25">
      <c r="A1019" s="442"/>
      <c r="C1019" s="49"/>
      <c r="D1019" s="2177"/>
      <c r="E1019" s="2177"/>
      <c r="F1019" s="2176" t="str">
        <f>$E$749</f>
        <v>ASHP-SEER17-Replace_CAC_NonElectricHeat_ROF_SF</v>
      </c>
      <c r="G1019" s="2176"/>
      <c r="H1019" s="2176"/>
      <c r="I1019" s="2176"/>
      <c r="J1019" s="986" t="str">
        <f>$C$749</f>
        <v>353110_2024_12_</v>
      </c>
      <c r="K1019" s="1616">
        <v>1496</v>
      </c>
      <c r="L1019" s="249"/>
      <c r="M1019" s="744" t="s">
        <v>1363</v>
      </c>
      <c r="P1019" s="248"/>
      <c r="Q1019" s="248"/>
      <c r="R1019" s="248"/>
      <c r="T1019" s="169"/>
      <c r="U1019" s="50"/>
      <c r="V1019" s="2177"/>
      <c r="W1019" s="1326"/>
      <c r="X1019" s="794"/>
      <c r="Y1019" s="1326"/>
      <c r="Z1019" s="1326"/>
      <c r="AA1019" s="1326"/>
      <c r="AB1019" s="1326"/>
      <c r="AC1019" s="1326"/>
      <c r="AD1019" s="794">
        <v>1496</v>
      </c>
      <c r="AE1019" s="1326">
        <v>1496</v>
      </c>
      <c r="AF1019" s="258">
        <f t="shared" si="186"/>
        <v>1496</v>
      </c>
      <c r="AG1019" s="1326"/>
      <c r="DG1019" s="555"/>
      <c r="DH1019" s="151"/>
      <c r="DI1019" s="1049"/>
      <c r="DJ1019" s="1127"/>
    </row>
    <row r="1020" spans="1:114" ht="15" hidden="1" customHeight="1" outlineLevel="1" x14ac:dyDescent="0.25">
      <c r="A1020" s="442"/>
      <c r="C1020" s="49"/>
      <c r="D1020" s="2177"/>
      <c r="E1020" s="2177"/>
      <c r="F1020" s="2176" t="str">
        <f>$E$751</f>
        <v>ASHP-SEER18-Replace_CAC_ElectricHeat_ROF_SF</v>
      </c>
      <c r="G1020" s="2176"/>
      <c r="H1020" s="2176"/>
      <c r="I1020" s="2176"/>
      <c r="J1020" s="986" t="str">
        <f>$C$751</f>
        <v>353200_2024_12_</v>
      </c>
      <c r="K1020" s="1616">
        <v>1496</v>
      </c>
      <c r="L1020" s="249"/>
      <c r="M1020" s="744" t="s">
        <v>1363</v>
      </c>
      <c r="P1020" s="248"/>
      <c r="Q1020" s="248"/>
      <c r="R1020" s="248"/>
      <c r="T1020" s="169"/>
      <c r="U1020" s="50"/>
      <c r="V1020" s="2177"/>
      <c r="W1020" s="1326">
        <v>2009</v>
      </c>
      <c r="X1020" s="794">
        <v>1496</v>
      </c>
      <c r="Y1020" s="1326">
        <v>1496</v>
      </c>
      <c r="Z1020" s="1326">
        <v>1496</v>
      </c>
      <c r="AA1020" s="1326">
        <v>1496</v>
      </c>
      <c r="AB1020" s="1326">
        <v>1496</v>
      </c>
      <c r="AC1020" s="1326">
        <v>1496</v>
      </c>
      <c r="AD1020" s="1326">
        <v>1496</v>
      </c>
      <c r="AE1020" s="1326">
        <v>1496</v>
      </c>
      <c r="AF1020" s="258">
        <f t="shared" si="186"/>
        <v>1496</v>
      </c>
      <c r="AG1020" s="1326"/>
      <c r="DG1020" s="555"/>
      <c r="DH1020" s="151"/>
      <c r="DI1020" s="1049"/>
      <c r="DJ1020" s="1127"/>
    </row>
    <row r="1021" spans="1:114" ht="15" hidden="1" customHeight="1" outlineLevel="1" x14ac:dyDescent="0.25">
      <c r="A1021" s="442"/>
      <c r="C1021" s="49"/>
      <c r="D1021" s="2177"/>
      <c r="E1021" s="2177"/>
      <c r="F1021" s="2176" t="str">
        <f>$E$753</f>
        <v>ASHP-SEER18-Replace_CAC_NonElectricHeat_ROF_SF</v>
      </c>
      <c r="G1021" s="2176"/>
      <c r="H1021" s="2176"/>
      <c r="I1021" s="2176"/>
      <c r="J1021" s="986" t="str">
        <f>$C$753</f>
        <v>353210_2024_12_</v>
      </c>
      <c r="K1021" s="1616">
        <v>1496</v>
      </c>
      <c r="L1021" s="249"/>
      <c r="M1021" s="744" t="s">
        <v>1363</v>
      </c>
      <c r="P1021" s="248"/>
      <c r="Q1021" s="248"/>
      <c r="R1021" s="248"/>
      <c r="T1021" s="169"/>
      <c r="U1021" s="50"/>
      <c r="V1021" s="2177"/>
      <c r="W1021" s="1326"/>
      <c r="X1021" s="794"/>
      <c r="Y1021" s="1326"/>
      <c r="Z1021" s="1326"/>
      <c r="AA1021" s="1326"/>
      <c r="AB1021" s="1326"/>
      <c r="AC1021" s="1326"/>
      <c r="AD1021" s="794">
        <v>1496</v>
      </c>
      <c r="AE1021" s="1326">
        <v>1496</v>
      </c>
      <c r="AF1021" s="258">
        <f t="shared" si="186"/>
        <v>1496</v>
      </c>
      <c r="AG1021" s="1326"/>
      <c r="DG1021" s="555"/>
      <c r="DH1021" s="151"/>
      <c r="DI1021" s="1049"/>
      <c r="DJ1021" s="1127"/>
    </row>
    <row r="1022" spans="1:114" ht="15" hidden="1" customHeight="1" outlineLevel="1" x14ac:dyDescent="0.25">
      <c r="A1022" s="442"/>
      <c r="C1022" s="49"/>
      <c r="D1022" s="2177"/>
      <c r="E1022" s="2177"/>
      <c r="F1022" s="2176" t="str">
        <f>$E$755</f>
        <v>ASHP-SEER19-Replace_CAC_ElectricHeat_ROF_SF</v>
      </c>
      <c r="G1022" s="2176"/>
      <c r="H1022" s="2176"/>
      <c r="I1022" s="2176"/>
      <c r="J1022" s="986" t="str">
        <f>$C$755</f>
        <v>353300_2024_12_</v>
      </c>
      <c r="K1022" s="1616">
        <v>1496</v>
      </c>
      <c r="L1022" s="249"/>
      <c r="M1022" s="744" t="s">
        <v>1363</v>
      </c>
      <c r="P1022" s="248"/>
      <c r="Q1022" s="248"/>
      <c r="R1022" s="248"/>
      <c r="T1022" s="169"/>
      <c r="U1022" s="50"/>
      <c r="V1022" s="2177"/>
      <c r="W1022" s="1326">
        <v>2009</v>
      </c>
      <c r="X1022" s="794">
        <v>1496</v>
      </c>
      <c r="Y1022" s="1326">
        <v>1496</v>
      </c>
      <c r="Z1022" s="1326">
        <v>1496</v>
      </c>
      <c r="AA1022" s="1326">
        <v>1496</v>
      </c>
      <c r="AB1022" s="1326">
        <v>1496</v>
      </c>
      <c r="AC1022" s="1326">
        <v>1496</v>
      </c>
      <c r="AD1022" s="1326">
        <v>1496</v>
      </c>
      <c r="AE1022" s="1326">
        <v>1496</v>
      </c>
      <c r="AF1022" s="258">
        <f t="shared" ref="AF1022:AF1056" si="187">IF(K1022&lt;&gt;"",K1022,"")</f>
        <v>1496</v>
      </c>
      <c r="AG1022" s="1326"/>
      <c r="DG1022" s="555"/>
      <c r="DH1022" s="151"/>
      <c r="DI1022" s="1049"/>
      <c r="DJ1022" s="1127"/>
    </row>
    <row r="1023" spans="1:114" ht="15" hidden="1" customHeight="1" outlineLevel="1" x14ac:dyDescent="0.25">
      <c r="A1023" s="442"/>
      <c r="C1023" s="49"/>
      <c r="D1023" s="2177"/>
      <c r="E1023" s="2177"/>
      <c r="F1023" s="2176" t="str">
        <f>$E$757</f>
        <v>ASHP-SEER19-Replace_CAC_NonElectricHeat_ROF_SF</v>
      </c>
      <c r="G1023" s="2176"/>
      <c r="H1023" s="2176"/>
      <c r="I1023" s="2176"/>
      <c r="J1023" s="986" t="str">
        <f>$C$757</f>
        <v>353310_2024_12_</v>
      </c>
      <c r="K1023" s="1616">
        <v>1496</v>
      </c>
      <c r="L1023" s="249"/>
      <c r="M1023" s="744" t="s">
        <v>1363</v>
      </c>
      <c r="P1023" s="248"/>
      <c r="Q1023" s="248"/>
      <c r="R1023" s="248"/>
      <c r="T1023" s="169"/>
      <c r="U1023" s="50"/>
      <c r="V1023" s="2177"/>
      <c r="W1023" s="1326"/>
      <c r="X1023" s="794"/>
      <c r="Y1023" s="1326"/>
      <c r="Z1023" s="1326"/>
      <c r="AA1023" s="1326"/>
      <c r="AB1023" s="1326"/>
      <c r="AC1023" s="1326"/>
      <c r="AD1023" s="794">
        <v>1496</v>
      </c>
      <c r="AE1023" s="1326">
        <v>1496</v>
      </c>
      <c r="AF1023" s="258">
        <f t="shared" si="187"/>
        <v>1496</v>
      </c>
      <c r="AG1023" s="1326"/>
      <c r="DG1023" s="555"/>
      <c r="DH1023" s="151"/>
      <c r="DI1023" s="1049"/>
      <c r="DJ1023" s="1127"/>
    </row>
    <row r="1024" spans="1:114" ht="15" hidden="1" customHeight="1" outlineLevel="1" x14ac:dyDescent="0.25">
      <c r="A1024" s="442"/>
      <c r="C1024" s="49"/>
      <c r="D1024" s="2177"/>
      <c r="E1024" s="2177"/>
      <c r="F1024" s="2176" t="str">
        <f>$E$759</f>
        <v>ASHP-SEER20-Replace_CAC_ElectricHeat_ER1_SF</v>
      </c>
      <c r="G1024" s="2176"/>
      <c r="H1024" s="2176"/>
      <c r="I1024" s="2176"/>
      <c r="J1024" s="986" t="str">
        <f>$C$759</f>
        <v>353400_2024_12_</v>
      </c>
      <c r="K1024" s="1616">
        <v>1496</v>
      </c>
      <c r="L1024" s="249"/>
      <c r="M1024" s="744" t="s">
        <v>1363</v>
      </c>
      <c r="P1024" s="248"/>
      <c r="Q1024" s="248"/>
      <c r="R1024" s="248"/>
      <c r="T1024" s="169"/>
      <c r="U1024" s="50"/>
      <c r="V1024" s="2177"/>
      <c r="W1024" s="1326">
        <v>2009</v>
      </c>
      <c r="X1024" s="794">
        <v>1496</v>
      </c>
      <c r="Y1024" s="1326">
        <v>1496</v>
      </c>
      <c r="Z1024" s="1326">
        <v>1496</v>
      </c>
      <c r="AA1024" s="1326">
        <v>1496</v>
      </c>
      <c r="AB1024" s="1326">
        <v>1496</v>
      </c>
      <c r="AC1024" s="1326">
        <v>1496</v>
      </c>
      <c r="AD1024" s="1326">
        <v>1496</v>
      </c>
      <c r="AE1024" s="1326">
        <v>1496</v>
      </c>
      <c r="AF1024" s="258">
        <f t="shared" si="187"/>
        <v>1496</v>
      </c>
      <c r="AG1024" s="1326"/>
      <c r="DG1024" s="555"/>
      <c r="DH1024" s="151"/>
      <c r="DI1024" s="1049"/>
      <c r="DJ1024" s="1127"/>
    </row>
    <row r="1025" spans="1:114" ht="15" hidden="1" customHeight="1" outlineLevel="1" x14ac:dyDescent="0.25">
      <c r="A1025" s="442"/>
      <c r="C1025" s="49"/>
      <c r="D1025" s="2177"/>
      <c r="E1025" s="2177"/>
      <c r="F1025" s="2176" t="str">
        <f>$E$761</f>
        <v>ASHP-SEER20-Replace_CAC_ElectricHeat_ER2_SF</v>
      </c>
      <c r="G1025" s="2176"/>
      <c r="H1025" s="2176"/>
      <c r="I1025" s="2176"/>
      <c r="J1025" s="986" t="str">
        <f>$C$761</f>
        <v>353400_2024_12_</v>
      </c>
      <c r="K1025" s="1616">
        <v>1496</v>
      </c>
      <c r="L1025" s="249"/>
      <c r="M1025" s="744" t="s">
        <v>1363</v>
      </c>
      <c r="P1025" s="248"/>
      <c r="Q1025" s="248"/>
      <c r="R1025" s="248"/>
      <c r="T1025" s="169"/>
      <c r="U1025" s="50"/>
      <c r="V1025" s="2177"/>
      <c r="W1025" s="1326">
        <v>2009</v>
      </c>
      <c r="X1025" s="794">
        <v>1496</v>
      </c>
      <c r="Y1025" s="1326">
        <v>1496</v>
      </c>
      <c r="Z1025" s="1326">
        <v>1496</v>
      </c>
      <c r="AA1025" s="1326">
        <v>1496</v>
      </c>
      <c r="AB1025" s="1326">
        <v>1496</v>
      </c>
      <c r="AC1025" s="1326">
        <v>1496</v>
      </c>
      <c r="AD1025" s="1326">
        <v>1496</v>
      </c>
      <c r="AE1025" s="1326">
        <v>1496</v>
      </c>
      <c r="AF1025" s="258">
        <f t="shared" si="187"/>
        <v>1496</v>
      </c>
      <c r="AG1025" s="1326"/>
      <c r="DG1025" s="555"/>
      <c r="DH1025" s="151"/>
      <c r="DI1025" s="1049"/>
      <c r="DJ1025" s="1127"/>
    </row>
    <row r="1026" spans="1:114" ht="15" hidden="1" customHeight="1" outlineLevel="1" x14ac:dyDescent="0.25">
      <c r="A1026" s="442"/>
      <c r="C1026" s="49"/>
      <c r="D1026" s="2177"/>
      <c r="E1026" s="2177"/>
      <c r="F1026" s="2176" t="str">
        <f>$E$763</f>
        <v>ASHP-SEER20-Replace_CAC_NonElectricHeat_ER1_SF</v>
      </c>
      <c r="G1026" s="2176"/>
      <c r="H1026" s="2176"/>
      <c r="I1026" s="2176"/>
      <c r="J1026" s="986" t="str">
        <f>$C$763</f>
        <v>353410_2024_12_</v>
      </c>
      <c r="K1026" s="1618">
        <v>1496</v>
      </c>
      <c r="L1026" s="249"/>
      <c r="M1026" s="744" t="s">
        <v>1363</v>
      </c>
      <c r="P1026" s="248"/>
      <c r="Q1026" s="248"/>
      <c r="R1026" s="248"/>
      <c r="T1026" s="169"/>
      <c r="U1026" s="50"/>
      <c r="V1026" s="2177"/>
      <c r="W1026" s="1326"/>
      <c r="X1026" s="794"/>
      <c r="Y1026" s="1326"/>
      <c r="Z1026" s="1326"/>
      <c r="AA1026" s="1326"/>
      <c r="AB1026" s="1326"/>
      <c r="AC1026" s="790">
        <v>1496</v>
      </c>
      <c r="AD1026" s="766">
        <v>1496</v>
      </c>
      <c r="AE1026" s="766">
        <v>1496</v>
      </c>
      <c r="AF1026" s="258">
        <f t="shared" si="187"/>
        <v>1496</v>
      </c>
      <c r="AG1026" s="1326"/>
      <c r="DG1026" s="555"/>
      <c r="DH1026" s="151"/>
      <c r="DI1026" s="1049"/>
      <c r="DJ1026" s="1127"/>
    </row>
    <row r="1027" spans="1:114" ht="15" hidden="1" customHeight="1" outlineLevel="1" x14ac:dyDescent="0.25">
      <c r="A1027" s="442"/>
      <c r="C1027" s="49"/>
      <c r="D1027" s="2177"/>
      <c r="E1027" s="2177"/>
      <c r="F1027" s="2176" t="str">
        <f>$E$765</f>
        <v>ASHP-SEER20-Replace_CAC_NonElectricHeat_ER2_SF</v>
      </c>
      <c r="G1027" s="2176"/>
      <c r="H1027" s="2176"/>
      <c r="I1027" s="2176"/>
      <c r="J1027" s="986" t="str">
        <f>$C$765</f>
        <v>353410_2024_12_</v>
      </c>
      <c r="K1027" s="1618">
        <v>1496</v>
      </c>
      <c r="L1027" s="249"/>
      <c r="M1027" s="744" t="s">
        <v>1363</v>
      </c>
      <c r="P1027" s="248"/>
      <c r="Q1027" s="248"/>
      <c r="R1027" s="248"/>
      <c r="T1027" s="169"/>
      <c r="U1027" s="50"/>
      <c r="V1027" s="2177"/>
      <c r="W1027" s="1326"/>
      <c r="X1027" s="794"/>
      <c r="Y1027" s="1326"/>
      <c r="Z1027" s="1326"/>
      <c r="AA1027" s="1326"/>
      <c r="AB1027" s="1326"/>
      <c r="AC1027" s="790">
        <v>1496</v>
      </c>
      <c r="AD1027" s="766">
        <v>1496</v>
      </c>
      <c r="AE1027" s="766">
        <v>1496</v>
      </c>
      <c r="AF1027" s="258">
        <f t="shared" si="187"/>
        <v>1496</v>
      </c>
      <c r="AG1027" s="1326"/>
      <c r="DG1027" s="555"/>
      <c r="DH1027" s="151"/>
      <c r="DI1027" s="1049"/>
      <c r="DJ1027" s="1127"/>
    </row>
    <row r="1028" spans="1:114" ht="15" hidden="1" customHeight="1" outlineLevel="1" x14ac:dyDescent="0.25">
      <c r="A1028" s="442"/>
      <c r="C1028" s="49"/>
      <c r="D1028" s="2177"/>
      <c r="E1028" s="2177"/>
      <c r="F1028" s="2176" t="str">
        <f>$E$767</f>
        <v>ASHP-SEER20-Replace_CAC_ElectricHeat_ROF_SF</v>
      </c>
      <c r="G1028" s="2176"/>
      <c r="H1028" s="2176"/>
      <c r="I1028" s="2176"/>
      <c r="J1028" s="986" t="str">
        <f>$C$767</f>
        <v>353450_2024_12_</v>
      </c>
      <c r="K1028" s="1616">
        <v>1496</v>
      </c>
      <c r="L1028" s="249"/>
      <c r="M1028" s="744" t="s">
        <v>1363</v>
      </c>
      <c r="P1028" s="248"/>
      <c r="Q1028" s="248"/>
      <c r="R1028" s="248"/>
      <c r="T1028" s="169"/>
      <c r="U1028" s="50"/>
      <c r="V1028" s="2177"/>
      <c r="W1028" s="1326">
        <v>2009</v>
      </c>
      <c r="X1028" s="794">
        <v>1496</v>
      </c>
      <c r="Y1028" s="1326">
        <v>1496</v>
      </c>
      <c r="Z1028" s="1326">
        <v>1496</v>
      </c>
      <c r="AA1028" s="1326">
        <v>1496</v>
      </c>
      <c r="AB1028" s="1326">
        <v>1496</v>
      </c>
      <c r="AC1028" s="1326">
        <v>1496</v>
      </c>
      <c r="AD1028" s="1326">
        <v>1496</v>
      </c>
      <c r="AE1028" s="1326">
        <v>1496</v>
      </c>
      <c r="AF1028" s="258">
        <f t="shared" si="187"/>
        <v>1496</v>
      </c>
      <c r="AG1028" s="1326"/>
      <c r="DG1028" s="555"/>
      <c r="DH1028" s="151"/>
      <c r="DI1028" s="1049"/>
      <c r="DJ1028" s="1127"/>
    </row>
    <row r="1029" spans="1:114" ht="15" hidden="1" customHeight="1" outlineLevel="1" x14ac:dyDescent="0.25">
      <c r="A1029" s="442"/>
      <c r="C1029" s="49"/>
      <c r="D1029" s="2177"/>
      <c r="E1029" s="2177"/>
      <c r="F1029" s="2176" t="str">
        <f>$E$769</f>
        <v>ASHP-SEER20-Replace_CAC_NonElectricHeat_ROF_SF</v>
      </c>
      <c r="G1029" s="2176"/>
      <c r="H1029" s="2176"/>
      <c r="I1029" s="2176"/>
      <c r="J1029" s="986" t="str">
        <f>$C$769</f>
        <v>353460_2024_12_</v>
      </c>
      <c r="K1029" s="1616">
        <v>1496</v>
      </c>
      <c r="L1029" s="249"/>
      <c r="M1029" s="744" t="s">
        <v>1363</v>
      </c>
      <c r="P1029" s="248"/>
      <c r="Q1029" s="248"/>
      <c r="R1029" s="248"/>
      <c r="T1029" s="169"/>
      <c r="U1029" s="50"/>
      <c r="V1029" s="2177"/>
      <c r="W1029" s="1326"/>
      <c r="X1029" s="794"/>
      <c r="Y1029" s="1326"/>
      <c r="Z1029" s="1326"/>
      <c r="AA1029" s="1326"/>
      <c r="AB1029" s="1326"/>
      <c r="AC1029" s="1326"/>
      <c r="AD1029" s="794">
        <v>1496</v>
      </c>
      <c r="AE1029" s="1326">
        <v>1496</v>
      </c>
      <c r="AF1029" s="258">
        <f t="shared" si="187"/>
        <v>1496</v>
      </c>
      <c r="AG1029" s="1326"/>
      <c r="DG1029" s="555"/>
      <c r="DH1029" s="151"/>
      <c r="DI1029" s="1049"/>
      <c r="DJ1029" s="1127"/>
    </row>
    <row r="1030" spans="1:114" ht="15" hidden="1" customHeight="1" outlineLevel="1" x14ac:dyDescent="0.25">
      <c r="A1030" s="442"/>
      <c r="C1030" s="49"/>
      <c r="D1030" s="2177"/>
      <c r="E1030" s="2177"/>
      <c r="F1030" s="2176" t="str">
        <f>$E$771</f>
        <v>ASHP-SEER21-Replace_CAC_ElectricHeat_ER1_SF</v>
      </c>
      <c r="G1030" s="2176"/>
      <c r="H1030" s="2176"/>
      <c r="I1030" s="2176"/>
      <c r="J1030" s="986" t="str">
        <f>$C$771</f>
        <v>353550_2024_12_</v>
      </c>
      <c r="K1030" s="1616">
        <v>1496</v>
      </c>
      <c r="L1030" s="249"/>
      <c r="M1030" s="744" t="s">
        <v>1363</v>
      </c>
      <c r="P1030" s="248"/>
      <c r="Q1030" s="248"/>
      <c r="R1030" s="248"/>
      <c r="T1030" s="169"/>
      <c r="U1030" s="50"/>
      <c r="V1030" s="2177"/>
      <c r="W1030" s="1326">
        <v>2009</v>
      </c>
      <c r="X1030" s="794">
        <v>1496</v>
      </c>
      <c r="Y1030" s="1326">
        <v>1496</v>
      </c>
      <c r="Z1030" s="1326">
        <v>1496</v>
      </c>
      <c r="AA1030" s="1326">
        <v>1496</v>
      </c>
      <c r="AB1030" s="1326">
        <v>1496</v>
      </c>
      <c r="AC1030" s="1326">
        <v>1496</v>
      </c>
      <c r="AD1030" s="1326">
        <v>1496</v>
      </c>
      <c r="AE1030" s="1326">
        <v>1496</v>
      </c>
      <c r="AF1030" s="258">
        <f t="shared" si="187"/>
        <v>1496</v>
      </c>
      <c r="AG1030" s="1326"/>
      <c r="DG1030" s="555"/>
      <c r="DH1030" s="151"/>
      <c r="DI1030" s="1049"/>
      <c r="DJ1030" s="1127"/>
    </row>
    <row r="1031" spans="1:114" ht="15" hidden="1" customHeight="1" outlineLevel="1" x14ac:dyDescent="0.25">
      <c r="A1031" s="442"/>
      <c r="C1031" s="49"/>
      <c r="D1031" s="2177"/>
      <c r="E1031" s="2177"/>
      <c r="F1031" s="2176" t="str">
        <f>$E$773</f>
        <v>ASHP-SEER21-Replace_CAC_ElectricHeat_ER2_SF</v>
      </c>
      <c r="G1031" s="2176"/>
      <c r="H1031" s="2176"/>
      <c r="I1031" s="2176"/>
      <c r="J1031" s="986" t="str">
        <f>$C$773</f>
        <v>353550_2024_12_</v>
      </c>
      <c r="K1031" s="1616">
        <v>1496</v>
      </c>
      <c r="L1031" s="249"/>
      <c r="M1031" s="744" t="s">
        <v>1363</v>
      </c>
      <c r="P1031" s="248"/>
      <c r="Q1031" s="196"/>
      <c r="R1031" s="248"/>
      <c r="T1031" s="169"/>
      <c r="U1031" s="50"/>
      <c r="V1031" s="2177"/>
      <c r="W1031" s="1326">
        <v>2009</v>
      </c>
      <c r="X1031" s="794">
        <v>1496</v>
      </c>
      <c r="Y1031" s="1326">
        <v>1496</v>
      </c>
      <c r="Z1031" s="1326">
        <v>1496</v>
      </c>
      <c r="AA1031" s="1326">
        <v>1496</v>
      </c>
      <c r="AB1031" s="1326">
        <v>1496</v>
      </c>
      <c r="AC1031" s="1326">
        <v>1496</v>
      </c>
      <c r="AD1031" s="1326">
        <v>1496</v>
      </c>
      <c r="AE1031" s="1326">
        <v>1496</v>
      </c>
      <c r="AF1031" s="258">
        <f t="shared" si="187"/>
        <v>1496</v>
      </c>
      <c r="AG1031" s="1326"/>
      <c r="DG1031" s="555"/>
      <c r="DH1031" s="151"/>
      <c r="DI1031" s="1049"/>
      <c r="DJ1031" s="1127"/>
    </row>
    <row r="1032" spans="1:114" ht="15" hidden="1" customHeight="1" outlineLevel="1" x14ac:dyDescent="0.25">
      <c r="A1032" s="442"/>
      <c r="C1032" s="49"/>
      <c r="D1032" s="2177"/>
      <c r="E1032" s="2177"/>
      <c r="F1032" s="2176" t="str">
        <f>$E$775</f>
        <v>ASHP-SEER21-Replace_CAC_NonElectricHeat_ER1_SF</v>
      </c>
      <c r="G1032" s="2176"/>
      <c r="H1032" s="2176"/>
      <c r="I1032" s="2176"/>
      <c r="J1032" s="986" t="str">
        <f>$C$775</f>
        <v>353560_2024_12_</v>
      </c>
      <c r="K1032" s="1618">
        <v>1496</v>
      </c>
      <c r="L1032" s="249"/>
      <c r="M1032" s="744" t="s">
        <v>1363</v>
      </c>
      <c r="P1032" s="248"/>
      <c r="Q1032" s="196"/>
      <c r="R1032" s="248"/>
      <c r="T1032" s="169"/>
      <c r="U1032" s="50"/>
      <c r="V1032" s="2177"/>
      <c r="W1032" s="1326"/>
      <c r="X1032" s="794"/>
      <c r="Y1032" s="1326"/>
      <c r="Z1032" s="1326"/>
      <c r="AA1032" s="1326"/>
      <c r="AB1032" s="1326"/>
      <c r="AC1032" s="790">
        <v>1496</v>
      </c>
      <c r="AD1032" s="766">
        <v>1496</v>
      </c>
      <c r="AE1032" s="766">
        <v>1496</v>
      </c>
      <c r="AF1032" s="258">
        <f t="shared" si="187"/>
        <v>1496</v>
      </c>
      <c r="AG1032" s="1326"/>
      <c r="DG1032" s="555"/>
      <c r="DH1032" s="151"/>
      <c r="DI1032" s="1049"/>
      <c r="DJ1032" s="1127"/>
    </row>
    <row r="1033" spans="1:114" ht="15" hidden="1" customHeight="1" outlineLevel="1" x14ac:dyDescent="0.25">
      <c r="A1033" s="442"/>
      <c r="C1033" s="49"/>
      <c r="D1033" s="2177"/>
      <c r="E1033" s="2177"/>
      <c r="F1033" s="2176" t="str">
        <f>$E$777</f>
        <v>ASHP-SEER21-Replace_CAC_NonElectricHeat_ER2_SF</v>
      </c>
      <c r="G1033" s="2176"/>
      <c r="H1033" s="2176"/>
      <c r="I1033" s="2176"/>
      <c r="J1033" s="986" t="str">
        <f>$C$777</f>
        <v>353560_2024_12_</v>
      </c>
      <c r="K1033" s="1618">
        <v>1496</v>
      </c>
      <c r="L1033" s="249"/>
      <c r="M1033" s="744" t="s">
        <v>1363</v>
      </c>
      <c r="P1033" s="248"/>
      <c r="Q1033" s="196"/>
      <c r="R1033" s="248"/>
      <c r="T1033" s="169"/>
      <c r="U1033" s="50"/>
      <c r="V1033" s="2177"/>
      <c r="W1033" s="1326"/>
      <c r="X1033" s="794"/>
      <c r="Y1033" s="1326"/>
      <c r="Z1033" s="1326"/>
      <c r="AA1033" s="1326"/>
      <c r="AB1033" s="1326"/>
      <c r="AC1033" s="790">
        <v>1496</v>
      </c>
      <c r="AD1033" s="766">
        <v>1496</v>
      </c>
      <c r="AE1033" s="766">
        <v>1496</v>
      </c>
      <c r="AF1033" s="258">
        <f t="shared" si="187"/>
        <v>1496</v>
      </c>
      <c r="AG1033" s="1326"/>
      <c r="DG1033" s="555"/>
      <c r="DH1033" s="151"/>
      <c r="DI1033" s="1049"/>
      <c r="DJ1033" s="1127"/>
    </row>
    <row r="1034" spans="1:114" ht="15" hidden="1" customHeight="1" outlineLevel="1" x14ac:dyDescent="0.25">
      <c r="A1034" s="442"/>
      <c r="C1034" s="49"/>
      <c r="D1034" s="2177"/>
      <c r="E1034" s="2177"/>
      <c r="F1034" s="2176" t="str">
        <f>$E$779</f>
        <v>ASHP-SEER21-Replace_CAC_ElectricHeat_ER1_MF</v>
      </c>
      <c r="G1034" s="2176"/>
      <c r="H1034" s="2176"/>
      <c r="I1034" s="2176"/>
      <c r="J1034" s="986" t="str">
        <f>$C$779</f>
        <v>353600_2024_12_</v>
      </c>
      <c r="K1034" s="1616">
        <v>1496</v>
      </c>
      <c r="L1034" s="249"/>
      <c r="M1034" s="744" t="s">
        <v>1363</v>
      </c>
      <c r="P1034" s="248"/>
      <c r="Q1034" s="196"/>
      <c r="R1034" s="248"/>
      <c r="T1034" s="169"/>
      <c r="U1034" s="50"/>
      <c r="V1034" s="2177"/>
      <c r="W1034" s="1326">
        <v>2009</v>
      </c>
      <c r="X1034" s="794">
        <v>1496</v>
      </c>
      <c r="Y1034" s="1326">
        <v>1496</v>
      </c>
      <c r="Z1034" s="1326">
        <v>1496</v>
      </c>
      <c r="AA1034" s="1326">
        <v>1496</v>
      </c>
      <c r="AB1034" s="1326">
        <v>1496</v>
      </c>
      <c r="AC1034" s="1326">
        <v>1496</v>
      </c>
      <c r="AD1034" s="1326">
        <v>1496</v>
      </c>
      <c r="AE1034" s="1326">
        <v>1496</v>
      </c>
      <c r="AF1034" s="258">
        <f t="shared" si="187"/>
        <v>1496</v>
      </c>
      <c r="AG1034" s="1326"/>
      <c r="DG1034" s="555"/>
      <c r="DH1034" s="151"/>
      <c r="DI1034" s="1049"/>
      <c r="DJ1034" s="1127"/>
    </row>
    <row r="1035" spans="1:114" ht="15" hidden="1" customHeight="1" outlineLevel="1" x14ac:dyDescent="0.25">
      <c r="A1035" s="442"/>
      <c r="C1035" s="49"/>
      <c r="D1035" s="2177"/>
      <c r="E1035" s="2177"/>
      <c r="F1035" s="2176" t="str">
        <f>$E$781</f>
        <v>ASHP-SEER21-Replace_CAC_ElectricHeat_ER2_MF</v>
      </c>
      <c r="G1035" s="2176"/>
      <c r="H1035" s="2176"/>
      <c r="I1035" s="2176"/>
      <c r="J1035" s="986" t="str">
        <f>$C$781</f>
        <v>353600_2024_12_</v>
      </c>
      <c r="K1035" s="1616">
        <v>1496</v>
      </c>
      <c r="L1035" s="249"/>
      <c r="M1035" s="744" t="s">
        <v>1363</v>
      </c>
      <c r="P1035" s="248"/>
      <c r="Q1035" s="196"/>
      <c r="R1035" s="248"/>
      <c r="T1035" s="169"/>
      <c r="U1035" s="50"/>
      <c r="V1035" s="2177"/>
      <c r="W1035" s="1326">
        <v>2009</v>
      </c>
      <c r="X1035" s="794">
        <v>1496</v>
      </c>
      <c r="Y1035" s="1326">
        <v>1496</v>
      </c>
      <c r="Z1035" s="1326">
        <v>1496</v>
      </c>
      <c r="AA1035" s="1326">
        <v>1496</v>
      </c>
      <c r="AB1035" s="1326">
        <v>1496</v>
      </c>
      <c r="AC1035" s="1326">
        <v>1496</v>
      </c>
      <c r="AD1035" s="1326">
        <v>1496</v>
      </c>
      <c r="AE1035" s="1326">
        <v>1496</v>
      </c>
      <c r="AF1035" s="258">
        <f t="shared" si="187"/>
        <v>1496</v>
      </c>
      <c r="AG1035" s="1326"/>
      <c r="DG1035" s="555"/>
      <c r="DH1035" s="151"/>
      <c r="DI1035" s="1049"/>
      <c r="DJ1035" s="1127"/>
    </row>
    <row r="1036" spans="1:114" ht="15" hidden="1" customHeight="1" outlineLevel="1" x14ac:dyDescent="0.25">
      <c r="A1036" s="442"/>
      <c r="C1036" s="49"/>
      <c r="D1036" s="2177"/>
      <c r="E1036" s="2177"/>
      <c r="F1036" s="2176" t="str">
        <f>$E$783</f>
        <v>ASHP-SEER21-Replace_CAC_ElectricHeat_ROF_SF</v>
      </c>
      <c r="G1036" s="2176"/>
      <c r="H1036" s="2176"/>
      <c r="I1036" s="2176"/>
      <c r="J1036" s="986" t="str">
        <f>$C$783</f>
        <v>353650_2024_12_</v>
      </c>
      <c r="K1036" s="1616">
        <v>1496</v>
      </c>
      <c r="L1036" s="249"/>
      <c r="M1036" s="744" t="s">
        <v>1363</v>
      </c>
      <c r="P1036" s="248"/>
      <c r="Q1036" s="196"/>
      <c r="R1036" s="248"/>
      <c r="T1036" s="169"/>
      <c r="U1036" s="50"/>
      <c r="V1036" s="2177"/>
      <c r="W1036" s="1326">
        <v>2009</v>
      </c>
      <c r="X1036" s="794">
        <v>1496</v>
      </c>
      <c r="Y1036" s="1326">
        <v>1496</v>
      </c>
      <c r="Z1036" s="1326">
        <v>1496</v>
      </c>
      <c r="AA1036" s="1326">
        <v>1496</v>
      </c>
      <c r="AB1036" s="1326">
        <v>1496</v>
      </c>
      <c r="AC1036" s="1326">
        <v>1496</v>
      </c>
      <c r="AD1036" s="1326">
        <v>1496</v>
      </c>
      <c r="AE1036" s="1326">
        <v>1496</v>
      </c>
      <c r="AF1036" s="258">
        <f t="shared" si="187"/>
        <v>1496</v>
      </c>
      <c r="AG1036" s="1326"/>
      <c r="DG1036" s="555"/>
      <c r="DH1036" s="151"/>
      <c r="DI1036" s="1049"/>
      <c r="DJ1036" s="1127"/>
    </row>
    <row r="1037" spans="1:114" ht="15" hidden="1" customHeight="1" outlineLevel="1" x14ac:dyDescent="0.25">
      <c r="A1037" s="442"/>
      <c r="C1037" s="49"/>
      <c r="D1037" s="2177"/>
      <c r="E1037" s="2177"/>
      <c r="F1037" s="2176" t="str">
        <f>$E$785</f>
        <v>ASHP-SEER21-Replace_CAC_NonElectricHeat_ROF_SF</v>
      </c>
      <c r="G1037" s="2176"/>
      <c r="H1037" s="2176"/>
      <c r="I1037" s="2176"/>
      <c r="J1037" s="986" t="str">
        <f>$C$785</f>
        <v>353660_2024_12_</v>
      </c>
      <c r="K1037" s="1616">
        <v>1496</v>
      </c>
      <c r="L1037" s="249"/>
      <c r="M1037" s="744" t="s">
        <v>1363</v>
      </c>
      <c r="P1037" s="248"/>
      <c r="Q1037" s="196"/>
      <c r="R1037" s="248"/>
      <c r="T1037" s="169"/>
      <c r="U1037" s="50"/>
      <c r="V1037" s="2177"/>
      <c r="W1037" s="1326"/>
      <c r="X1037" s="794"/>
      <c r="Y1037" s="1326"/>
      <c r="Z1037" s="1326"/>
      <c r="AA1037" s="1326"/>
      <c r="AB1037" s="1326"/>
      <c r="AC1037" s="1326"/>
      <c r="AD1037" s="794">
        <v>1496</v>
      </c>
      <c r="AE1037" s="1326">
        <v>1496</v>
      </c>
      <c r="AF1037" s="258">
        <f t="shared" si="187"/>
        <v>1496</v>
      </c>
      <c r="AG1037" s="1326"/>
      <c r="DG1037" s="555"/>
      <c r="DH1037" s="151"/>
      <c r="DI1037" s="1049"/>
      <c r="DJ1037" s="1127"/>
    </row>
    <row r="1038" spans="1:114" ht="15" hidden="1" customHeight="1" outlineLevel="1" x14ac:dyDescent="0.25">
      <c r="A1038" s="442"/>
      <c r="C1038" s="49"/>
      <c r="D1038" s="2177"/>
      <c r="E1038" s="2177"/>
      <c r="F1038" s="2176" t="str">
        <f>$E$787</f>
        <v>ASHP-SEER17_ER1_SF</v>
      </c>
      <c r="G1038" s="2176"/>
      <c r="H1038" s="2176"/>
      <c r="I1038" s="2176"/>
      <c r="J1038" s="986" t="str">
        <f>$C$787</f>
        <v>353750_2024_12_</v>
      </c>
      <c r="K1038" s="1616">
        <v>1496</v>
      </c>
      <c r="L1038" s="249"/>
      <c r="M1038" s="744" t="s">
        <v>1363</v>
      </c>
      <c r="P1038" s="248"/>
      <c r="Q1038" s="196"/>
      <c r="R1038" s="248"/>
      <c r="T1038" s="169"/>
      <c r="U1038" s="50"/>
      <c r="V1038" s="2177"/>
      <c r="W1038" s="1326">
        <v>2009</v>
      </c>
      <c r="X1038" s="794">
        <v>1496</v>
      </c>
      <c r="Y1038" s="1326">
        <v>1496</v>
      </c>
      <c r="Z1038" s="1326">
        <v>1496</v>
      </c>
      <c r="AA1038" s="1326">
        <v>1496</v>
      </c>
      <c r="AB1038" s="1326">
        <v>1496</v>
      </c>
      <c r="AC1038" s="1326">
        <v>1496</v>
      </c>
      <c r="AD1038" s="1326">
        <v>1496</v>
      </c>
      <c r="AE1038" s="1326">
        <v>1496</v>
      </c>
      <c r="AF1038" s="258">
        <f t="shared" si="187"/>
        <v>1496</v>
      </c>
      <c r="AG1038" s="1326"/>
      <c r="DG1038" s="555"/>
      <c r="DH1038" s="151"/>
      <c r="DI1038" s="1049"/>
      <c r="DJ1038" s="1127"/>
    </row>
    <row r="1039" spans="1:114" ht="15" hidden="1" customHeight="1" outlineLevel="1" x14ac:dyDescent="0.25">
      <c r="A1039" s="442"/>
      <c r="C1039" s="49"/>
      <c r="D1039" s="2177"/>
      <c r="E1039" s="2177"/>
      <c r="F1039" s="2176" t="str">
        <f>$E$789</f>
        <v>ASHP-SEER17_ER2_SF</v>
      </c>
      <c r="G1039" s="2176"/>
      <c r="H1039" s="2176"/>
      <c r="I1039" s="2176"/>
      <c r="J1039" s="986" t="str">
        <f>$C$789</f>
        <v>353750_2024_12_</v>
      </c>
      <c r="K1039" s="1616">
        <v>1496</v>
      </c>
      <c r="L1039" s="249"/>
      <c r="M1039" s="744" t="s">
        <v>1363</v>
      </c>
      <c r="T1039" s="50"/>
      <c r="U1039" s="50"/>
      <c r="V1039" s="2177"/>
      <c r="W1039" s="1326">
        <v>2009</v>
      </c>
      <c r="X1039" s="794">
        <v>1496</v>
      </c>
      <c r="Y1039" s="1326">
        <v>1496</v>
      </c>
      <c r="Z1039" s="1326">
        <v>1496</v>
      </c>
      <c r="AA1039" s="1326">
        <v>1496</v>
      </c>
      <c r="AB1039" s="1326">
        <v>1496</v>
      </c>
      <c r="AC1039" s="1326">
        <v>1496</v>
      </c>
      <c r="AD1039" s="1326">
        <v>1496</v>
      </c>
      <c r="AE1039" s="1326">
        <v>1496</v>
      </c>
      <c r="AF1039" s="258">
        <f t="shared" si="187"/>
        <v>1496</v>
      </c>
      <c r="AG1039" s="1326"/>
      <c r="DG1039" s="555"/>
      <c r="DH1039" s="151"/>
      <c r="DI1039" s="1049"/>
      <c r="DJ1039" s="1127"/>
    </row>
    <row r="1040" spans="1:114" ht="15" hidden="1" customHeight="1" outlineLevel="1" x14ac:dyDescent="0.25">
      <c r="A1040" s="442"/>
      <c r="C1040" s="49"/>
      <c r="D1040" s="2177"/>
      <c r="E1040" s="2177"/>
      <c r="F1040" s="2176" t="str">
        <f>$E$791</f>
        <v>ASHP-SEER17_ROF_SF</v>
      </c>
      <c r="G1040" s="2176"/>
      <c r="H1040" s="2176"/>
      <c r="I1040" s="2176"/>
      <c r="J1040" s="986" t="str">
        <f>$C$791</f>
        <v>353800_2024_12_</v>
      </c>
      <c r="K1040" s="1616">
        <v>1496</v>
      </c>
      <c r="L1040" s="249"/>
      <c r="M1040" s="744" t="s">
        <v>1363</v>
      </c>
      <c r="P1040" s="248"/>
      <c r="Q1040" s="196"/>
      <c r="R1040" s="248"/>
      <c r="T1040" s="169"/>
      <c r="U1040" s="50"/>
      <c r="V1040" s="2177"/>
      <c r="W1040" s="1326">
        <v>2009</v>
      </c>
      <c r="X1040" s="794">
        <v>1496</v>
      </c>
      <c r="Y1040" s="1326">
        <v>1496</v>
      </c>
      <c r="Z1040" s="1326">
        <v>1496</v>
      </c>
      <c r="AA1040" s="1326">
        <v>1496</v>
      </c>
      <c r="AB1040" s="1326">
        <v>1496</v>
      </c>
      <c r="AC1040" s="1326">
        <v>1496</v>
      </c>
      <c r="AD1040" s="1326">
        <v>1496</v>
      </c>
      <c r="AE1040" s="1326">
        <v>1496</v>
      </c>
      <c r="AF1040" s="258">
        <f t="shared" si="187"/>
        <v>1496</v>
      </c>
      <c r="AG1040" s="1326"/>
      <c r="DG1040" s="555"/>
      <c r="DH1040" s="151"/>
      <c r="DI1040" s="1049"/>
      <c r="DJ1040" s="1127"/>
    </row>
    <row r="1041" spans="1:114" ht="15" hidden="1" customHeight="1" outlineLevel="1" x14ac:dyDescent="0.25">
      <c r="A1041" s="442"/>
      <c r="C1041" s="49"/>
      <c r="D1041" s="2177"/>
      <c r="E1041" s="2177"/>
      <c r="F1041" s="2176" t="str">
        <f>$E$793</f>
        <v>ASHP-SEER18_ER1_SF</v>
      </c>
      <c r="G1041" s="2176"/>
      <c r="H1041" s="2176"/>
      <c r="I1041" s="2176"/>
      <c r="J1041" s="986" t="str">
        <f>$C$793</f>
        <v>353850_2024_12_</v>
      </c>
      <c r="K1041" s="1616">
        <v>1496</v>
      </c>
      <c r="L1041" s="249"/>
      <c r="M1041" s="744" t="s">
        <v>1363</v>
      </c>
      <c r="T1041" s="50"/>
      <c r="U1041" s="50"/>
      <c r="V1041" s="2177"/>
      <c r="W1041" s="1326">
        <v>2009</v>
      </c>
      <c r="X1041" s="794">
        <v>1496</v>
      </c>
      <c r="Y1041" s="1326">
        <v>1496</v>
      </c>
      <c r="Z1041" s="1326">
        <v>1496</v>
      </c>
      <c r="AA1041" s="1326">
        <v>1496</v>
      </c>
      <c r="AB1041" s="1326">
        <v>1496</v>
      </c>
      <c r="AC1041" s="1326">
        <v>1496</v>
      </c>
      <c r="AD1041" s="1326">
        <v>1496</v>
      </c>
      <c r="AE1041" s="1326">
        <v>1496</v>
      </c>
      <c r="AF1041" s="258">
        <f t="shared" si="187"/>
        <v>1496</v>
      </c>
      <c r="AG1041" s="1326"/>
      <c r="DG1041" s="555"/>
      <c r="DH1041" s="151"/>
      <c r="DI1041" s="1049"/>
      <c r="DJ1041" s="1127"/>
    </row>
    <row r="1042" spans="1:114" ht="15" hidden="1" customHeight="1" outlineLevel="1" x14ac:dyDescent="0.25">
      <c r="A1042" s="442"/>
      <c r="C1042" s="49"/>
      <c r="D1042" s="2177"/>
      <c r="E1042" s="2177"/>
      <c r="F1042" s="2176" t="str">
        <f>$E$795</f>
        <v>ASHP-SEER18_ER2_SF</v>
      </c>
      <c r="G1042" s="2176"/>
      <c r="H1042" s="2176"/>
      <c r="I1042" s="2176"/>
      <c r="J1042" s="986" t="str">
        <f>$C$795</f>
        <v>353850_2024_12_</v>
      </c>
      <c r="K1042" s="1616">
        <v>1496</v>
      </c>
      <c r="L1042" s="249"/>
      <c r="M1042" s="744" t="s">
        <v>1363</v>
      </c>
      <c r="P1042" s="248"/>
      <c r="Q1042" s="196"/>
      <c r="R1042" s="248"/>
      <c r="T1042" s="169"/>
      <c r="U1042" s="50"/>
      <c r="V1042" s="2177"/>
      <c r="W1042" s="1326">
        <v>2009</v>
      </c>
      <c r="X1042" s="794">
        <v>1496</v>
      </c>
      <c r="Y1042" s="1326">
        <v>1496</v>
      </c>
      <c r="Z1042" s="1326">
        <v>1496</v>
      </c>
      <c r="AA1042" s="1326">
        <v>1496</v>
      </c>
      <c r="AB1042" s="1326">
        <v>1496</v>
      </c>
      <c r="AC1042" s="1326">
        <v>1496</v>
      </c>
      <c r="AD1042" s="1326">
        <v>1496</v>
      </c>
      <c r="AE1042" s="1326">
        <v>1496</v>
      </c>
      <c r="AF1042" s="258">
        <f t="shared" si="187"/>
        <v>1496</v>
      </c>
      <c r="AG1042" s="1326"/>
      <c r="DG1042" s="555"/>
      <c r="DH1042" s="151"/>
      <c r="DI1042" s="1049"/>
      <c r="DJ1042" s="1127"/>
    </row>
    <row r="1043" spans="1:114" ht="15" hidden="1" customHeight="1" outlineLevel="1" x14ac:dyDescent="0.25">
      <c r="A1043" s="442"/>
      <c r="C1043" s="49"/>
      <c r="D1043" s="2177"/>
      <c r="E1043" s="2177"/>
      <c r="F1043" s="2176" t="str">
        <f>$E$797</f>
        <v>ASHP-SEER18_ROF_SF</v>
      </c>
      <c r="G1043" s="2176"/>
      <c r="H1043" s="2176"/>
      <c r="I1043" s="2176"/>
      <c r="J1043" s="986" t="str">
        <f>$C$797</f>
        <v>353950_2024_12_</v>
      </c>
      <c r="K1043" s="1616">
        <v>1496</v>
      </c>
      <c r="L1043" s="249"/>
      <c r="M1043" s="744" t="s">
        <v>1363</v>
      </c>
      <c r="T1043" s="50"/>
      <c r="U1043" s="50"/>
      <c r="V1043" s="2177"/>
      <c r="W1043" s="1326">
        <v>2009</v>
      </c>
      <c r="X1043" s="794">
        <v>1496</v>
      </c>
      <c r="Y1043" s="1326">
        <v>1496</v>
      </c>
      <c r="Z1043" s="1326">
        <v>1496</v>
      </c>
      <c r="AA1043" s="1326">
        <v>1496</v>
      </c>
      <c r="AB1043" s="1326">
        <v>1496</v>
      </c>
      <c r="AC1043" s="1326">
        <v>1496</v>
      </c>
      <c r="AD1043" s="1326">
        <v>1496</v>
      </c>
      <c r="AE1043" s="1326">
        <v>1496</v>
      </c>
      <c r="AF1043" s="258">
        <f t="shared" si="187"/>
        <v>1496</v>
      </c>
      <c r="AG1043" s="1326"/>
      <c r="DG1043" s="555"/>
      <c r="DH1043" s="151"/>
      <c r="DI1043" s="1049"/>
      <c r="DJ1043" s="1127"/>
    </row>
    <row r="1044" spans="1:114" ht="15" hidden="1" customHeight="1" outlineLevel="1" x14ac:dyDescent="0.25">
      <c r="A1044" s="442"/>
      <c r="C1044" s="49"/>
      <c r="D1044" s="2177"/>
      <c r="E1044" s="2177"/>
      <c r="F1044" s="2176" t="str">
        <f>$E$799</f>
        <v>ASHP-SEER19_ER1_SF</v>
      </c>
      <c r="G1044" s="2176"/>
      <c r="H1044" s="2176"/>
      <c r="I1044" s="2176"/>
      <c r="J1044" s="986" t="str">
        <f>$C$799</f>
        <v>354000_2024_12_</v>
      </c>
      <c r="K1044" s="1616">
        <v>1496</v>
      </c>
      <c r="L1044" s="249"/>
      <c r="M1044" s="744" t="s">
        <v>1363</v>
      </c>
      <c r="P1044" s="248"/>
      <c r="Q1044" s="196"/>
      <c r="R1044" s="248"/>
      <c r="T1044" s="169"/>
      <c r="U1044" s="50"/>
      <c r="V1044" s="2177"/>
      <c r="W1044" s="1326">
        <v>2009</v>
      </c>
      <c r="X1044" s="794">
        <v>1496</v>
      </c>
      <c r="Y1044" s="1326">
        <v>1496</v>
      </c>
      <c r="Z1044" s="1326">
        <v>1496</v>
      </c>
      <c r="AA1044" s="1326">
        <v>1496</v>
      </c>
      <c r="AB1044" s="1326">
        <v>1496</v>
      </c>
      <c r="AC1044" s="1326">
        <v>1496</v>
      </c>
      <c r="AD1044" s="1326">
        <v>1496</v>
      </c>
      <c r="AE1044" s="1326">
        <v>1496</v>
      </c>
      <c r="AF1044" s="258">
        <f t="shared" si="187"/>
        <v>1496</v>
      </c>
      <c r="AG1044" s="1326"/>
      <c r="DG1044" s="555"/>
      <c r="DH1044" s="151"/>
      <c r="DI1044" s="1049"/>
      <c r="DJ1044" s="1127"/>
    </row>
    <row r="1045" spans="1:114" ht="15" hidden="1" customHeight="1" outlineLevel="1" x14ac:dyDescent="0.25">
      <c r="A1045" s="442"/>
      <c r="C1045" s="49"/>
      <c r="D1045" s="2177"/>
      <c r="E1045" s="2177"/>
      <c r="F1045" s="2176" t="str">
        <f>$E$801</f>
        <v>ASHP-SEER19_ER2_SF</v>
      </c>
      <c r="G1045" s="2176"/>
      <c r="H1045" s="2176"/>
      <c r="I1045" s="2176"/>
      <c r="J1045" s="986" t="str">
        <f>$C$801</f>
        <v>354000_2024_12_</v>
      </c>
      <c r="K1045" s="1616">
        <v>1496</v>
      </c>
      <c r="L1045" s="249"/>
      <c r="M1045" s="744" t="s">
        <v>1363</v>
      </c>
      <c r="P1045" s="248"/>
      <c r="Q1045" s="196"/>
      <c r="R1045" s="248"/>
      <c r="T1045" s="169"/>
      <c r="U1045" s="50"/>
      <c r="V1045" s="2177"/>
      <c r="W1045" s="1326">
        <v>2009</v>
      </c>
      <c r="X1045" s="794">
        <v>1496</v>
      </c>
      <c r="Y1045" s="1326">
        <v>1496</v>
      </c>
      <c r="Z1045" s="1326">
        <v>1496</v>
      </c>
      <c r="AA1045" s="1326">
        <v>1496</v>
      </c>
      <c r="AB1045" s="1326">
        <v>1496</v>
      </c>
      <c r="AC1045" s="1326">
        <v>1496</v>
      </c>
      <c r="AD1045" s="1326">
        <v>1496</v>
      </c>
      <c r="AE1045" s="1326">
        <v>1496</v>
      </c>
      <c r="AF1045" s="258">
        <f t="shared" si="187"/>
        <v>1496</v>
      </c>
      <c r="AG1045" s="1326"/>
      <c r="DG1045" s="555"/>
      <c r="DH1045" s="151"/>
      <c r="DI1045" s="1049"/>
      <c r="DJ1045" s="1127"/>
    </row>
    <row r="1046" spans="1:114" ht="15" hidden="1" customHeight="1" outlineLevel="1" x14ac:dyDescent="0.25">
      <c r="A1046" s="442"/>
      <c r="C1046" s="49"/>
      <c r="D1046" s="2177"/>
      <c r="E1046" s="2177"/>
      <c r="F1046" s="2176" t="str">
        <f>$E$803</f>
        <v>ASHP-SEER19_ROF_SF</v>
      </c>
      <c r="G1046" s="2176"/>
      <c r="H1046" s="2176"/>
      <c r="I1046" s="2176"/>
      <c r="J1046" s="986" t="str">
        <f>$C$803</f>
        <v>354050_2024_12_</v>
      </c>
      <c r="K1046" s="1616">
        <v>1496</v>
      </c>
      <c r="L1046" s="249"/>
      <c r="M1046" s="744" t="s">
        <v>1363</v>
      </c>
      <c r="T1046" s="50"/>
      <c r="U1046" s="50"/>
      <c r="V1046" s="2177"/>
      <c r="W1046" s="1326">
        <v>2009</v>
      </c>
      <c r="X1046" s="794">
        <v>1496</v>
      </c>
      <c r="Y1046" s="1326">
        <v>1496</v>
      </c>
      <c r="Z1046" s="1326">
        <v>1496</v>
      </c>
      <c r="AA1046" s="1326">
        <v>1496</v>
      </c>
      <c r="AB1046" s="1326">
        <v>1496</v>
      </c>
      <c r="AC1046" s="1326">
        <v>1496</v>
      </c>
      <c r="AD1046" s="1326">
        <v>1496</v>
      </c>
      <c r="AE1046" s="1326">
        <v>1496</v>
      </c>
      <c r="AF1046" s="258">
        <f t="shared" si="187"/>
        <v>1496</v>
      </c>
      <c r="AG1046" s="1326"/>
      <c r="DG1046" s="555"/>
      <c r="DH1046" s="151"/>
      <c r="DI1046" s="1049"/>
      <c r="DJ1046" s="1127"/>
    </row>
    <row r="1047" spans="1:114" ht="15" hidden="1" customHeight="1" outlineLevel="1" x14ac:dyDescent="0.25">
      <c r="A1047" s="442"/>
      <c r="C1047" s="49"/>
      <c r="D1047" s="2177"/>
      <c r="E1047" s="2177"/>
      <c r="F1047" s="2176" t="str">
        <f>$E$805</f>
        <v>ASHP-SEER17-Replace_CAC_ElectricHeat_ER1_SF</v>
      </c>
      <c r="G1047" s="2176"/>
      <c r="H1047" s="2176"/>
      <c r="I1047" s="2176"/>
      <c r="J1047" s="986" t="str">
        <f>$C$805</f>
        <v>354100_2024_12_</v>
      </c>
      <c r="K1047" s="1616">
        <v>1496</v>
      </c>
      <c r="L1047" s="249"/>
      <c r="M1047" s="744" t="s">
        <v>1363</v>
      </c>
      <c r="T1047" s="50"/>
      <c r="U1047" s="50"/>
      <c r="V1047" s="2177"/>
      <c r="W1047" s="1326">
        <v>2009</v>
      </c>
      <c r="X1047" s="794">
        <v>1496</v>
      </c>
      <c r="Y1047" s="1326">
        <v>1496</v>
      </c>
      <c r="Z1047" s="1326">
        <v>1496</v>
      </c>
      <c r="AA1047" s="1326">
        <v>1496</v>
      </c>
      <c r="AB1047" s="1326">
        <v>1496</v>
      </c>
      <c r="AC1047" s="1326">
        <v>1496</v>
      </c>
      <c r="AD1047" s="1326">
        <v>1496</v>
      </c>
      <c r="AE1047" s="1326">
        <v>1496</v>
      </c>
      <c r="AF1047" s="258">
        <f t="shared" si="187"/>
        <v>1496</v>
      </c>
      <c r="AG1047" s="1326"/>
      <c r="DG1047" s="555"/>
      <c r="DH1047" s="151"/>
      <c r="DI1047" s="1049"/>
      <c r="DJ1047" s="1127"/>
    </row>
    <row r="1048" spans="1:114" ht="15" hidden="1" customHeight="1" outlineLevel="1" x14ac:dyDescent="0.25">
      <c r="A1048" s="442"/>
      <c r="C1048" s="49"/>
      <c r="D1048" s="2177"/>
      <c r="E1048" s="2177"/>
      <c r="F1048" s="2176" t="str">
        <f>$E$807</f>
        <v>ASHP-SEER17-Replace_CAC_ElectricHeat_ER2_SF</v>
      </c>
      <c r="G1048" s="2176"/>
      <c r="H1048" s="2176"/>
      <c r="I1048" s="2176"/>
      <c r="J1048" s="986" t="str">
        <f>$C$807</f>
        <v>354100_2024_12_</v>
      </c>
      <c r="K1048" s="1616">
        <v>1496</v>
      </c>
      <c r="L1048" s="249"/>
      <c r="M1048" s="744" t="s">
        <v>1363</v>
      </c>
      <c r="T1048" s="50"/>
      <c r="U1048" s="50"/>
      <c r="V1048" s="2177"/>
      <c r="W1048" s="1326">
        <v>2009</v>
      </c>
      <c r="X1048" s="794">
        <v>1496</v>
      </c>
      <c r="Y1048" s="1326">
        <v>1496</v>
      </c>
      <c r="Z1048" s="1326">
        <v>1496</v>
      </c>
      <c r="AA1048" s="1326">
        <v>1496</v>
      </c>
      <c r="AB1048" s="1326">
        <v>1496</v>
      </c>
      <c r="AC1048" s="1326">
        <v>1496</v>
      </c>
      <c r="AD1048" s="1326">
        <v>1496</v>
      </c>
      <c r="AE1048" s="1326">
        <v>1496</v>
      </c>
      <c r="AF1048" s="258">
        <f t="shared" si="187"/>
        <v>1496</v>
      </c>
      <c r="AG1048" s="1326"/>
      <c r="DG1048" s="555"/>
      <c r="DH1048" s="151"/>
      <c r="DI1048" s="1049"/>
      <c r="DJ1048" s="1127"/>
    </row>
    <row r="1049" spans="1:114" ht="15" hidden="1" customHeight="1" outlineLevel="1" x14ac:dyDescent="0.25">
      <c r="A1049" s="442"/>
      <c r="C1049" s="49"/>
      <c r="D1049" s="2177"/>
      <c r="E1049" s="2177"/>
      <c r="F1049" s="2176" t="str">
        <f>$E$809</f>
        <v>ASHP-SEER17-Replace_CAC_NonElectricHeat_ER1_SF</v>
      </c>
      <c r="G1049" s="2176"/>
      <c r="H1049" s="2176"/>
      <c r="I1049" s="2176"/>
      <c r="J1049" s="986" t="str">
        <f>$C$809</f>
        <v>354110_2024_12_</v>
      </c>
      <c r="K1049" s="1618">
        <v>1496</v>
      </c>
      <c r="L1049" s="249"/>
      <c r="M1049" s="744" t="s">
        <v>1363</v>
      </c>
      <c r="T1049" s="50"/>
      <c r="U1049" s="50"/>
      <c r="V1049" s="2177"/>
      <c r="W1049" s="1326"/>
      <c r="X1049" s="794"/>
      <c r="Y1049" s="1326"/>
      <c r="Z1049" s="1326"/>
      <c r="AA1049" s="1326"/>
      <c r="AB1049" s="1326"/>
      <c r="AC1049" s="790">
        <v>1496</v>
      </c>
      <c r="AD1049" s="766">
        <v>1496</v>
      </c>
      <c r="AE1049" s="766">
        <v>1496</v>
      </c>
      <c r="AF1049" s="258">
        <f t="shared" si="187"/>
        <v>1496</v>
      </c>
      <c r="AG1049" s="1326"/>
      <c r="DG1049" s="555"/>
      <c r="DH1049" s="151"/>
      <c r="DI1049" s="1049"/>
      <c r="DJ1049" s="1127"/>
    </row>
    <row r="1050" spans="1:114" ht="15" hidden="1" customHeight="1" outlineLevel="1" x14ac:dyDescent="0.25">
      <c r="A1050" s="442"/>
      <c r="C1050" s="49"/>
      <c r="D1050" s="2177"/>
      <c r="E1050" s="2177"/>
      <c r="F1050" s="2176" t="str">
        <f>$E$811</f>
        <v>ASHP-SEER17-Replace_CAC_NonElectricHeat_ER2_SF</v>
      </c>
      <c r="G1050" s="2176"/>
      <c r="H1050" s="2176"/>
      <c r="I1050" s="2176"/>
      <c r="J1050" s="986" t="str">
        <f>$C$811</f>
        <v>354110_2024_12_</v>
      </c>
      <c r="K1050" s="1618">
        <v>1496</v>
      </c>
      <c r="L1050" s="249"/>
      <c r="M1050" s="744" t="s">
        <v>1363</v>
      </c>
      <c r="T1050" s="50"/>
      <c r="U1050" s="50"/>
      <c r="V1050" s="2177"/>
      <c r="W1050" s="1326"/>
      <c r="X1050" s="794"/>
      <c r="Y1050" s="1326"/>
      <c r="Z1050" s="1326"/>
      <c r="AA1050" s="1326"/>
      <c r="AB1050" s="1326"/>
      <c r="AC1050" s="790">
        <v>1496</v>
      </c>
      <c r="AD1050" s="766">
        <v>1496</v>
      </c>
      <c r="AE1050" s="766">
        <v>1496</v>
      </c>
      <c r="AF1050" s="258">
        <f t="shared" si="187"/>
        <v>1496</v>
      </c>
      <c r="AG1050" s="1326"/>
      <c r="DG1050" s="555"/>
      <c r="DH1050" s="151"/>
      <c r="DI1050" s="1049"/>
      <c r="DJ1050" s="1127"/>
    </row>
    <row r="1051" spans="1:114" ht="15" hidden="1" customHeight="1" outlineLevel="1" x14ac:dyDescent="0.25">
      <c r="A1051" s="442"/>
      <c r="C1051" s="49"/>
      <c r="D1051" s="2177"/>
      <c r="E1051" s="2177"/>
      <c r="F1051" s="2176" t="str">
        <f>$E$813</f>
        <v>ASHP-SEER17-Replace_CAC_ElectricHeat_ER1_MF</v>
      </c>
      <c r="G1051" s="2176"/>
      <c r="H1051" s="2176"/>
      <c r="I1051" s="2176"/>
      <c r="J1051" s="986" t="str">
        <f>$C$813</f>
        <v>354150_2024_12_</v>
      </c>
      <c r="K1051" s="1616">
        <v>1496</v>
      </c>
      <c r="L1051" s="249"/>
      <c r="M1051" s="744" t="s">
        <v>1363</v>
      </c>
      <c r="T1051" s="50"/>
      <c r="U1051" s="50"/>
      <c r="V1051" s="2177"/>
      <c r="W1051" s="1326">
        <v>2009</v>
      </c>
      <c r="X1051" s="794">
        <v>1496</v>
      </c>
      <c r="Y1051" s="1326">
        <v>1496</v>
      </c>
      <c r="Z1051" s="1326">
        <v>1496</v>
      </c>
      <c r="AA1051" s="1326">
        <v>1496</v>
      </c>
      <c r="AB1051" s="1326">
        <v>1496</v>
      </c>
      <c r="AC1051" s="1326">
        <v>1496</v>
      </c>
      <c r="AD1051" s="1326">
        <v>1496</v>
      </c>
      <c r="AE1051" s="1326">
        <v>1496</v>
      </c>
      <c r="AF1051" s="258">
        <f t="shared" si="187"/>
        <v>1496</v>
      </c>
      <c r="AG1051" s="1326"/>
      <c r="DG1051" s="555"/>
      <c r="DH1051" s="151"/>
      <c r="DI1051" s="1049"/>
      <c r="DJ1051" s="1127"/>
    </row>
    <row r="1052" spans="1:114" ht="15" hidden="1" customHeight="1" outlineLevel="1" x14ac:dyDescent="0.25">
      <c r="A1052" s="442"/>
      <c r="C1052" s="49"/>
      <c r="D1052" s="2177"/>
      <c r="E1052" s="2177"/>
      <c r="F1052" s="2176" t="str">
        <f>$E$815</f>
        <v>ASHP-SEER17-Replace_CAC_ElectricHeat_ER2_MF</v>
      </c>
      <c r="G1052" s="2176"/>
      <c r="H1052" s="2176"/>
      <c r="I1052" s="2176"/>
      <c r="J1052" s="986" t="str">
        <f>$C$815</f>
        <v>354150_2024_12_</v>
      </c>
      <c r="K1052" s="1616">
        <v>1496</v>
      </c>
      <c r="L1052" s="249"/>
      <c r="M1052" s="744" t="s">
        <v>1363</v>
      </c>
      <c r="T1052" s="50"/>
      <c r="U1052" s="50"/>
      <c r="V1052" s="2177"/>
      <c r="W1052" s="1326">
        <v>2009</v>
      </c>
      <c r="X1052" s="794">
        <v>1496</v>
      </c>
      <c r="Y1052" s="1326">
        <v>1496</v>
      </c>
      <c r="Z1052" s="1326">
        <v>1496</v>
      </c>
      <c r="AA1052" s="1326">
        <v>1496</v>
      </c>
      <c r="AB1052" s="1326">
        <v>1496</v>
      </c>
      <c r="AC1052" s="1326">
        <v>1496</v>
      </c>
      <c r="AD1052" s="1326">
        <v>1496</v>
      </c>
      <c r="AE1052" s="1326">
        <v>1496</v>
      </c>
      <c r="AF1052" s="258">
        <f t="shared" si="187"/>
        <v>1496</v>
      </c>
      <c r="AG1052" s="1326"/>
      <c r="DG1052" s="555"/>
      <c r="DH1052" s="151"/>
      <c r="DI1052" s="1049"/>
      <c r="DJ1052" s="1127"/>
    </row>
    <row r="1053" spans="1:114" ht="15" hidden="1" customHeight="1" outlineLevel="1" x14ac:dyDescent="0.25">
      <c r="A1053" s="442"/>
      <c r="C1053" s="49"/>
      <c r="D1053" s="2177"/>
      <c r="E1053" s="2177"/>
      <c r="F1053" s="2176" t="str">
        <f>$E$817</f>
        <v>ASHP-SEER17_ER1_MF</v>
      </c>
      <c r="G1053" s="2176"/>
      <c r="H1053" s="2176"/>
      <c r="I1053" s="2176"/>
      <c r="J1053" s="986" t="str">
        <f>$C$817</f>
        <v>354200_2024_12_</v>
      </c>
      <c r="K1053" s="1616">
        <v>1496</v>
      </c>
      <c r="L1053" s="249"/>
      <c r="M1053" s="744" t="s">
        <v>1363</v>
      </c>
      <c r="T1053" s="50"/>
      <c r="U1053" s="50"/>
      <c r="V1053" s="2177"/>
      <c r="W1053" s="1326">
        <v>2009</v>
      </c>
      <c r="X1053" s="794">
        <v>1496</v>
      </c>
      <c r="Y1053" s="1326">
        <v>1496</v>
      </c>
      <c r="Z1053" s="1326">
        <v>1496</v>
      </c>
      <c r="AA1053" s="1326">
        <v>1496</v>
      </c>
      <c r="AB1053" s="1326">
        <v>1496</v>
      </c>
      <c r="AC1053" s="1326">
        <v>1496</v>
      </c>
      <c r="AD1053" s="1326">
        <v>1496</v>
      </c>
      <c r="AE1053" s="1326">
        <v>1496</v>
      </c>
      <c r="AF1053" s="258">
        <f t="shared" si="187"/>
        <v>1496</v>
      </c>
      <c r="AG1053" s="1326"/>
      <c r="DG1053" s="555"/>
      <c r="DH1053" s="151"/>
      <c r="DI1053" s="1049"/>
      <c r="DJ1053" s="1127"/>
    </row>
    <row r="1054" spans="1:114" ht="15" hidden="1" customHeight="1" outlineLevel="1" x14ac:dyDescent="0.25">
      <c r="A1054" s="442"/>
      <c r="C1054" s="49"/>
      <c r="D1054" s="2177"/>
      <c r="E1054" s="2177"/>
      <c r="F1054" s="2176" t="str">
        <f>$E$819</f>
        <v>ASHP-SEER17_ER2_MF</v>
      </c>
      <c r="G1054" s="2176"/>
      <c r="H1054" s="2176"/>
      <c r="I1054" s="2176"/>
      <c r="J1054" s="986" t="str">
        <f>$C$819</f>
        <v>354200_2024_12_</v>
      </c>
      <c r="K1054" s="1616">
        <v>1496</v>
      </c>
      <c r="L1054" s="249"/>
      <c r="M1054" s="744" t="s">
        <v>1363</v>
      </c>
      <c r="T1054" s="50"/>
      <c r="U1054" s="50"/>
      <c r="V1054" s="2177"/>
      <c r="W1054" s="1326">
        <v>2009</v>
      </c>
      <c r="X1054" s="794">
        <v>1496</v>
      </c>
      <c r="Y1054" s="1326">
        <v>1496</v>
      </c>
      <c r="Z1054" s="1326">
        <v>1496</v>
      </c>
      <c r="AA1054" s="1326">
        <v>1496</v>
      </c>
      <c r="AB1054" s="1326">
        <v>1496</v>
      </c>
      <c r="AC1054" s="1326">
        <v>1496</v>
      </c>
      <c r="AD1054" s="1326">
        <v>1496</v>
      </c>
      <c r="AE1054" s="1326">
        <v>1496</v>
      </c>
      <c r="AF1054" s="258">
        <f t="shared" si="187"/>
        <v>1496</v>
      </c>
      <c r="AG1054" s="1326"/>
      <c r="DG1054" s="555"/>
      <c r="DH1054" s="151"/>
      <c r="DI1054" s="1049"/>
      <c r="DJ1054" s="1127"/>
    </row>
    <row r="1055" spans="1:114" ht="15" hidden="1" customHeight="1" outlineLevel="1" x14ac:dyDescent="0.25">
      <c r="A1055" s="442"/>
      <c r="C1055" s="49"/>
      <c r="D1055" s="2177"/>
      <c r="E1055" s="2177"/>
      <c r="F1055" s="2176" t="str">
        <f>$E$821</f>
        <v>ASHP-SEER18-Replace_CAC_ElectricHeat_ER1_SF</v>
      </c>
      <c r="G1055" s="2176"/>
      <c r="H1055" s="2176"/>
      <c r="I1055" s="2176"/>
      <c r="J1055" s="986" t="str">
        <f>$C$821</f>
        <v>354250_2024_12_</v>
      </c>
      <c r="K1055" s="1616">
        <v>1496</v>
      </c>
      <c r="L1055" s="249"/>
      <c r="M1055" s="744" t="s">
        <v>1363</v>
      </c>
      <c r="T1055" s="50"/>
      <c r="U1055" s="50"/>
      <c r="V1055" s="2177"/>
      <c r="W1055" s="1326">
        <v>2009</v>
      </c>
      <c r="X1055" s="794">
        <v>1496</v>
      </c>
      <c r="Y1055" s="1326">
        <v>1496</v>
      </c>
      <c r="Z1055" s="1326">
        <v>1496</v>
      </c>
      <c r="AA1055" s="1326">
        <v>1496</v>
      </c>
      <c r="AB1055" s="1326">
        <v>1496</v>
      </c>
      <c r="AC1055" s="1326">
        <v>1496</v>
      </c>
      <c r="AD1055" s="1326">
        <v>1496</v>
      </c>
      <c r="AE1055" s="1326">
        <v>1496</v>
      </c>
      <c r="AF1055" s="258">
        <f t="shared" si="187"/>
        <v>1496</v>
      </c>
      <c r="AG1055" s="1326"/>
      <c r="DG1055" s="555"/>
      <c r="DH1055" s="151"/>
      <c r="DI1055" s="1049"/>
      <c r="DJ1055" s="1127"/>
    </row>
    <row r="1056" spans="1:114" ht="15" hidden="1" customHeight="1" outlineLevel="1" x14ac:dyDescent="0.25">
      <c r="A1056" s="442"/>
      <c r="C1056" s="49"/>
      <c r="D1056" s="2177"/>
      <c r="E1056" s="2177"/>
      <c r="F1056" s="2176" t="str">
        <f>$E$823</f>
        <v>ASHP-SEER18-Replace_CAC_ElectricHeat_ER2_SF</v>
      </c>
      <c r="G1056" s="2176"/>
      <c r="H1056" s="2176"/>
      <c r="I1056" s="2176"/>
      <c r="J1056" s="986" t="str">
        <f>$C$823</f>
        <v>354250_2024_12_</v>
      </c>
      <c r="K1056" s="1616">
        <v>1496</v>
      </c>
      <c r="L1056" s="249"/>
      <c r="M1056" s="744" t="s">
        <v>1363</v>
      </c>
      <c r="T1056" s="50"/>
      <c r="U1056" s="50"/>
      <c r="V1056" s="2177"/>
      <c r="W1056" s="1326">
        <v>2009</v>
      </c>
      <c r="X1056" s="794">
        <v>1496</v>
      </c>
      <c r="Y1056" s="1326">
        <v>1496</v>
      </c>
      <c r="Z1056" s="1326">
        <v>1496</v>
      </c>
      <c r="AA1056" s="1326">
        <v>1496</v>
      </c>
      <c r="AB1056" s="1326">
        <v>1496</v>
      </c>
      <c r="AC1056" s="1326">
        <v>1496</v>
      </c>
      <c r="AD1056" s="1326">
        <v>1496</v>
      </c>
      <c r="AE1056" s="1326">
        <v>1496</v>
      </c>
      <c r="AF1056" s="258">
        <f t="shared" si="187"/>
        <v>1496</v>
      </c>
      <c r="AG1056" s="1326"/>
      <c r="DG1056" s="555"/>
      <c r="DH1056" s="151"/>
      <c r="DI1056" s="1049"/>
      <c r="DJ1056" s="1127"/>
    </row>
    <row r="1057" spans="1:114" ht="15" hidden="1" customHeight="1" outlineLevel="1" x14ac:dyDescent="0.25">
      <c r="A1057" s="442"/>
      <c r="C1057" s="49"/>
      <c r="D1057" s="2177"/>
      <c r="E1057" s="2177"/>
      <c r="F1057" s="2176" t="str">
        <f>$E$825</f>
        <v>ASHP-SEER18-Replace_CAC_NonElectricHeat_ER1_SF</v>
      </c>
      <c r="G1057" s="2176"/>
      <c r="H1057" s="2176"/>
      <c r="I1057" s="2176"/>
      <c r="J1057" s="986" t="str">
        <f>$C$825</f>
        <v>354260_2024_12_</v>
      </c>
      <c r="K1057" s="1618">
        <v>1496</v>
      </c>
      <c r="L1057" s="249"/>
      <c r="M1057" s="744" t="s">
        <v>1363</v>
      </c>
      <c r="T1057" s="50"/>
      <c r="U1057" s="50"/>
      <c r="V1057" s="2177"/>
      <c r="W1057" s="1326"/>
      <c r="X1057" s="794"/>
      <c r="Y1057" s="1326"/>
      <c r="Z1057" s="1326"/>
      <c r="AA1057" s="1326"/>
      <c r="AB1057" s="1326"/>
      <c r="AC1057" s="790">
        <v>1496</v>
      </c>
      <c r="AD1057" s="766">
        <v>1496</v>
      </c>
      <c r="AE1057" s="766">
        <v>1496</v>
      </c>
      <c r="AF1057" s="258">
        <f t="shared" ref="AF1057:AF1087" si="188">IF(K1057&lt;&gt;"",K1057,"")</f>
        <v>1496</v>
      </c>
      <c r="AG1057" s="1326"/>
      <c r="DG1057" s="555"/>
      <c r="DH1057" s="151"/>
      <c r="DI1057" s="1049"/>
      <c r="DJ1057" s="1127"/>
    </row>
    <row r="1058" spans="1:114" ht="15" hidden="1" customHeight="1" outlineLevel="1" x14ac:dyDescent="0.25">
      <c r="A1058" s="442"/>
      <c r="C1058" s="49"/>
      <c r="D1058" s="2177"/>
      <c r="E1058" s="2177"/>
      <c r="F1058" s="2176" t="str">
        <f>$E$827</f>
        <v>ASHP-SEER18-Replace_CAC_NonElectricHeat_ER2_SF</v>
      </c>
      <c r="G1058" s="2176"/>
      <c r="H1058" s="2176"/>
      <c r="I1058" s="2176"/>
      <c r="J1058" s="986" t="str">
        <f>$C$827</f>
        <v>354260_2024_12_</v>
      </c>
      <c r="K1058" s="1618">
        <v>1496</v>
      </c>
      <c r="L1058" s="249"/>
      <c r="M1058" s="744" t="s">
        <v>1363</v>
      </c>
      <c r="T1058" s="50"/>
      <c r="U1058" s="50"/>
      <c r="V1058" s="2177"/>
      <c r="W1058" s="1326"/>
      <c r="X1058" s="794"/>
      <c r="Y1058" s="1326"/>
      <c r="Z1058" s="1326"/>
      <c r="AA1058" s="1326"/>
      <c r="AB1058" s="1326"/>
      <c r="AC1058" s="790">
        <v>1496</v>
      </c>
      <c r="AD1058" s="766">
        <v>1496</v>
      </c>
      <c r="AE1058" s="766">
        <v>1496</v>
      </c>
      <c r="AF1058" s="258">
        <f t="shared" si="188"/>
        <v>1496</v>
      </c>
      <c r="AG1058" s="1326"/>
      <c r="DG1058" s="555"/>
      <c r="DH1058" s="151"/>
      <c r="DI1058" s="1049"/>
      <c r="DJ1058" s="1127"/>
    </row>
    <row r="1059" spans="1:114" ht="15" hidden="1" customHeight="1" outlineLevel="1" x14ac:dyDescent="0.25">
      <c r="A1059" s="442"/>
      <c r="C1059" s="49"/>
      <c r="D1059" s="2177"/>
      <c r="E1059" s="2177"/>
      <c r="F1059" s="2176" t="str">
        <f>$E$829</f>
        <v>ASHP-SEER18-Replace_CAC_ElectricHeat_ER1_MF</v>
      </c>
      <c r="G1059" s="2176"/>
      <c r="H1059" s="2176"/>
      <c r="I1059" s="2176"/>
      <c r="J1059" s="986" t="str">
        <f>$C$829</f>
        <v>354300_2024_12_</v>
      </c>
      <c r="K1059" s="1616">
        <v>1496</v>
      </c>
      <c r="L1059" s="249"/>
      <c r="M1059" s="744" t="s">
        <v>1363</v>
      </c>
      <c r="T1059" s="50"/>
      <c r="U1059" s="50"/>
      <c r="V1059" s="2177"/>
      <c r="W1059" s="1326">
        <v>2009</v>
      </c>
      <c r="X1059" s="794">
        <v>1496</v>
      </c>
      <c r="Y1059" s="1326">
        <v>1496</v>
      </c>
      <c r="Z1059" s="1326">
        <v>1496</v>
      </c>
      <c r="AA1059" s="1326">
        <v>1496</v>
      </c>
      <c r="AB1059" s="1326">
        <v>1496</v>
      </c>
      <c r="AC1059" s="1326">
        <v>1496</v>
      </c>
      <c r="AD1059" s="1326">
        <v>1496</v>
      </c>
      <c r="AE1059" s="1326">
        <v>1496</v>
      </c>
      <c r="AF1059" s="258">
        <f t="shared" si="188"/>
        <v>1496</v>
      </c>
      <c r="AG1059" s="1326"/>
      <c r="DG1059" s="555"/>
      <c r="DH1059" s="151"/>
      <c r="DI1059" s="1049"/>
      <c r="DJ1059" s="1127"/>
    </row>
    <row r="1060" spans="1:114" ht="15" hidden="1" customHeight="1" outlineLevel="1" x14ac:dyDescent="0.25">
      <c r="A1060" s="442"/>
      <c r="C1060" s="49"/>
      <c r="D1060" s="2177"/>
      <c r="E1060" s="2177"/>
      <c r="F1060" s="2176" t="str">
        <f>$E$831</f>
        <v>ASHP-SEER18-Replace_CAC_ElectricHeat_ER2_MF</v>
      </c>
      <c r="G1060" s="2176"/>
      <c r="H1060" s="2176"/>
      <c r="I1060" s="2176"/>
      <c r="J1060" s="986" t="str">
        <f>$C$831</f>
        <v>354300_2024_12_</v>
      </c>
      <c r="K1060" s="1616">
        <v>1496</v>
      </c>
      <c r="L1060" s="249"/>
      <c r="M1060" s="744" t="s">
        <v>1363</v>
      </c>
      <c r="T1060" s="50"/>
      <c r="U1060" s="50"/>
      <c r="V1060" s="2177"/>
      <c r="W1060" s="1326">
        <v>2009</v>
      </c>
      <c r="X1060" s="794">
        <v>1496</v>
      </c>
      <c r="Y1060" s="1326">
        <v>1496</v>
      </c>
      <c r="Z1060" s="1326">
        <v>1496</v>
      </c>
      <c r="AA1060" s="1326">
        <v>1496</v>
      </c>
      <c r="AB1060" s="1326">
        <v>1496</v>
      </c>
      <c r="AC1060" s="1326">
        <v>1496</v>
      </c>
      <c r="AD1060" s="1326">
        <v>1496</v>
      </c>
      <c r="AE1060" s="1326">
        <v>1496</v>
      </c>
      <c r="AF1060" s="258">
        <f t="shared" si="188"/>
        <v>1496</v>
      </c>
      <c r="AG1060" s="1326"/>
      <c r="DG1060" s="555"/>
      <c r="DH1060" s="151"/>
      <c r="DI1060" s="1049"/>
      <c r="DJ1060" s="1127"/>
    </row>
    <row r="1061" spans="1:114" ht="15" hidden="1" customHeight="1" outlineLevel="1" x14ac:dyDescent="0.25">
      <c r="A1061" s="442"/>
      <c r="C1061" s="49"/>
      <c r="D1061" s="2177"/>
      <c r="E1061" s="2177"/>
      <c r="F1061" s="2176" t="str">
        <f>$E$833</f>
        <v>ASHP-SEER18_ER1_MF</v>
      </c>
      <c r="G1061" s="2176"/>
      <c r="H1061" s="2176"/>
      <c r="I1061" s="2176"/>
      <c r="J1061" s="986" t="str">
        <f>$C$833</f>
        <v>354350_2024_12_</v>
      </c>
      <c r="K1061" s="1616">
        <v>1496</v>
      </c>
      <c r="L1061" s="249"/>
      <c r="M1061" s="744" t="s">
        <v>1363</v>
      </c>
      <c r="T1061" s="50"/>
      <c r="U1061" s="50"/>
      <c r="V1061" s="2177"/>
      <c r="W1061" s="1326">
        <v>2009</v>
      </c>
      <c r="X1061" s="794">
        <v>1496</v>
      </c>
      <c r="Y1061" s="1326">
        <v>1496</v>
      </c>
      <c r="Z1061" s="1326">
        <v>1496</v>
      </c>
      <c r="AA1061" s="1326">
        <v>1496</v>
      </c>
      <c r="AB1061" s="1326">
        <v>1496</v>
      </c>
      <c r="AC1061" s="1326">
        <v>1496</v>
      </c>
      <c r="AD1061" s="1326">
        <v>1496</v>
      </c>
      <c r="AE1061" s="1326">
        <v>1496</v>
      </c>
      <c r="AF1061" s="258">
        <f t="shared" si="188"/>
        <v>1496</v>
      </c>
      <c r="AG1061" s="1326"/>
      <c r="DG1061" s="555"/>
      <c r="DH1061" s="151"/>
      <c r="DI1061" s="1049"/>
      <c r="DJ1061" s="1127"/>
    </row>
    <row r="1062" spans="1:114" ht="15" hidden="1" customHeight="1" outlineLevel="1" x14ac:dyDescent="0.25">
      <c r="A1062" s="442"/>
      <c r="C1062" s="49"/>
      <c r="D1062" s="2177"/>
      <c r="E1062" s="2177"/>
      <c r="F1062" s="2176" t="str">
        <f>$E$835</f>
        <v>ASHP-SEER18_ER2_MF</v>
      </c>
      <c r="G1062" s="2176"/>
      <c r="H1062" s="2176"/>
      <c r="I1062" s="2176"/>
      <c r="J1062" s="986" t="str">
        <f>$C$835</f>
        <v>354350_2024_12_</v>
      </c>
      <c r="K1062" s="1616">
        <v>1496</v>
      </c>
      <c r="L1062" s="249"/>
      <c r="M1062" s="744" t="s">
        <v>1363</v>
      </c>
      <c r="T1062" s="50"/>
      <c r="U1062" s="50"/>
      <c r="V1062" s="2177"/>
      <c r="W1062" s="1326">
        <v>2009</v>
      </c>
      <c r="X1062" s="794">
        <v>1496</v>
      </c>
      <c r="Y1062" s="1326">
        <v>1496</v>
      </c>
      <c r="Z1062" s="1326">
        <v>1496</v>
      </c>
      <c r="AA1062" s="1326">
        <v>1496</v>
      </c>
      <c r="AB1062" s="1326">
        <v>1496</v>
      </c>
      <c r="AC1062" s="1326">
        <v>1496</v>
      </c>
      <c r="AD1062" s="1326">
        <v>1496</v>
      </c>
      <c r="AE1062" s="1326">
        <v>1496</v>
      </c>
      <c r="AF1062" s="258">
        <f t="shared" si="188"/>
        <v>1496</v>
      </c>
      <c r="AG1062" s="1326"/>
      <c r="DG1062" s="555"/>
      <c r="DH1062" s="151"/>
      <c r="DI1062" s="1049"/>
      <c r="DJ1062" s="1127"/>
    </row>
    <row r="1063" spans="1:114" ht="15" hidden="1" customHeight="1" outlineLevel="1" x14ac:dyDescent="0.25">
      <c r="A1063" s="442"/>
      <c r="C1063" s="49"/>
      <c r="D1063" s="2177"/>
      <c r="E1063" s="2177"/>
      <c r="F1063" s="2176" t="str">
        <f>$E$837</f>
        <v>ASHP-SEER19-Replace_CAC_ElectricHeat_ER1_SF</v>
      </c>
      <c r="G1063" s="2176"/>
      <c r="H1063" s="2176"/>
      <c r="I1063" s="2176"/>
      <c r="J1063" s="986" t="str">
        <f>$C$837</f>
        <v>354400_2024_12_</v>
      </c>
      <c r="K1063" s="1616">
        <v>1496</v>
      </c>
      <c r="L1063" s="249"/>
      <c r="M1063" s="744" t="s">
        <v>1363</v>
      </c>
      <c r="T1063" s="50"/>
      <c r="U1063" s="50"/>
      <c r="V1063" s="2177"/>
      <c r="W1063" s="1326">
        <v>2009</v>
      </c>
      <c r="X1063" s="794">
        <v>1496</v>
      </c>
      <c r="Y1063" s="1326">
        <v>1496</v>
      </c>
      <c r="Z1063" s="1326">
        <v>1496</v>
      </c>
      <c r="AA1063" s="1326">
        <v>1496</v>
      </c>
      <c r="AB1063" s="1326">
        <v>1496</v>
      </c>
      <c r="AC1063" s="1326">
        <v>1496</v>
      </c>
      <c r="AD1063" s="1326">
        <v>1496</v>
      </c>
      <c r="AE1063" s="1326">
        <v>1496</v>
      </c>
      <c r="AF1063" s="258">
        <f t="shared" si="188"/>
        <v>1496</v>
      </c>
      <c r="AG1063" s="1326"/>
      <c r="DG1063" s="555"/>
      <c r="DH1063" s="151"/>
      <c r="DI1063" s="1049"/>
      <c r="DJ1063" s="1127"/>
    </row>
    <row r="1064" spans="1:114" ht="15" hidden="1" customHeight="1" outlineLevel="1" x14ac:dyDescent="0.25">
      <c r="A1064" s="442"/>
      <c r="C1064" s="49"/>
      <c r="D1064" s="2177"/>
      <c r="E1064" s="2177"/>
      <c r="F1064" s="2176" t="str">
        <f>$E$839</f>
        <v>ASHP-SEER19-Replace_CAC_ElectricHeat_ER2_SF</v>
      </c>
      <c r="G1064" s="2176"/>
      <c r="H1064" s="2176"/>
      <c r="I1064" s="2176"/>
      <c r="J1064" s="986" t="str">
        <f>$C$839</f>
        <v>354400_2024_12_</v>
      </c>
      <c r="K1064" s="1616">
        <v>1496</v>
      </c>
      <c r="L1064" s="249"/>
      <c r="M1064" s="744" t="s">
        <v>1363</v>
      </c>
      <c r="T1064" s="50"/>
      <c r="U1064" s="50"/>
      <c r="V1064" s="2177"/>
      <c r="W1064" s="1326">
        <v>2009</v>
      </c>
      <c r="X1064" s="794">
        <v>1496</v>
      </c>
      <c r="Y1064" s="1326">
        <v>1496</v>
      </c>
      <c r="Z1064" s="1326">
        <v>1496</v>
      </c>
      <c r="AA1064" s="1326">
        <v>1496</v>
      </c>
      <c r="AB1064" s="1326">
        <v>1496</v>
      </c>
      <c r="AC1064" s="1326">
        <v>1496</v>
      </c>
      <c r="AD1064" s="1326">
        <v>1496</v>
      </c>
      <c r="AE1064" s="1326">
        <v>1496</v>
      </c>
      <c r="AF1064" s="258">
        <f t="shared" si="188"/>
        <v>1496</v>
      </c>
      <c r="AG1064" s="1326"/>
      <c r="DG1064" s="555"/>
      <c r="DH1064" s="151"/>
      <c r="DI1064" s="1049"/>
      <c r="DJ1064" s="1127"/>
    </row>
    <row r="1065" spans="1:114" ht="15" hidden="1" customHeight="1" outlineLevel="1" x14ac:dyDescent="0.25">
      <c r="A1065" s="442"/>
      <c r="C1065" s="49"/>
      <c r="D1065" s="2177"/>
      <c r="E1065" s="2177"/>
      <c r="F1065" s="2176" t="str">
        <f>$E$841</f>
        <v>ASHP-SEER19-Replace_CAC_NonElectricHeat_ER1_SF</v>
      </c>
      <c r="G1065" s="2176"/>
      <c r="H1065" s="2176"/>
      <c r="I1065" s="2176"/>
      <c r="J1065" s="986" t="str">
        <f>$C$841</f>
        <v>354410_2024_12_</v>
      </c>
      <c r="K1065" s="1618">
        <v>1496</v>
      </c>
      <c r="L1065" s="249"/>
      <c r="M1065" s="744" t="s">
        <v>1363</v>
      </c>
      <c r="T1065" s="50"/>
      <c r="U1065" s="50"/>
      <c r="V1065" s="2177"/>
      <c r="W1065" s="1326"/>
      <c r="X1065" s="794"/>
      <c r="Y1065" s="1326"/>
      <c r="Z1065" s="1326"/>
      <c r="AA1065" s="1326"/>
      <c r="AB1065" s="1326"/>
      <c r="AC1065" s="790">
        <v>1496</v>
      </c>
      <c r="AD1065" s="766">
        <v>1496</v>
      </c>
      <c r="AE1065" s="766">
        <v>1496</v>
      </c>
      <c r="AF1065" s="258">
        <f t="shared" si="188"/>
        <v>1496</v>
      </c>
      <c r="AG1065" s="1326"/>
      <c r="DG1065" s="555"/>
      <c r="DH1065" s="151"/>
      <c r="DI1065" s="1049"/>
      <c r="DJ1065" s="1127"/>
    </row>
    <row r="1066" spans="1:114" ht="15" hidden="1" customHeight="1" outlineLevel="1" x14ac:dyDescent="0.25">
      <c r="A1066" s="442"/>
      <c r="C1066" s="49"/>
      <c r="D1066" s="2177"/>
      <c r="E1066" s="2177"/>
      <c r="F1066" s="2176" t="str">
        <f>$E$843</f>
        <v>ASHP-SEER19-Replace_CAC_NonElectricHeat_ER2_SF</v>
      </c>
      <c r="G1066" s="2176"/>
      <c r="H1066" s="2176"/>
      <c r="I1066" s="2176"/>
      <c r="J1066" s="986" t="str">
        <f>$C$843</f>
        <v>354410_2024_12_</v>
      </c>
      <c r="K1066" s="1618">
        <v>1496</v>
      </c>
      <c r="L1066" s="249"/>
      <c r="M1066" s="744" t="s">
        <v>1363</v>
      </c>
      <c r="T1066" s="50"/>
      <c r="U1066" s="50"/>
      <c r="V1066" s="2177"/>
      <c r="W1066" s="1326"/>
      <c r="X1066" s="794"/>
      <c r="Y1066" s="1326"/>
      <c r="Z1066" s="1326"/>
      <c r="AA1066" s="1326"/>
      <c r="AB1066" s="1326"/>
      <c r="AC1066" s="790">
        <v>1496</v>
      </c>
      <c r="AD1066" s="766">
        <v>1496</v>
      </c>
      <c r="AE1066" s="766">
        <v>1496</v>
      </c>
      <c r="AF1066" s="258">
        <f t="shared" si="188"/>
        <v>1496</v>
      </c>
      <c r="AG1066" s="1326"/>
      <c r="DG1066" s="555"/>
      <c r="DH1066" s="151"/>
      <c r="DI1066" s="1049"/>
      <c r="DJ1066" s="1127"/>
    </row>
    <row r="1067" spans="1:114" ht="15" hidden="1" customHeight="1" outlineLevel="1" x14ac:dyDescent="0.25">
      <c r="A1067" s="442"/>
      <c r="C1067" s="49"/>
      <c r="D1067" s="2177"/>
      <c r="E1067" s="2177"/>
      <c r="F1067" s="2176" t="str">
        <f>$E$845</f>
        <v>ASHP-SEER19-Replace_CAC_ElectricHeat_ER1_MF</v>
      </c>
      <c r="G1067" s="2176"/>
      <c r="H1067" s="2176"/>
      <c r="I1067" s="2176"/>
      <c r="J1067" s="986" t="str">
        <f>$C$845</f>
        <v>354450_2024_12_</v>
      </c>
      <c r="K1067" s="1616">
        <v>1496</v>
      </c>
      <c r="L1067" s="249"/>
      <c r="M1067" s="744" t="s">
        <v>1363</v>
      </c>
      <c r="T1067" s="50"/>
      <c r="U1067" s="50"/>
      <c r="V1067" s="2177"/>
      <c r="W1067" s="1326">
        <v>2009</v>
      </c>
      <c r="X1067" s="794">
        <v>1496</v>
      </c>
      <c r="Y1067" s="1326">
        <v>1496</v>
      </c>
      <c r="Z1067" s="1326">
        <v>1496</v>
      </c>
      <c r="AA1067" s="1326">
        <v>1496</v>
      </c>
      <c r="AB1067" s="1326">
        <v>1496</v>
      </c>
      <c r="AC1067" s="1326">
        <v>1496</v>
      </c>
      <c r="AD1067" s="1326">
        <v>1496</v>
      </c>
      <c r="AE1067" s="1326">
        <v>1496</v>
      </c>
      <c r="AF1067" s="258">
        <f t="shared" si="188"/>
        <v>1496</v>
      </c>
      <c r="AG1067" s="1326"/>
      <c r="DG1067" s="555"/>
      <c r="DH1067" s="151"/>
      <c r="DI1067" s="1049"/>
      <c r="DJ1067" s="1127"/>
    </row>
    <row r="1068" spans="1:114" ht="15" hidden="1" customHeight="1" outlineLevel="1" x14ac:dyDescent="0.25">
      <c r="A1068" s="442"/>
      <c r="C1068" s="49"/>
      <c r="D1068" s="2177"/>
      <c r="E1068" s="2177"/>
      <c r="F1068" s="2176" t="str">
        <f>$E$847</f>
        <v>ASHP-SEER19-Replace_CAC_ElectricHeat_ER2_MF</v>
      </c>
      <c r="G1068" s="2176"/>
      <c r="H1068" s="2176"/>
      <c r="I1068" s="2176"/>
      <c r="J1068" s="986" t="str">
        <f>$C$847</f>
        <v>354450_2024_12_</v>
      </c>
      <c r="K1068" s="1616">
        <v>1496</v>
      </c>
      <c r="L1068" s="249"/>
      <c r="M1068" s="744" t="s">
        <v>1363</v>
      </c>
      <c r="T1068" s="50"/>
      <c r="U1068" s="50"/>
      <c r="V1068" s="2177"/>
      <c r="W1068" s="1326">
        <v>2009</v>
      </c>
      <c r="X1068" s="794">
        <v>1496</v>
      </c>
      <c r="Y1068" s="1326">
        <v>1496</v>
      </c>
      <c r="Z1068" s="1326">
        <v>1496</v>
      </c>
      <c r="AA1068" s="1326">
        <v>1496</v>
      </c>
      <c r="AB1068" s="1326">
        <v>1496</v>
      </c>
      <c r="AC1068" s="1326">
        <v>1496</v>
      </c>
      <c r="AD1068" s="1326">
        <v>1496</v>
      </c>
      <c r="AE1068" s="1326">
        <v>1496</v>
      </c>
      <c r="AF1068" s="258">
        <f t="shared" si="188"/>
        <v>1496</v>
      </c>
      <c r="AG1068" s="1326"/>
      <c r="DG1068" s="555"/>
      <c r="DH1068" s="151"/>
      <c r="DI1068" s="1049"/>
      <c r="DJ1068" s="1127"/>
    </row>
    <row r="1069" spans="1:114" ht="15" hidden="1" customHeight="1" outlineLevel="1" x14ac:dyDescent="0.25">
      <c r="A1069" s="442"/>
      <c r="C1069" s="49"/>
      <c r="D1069" s="2177"/>
      <c r="E1069" s="2177"/>
      <c r="F1069" s="2176" t="str">
        <f>$E$849</f>
        <v>ASHP-SEER19_ER1_MF</v>
      </c>
      <c r="G1069" s="2176"/>
      <c r="H1069" s="2176"/>
      <c r="I1069" s="2176"/>
      <c r="J1069" s="986" t="str">
        <f>$C$849</f>
        <v>354500_2024_12_</v>
      </c>
      <c r="K1069" s="1616">
        <v>1496</v>
      </c>
      <c r="L1069" s="249"/>
      <c r="M1069" s="744" t="s">
        <v>1363</v>
      </c>
      <c r="T1069" s="50"/>
      <c r="U1069" s="50"/>
      <c r="V1069" s="2177"/>
      <c r="W1069" s="1326">
        <v>2009</v>
      </c>
      <c r="X1069" s="794">
        <v>1496</v>
      </c>
      <c r="Y1069" s="1326">
        <v>1496</v>
      </c>
      <c r="Z1069" s="1326">
        <v>1496</v>
      </c>
      <c r="AA1069" s="1326">
        <v>1496</v>
      </c>
      <c r="AB1069" s="1326">
        <v>1496</v>
      </c>
      <c r="AC1069" s="1326">
        <v>1496</v>
      </c>
      <c r="AD1069" s="1326">
        <v>1496</v>
      </c>
      <c r="AE1069" s="1326">
        <v>1496</v>
      </c>
      <c r="AF1069" s="258">
        <f t="shared" si="188"/>
        <v>1496</v>
      </c>
      <c r="AG1069" s="1326"/>
      <c r="DG1069" s="555"/>
      <c r="DH1069" s="151"/>
      <c r="DI1069" s="1049"/>
      <c r="DJ1069" s="1127"/>
    </row>
    <row r="1070" spans="1:114" ht="15" hidden="1" customHeight="1" outlineLevel="1" x14ac:dyDescent="0.25">
      <c r="A1070" s="442"/>
      <c r="C1070" s="49"/>
      <c r="D1070" s="2177"/>
      <c r="E1070" s="2177"/>
      <c r="F1070" s="2176" t="str">
        <f>$E$851</f>
        <v>ASHP-SEER19_ER2_MF</v>
      </c>
      <c r="G1070" s="2176"/>
      <c r="H1070" s="2176"/>
      <c r="I1070" s="2176"/>
      <c r="J1070" s="986" t="str">
        <f>$C$851</f>
        <v>354500_2024_12_</v>
      </c>
      <c r="K1070" s="1616">
        <v>1496</v>
      </c>
      <c r="L1070" s="249"/>
      <c r="M1070" s="744" t="s">
        <v>1363</v>
      </c>
      <c r="T1070" s="50"/>
      <c r="U1070" s="50"/>
      <c r="V1070" s="2177"/>
      <c r="W1070" s="1326">
        <v>2009</v>
      </c>
      <c r="X1070" s="794">
        <v>1496</v>
      </c>
      <c r="Y1070" s="1326">
        <v>1496</v>
      </c>
      <c r="Z1070" s="1326">
        <v>1496</v>
      </c>
      <c r="AA1070" s="1326">
        <v>1496</v>
      </c>
      <c r="AB1070" s="1326">
        <v>1496</v>
      </c>
      <c r="AC1070" s="1326">
        <v>1496</v>
      </c>
      <c r="AD1070" s="1326">
        <v>1496</v>
      </c>
      <c r="AE1070" s="1326">
        <v>1496</v>
      </c>
      <c r="AF1070" s="258">
        <f t="shared" si="188"/>
        <v>1496</v>
      </c>
      <c r="AG1070" s="1326"/>
      <c r="DG1070" s="555"/>
      <c r="DH1070" s="151"/>
      <c r="DI1070" s="1049"/>
      <c r="DJ1070" s="1127"/>
    </row>
    <row r="1071" spans="1:114" ht="15" hidden="1" customHeight="1" outlineLevel="1" x14ac:dyDescent="0.25">
      <c r="A1071" s="442"/>
      <c r="C1071" s="49"/>
      <c r="D1071" s="2177"/>
      <c r="E1071" s="2177"/>
      <c r="F1071" s="2176" t="str">
        <f>$E$853</f>
        <v>ASHP-SEER20_ER1_SF</v>
      </c>
      <c r="G1071" s="2176"/>
      <c r="H1071" s="2176"/>
      <c r="I1071" s="2176"/>
      <c r="J1071" s="986" t="str">
        <f>$C$853</f>
        <v>354550_2024_12_</v>
      </c>
      <c r="K1071" s="1616">
        <v>1496</v>
      </c>
      <c r="L1071" s="249"/>
      <c r="M1071" s="744" t="s">
        <v>1363</v>
      </c>
      <c r="T1071" s="50"/>
      <c r="U1071" s="50"/>
      <c r="V1071" s="2177"/>
      <c r="W1071" s="1326">
        <v>2009</v>
      </c>
      <c r="X1071" s="794">
        <v>1496</v>
      </c>
      <c r="Y1071" s="1326">
        <v>1496</v>
      </c>
      <c r="Z1071" s="1326">
        <v>1496</v>
      </c>
      <c r="AA1071" s="1326">
        <v>1496</v>
      </c>
      <c r="AB1071" s="1326">
        <v>1496</v>
      </c>
      <c r="AC1071" s="1326">
        <v>1496</v>
      </c>
      <c r="AD1071" s="1326">
        <v>1496</v>
      </c>
      <c r="AE1071" s="1326">
        <v>1496</v>
      </c>
      <c r="AF1071" s="258">
        <f t="shared" si="188"/>
        <v>1496</v>
      </c>
      <c r="AG1071" s="1326"/>
      <c r="DG1071" s="555"/>
      <c r="DH1071" s="151"/>
      <c r="DI1071" s="1049"/>
      <c r="DJ1071" s="1127"/>
    </row>
    <row r="1072" spans="1:114" ht="15" hidden="1" customHeight="1" outlineLevel="1" x14ac:dyDescent="0.25">
      <c r="A1072" s="442"/>
      <c r="C1072" s="49"/>
      <c r="D1072" s="2177"/>
      <c r="E1072" s="2177"/>
      <c r="F1072" s="2176" t="str">
        <f>$E$855</f>
        <v>ASHP-SEER20_ER2_SF</v>
      </c>
      <c r="G1072" s="2176"/>
      <c r="H1072" s="2176"/>
      <c r="I1072" s="2176"/>
      <c r="J1072" s="986" t="str">
        <f>$C$855</f>
        <v>354550_2024_12_</v>
      </c>
      <c r="K1072" s="1616">
        <v>1496</v>
      </c>
      <c r="L1072" s="249"/>
      <c r="M1072" s="744" t="s">
        <v>1363</v>
      </c>
      <c r="T1072" s="50"/>
      <c r="U1072" s="50"/>
      <c r="V1072" s="2177"/>
      <c r="W1072" s="1326">
        <v>2009</v>
      </c>
      <c r="X1072" s="794">
        <v>1496</v>
      </c>
      <c r="Y1072" s="1326">
        <v>1496</v>
      </c>
      <c r="Z1072" s="1326">
        <v>1496</v>
      </c>
      <c r="AA1072" s="1326">
        <v>1496</v>
      </c>
      <c r="AB1072" s="1326">
        <v>1496</v>
      </c>
      <c r="AC1072" s="1326">
        <v>1496</v>
      </c>
      <c r="AD1072" s="1326">
        <v>1496</v>
      </c>
      <c r="AE1072" s="1326">
        <v>1496</v>
      </c>
      <c r="AF1072" s="258">
        <f t="shared" si="188"/>
        <v>1496</v>
      </c>
      <c r="AG1072" s="1326"/>
      <c r="DG1072" s="555"/>
      <c r="DH1072" s="151"/>
      <c r="DI1072" s="1049"/>
      <c r="DJ1072" s="1127"/>
    </row>
    <row r="1073" spans="1:114" ht="15" hidden="1" customHeight="1" outlineLevel="1" x14ac:dyDescent="0.25">
      <c r="A1073" s="442"/>
      <c r="C1073" s="49"/>
      <c r="D1073" s="2177"/>
      <c r="E1073" s="2177"/>
      <c r="F1073" s="2176" t="str">
        <f>$E$857</f>
        <v>ASHP-SEER20_ROF_SF</v>
      </c>
      <c r="G1073" s="2176"/>
      <c r="H1073" s="2176"/>
      <c r="I1073" s="2176"/>
      <c r="J1073" s="986" t="str">
        <f>$C$857</f>
        <v>354600_2024_12_</v>
      </c>
      <c r="K1073" s="1616">
        <v>1496</v>
      </c>
      <c r="L1073" s="249"/>
      <c r="M1073" s="744" t="s">
        <v>1363</v>
      </c>
      <c r="T1073" s="50"/>
      <c r="U1073" s="50"/>
      <c r="V1073" s="2177"/>
      <c r="W1073" s="1326">
        <v>2009</v>
      </c>
      <c r="X1073" s="794">
        <v>1496</v>
      </c>
      <c r="Y1073" s="1326">
        <v>1496</v>
      </c>
      <c r="Z1073" s="1326">
        <v>1496</v>
      </c>
      <c r="AA1073" s="1326">
        <v>1496</v>
      </c>
      <c r="AB1073" s="1326">
        <v>1496</v>
      </c>
      <c r="AC1073" s="1326">
        <v>1496</v>
      </c>
      <c r="AD1073" s="1326">
        <v>1496</v>
      </c>
      <c r="AE1073" s="1326">
        <v>1496</v>
      </c>
      <c r="AF1073" s="258">
        <f t="shared" si="188"/>
        <v>1496</v>
      </c>
      <c r="AG1073" s="1326"/>
      <c r="DG1073" s="555"/>
      <c r="DH1073" s="151"/>
      <c r="DI1073" s="1049"/>
      <c r="DJ1073" s="1127"/>
    </row>
    <row r="1074" spans="1:114" ht="15" hidden="1" customHeight="1" outlineLevel="1" x14ac:dyDescent="0.25">
      <c r="A1074" s="442"/>
      <c r="C1074" s="49"/>
      <c r="D1074" s="2177"/>
      <c r="E1074" s="2177"/>
      <c r="F1074" s="2176" t="str">
        <f>$E$859</f>
        <v>ASHP-SEER20-Replace_CAC_ElectricHeat_ER1_MF</v>
      </c>
      <c r="G1074" s="2176"/>
      <c r="H1074" s="2176"/>
      <c r="I1074" s="2176"/>
      <c r="J1074" s="986" t="str">
        <f>$C$859</f>
        <v>354650_2024_12_</v>
      </c>
      <c r="K1074" s="1616">
        <v>1496</v>
      </c>
      <c r="L1074" s="249"/>
      <c r="M1074" s="744" t="s">
        <v>1363</v>
      </c>
      <c r="T1074" s="50"/>
      <c r="U1074" s="50"/>
      <c r="V1074" s="2177"/>
      <c r="W1074" s="1326">
        <v>2009</v>
      </c>
      <c r="X1074" s="794">
        <v>1496</v>
      </c>
      <c r="Y1074" s="1326">
        <v>1496</v>
      </c>
      <c r="Z1074" s="1326">
        <v>1496</v>
      </c>
      <c r="AA1074" s="1326">
        <v>1496</v>
      </c>
      <c r="AB1074" s="1326">
        <v>1496</v>
      </c>
      <c r="AC1074" s="1326">
        <v>1496</v>
      </c>
      <c r="AD1074" s="1326">
        <v>1496</v>
      </c>
      <c r="AE1074" s="1326">
        <v>1496</v>
      </c>
      <c r="AF1074" s="258">
        <f t="shared" si="188"/>
        <v>1496</v>
      </c>
      <c r="AG1074" s="1326"/>
      <c r="DG1074" s="555"/>
      <c r="DH1074" s="151"/>
      <c r="DI1074" s="1049"/>
      <c r="DJ1074" s="1127"/>
    </row>
    <row r="1075" spans="1:114" ht="15" hidden="1" customHeight="1" outlineLevel="1" x14ac:dyDescent="0.25">
      <c r="A1075" s="442"/>
      <c r="C1075" s="49"/>
      <c r="D1075" s="2177"/>
      <c r="E1075" s="2177"/>
      <c r="F1075" s="2176" t="str">
        <f>$E$861</f>
        <v>ASHP-SEER20-Replace_CAC_ElectricHeat_ER2_MF</v>
      </c>
      <c r="G1075" s="2176"/>
      <c r="H1075" s="2176"/>
      <c r="I1075" s="2176"/>
      <c r="J1075" s="986" t="str">
        <f>$C$861</f>
        <v>354650_2024_12_</v>
      </c>
      <c r="K1075" s="1616">
        <v>1496</v>
      </c>
      <c r="L1075" s="249"/>
      <c r="M1075" s="744" t="s">
        <v>1363</v>
      </c>
      <c r="T1075" s="50"/>
      <c r="U1075" s="50"/>
      <c r="V1075" s="2177"/>
      <c r="W1075" s="1326">
        <v>2009</v>
      </c>
      <c r="X1075" s="794">
        <v>1496</v>
      </c>
      <c r="Y1075" s="1326">
        <v>1496</v>
      </c>
      <c r="Z1075" s="1326">
        <v>1496</v>
      </c>
      <c r="AA1075" s="1326">
        <v>1496</v>
      </c>
      <c r="AB1075" s="1326">
        <v>1496</v>
      </c>
      <c r="AC1075" s="1326">
        <v>1496</v>
      </c>
      <c r="AD1075" s="1326">
        <v>1496</v>
      </c>
      <c r="AE1075" s="1326">
        <v>1496</v>
      </c>
      <c r="AF1075" s="258">
        <f t="shared" si="188"/>
        <v>1496</v>
      </c>
      <c r="AG1075" s="1326"/>
      <c r="DG1075" s="555"/>
      <c r="DH1075" s="151"/>
      <c r="DI1075" s="1049"/>
      <c r="DJ1075" s="1127"/>
    </row>
    <row r="1076" spans="1:114" ht="15" hidden="1" customHeight="1" outlineLevel="1" x14ac:dyDescent="0.25">
      <c r="A1076" s="442"/>
      <c r="C1076" s="49"/>
      <c r="D1076" s="2177"/>
      <c r="E1076" s="2177"/>
      <c r="F1076" s="2176" t="str">
        <f>$E$863</f>
        <v>ASHP-SEER20_ER1_MF</v>
      </c>
      <c r="G1076" s="2176"/>
      <c r="H1076" s="2176"/>
      <c r="I1076" s="2176"/>
      <c r="J1076" s="986" t="str">
        <f>$C$863</f>
        <v>354700_2024_12_</v>
      </c>
      <c r="K1076" s="1616">
        <v>1496</v>
      </c>
      <c r="L1076" s="249"/>
      <c r="M1076" s="744" t="s">
        <v>1363</v>
      </c>
      <c r="T1076" s="50"/>
      <c r="U1076" s="50"/>
      <c r="V1076" s="2177"/>
      <c r="W1076" s="1326">
        <v>2009</v>
      </c>
      <c r="X1076" s="794">
        <v>1496</v>
      </c>
      <c r="Y1076" s="1326">
        <v>1496</v>
      </c>
      <c r="Z1076" s="1326">
        <v>1496</v>
      </c>
      <c r="AA1076" s="1326">
        <v>1496</v>
      </c>
      <c r="AB1076" s="1326">
        <v>1496</v>
      </c>
      <c r="AC1076" s="1326">
        <v>1496</v>
      </c>
      <c r="AD1076" s="1326">
        <v>1496</v>
      </c>
      <c r="AE1076" s="1326">
        <v>1496</v>
      </c>
      <c r="AF1076" s="258">
        <f t="shared" si="188"/>
        <v>1496</v>
      </c>
      <c r="AG1076" s="1326"/>
      <c r="DG1076" s="555"/>
      <c r="DH1076" s="151"/>
      <c r="DI1076" s="1049"/>
      <c r="DJ1076" s="1127"/>
    </row>
    <row r="1077" spans="1:114" ht="15" hidden="1" customHeight="1" outlineLevel="1" x14ac:dyDescent="0.25">
      <c r="A1077" s="442"/>
      <c r="C1077" s="49"/>
      <c r="D1077" s="2177"/>
      <c r="E1077" s="2177"/>
      <c r="F1077" s="2176" t="str">
        <f>$E$865</f>
        <v>ASHP-SEER20_ER2_MF</v>
      </c>
      <c r="G1077" s="2176"/>
      <c r="H1077" s="2176"/>
      <c r="I1077" s="2176"/>
      <c r="J1077" s="986" t="str">
        <f>$C$865</f>
        <v>354700_2024_12_</v>
      </c>
      <c r="K1077" s="1616">
        <v>1496</v>
      </c>
      <c r="L1077" s="249"/>
      <c r="M1077" s="744" t="s">
        <v>1363</v>
      </c>
      <c r="T1077" s="50"/>
      <c r="U1077" s="50"/>
      <c r="V1077" s="2177"/>
      <c r="W1077" s="1326">
        <v>2009</v>
      </c>
      <c r="X1077" s="794">
        <v>1496</v>
      </c>
      <c r="Y1077" s="1326">
        <v>1496</v>
      </c>
      <c r="Z1077" s="1326">
        <v>1496</v>
      </c>
      <c r="AA1077" s="1326">
        <v>1496</v>
      </c>
      <c r="AB1077" s="1326">
        <v>1496</v>
      </c>
      <c r="AC1077" s="1326">
        <v>1496</v>
      </c>
      <c r="AD1077" s="1326">
        <v>1496</v>
      </c>
      <c r="AE1077" s="1326">
        <v>1496</v>
      </c>
      <c r="AF1077" s="258">
        <f t="shared" si="188"/>
        <v>1496</v>
      </c>
      <c r="AG1077" s="1326"/>
      <c r="DG1077" s="555"/>
      <c r="DH1077" s="151"/>
      <c r="DI1077" s="1049"/>
      <c r="DJ1077" s="1127"/>
    </row>
    <row r="1078" spans="1:114" ht="15" hidden="1" customHeight="1" outlineLevel="1" x14ac:dyDescent="0.25">
      <c r="A1078" s="442"/>
      <c r="C1078" s="49"/>
      <c r="D1078" s="2177"/>
      <c r="E1078" s="2177"/>
      <c r="F1078" s="2176" t="str">
        <f>$E$867</f>
        <v>ASHP-SEER21_ER1_SF</v>
      </c>
      <c r="G1078" s="2176"/>
      <c r="H1078" s="2176"/>
      <c r="I1078" s="2176"/>
      <c r="J1078" s="986" t="str">
        <f>$C$867</f>
        <v>354750_2024_12_</v>
      </c>
      <c r="K1078" s="1616">
        <v>1496</v>
      </c>
      <c r="L1078" s="249"/>
      <c r="M1078" s="744" t="s">
        <v>1363</v>
      </c>
      <c r="T1078" s="50"/>
      <c r="U1078" s="50"/>
      <c r="V1078" s="2177"/>
      <c r="W1078" s="1326">
        <v>2009</v>
      </c>
      <c r="X1078" s="794">
        <v>1496</v>
      </c>
      <c r="Y1078" s="1326">
        <v>1496</v>
      </c>
      <c r="Z1078" s="1326">
        <v>1496</v>
      </c>
      <c r="AA1078" s="1326">
        <v>1496</v>
      </c>
      <c r="AB1078" s="1326">
        <v>1496</v>
      </c>
      <c r="AC1078" s="1326">
        <v>1496</v>
      </c>
      <c r="AD1078" s="1326">
        <v>1496</v>
      </c>
      <c r="AE1078" s="1326">
        <v>1496</v>
      </c>
      <c r="AF1078" s="258">
        <f t="shared" si="188"/>
        <v>1496</v>
      </c>
      <c r="AG1078" s="1326"/>
      <c r="DG1078" s="555"/>
      <c r="DH1078" s="151"/>
      <c r="DI1078" s="1049"/>
      <c r="DJ1078" s="1127"/>
    </row>
    <row r="1079" spans="1:114" ht="15" hidden="1" customHeight="1" outlineLevel="1" x14ac:dyDescent="0.25">
      <c r="A1079" s="442"/>
      <c r="C1079" s="49"/>
      <c r="D1079" s="2177"/>
      <c r="E1079" s="2177"/>
      <c r="F1079" s="2176" t="str">
        <f>$E$869</f>
        <v>ASHP-SEER21_ER2_SF</v>
      </c>
      <c r="G1079" s="2176"/>
      <c r="H1079" s="2176"/>
      <c r="I1079" s="2176"/>
      <c r="J1079" s="986" t="str">
        <f>$C$869</f>
        <v>354750_2024_12_</v>
      </c>
      <c r="K1079" s="1616">
        <v>1496</v>
      </c>
      <c r="L1079" s="249"/>
      <c r="M1079" s="744" t="s">
        <v>1363</v>
      </c>
      <c r="T1079" s="50"/>
      <c r="U1079" s="50"/>
      <c r="V1079" s="2177"/>
      <c r="W1079" s="1326">
        <v>2009</v>
      </c>
      <c r="X1079" s="794">
        <v>1496</v>
      </c>
      <c r="Y1079" s="1326">
        <v>1496</v>
      </c>
      <c r="Z1079" s="1326">
        <v>1496</v>
      </c>
      <c r="AA1079" s="1326">
        <v>1496</v>
      </c>
      <c r="AB1079" s="1326">
        <v>1496</v>
      </c>
      <c r="AC1079" s="1326">
        <v>1496</v>
      </c>
      <c r="AD1079" s="1326">
        <v>1496</v>
      </c>
      <c r="AE1079" s="1326">
        <v>1496</v>
      </c>
      <c r="AF1079" s="258">
        <f t="shared" si="188"/>
        <v>1496</v>
      </c>
      <c r="AG1079" s="1326"/>
      <c r="DG1079" s="555"/>
      <c r="DH1079" s="151"/>
      <c r="DI1079" s="1049"/>
      <c r="DJ1079" s="1127"/>
    </row>
    <row r="1080" spans="1:114" ht="15" hidden="1" customHeight="1" outlineLevel="1" x14ac:dyDescent="0.25">
      <c r="A1080" s="442"/>
      <c r="C1080" s="49"/>
      <c r="D1080" s="2177"/>
      <c r="E1080" s="2177"/>
      <c r="F1080" s="2176" t="str">
        <f>$E$871</f>
        <v>ASHP-SEER21_ROF_SF</v>
      </c>
      <c r="G1080" s="2176"/>
      <c r="H1080" s="2176"/>
      <c r="I1080" s="2176"/>
      <c r="J1080" s="986" t="str">
        <f>$C$871</f>
        <v>354800_2024_12_</v>
      </c>
      <c r="K1080" s="1616">
        <v>1496</v>
      </c>
      <c r="L1080" s="249"/>
      <c r="M1080" s="744" t="s">
        <v>1363</v>
      </c>
      <c r="T1080" s="50"/>
      <c r="U1080" s="50"/>
      <c r="V1080" s="2177"/>
      <c r="W1080" s="1326">
        <v>2009</v>
      </c>
      <c r="X1080" s="794">
        <v>1496</v>
      </c>
      <c r="Y1080" s="1326">
        <v>1496</v>
      </c>
      <c r="Z1080" s="1326">
        <v>1496</v>
      </c>
      <c r="AA1080" s="1326">
        <v>1496</v>
      </c>
      <c r="AB1080" s="1326">
        <v>1496</v>
      </c>
      <c r="AC1080" s="1326">
        <v>1496</v>
      </c>
      <c r="AD1080" s="1326">
        <v>1496</v>
      </c>
      <c r="AE1080" s="1326">
        <v>1496</v>
      </c>
      <c r="AF1080" s="258">
        <f t="shared" si="188"/>
        <v>1496</v>
      </c>
      <c r="AG1080" s="1326"/>
      <c r="DG1080" s="555"/>
      <c r="DH1080" s="151"/>
      <c r="DI1080" s="1049"/>
      <c r="DJ1080" s="1127"/>
    </row>
    <row r="1081" spans="1:114" ht="15" hidden="1" customHeight="1" outlineLevel="1" x14ac:dyDescent="0.25">
      <c r="A1081" s="442"/>
      <c r="C1081" s="49"/>
      <c r="D1081" s="2177"/>
      <c r="E1081" s="2177"/>
      <c r="F1081" s="2176" t="str">
        <f>$E$873</f>
        <v>ASHP-SEER21-Replace_CAC_ElectricHeat_ROF_MF</v>
      </c>
      <c r="G1081" s="2176"/>
      <c r="H1081" s="2176"/>
      <c r="I1081" s="2176"/>
      <c r="J1081" s="986" t="str">
        <f>$C$873</f>
        <v>354850_2024_12_</v>
      </c>
      <c r="K1081" s="1616">
        <v>1496</v>
      </c>
      <c r="L1081" s="249"/>
      <c r="M1081" s="744" t="s">
        <v>1363</v>
      </c>
      <c r="T1081" s="50"/>
      <c r="U1081" s="50"/>
      <c r="V1081" s="2177"/>
      <c r="W1081" s="1326">
        <v>2009</v>
      </c>
      <c r="X1081" s="794">
        <v>1496</v>
      </c>
      <c r="Y1081" s="1326">
        <v>1496</v>
      </c>
      <c r="Z1081" s="1326">
        <v>1496</v>
      </c>
      <c r="AA1081" s="1326">
        <v>1496</v>
      </c>
      <c r="AB1081" s="1326">
        <v>1496</v>
      </c>
      <c r="AC1081" s="1326">
        <v>1496</v>
      </c>
      <c r="AD1081" s="1326">
        <v>1496</v>
      </c>
      <c r="AE1081" s="1326">
        <v>1496</v>
      </c>
      <c r="AF1081" s="258">
        <f t="shared" si="188"/>
        <v>1496</v>
      </c>
      <c r="AG1081" s="1326"/>
      <c r="DG1081" s="555"/>
      <c r="DH1081" s="151"/>
      <c r="DI1081" s="1049"/>
      <c r="DJ1081" s="1127"/>
    </row>
    <row r="1082" spans="1:114" ht="15" hidden="1" customHeight="1" outlineLevel="1" x14ac:dyDescent="0.25">
      <c r="A1082" s="442"/>
      <c r="C1082" s="49"/>
      <c r="D1082" s="2177"/>
      <c r="E1082" s="2177"/>
      <c r="F1082" s="2176" t="str">
        <f>$E$875</f>
        <v>ASHP-SEER21_ER1_MF</v>
      </c>
      <c r="G1082" s="2176"/>
      <c r="H1082" s="2176"/>
      <c r="I1082" s="2176"/>
      <c r="J1082" s="986" t="str">
        <f>$C$875</f>
        <v>354900_2024_12_</v>
      </c>
      <c r="K1082" s="1616">
        <v>1496</v>
      </c>
      <c r="L1082" s="249"/>
      <c r="M1082" s="744" t="s">
        <v>1363</v>
      </c>
      <c r="T1082" s="50"/>
      <c r="U1082" s="50"/>
      <c r="V1082" s="2177"/>
      <c r="W1082" s="1326">
        <v>2009</v>
      </c>
      <c r="X1082" s="794">
        <v>1496</v>
      </c>
      <c r="Y1082" s="1326">
        <v>1496</v>
      </c>
      <c r="Z1082" s="1326">
        <v>1496</v>
      </c>
      <c r="AA1082" s="1326">
        <v>1496</v>
      </c>
      <c r="AB1082" s="1326">
        <v>1496</v>
      </c>
      <c r="AC1082" s="1326">
        <v>1496</v>
      </c>
      <c r="AD1082" s="1326">
        <v>1496</v>
      </c>
      <c r="AE1082" s="1326">
        <v>1496</v>
      </c>
      <c r="AF1082" s="258">
        <f t="shared" si="188"/>
        <v>1496</v>
      </c>
      <c r="AG1082" s="1326"/>
      <c r="DG1082" s="555"/>
      <c r="DH1082" s="151"/>
      <c r="DI1082" s="1049"/>
      <c r="DJ1082" s="1127"/>
    </row>
    <row r="1083" spans="1:114" ht="15" hidden="1" customHeight="1" outlineLevel="1" x14ac:dyDescent="0.25">
      <c r="A1083" s="442"/>
      <c r="C1083" s="49"/>
      <c r="D1083" s="2177"/>
      <c r="E1083" s="2177"/>
      <c r="F1083" s="2176" t="str">
        <f>$E$877</f>
        <v>ASHP-SEER21_ER2_MF</v>
      </c>
      <c r="G1083" s="2176"/>
      <c r="H1083" s="2176"/>
      <c r="I1083" s="2176"/>
      <c r="J1083" s="986" t="str">
        <f>$C$877</f>
        <v>354900_2024_12_</v>
      </c>
      <c r="K1083" s="1616">
        <v>1496</v>
      </c>
      <c r="L1083" s="249"/>
      <c r="M1083" s="744" t="s">
        <v>1363</v>
      </c>
      <c r="T1083" s="50"/>
      <c r="U1083" s="50"/>
      <c r="V1083" s="2177"/>
      <c r="W1083" s="1326">
        <v>2009</v>
      </c>
      <c r="X1083" s="794">
        <v>1496</v>
      </c>
      <c r="Y1083" s="1326">
        <v>1496</v>
      </c>
      <c r="Z1083" s="1326">
        <v>1496</v>
      </c>
      <c r="AA1083" s="1326">
        <v>1496</v>
      </c>
      <c r="AB1083" s="1326">
        <v>1496</v>
      </c>
      <c r="AC1083" s="1326">
        <v>1496</v>
      </c>
      <c r="AD1083" s="1326">
        <v>1496</v>
      </c>
      <c r="AE1083" s="1326">
        <v>1496</v>
      </c>
      <c r="AF1083" s="258">
        <f t="shared" si="188"/>
        <v>1496</v>
      </c>
      <c r="AG1083" s="1326"/>
      <c r="DG1083" s="555"/>
      <c r="DH1083" s="151"/>
      <c r="DI1083" s="1049"/>
      <c r="DJ1083" s="1127"/>
    </row>
    <row r="1084" spans="1:114" ht="15" hidden="1" customHeight="1" outlineLevel="1" x14ac:dyDescent="0.25">
      <c r="A1084" s="442"/>
      <c r="C1084" s="49"/>
      <c r="D1084" s="2177"/>
      <c r="E1084" s="2177"/>
      <c r="F1084" s="2176" t="str">
        <f>$E$879</f>
        <v>ASHP-SEER17_ROF_MF</v>
      </c>
      <c r="G1084" s="2176"/>
      <c r="H1084" s="2176"/>
      <c r="I1084" s="2176"/>
      <c r="J1084" s="986" t="str">
        <f>$C$879</f>
        <v>354950_2024_12_</v>
      </c>
      <c r="K1084" s="1616">
        <v>1496</v>
      </c>
      <c r="L1084" s="249"/>
      <c r="M1084" s="744" t="s">
        <v>1363</v>
      </c>
      <c r="T1084" s="50"/>
      <c r="U1084" s="50"/>
      <c r="V1084" s="2177"/>
      <c r="W1084" s="1326">
        <v>2009</v>
      </c>
      <c r="X1084" s="794">
        <v>1496</v>
      </c>
      <c r="Y1084" s="1326">
        <v>1496</v>
      </c>
      <c r="Z1084" s="1326">
        <v>1496</v>
      </c>
      <c r="AA1084" s="1326">
        <v>1496</v>
      </c>
      <c r="AB1084" s="1326">
        <v>1496</v>
      </c>
      <c r="AC1084" s="1326">
        <v>1496</v>
      </c>
      <c r="AD1084" s="1326">
        <v>1496</v>
      </c>
      <c r="AE1084" s="1326">
        <v>1496</v>
      </c>
      <c r="AF1084" s="258">
        <f t="shared" si="188"/>
        <v>1496</v>
      </c>
      <c r="AG1084" s="1326"/>
      <c r="DG1084" s="555"/>
      <c r="DH1084" s="151"/>
      <c r="DI1084" s="1049"/>
      <c r="DJ1084" s="1127"/>
    </row>
    <row r="1085" spans="1:114" ht="15" hidden="1" customHeight="1" outlineLevel="1" x14ac:dyDescent="0.25">
      <c r="A1085" s="442"/>
      <c r="C1085" s="49"/>
      <c r="D1085" s="2177"/>
      <c r="E1085" s="2177"/>
      <c r="F1085" s="2176" t="str">
        <f>$E$881</f>
        <v>ASHP-SEER18_ROF_MF</v>
      </c>
      <c r="G1085" s="2176"/>
      <c r="H1085" s="2176"/>
      <c r="I1085" s="2176"/>
      <c r="J1085" s="986" t="str">
        <f>$C$881</f>
        <v>355000_2024_12_</v>
      </c>
      <c r="K1085" s="1616">
        <v>1496</v>
      </c>
      <c r="L1085" s="249"/>
      <c r="M1085" s="744" t="s">
        <v>1363</v>
      </c>
      <c r="P1085" s="248"/>
      <c r="Q1085" s="196"/>
      <c r="R1085" s="248"/>
      <c r="T1085" s="169"/>
      <c r="U1085" s="50"/>
      <c r="V1085" s="2177"/>
      <c r="W1085" s="1326">
        <v>2009</v>
      </c>
      <c r="X1085" s="794">
        <v>1496</v>
      </c>
      <c r="Y1085" s="1326">
        <v>1496</v>
      </c>
      <c r="Z1085" s="1326">
        <v>1496</v>
      </c>
      <c r="AA1085" s="1326">
        <v>1496</v>
      </c>
      <c r="AB1085" s="1326">
        <v>1496</v>
      </c>
      <c r="AC1085" s="1326">
        <v>1496</v>
      </c>
      <c r="AD1085" s="1326">
        <v>1496</v>
      </c>
      <c r="AE1085" s="1326">
        <v>1496</v>
      </c>
      <c r="AF1085" s="258">
        <f t="shared" si="188"/>
        <v>1496</v>
      </c>
      <c r="AG1085" s="1326"/>
      <c r="DG1085" s="555"/>
      <c r="DH1085" s="151"/>
      <c r="DI1085" s="1049"/>
      <c r="DJ1085" s="1127"/>
    </row>
    <row r="1086" spans="1:114" ht="15" hidden="1" customHeight="1" outlineLevel="1" x14ac:dyDescent="0.25">
      <c r="A1086" s="442"/>
      <c r="C1086" s="49"/>
      <c r="D1086" s="2177"/>
      <c r="E1086" s="2177"/>
      <c r="F1086" s="2176" t="str">
        <f>$E$883</f>
        <v>ASHP-SEER19_ROF_MF</v>
      </c>
      <c r="G1086" s="2176"/>
      <c r="H1086" s="2176"/>
      <c r="I1086" s="2176"/>
      <c r="J1086" s="986" t="str">
        <f>$C$883</f>
        <v>355050_2024_12_</v>
      </c>
      <c r="K1086" s="1616">
        <v>1496</v>
      </c>
      <c r="L1086" s="249"/>
      <c r="M1086" s="744" t="s">
        <v>1363</v>
      </c>
      <c r="P1086" s="248"/>
      <c r="Q1086" s="196"/>
      <c r="R1086" s="248"/>
      <c r="T1086" s="169"/>
      <c r="U1086" s="50"/>
      <c r="V1086" s="2177"/>
      <c r="W1086" s="1326">
        <v>2009</v>
      </c>
      <c r="X1086" s="794">
        <v>1496</v>
      </c>
      <c r="Y1086" s="1326">
        <v>1496</v>
      </c>
      <c r="Z1086" s="1326">
        <v>1496</v>
      </c>
      <c r="AA1086" s="1326">
        <v>1496</v>
      </c>
      <c r="AB1086" s="1326">
        <v>1496</v>
      </c>
      <c r="AC1086" s="1326">
        <v>1496</v>
      </c>
      <c r="AD1086" s="1326">
        <v>1496</v>
      </c>
      <c r="AE1086" s="1326">
        <v>1496</v>
      </c>
      <c r="AF1086" s="258">
        <f t="shared" si="188"/>
        <v>1496</v>
      </c>
      <c r="AG1086" s="1326"/>
      <c r="DG1086" s="555"/>
      <c r="DH1086" s="151"/>
      <c r="DI1086" s="1049"/>
      <c r="DJ1086" s="1127"/>
    </row>
    <row r="1087" spans="1:114" ht="15" hidden="1" customHeight="1" outlineLevel="1" x14ac:dyDescent="0.25">
      <c r="A1087" s="442"/>
      <c r="C1087" s="49"/>
      <c r="D1087" s="2177"/>
      <c r="E1087" s="2177"/>
      <c r="F1087" s="2176" t="str">
        <f>$E$885</f>
        <v>ASHP-SEER20_ROF_MF</v>
      </c>
      <c r="G1087" s="2176"/>
      <c r="H1087" s="2176"/>
      <c r="I1087" s="2176"/>
      <c r="J1087" s="986" t="str">
        <f>$C$885</f>
        <v>355100_2024_12_</v>
      </c>
      <c r="K1087" s="1616">
        <v>1496</v>
      </c>
      <c r="L1087" s="249"/>
      <c r="M1087" s="744" t="s">
        <v>1363</v>
      </c>
      <c r="T1087" s="50"/>
      <c r="U1087" s="50"/>
      <c r="V1087" s="2177"/>
      <c r="W1087" s="1326">
        <v>2009</v>
      </c>
      <c r="X1087" s="794">
        <v>1496</v>
      </c>
      <c r="Y1087" s="1326">
        <v>1496</v>
      </c>
      <c r="Z1087" s="1326">
        <v>1496</v>
      </c>
      <c r="AA1087" s="1326">
        <v>1496</v>
      </c>
      <c r="AB1087" s="1326">
        <v>1496</v>
      </c>
      <c r="AC1087" s="1326">
        <v>1496</v>
      </c>
      <c r="AD1087" s="1326">
        <v>1496</v>
      </c>
      <c r="AE1087" s="1326">
        <v>1496</v>
      </c>
      <c r="AF1087" s="258">
        <f t="shared" si="188"/>
        <v>1496</v>
      </c>
      <c r="AG1087" s="1326"/>
      <c r="DG1087" s="555"/>
      <c r="DH1087" s="151"/>
      <c r="DI1087" s="1049"/>
      <c r="DJ1087" s="1127"/>
    </row>
    <row r="1088" spans="1:114" ht="15.75" hidden="1" customHeight="1" outlineLevel="1" x14ac:dyDescent="0.25">
      <c r="A1088" s="442"/>
      <c r="C1088" s="49"/>
      <c r="D1088" s="2177"/>
      <c r="E1088" s="2177"/>
      <c r="F1088" s="2176" t="str">
        <f>$E$887</f>
        <v>ASHP-SEER21_ROF_MF</v>
      </c>
      <c r="G1088" s="2176"/>
      <c r="H1088" s="2176"/>
      <c r="I1088" s="2176"/>
      <c r="J1088" s="986" t="str">
        <f>$C$887</f>
        <v>355150_2024_12_</v>
      </c>
      <c r="K1088" s="1616">
        <v>1496</v>
      </c>
      <c r="L1088" s="249"/>
      <c r="M1088" s="744" t="s">
        <v>1363</v>
      </c>
      <c r="T1088" s="50"/>
      <c r="U1088" s="50"/>
      <c r="V1088" s="2177"/>
      <c r="W1088" s="1326">
        <v>2009</v>
      </c>
      <c r="X1088" s="794">
        <v>1496</v>
      </c>
      <c r="Y1088" s="1326">
        <v>1496</v>
      </c>
      <c r="Z1088" s="1326">
        <v>1496</v>
      </c>
      <c r="AA1088" s="1326">
        <v>1496</v>
      </c>
      <c r="AB1088" s="1326">
        <v>1496</v>
      </c>
      <c r="AC1088" s="1326">
        <v>1496</v>
      </c>
      <c r="AD1088" s="1326">
        <v>1496</v>
      </c>
      <c r="AE1088" s="1326">
        <v>1496</v>
      </c>
      <c r="AF1088" s="258">
        <f t="shared" ref="AF1088:AF1111" si="189">IF(K1088&lt;&gt;"",K1088,"")</f>
        <v>1496</v>
      </c>
      <c r="AG1088" s="1326"/>
      <c r="DG1088" s="555"/>
      <c r="DH1088" s="151"/>
      <c r="DI1088" s="1049"/>
      <c r="DJ1088" s="1127"/>
    </row>
    <row r="1089" spans="1:114" ht="15" hidden="1" customHeight="1" outlineLevel="1" x14ac:dyDescent="0.25">
      <c r="A1089" s="442"/>
      <c r="C1089" s="49"/>
      <c r="D1089" s="2177" t="s">
        <v>1151</v>
      </c>
      <c r="E1089" s="2177" t="s">
        <v>1150</v>
      </c>
      <c r="F1089" s="2176" t="str">
        <f>$E$709</f>
        <v>ASHP-SEER15-Replace_CAC_ElectricHeat_ER1_SF</v>
      </c>
      <c r="G1089" s="2176"/>
      <c r="H1089" s="2176"/>
      <c r="I1089" s="2176"/>
      <c r="J1089" s="986" t="str">
        <f>$C$709</f>
        <v>352300_2024_12_</v>
      </c>
      <c r="K1089" s="1616">
        <v>3.41</v>
      </c>
      <c r="L1089" s="12"/>
      <c r="M1089" s="1371" t="s">
        <v>1364</v>
      </c>
      <c r="P1089" s="248"/>
      <c r="Q1089" s="248"/>
      <c r="R1089" s="248"/>
      <c r="T1089" s="169"/>
      <c r="U1089" s="50"/>
      <c r="V1089" s="2177" t="s">
        <v>1151</v>
      </c>
      <c r="W1089" s="1326">
        <v>3.41</v>
      </c>
      <c r="X1089" s="1326">
        <v>3.41</v>
      </c>
      <c r="Y1089" s="1326">
        <v>3.41</v>
      </c>
      <c r="Z1089" s="1326">
        <v>3.41</v>
      </c>
      <c r="AA1089" s="1326">
        <v>3.41</v>
      </c>
      <c r="AB1089" s="1326">
        <v>3.41</v>
      </c>
      <c r="AC1089" s="1326">
        <v>3.41</v>
      </c>
      <c r="AD1089" s="1326">
        <v>3.41</v>
      </c>
      <c r="AE1089" s="1326">
        <v>3.41</v>
      </c>
      <c r="AF1089" s="258">
        <f t="shared" si="189"/>
        <v>3.41</v>
      </c>
      <c r="AG1089" s="1326"/>
      <c r="DG1089" s="555"/>
      <c r="DH1089" s="151"/>
      <c r="DI1089" s="1049"/>
      <c r="DJ1089" s="1127"/>
    </row>
    <row r="1090" spans="1:114" ht="15" hidden="1" customHeight="1" outlineLevel="1" x14ac:dyDescent="0.25">
      <c r="A1090" s="442"/>
      <c r="C1090" s="49"/>
      <c r="D1090" s="2177"/>
      <c r="E1090" s="2177"/>
      <c r="F1090" s="2176" t="str">
        <f>$E$711</f>
        <v>ASHP-SEER15-Replace_CAC_ElectricHeat_ER2_SF</v>
      </c>
      <c r="G1090" s="2176"/>
      <c r="H1090" s="2176"/>
      <c r="I1090" s="2176"/>
      <c r="J1090" s="986" t="str">
        <f>$C$711</f>
        <v>352300_2024_12_</v>
      </c>
      <c r="K1090" s="1616">
        <v>3.41</v>
      </c>
      <c r="L1090" s="12"/>
      <c r="M1090" s="1371" t="s">
        <v>1364</v>
      </c>
      <c r="P1090" s="248"/>
      <c r="Q1090" s="248"/>
      <c r="R1090" s="248"/>
      <c r="T1090" s="169"/>
      <c r="U1090" s="50"/>
      <c r="V1090" s="2177"/>
      <c r="W1090" s="1326">
        <v>3.41</v>
      </c>
      <c r="X1090" s="1326">
        <v>3.41</v>
      </c>
      <c r="Y1090" s="1326">
        <v>3.41</v>
      </c>
      <c r="Z1090" s="1326">
        <v>3.41</v>
      </c>
      <c r="AA1090" s="1326">
        <v>3.41</v>
      </c>
      <c r="AB1090" s="1326">
        <v>3.41</v>
      </c>
      <c r="AC1090" s="1326">
        <v>3.41</v>
      </c>
      <c r="AD1090" s="1326">
        <v>3.41</v>
      </c>
      <c r="AE1090" s="1326">
        <v>3.41</v>
      </c>
      <c r="AF1090" s="258">
        <f t="shared" si="189"/>
        <v>3.41</v>
      </c>
      <c r="AG1090" s="1326"/>
      <c r="DG1090" s="555"/>
      <c r="DH1090" s="151"/>
      <c r="DI1090" s="1049"/>
      <c r="DJ1090" s="1127"/>
    </row>
    <row r="1091" spans="1:114" ht="15" hidden="1" customHeight="1" outlineLevel="1" x14ac:dyDescent="0.25">
      <c r="A1091" s="442"/>
      <c r="C1091" s="49"/>
      <c r="D1091" s="2177"/>
      <c r="E1091" s="2177"/>
      <c r="F1091" s="2176" t="str">
        <f>$E$713</f>
        <v>ASHP-SEER15-Replace_CAC_NonElectricHeat_ER1_SF</v>
      </c>
      <c r="G1091" s="2176"/>
      <c r="H1091" s="2176"/>
      <c r="I1091" s="2176"/>
      <c r="J1091" s="986" t="str">
        <f>$C$713</f>
        <v>352310_2024_12_</v>
      </c>
      <c r="K1091" s="1618">
        <v>0</v>
      </c>
      <c r="L1091" s="12"/>
      <c r="M1091" s="1371" t="s">
        <v>1365</v>
      </c>
      <c r="P1091" s="248"/>
      <c r="Q1091" s="248"/>
      <c r="R1091" s="248"/>
      <c r="T1091" s="169"/>
      <c r="U1091" s="50"/>
      <c r="V1091" s="2177"/>
      <c r="W1091" s="1326"/>
      <c r="X1091" s="1326"/>
      <c r="Y1091" s="1326"/>
      <c r="Z1091" s="1326"/>
      <c r="AA1091" s="1326"/>
      <c r="AB1091" s="1326"/>
      <c r="AC1091" s="790">
        <v>0</v>
      </c>
      <c r="AD1091" s="766">
        <v>0</v>
      </c>
      <c r="AE1091" s="766">
        <v>0</v>
      </c>
      <c r="AF1091" s="258">
        <f t="shared" si="189"/>
        <v>0</v>
      </c>
      <c r="AG1091" s="1326"/>
      <c r="DG1091" s="555"/>
      <c r="DH1091" s="151"/>
      <c r="DI1091" s="1049"/>
      <c r="DJ1091" s="1127"/>
    </row>
    <row r="1092" spans="1:114" ht="15" hidden="1" customHeight="1" outlineLevel="1" x14ac:dyDescent="0.25">
      <c r="A1092" s="442"/>
      <c r="C1092" s="49"/>
      <c r="D1092" s="2177"/>
      <c r="E1092" s="2177"/>
      <c r="F1092" s="2176" t="str">
        <f>$E$715</f>
        <v>ASHP-SEER15-Replace_CAC_NonElectricHeat_ER2_SF</v>
      </c>
      <c r="G1092" s="2176"/>
      <c r="H1092" s="2176"/>
      <c r="I1092" s="2176"/>
      <c r="J1092" s="986" t="str">
        <f>$C$715</f>
        <v>352310_2024_12_</v>
      </c>
      <c r="K1092" s="1618">
        <v>0</v>
      </c>
      <c r="L1092" s="12"/>
      <c r="M1092" s="1371" t="s">
        <v>1365</v>
      </c>
      <c r="P1092" s="248"/>
      <c r="Q1092" s="248"/>
      <c r="R1092" s="248"/>
      <c r="T1092" s="169"/>
      <c r="U1092" s="50"/>
      <c r="V1092" s="2177"/>
      <c r="W1092" s="1326"/>
      <c r="X1092" s="1326"/>
      <c r="Y1092" s="1326"/>
      <c r="Z1092" s="1326"/>
      <c r="AA1092" s="1326"/>
      <c r="AB1092" s="1326"/>
      <c r="AC1092" s="790">
        <v>0</v>
      </c>
      <c r="AD1092" s="766">
        <v>0</v>
      </c>
      <c r="AE1092" s="766">
        <v>0</v>
      </c>
      <c r="AF1092" s="258">
        <f t="shared" si="189"/>
        <v>0</v>
      </c>
      <c r="AG1092" s="1326"/>
      <c r="DG1092" s="555"/>
      <c r="DH1092" s="151"/>
      <c r="DI1092" s="1049"/>
      <c r="DJ1092" s="1127"/>
    </row>
    <row r="1093" spans="1:114" ht="15" hidden="1" customHeight="1" outlineLevel="1" x14ac:dyDescent="0.25">
      <c r="A1093" s="442"/>
      <c r="C1093" s="49"/>
      <c r="D1093" s="2177"/>
      <c r="E1093" s="2177"/>
      <c r="F1093" s="2176" t="str">
        <f>$E$717</f>
        <v>ASHP-SEER15_ER1_SF</v>
      </c>
      <c r="G1093" s="2176"/>
      <c r="H1093" s="2176"/>
      <c r="I1093" s="2176"/>
      <c r="J1093" s="986" t="str">
        <f>$C$717</f>
        <v>352350_2024_12_</v>
      </c>
      <c r="K1093" s="1616">
        <v>6.58</v>
      </c>
      <c r="L1093" s="12"/>
      <c r="M1093" s="1371" t="s">
        <v>1364</v>
      </c>
      <c r="P1093" s="248"/>
      <c r="Q1093" s="248"/>
      <c r="R1093" s="248"/>
      <c r="T1093" s="169"/>
      <c r="U1093" s="50"/>
      <c r="V1093" s="2177"/>
      <c r="W1093" s="1326">
        <v>5.44</v>
      </c>
      <c r="X1093" s="794">
        <v>6.58</v>
      </c>
      <c r="Y1093" s="1326">
        <v>6.58</v>
      </c>
      <c r="Z1093" s="1326">
        <v>6.58</v>
      </c>
      <c r="AA1093" s="1326">
        <v>6.58</v>
      </c>
      <c r="AB1093" s="1326">
        <v>6.58</v>
      </c>
      <c r="AC1093" s="1326">
        <v>6.58</v>
      </c>
      <c r="AD1093" s="1326">
        <v>6.58</v>
      </c>
      <c r="AE1093" s="1326">
        <v>6.58</v>
      </c>
      <c r="AF1093" s="258">
        <f t="shared" si="189"/>
        <v>6.58</v>
      </c>
      <c r="AG1093" s="1326"/>
      <c r="DG1093" s="555"/>
      <c r="DH1093" s="151"/>
      <c r="DI1093" s="1049"/>
      <c r="DJ1093" s="1127"/>
    </row>
    <row r="1094" spans="1:114" ht="15" hidden="1" customHeight="1" outlineLevel="1" x14ac:dyDescent="0.25">
      <c r="A1094" s="442"/>
      <c r="C1094" s="49"/>
      <c r="D1094" s="2177"/>
      <c r="E1094" s="2177"/>
      <c r="F1094" s="2176" t="str">
        <f>$E$719</f>
        <v>ASHP-SEER15_ER2_SF</v>
      </c>
      <c r="G1094" s="2176"/>
      <c r="H1094" s="2176"/>
      <c r="I1094" s="2176"/>
      <c r="J1094" s="986" t="str">
        <f>$C$719</f>
        <v>352350_2024_12_</v>
      </c>
      <c r="K1094" s="1616">
        <v>7.5</v>
      </c>
      <c r="L1094" s="249"/>
      <c r="M1094" s="1307" t="s">
        <v>1029</v>
      </c>
      <c r="P1094" s="248"/>
      <c r="Q1094" s="248"/>
      <c r="R1094" s="248"/>
      <c r="T1094" s="169"/>
      <c r="U1094" s="50"/>
      <c r="V1094" s="2177"/>
      <c r="W1094" s="1326">
        <v>8.1999999999999993</v>
      </c>
      <c r="X1094" s="1326">
        <v>8.1999999999999993</v>
      </c>
      <c r="Y1094" s="1326">
        <v>8.1999999999999993</v>
      </c>
      <c r="Z1094" s="1326">
        <v>8.1999999999999993</v>
      </c>
      <c r="AA1094" s="1326">
        <v>8.1999999999999993</v>
      </c>
      <c r="AB1094" s="1326">
        <v>8.1999999999999993</v>
      </c>
      <c r="AC1094" s="1326">
        <v>8.1999999999999993</v>
      </c>
      <c r="AD1094" s="1326">
        <v>8.1999999999999993</v>
      </c>
      <c r="AE1094" s="794">
        <v>8.6</v>
      </c>
      <c r="AF1094" s="258">
        <f t="shared" si="189"/>
        <v>7.5</v>
      </c>
      <c r="AG1094" s="1326"/>
      <c r="DG1094" s="555"/>
      <c r="DH1094" s="151"/>
      <c r="DI1094" s="1049"/>
      <c r="DJ1094" s="1127"/>
    </row>
    <row r="1095" spans="1:114" ht="15" hidden="1" customHeight="1" outlineLevel="1" x14ac:dyDescent="0.25">
      <c r="A1095" s="442"/>
      <c r="C1095" s="49"/>
      <c r="D1095" s="2177"/>
      <c r="E1095" s="2177"/>
      <c r="F1095" s="2176" t="str">
        <f>$E$721</f>
        <v>ASHP-SEER15-Replace_CAC_ElectricHeat_ROF_SF</v>
      </c>
      <c r="G1095" s="2176"/>
      <c r="H1095" s="2176"/>
      <c r="I1095" s="2176"/>
      <c r="J1095" s="986" t="str">
        <f>$C$721</f>
        <v>352400_2024_12_</v>
      </c>
      <c r="K1095" s="1616">
        <v>3.41</v>
      </c>
      <c r="L1095" s="12"/>
      <c r="M1095" s="1371" t="s">
        <v>1364</v>
      </c>
      <c r="P1095" s="248"/>
      <c r="Q1095" s="248"/>
      <c r="R1095" s="248"/>
      <c r="T1095" s="169"/>
      <c r="U1095" s="50"/>
      <c r="V1095" s="2177"/>
      <c r="W1095" s="1326">
        <v>3.41</v>
      </c>
      <c r="X1095" s="1326">
        <v>3.41</v>
      </c>
      <c r="Y1095" s="1326">
        <v>3.41</v>
      </c>
      <c r="Z1095" s="1326">
        <v>3.41</v>
      </c>
      <c r="AA1095" s="1326">
        <v>3.41</v>
      </c>
      <c r="AB1095" s="1326">
        <v>3.41</v>
      </c>
      <c r="AC1095" s="1326">
        <v>3.41</v>
      </c>
      <c r="AD1095" s="1326">
        <v>3.41</v>
      </c>
      <c r="AE1095" s="1326">
        <v>3.41</v>
      </c>
      <c r="AF1095" s="258">
        <f t="shared" si="189"/>
        <v>3.41</v>
      </c>
      <c r="AG1095" s="1326"/>
      <c r="DG1095" s="555"/>
      <c r="DH1095" s="151"/>
      <c r="DI1095" s="1049"/>
      <c r="DJ1095" s="1127"/>
    </row>
    <row r="1096" spans="1:114" ht="15" hidden="1" customHeight="1" outlineLevel="1" x14ac:dyDescent="0.25">
      <c r="A1096" s="442"/>
      <c r="C1096" s="49"/>
      <c r="D1096" s="2177"/>
      <c r="E1096" s="2177"/>
      <c r="F1096" s="2176" t="str">
        <f>$E$723</f>
        <v>ASHP-SEER15-Replace_CAC_NonElectricHeat_ROF_SF</v>
      </c>
      <c r="G1096" s="2176"/>
      <c r="H1096" s="2176"/>
      <c r="I1096" s="2176"/>
      <c r="J1096" s="986" t="str">
        <f>$C$723</f>
        <v>352410_2024_12_</v>
      </c>
      <c r="K1096" s="1618">
        <v>0</v>
      </c>
      <c r="L1096" s="12"/>
      <c r="M1096" s="1371" t="s">
        <v>1365</v>
      </c>
      <c r="P1096" s="248"/>
      <c r="Q1096" s="248"/>
      <c r="R1096" s="248"/>
      <c r="T1096" s="169"/>
      <c r="U1096" s="50"/>
      <c r="V1096" s="2177"/>
      <c r="W1096" s="1326"/>
      <c r="X1096" s="1326"/>
      <c r="Y1096" s="1326"/>
      <c r="Z1096" s="1326"/>
      <c r="AA1096" s="1326"/>
      <c r="AB1096" s="1326"/>
      <c r="AC1096" s="790">
        <v>0</v>
      </c>
      <c r="AD1096" s="766">
        <v>0</v>
      </c>
      <c r="AE1096" s="766">
        <v>0</v>
      </c>
      <c r="AF1096" s="258">
        <f t="shared" si="189"/>
        <v>0</v>
      </c>
      <c r="AG1096" s="1326"/>
      <c r="DG1096" s="555"/>
      <c r="DH1096" s="151"/>
      <c r="DI1096" s="1049"/>
      <c r="DJ1096" s="1127"/>
    </row>
    <row r="1097" spans="1:114" ht="15" hidden="1" customHeight="1" outlineLevel="1" x14ac:dyDescent="0.25">
      <c r="A1097" s="442"/>
      <c r="C1097" s="49"/>
      <c r="D1097" s="2177"/>
      <c r="E1097" s="2177"/>
      <c r="F1097" s="2176" t="str">
        <f>$E$725</f>
        <v>ASHP-SEER16-Replace_CAC_ElectricHeat_ER1_SF</v>
      </c>
      <c r="G1097" s="2176"/>
      <c r="H1097" s="2176"/>
      <c r="I1097" s="2176"/>
      <c r="J1097" s="986" t="str">
        <f>$C$725</f>
        <v>352500_2024_12_</v>
      </c>
      <c r="K1097" s="1616">
        <v>3.41</v>
      </c>
      <c r="L1097" s="12"/>
      <c r="M1097" s="1371" t="s">
        <v>1364</v>
      </c>
      <c r="P1097" s="248"/>
      <c r="Q1097" s="248"/>
      <c r="R1097" s="248"/>
      <c r="T1097" s="169"/>
      <c r="U1097" s="50"/>
      <c r="V1097" s="2177"/>
      <c r="W1097" s="1326">
        <v>3.41</v>
      </c>
      <c r="X1097" s="1326">
        <v>3.41</v>
      </c>
      <c r="Y1097" s="1326">
        <v>3.41</v>
      </c>
      <c r="Z1097" s="1326">
        <v>3.41</v>
      </c>
      <c r="AA1097" s="1326">
        <v>3.41</v>
      </c>
      <c r="AB1097" s="1326">
        <v>3.41</v>
      </c>
      <c r="AC1097" s="1326">
        <v>3.41</v>
      </c>
      <c r="AD1097" s="1326">
        <v>3.41</v>
      </c>
      <c r="AE1097" s="1326">
        <v>3.41</v>
      </c>
      <c r="AF1097" s="258">
        <f t="shared" si="189"/>
        <v>3.41</v>
      </c>
      <c r="AG1097" s="1326"/>
      <c r="DG1097" s="555"/>
      <c r="DH1097" s="151"/>
      <c r="DI1097" s="1049"/>
      <c r="DJ1097" s="1127"/>
    </row>
    <row r="1098" spans="1:114" ht="15" hidden="1" customHeight="1" outlineLevel="1" x14ac:dyDescent="0.25">
      <c r="A1098" s="442"/>
      <c r="C1098" s="49"/>
      <c r="D1098" s="2177"/>
      <c r="E1098" s="2177"/>
      <c r="F1098" s="2176" t="str">
        <f>$E$727</f>
        <v>ASHP-SEER16-Replace_CAC_ElectricHeat_ER2_SF</v>
      </c>
      <c r="G1098" s="2176"/>
      <c r="H1098" s="2176"/>
      <c r="I1098" s="2176"/>
      <c r="J1098" s="986" t="str">
        <f>$C$727</f>
        <v>352500_2024_12_</v>
      </c>
      <c r="K1098" s="1616">
        <v>3.41</v>
      </c>
      <c r="L1098" s="12"/>
      <c r="M1098" s="1371" t="s">
        <v>1364</v>
      </c>
      <c r="P1098" s="248"/>
      <c r="Q1098" s="248"/>
      <c r="R1098" s="248"/>
      <c r="T1098" s="169"/>
      <c r="U1098" s="50"/>
      <c r="V1098" s="2177"/>
      <c r="W1098" s="1326">
        <v>3.41</v>
      </c>
      <c r="X1098" s="1326">
        <v>3.41</v>
      </c>
      <c r="Y1098" s="1326">
        <v>3.41</v>
      </c>
      <c r="Z1098" s="1326">
        <v>3.41</v>
      </c>
      <c r="AA1098" s="1326">
        <v>3.41</v>
      </c>
      <c r="AB1098" s="1326">
        <v>3.41</v>
      </c>
      <c r="AC1098" s="1326">
        <v>3.41</v>
      </c>
      <c r="AD1098" s="1326">
        <v>3.41</v>
      </c>
      <c r="AE1098" s="1326">
        <v>3.41</v>
      </c>
      <c r="AF1098" s="258">
        <f t="shared" si="189"/>
        <v>3.41</v>
      </c>
      <c r="AG1098" s="1326"/>
      <c r="DG1098" s="555"/>
      <c r="DH1098" s="151"/>
      <c r="DI1098" s="1049"/>
      <c r="DJ1098" s="1127"/>
    </row>
    <row r="1099" spans="1:114" ht="15" hidden="1" customHeight="1" outlineLevel="1" x14ac:dyDescent="0.25">
      <c r="A1099" s="442"/>
      <c r="C1099" s="49"/>
      <c r="D1099" s="2177"/>
      <c r="E1099" s="2177"/>
      <c r="F1099" s="2176" t="str">
        <f>$E$729</f>
        <v>ASHP-SEER16-Replace_CAC_NonElectricHeat_ER1_SF</v>
      </c>
      <c r="G1099" s="2176"/>
      <c r="H1099" s="2176"/>
      <c r="I1099" s="2176"/>
      <c r="J1099" s="986" t="str">
        <f>$C$729</f>
        <v>352510_2024_12_</v>
      </c>
      <c r="K1099" s="1618">
        <v>0</v>
      </c>
      <c r="L1099" s="12"/>
      <c r="M1099" s="1371" t="s">
        <v>1365</v>
      </c>
      <c r="P1099" s="248"/>
      <c r="Q1099" s="248"/>
      <c r="R1099" s="248"/>
      <c r="T1099" s="169"/>
      <c r="U1099" s="50"/>
      <c r="V1099" s="2177"/>
      <c r="W1099" s="1326"/>
      <c r="X1099" s="1326"/>
      <c r="Y1099" s="1326"/>
      <c r="Z1099" s="1326"/>
      <c r="AA1099" s="1326"/>
      <c r="AB1099" s="1326"/>
      <c r="AC1099" s="790">
        <v>0</v>
      </c>
      <c r="AD1099" s="766">
        <v>0</v>
      </c>
      <c r="AE1099" s="766">
        <v>0</v>
      </c>
      <c r="AF1099" s="258">
        <f t="shared" si="189"/>
        <v>0</v>
      </c>
      <c r="AG1099" s="1326"/>
      <c r="DG1099" s="555"/>
      <c r="DH1099" s="151"/>
      <c r="DI1099" s="1049"/>
      <c r="DJ1099" s="1127"/>
    </row>
    <row r="1100" spans="1:114" ht="15" hidden="1" customHeight="1" outlineLevel="1" x14ac:dyDescent="0.25">
      <c r="A1100" s="442"/>
      <c r="C1100" s="49"/>
      <c r="D1100" s="2177"/>
      <c r="E1100" s="2177"/>
      <c r="F1100" s="2176" t="str">
        <f>$E$731</f>
        <v>ASHP-SEER16-Replace_CAC_NonElectricHeat_ER2_SF</v>
      </c>
      <c r="G1100" s="2176"/>
      <c r="H1100" s="2176"/>
      <c r="I1100" s="2176"/>
      <c r="J1100" s="986" t="str">
        <f>$C$731</f>
        <v>352510_2024_12_</v>
      </c>
      <c r="K1100" s="1618">
        <v>0</v>
      </c>
      <c r="L1100" s="12"/>
      <c r="M1100" s="1371" t="s">
        <v>1365</v>
      </c>
      <c r="P1100" s="248"/>
      <c r="Q1100" s="248"/>
      <c r="R1100" s="248"/>
      <c r="T1100" s="169"/>
      <c r="U1100" s="50"/>
      <c r="V1100" s="2177"/>
      <c r="W1100" s="1326"/>
      <c r="X1100" s="1326"/>
      <c r="Y1100" s="1326"/>
      <c r="Z1100" s="1326"/>
      <c r="AA1100" s="1326"/>
      <c r="AB1100" s="1326"/>
      <c r="AC1100" s="790">
        <v>0</v>
      </c>
      <c r="AD1100" s="766">
        <v>0</v>
      </c>
      <c r="AE1100" s="766">
        <v>0</v>
      </c>
      <c r="AF1100" s="258">
        <f t="shared" si="189"/>
        <v>0</v>
      </c>
      <c r="AG1100" s="1326"/>
      <c r="DG1100" s="555"/>
      <c r="DH1100" s="151"/>
      <c r="DI1100" s="1049"/>
      <c r="DJ1100" s="1127"/>
    </row>
    <row r="1101" spans="1:114" ht="15" hidden="1" customHeight="1" outlineLevel="1" x14ac:dyDescent="0.25">
      <c r="A1101" s="442"/>
      <c r="C1101" s="49"/>
      <c r="D1101" s="2177"/>
      <c r="E1101" s="2177"/>
      <c r="F1101" s="2176" t="str">
        <f>$E$733</f>
        <v>ASHP-SEER16_ER1_SF</v>
      </c>
      <c r="G1101" s="2176"/>
      <c r="H1101" s="2176"/>
      <c r="I1101" s="2176"/>
      <c r="J1101" s="986" t="str">
        <f>$C$733</f>
        <v>352550_2024_12_</v>
      </c>
      <c r="K1101" s="1616">
        <v>6.58</v>
      </c>
      <c r="L1101" s="12"/>
      <c r="M1101" s="1371" t="s">
        <v>1364</v>
      </c>
      <c r="P1101" s="248"/>
      <c r="Q1101" s="248"/>
      <c r="R1101" s="248"/>
      <c r="T1101" s="169"/>
      <c r="U1101" s="50"/>
      <c r="V1101" s="2177"/>
      <c r="W1101" s="1326">
        <v>5.44</v>
      </c>
      <c r="X1101" s="794">
        <v>6.58</v>
      </c>
      <c r="Y1101" s="1326">
        <v>6.58</v>
      </c>
      <c r="Z1101" s="1326">
        <v>6.58</v>
      </c>
      <c r="AA1101" s="1326">
        <v>6.58</v>
      </c>
      <c r="AB1101" s="1326">
        <v>6.58</v>
      </c>
      <c r="AC1101" s="1326">
        <v>6.58</v>
      </c>
      <c r="AD1101" s="1326">
        <v>6.58</v>
      </c>
      <c r="AE1101" s="1326">
        <v>6.58</v>
      </c>
      <c r="AF1101" s="258">
        <f t="shared" si="189"/>
        <v>6.58</v>
      </c>
      <c r="AG1101" s="1326"/>
      <c r="DG1101" s="555"/>
      <c r="DH1101" s="151"/>
      <c r="DI1101" s="1049"/>
      <c r="DJ1101" s="1127"/>
    </row>
    <row r="1102" spans="1:114" ht="15" hidden="1" customHeight="1" outlineLevel="1" x14ac:dyDescent="0.25">
      <c r="A1102" s="442"/>
      <c r="C1102" s="49"/>
      <c r="D1102" s="2177"/>
      <c r="E1102" s="2177"/>
      <c r="F1102" s="2176" t="str">
        <f>$E$735</f>
        <v>ASHP-SEER16_ER2_SF</v>
      </c>
      <c r="G1102" s="2176"/>
      <c r="H1102" s="2176"/>
      <c r="I1102" s="2176"/>
      <c r="J1102" s="986" t="str">
        <f>$C$735</f>
        <v>352550_2024_12_</v>
      </c>
      <c r="K1102" s="1616">
        <v>7.5</v>
      </c>
      <c r="L1102" s="249"/>
      <c r="M1102" s="1307" t="s">
        <v>1029</v>
      </c>
      <c r="P1102" s="248"/>
      <c r="Q1102" s="248"/>
      <c r="R1102" s="248"/>
      <c r="T1102" s="169"/>
      <c r="U1102" s="50"/>
      <c r="V1102" s="2177"/>
      <c r="W1102" s="1326">
        <v>8.1999999999999993</v>
      </c>
      <c r="X1102" s="1326">
        <v>8.1999999999999993</v>
      </c>
      <c r="Y1102" s="1326">
        <v>8.1999999999999993</v>
      </c>
      <c r="Z1102" s="1326">
        <v>8.1999999999999993</v>
      </c>
      <c r="AA1102" s="1326">
        <v>8.1999999999999993</v>
      </c>
      <c r="AB1102" s="1326">
        <v>8.1999999999999993</v>
      </c>
      <c r="AC1102" s="1326">
        <v>8.1999999999999993</v>
      </c>
      <c r="AD1102" s="1326">
        <v>8.1999999999999993</v>
      </c>
      <c r="AE1102" s="794">
        <v>8.6</v>
      </c>
      <c r="AF1102" s="258">
        <f t="shared" si="189"/>
        <v>7.5</v>
      </c>
      <c r="AG1102" s="1326"/>
      <c r="DG1102" s="555"/>
      <c r="DH1102" s="151"/>
      <c r="DI1102" s="1049"/>
      <c r="DJ1102" s="1127"/>
    </row>
    <row r="1103" spans="1:114" ht="15" hidden="1" customHeight="1" outlineLevel="1" x14ac:dyDescent="0.25">
      <c r="A1103" s="442"/>
      <c r="C1103" s="49"/>
      <c r="D1103" s="2177"/>
      <c r="E1103" s="2177"/>
      <c r="F1103" s="2176" t="str">
        <f>$E$737</f>
        <v>ASHP-SEER16-Replace_CAC_ElectricHeat_ROF_SF</v>
      </c>
      <c r="G1103" s="2176"/>
      <c r="H1103" s="2176"/>
      <c r="I1103" s="2176"/>
      <c r="J1103" s="986" t="str">
        <f>$C$737</f>
        <v>352600_2024_12_</v>
      </c>
      <c r="K1103" s="1616">
        <v>3.41</v>
      </c>
      <c r="L1103" s="249"/>
      <c r="M1103" s="1371" t="s">
        <v>1364</v>
      </c>
      <c r="P1103" s="248"/>
      <c r="Q1103" s="248"/>
      <c r="R1103" s="248"/>
      <c r="T1103" s="169"/>
      <c r="U1103" s="50"/>
      <c r="V1103" s="2177"/>
      <c r="W1103" s="1326">
        <v>3.41</v>
      </c>
      <c r="X1103" s="1326">
        <v>3.41</v>
      </c>
      <c r="Y1103" s="1326">
        <v>3.41</v>
      </c>
      <c r="Z1103" s="1326">
        <v>3.41</v>
      </c>
      <c r="AA1103" s="1326">
        <v>3.41</v>
      </c>
      <c r="AB1103" s="1326">
        <v>3.41</v>
      </c>
      <c r="AC1103" s="1326">
        <v>3.41</v>
      </c>
      <c r="AD1103" s="1326">
        <v>3.41</v>
      </c>
      <c r="AE1103" s="1326">
        <v>3.41</v>
      </c>
      <c r="AF1103" s="258">
        <f t="shared" si="189"/>
        <v>3.41</v>
      </c>
      <c r="AG1103" s="1326"/>
      <c r="DG1103" s="555"/>
      <c r="DH1103" s="151"/>
      <c r="DI1103" s="1049"/>
      <c r="DJ1103" s="1127"/>
    </row>
    <row r="1104" spans="1:114" ht="15" hidden="1" customHeight="1" outlineLevel="1" x14ac:dyDescent="0.25">
      <c r="A1104" s="442"/>
      <c r="C1104" s="49"/>
      <c r="D1104" s="2177"/>
      <c r="E1104" s="2177"/>
      <c r="F1104" s="2176" t="str">
        <f>$E$739</f>
        <v>ASHP-SEER16-Replace_CAC_NonElectricHeat_ROF_SF</v>
      </c>
      <c r="G1104" s="2176"/>
      <c r="H1104" s="2176"/>
      <c r="I1104" s="2176"/>
      <c r="J1104" s="986" t="str">
        <f>$C$739</f>
        <v>352610_2024_12_</v>
      </c>
      <c r="K1104" s="1616">
        <v>0</v>
      </c>
      <c r="L1104" s="12"/>
      <c r="M1104" s="1371" t="s">
        <v>1365</v>
      </c>
      <c r="P1104" s="248"/>
      <c r="Q1104" s="248"/>
      <c r="R1104" s="248"/>
      <c r="T1104" s="169"/>
      <c r="U1104" s="50"/>
      <c r="V1104" s="2177"/>
      <c r="W1104" s="1326"/>
      <c r="X1104" s="1326"/>
      <c r="Y1104" s="1326"/>
      <c r="Z1104" s="1326"/>
      <c r="AA1104" s="1326"/>
      <c r="AB1104" s="1326"/>
      <c r="AC1104" s="1326"/>
      <c r="AD1104" s="790">
        <v>0</v>
      </c>
      <c r="AE1104" s="1326">
        <v>0</v>
      </c>
      <c r="AF1104" s="258">
        <f t="shared" si="189"/>
        <v>0</v>
      </c>
      <c r="AG1104" s="1326"/>
      <c r="DG1104" s="555"/>
      <c r="DH1104" s="151"/>
      <c r="DI1104" s="1049"/>
      <c r="DJ1104" s="1127"/>
    </row>
    <row r="1105" spans="1:114" ht="15" hidden="1" customHeight="1" outlineLevel="1" x14ac:dyDescent="0.25">
      <c r="A1105" s="442"/>
      <c r="C1105" s="49"/>
      <c r="D1105" s="2177"/>
      <c r="E1105" s="2177"/>
      <c r="F1105" s="2176" t="str">
        <f>$E$741</f>
        <v>ASHP-SEER16_ROF_SF</v>
      </c>
      <c r="G1105" s="2176"/>
      <c r="H1105" s="2176"/>
      <c r="I1105" s="2176"/>
      <c r="J1105" s="986" t="str">
        <f>$C$741</f>
        <v>352650_2024_12_</v>
      </c>
      <c r="K1105" s="1616">
        <v>7.5</v>
      </c>
      <c r="L1105" s="249"/>
      <c r="M1105" s="1307" t="s">
        <v>1029</v>
      </c>
      <c r="P1105" s="248"/>
      <c r="Q1105" s="248"/>
      <c r="R1105" s="248"/>
      <c r="T1105" s="169"/>
      <c r="U1105" s="50"/>
      <c r="V1105" s="2177"/>
      <c r="W1105" s="1326">
        <v>8.1999999999999993</v>
      </c>
      <c r="X1105" s="1326">
        <v>8.1999999999999993</v>
      </c>
      <c r="Y1105" s="1326">
        <v>8.1999999999999993</v>
      </c>
      <c r="Z1105" s="1326">
        <v>8.1999999999999993</v>
      </c>
      <c r="AA1105" s="1326">
        <v>8.1999999999999993</v>
      </c>
      <c r="AB1105" s="1326">
        <v>8.1999999999999993</v>
      </c>
      <c r="AC1105" s="1326">
        <v>8.1999999999999993</v>
      </c>
      <c r="AD1105" s="1326">
        <v>8.1999999999999993</v>
      </c>
      <c r="AE1105" s="794">
        <v>8.6</v>
      </c>
      <c r="AF1105" s="258">
        <f t="shared" si="189"/>
        <v>7.5</v>
      </c>
      <c r="AG1105" s="1326"/>
      <c r="DG1105" s="555"/>
      <c r="DH1105" s="151"/>
      <c r="DI1105" s="1049"/>
      <c r="DJ1105" s="1127"/>
    </row>
    <row r="1106" spans="1:114" ht="15" hidden="1" customHeight="1" outlineLevel="1" x14ac:dyDescent="0.25">
      <c r="A1106" s="442"/>
      <c r="C1106" s="49"/>
      <c r="D1106" s="2177"/>
      <c r="E1106" s="2177"/>
      <c r="F1106" s="2176" t="str">
        <f>$E$743</f>
        <v>ASHP-SEER16-Replace_CAC_ElectricHeat_ER1_MF</v>
      </c>
      <c r="G1106" s="2176"/>
      <c r="H1106" s="2176"/>
      <c r="I1106" s="2176"/>
      <c r="J1106" s="986" t="str">
        <f>$C$743</f>
        <v>353000_2024_12_</v>
      </c>
      <c r="K1106" s="1616">
        <v>3.41</v>
      </c>
      <c r="L1106" s="249"/>
      <c r="M1106" s="1371" t="s">
        <v>1366</v>
      </c>
      <c r="P1106" s="248"/>
      <c r="Q1106" s="248"/>
      <c r="R1106" s="248"/>
      <c r="T1106" s="169"/>
      <c r="U1106" s="50"/>
      <c r="V1106" s="2177"/>
      <c r="W1106" s="1326">
        <v>3.41</v>
      </c>
      <c r="X1106" s="1326">
        <v>3.41</v>
      </c>
      <c r="Y1106" s="1326">
        <v>3.41</v>
      </c>
      <c r="Z1106" s="1326">
        <v>3.41</v>
      </c>
      <c r="AA1106" s="1326">
        <v>3.41</v>
      </c>
      <c r="AB1106" s="1326">
        <v>3.41</v>
      </c>
      <c r="AC1106" s="1326">
        <v>3.41</v>
      </c>
      <c r="AD1106" s="1326">
        <v>3.41</v>
      </c>
      <c r="AE1106" s="1326">
        <v>3.41</v>
      </c>
      <c r="AF1106" s="258">
        <f t="shared" si="189"/>
        <v>3.41</v>
      </c>
      <c r="AG1106" s="1326"/>
      <c r="DG1106" s="555"/>
      <c r="DH1106" s="151"/>
      <c r="DI1106" s="1049"/>
      <c r="DJ1106" s="1127"/>
    </row>
    <row r="1107" spans="1:114" ht="15" hidden="1" customHeight="1" outlineLevel="1" x14ac:dyDescent="0.25">
      <c r="A1107" s="442"/>
      <c r="C1107" s="49"/>
      <c r="D1107" s="2177"/>
      <c r="E1107" s="2177"/>
      <c r="F1107" s="2176" t="str">
        <f>$E$745</f>
        <v>ASHP-SEER16-Replace_CAC_ElectricHeat_ER2_MF</v>
      </c>
      <c r="G1107" s="2176"/>
      <c r="H1107" s="2176"/>
      <c r="I1107" s="2176"/>
      <c r="J1107" s="986" t="str">
        <f>$C$745</f>
        <v>353000_2024_12_</v>
      </c>
      <c r="K1107" s="1616">
        <v>3.41</v>
      </c>
      <c r="L1107" s="249"/>
      <c r="M1107" s="1371" t="s">
        <v>1366</v>
      </c>
      <c r="P1107" s="248"/>
      <c r="Q1107" s="248"/>
      <c r="R1107" s="248"/>
      <c r="T1107" s="169"/>
      <c r="U1107" s="50"/>
      <c r="V1107" s="2177"/>
      <c r="W1107" s="1326">
        <v>3.41</v>
      </c>
      <c r="X1107" s="1326">
        <v>3.41</v>
      </c>
      <c r="Y1107" s="1326">
        <v>3.41</v>
      </c>
      <c r="Z1107" s="1326">
        <v>3.41</v>
      </c>
      <c r="AA1107" s="1326">
        <v>3.41</v>
      </c>
      <c r="AB1107" s="1326">
        <v>3.41</v>
      </c>
      <c r="AC1107" s="1326">
        <v>3.41</v>
      </c>
      <c r="AD1107" s="1326">
        <v>3.41</v>
      </c>
      <c r="AE1107" s="1326">
        <v>3.41</v>
      </c>
      <c r="AF1107" s="258">
        <f t="shared" si="189"/>
        <v>3.41</v>
      </c>
      <c r="AG1107" s="1326"/>
      <c r="DG1107" s="555"/>
      <c r="DH1107" s="151"/>
      <c r="DI1107" s="1049"/>
      <c r="DJ1107" s="1127"/>
    </row>
    <row r="1108" spans="1:114" ht="15" hidden="1" customHeight="1" outlineLevel="1" x14ac:dyDescent="0.25">
      <c r="A1108" s="442"/>
      <c r="C1108" s="49"/>
      <c r="D1108" s="2177"/>
      <c r="E1108" s="2177"/>
      <c r="F1108" s="2176" t="str">
        <f>$E$747</f>
        <v>ASHP-SEER17-Replace_CAC_ElectricHeat_ROF_SF</v>
      </c>
      <c r="G1108" s="2176"/>
      <c r="H1108" s="2176"/>
      <c r="I1108" s="2176"/>
      <c r="J1108" s="986" t="str">
        <f>$C$747</f>
        <v>353100_2024_12_</v>
      </c>
      <c r="K1108" s="1616">
        <v>3.41</v>
      </c>
      <c r="L1108" s="249"/>
      <c r="M1108" s="1371" t="s">
        <v>1364</v>
      </c>
      <c r="P1108" s="248"/>
      <c r="Q1108" s="248"/>
      <c r="R1108" s="248"/>
      <c r="T1108" s="169"/>
      <c r="U1108" s="50"/>
      <c r="V1108" s="2177"/>
      <c r="W1108" s="1326">
        <v>3.41</v>
      </c>
      <c r="X1108" s="1326">
        <v>3.41</v>
      </c>
      <c r="Y1108" s="1326">
        <v>3.41</v>
      </c>
      <c r="Z1108" s="1326">
        <v>3.41</v>
      </c>
      <c r="AA1108" s="1326">
        <v>3.41</v>
      </c>
      <c r="AB1108" s="1326">
        <v>3.41</v>
      </c>
      <c r="AC1108" s="1326">
        <v>3.41</v>
      </c>
      <c r="AD1108" s="1326">
        <v>3.41</v>
      </c>
      <c r="AE1108" s="1326">
        <v>3.41</v>
      </c>
      <c r="AF1108" s="258">
        <f t="shared" si="189"/>
        <v>3.41</v>
      </c>
      <c r="AG1108" s="1326"/>
      <c r="DG1108" s="555"/>
      <c r="DH1108" s="151"/>
      <c r="DI1108" s="1049"/>
      <c r="DJ1108" s="1127"/>
    </row>
    <row r="1109" spans="1:114" ht="15" hidden="1" customHeight="1" outlineLevel="1" x14ac:dyDescent="0.25">
      <c r="A1109" s="442"/>
      <c r="C1109" s="49"/>
      <c r="D1109" s="2177"/>
      <c r="E1109" s="2177"/>
      <c r="F1109" s="2176" t="str">
        <f>$E$749</f>
        <v>ASHP-SEER17-Replace_CAC_NonElectricHeat_ROF_SF</v>
      </c>
      <c r="G1109" s="2176"/>
      <c r="H1109" s="2176"/>
      <c r="I1109" s="2176"/>
      <c r="J1109" s="986" t="str">
        <f>$C$749</f>
        <v>353110_2024_12_</v>
      </c>
      <c r="K1109" s="1616">
        <v>0</v>
      </c>
      <c r="L1109" s="12"/>
      <c r="M1109" s="1371" t="s">
        <v>1365</v>
      </c>
      <c r="P1109" s="248"/>
      <c r="Q1109" s="248"/>
      <c r="R1109" s="248"/>
      <c r="T1109" s="169"/>
      <c r="U1109" s="50"/>
      <c r="V1109" s="2177"/>
      <c r="W1109" s="1326"/>
      <c r="X1109" s="1326"/>
      <c r="Y1109" s="1326"/>
      <c r="Z1109" s="1326"/>
      <c r="AA1109" s="1326"/>
      <c r="AB1109" s="1326"/>
      <c r="AC1109" s="1326"/>
      <c r="AD1109" s="790">
        <v>0</v>
      </c>
      <c r="AE1109" s="1326">
        <v>0</v>
      </c>
      <c r="AF1109" s="258">
        <f t="shared" si="189"/>
        <v>0</v>
      </c>
      <c r="AG1109" s="1326"/>
      <c r="DG1109" s="555"/>
      <c r="DH1109" s="151"/>
      <c r="DI1109" s="1049"/>
      <c r="DJ1109" s="1127"/>
    </row>
    <row r="1110" spans="1:114" ht="15" hidden="1" customHeight="1" outlineLevel="1" x14ac:dyDescent="0.25">
      <c r="A1110" s="442"/>
      <c r="C1110" s="49"/>
      <c r="D1110" s="2177"/>
      <c r="E1110" s="2177"/>
      <c r="F1110" s="2176" t="str">
        <f>$E$751</f>
        <v>ASHP-SEER18-Replace_CAC_ElectricHeat_ROF_SF</v>
      </c>
      <c r="G1110" s="2176"/>
      <c r="H1110" s="2176"/>
      <c r="I1110" s="2176"/>
      <c r="J1110" s="986" t="str">
        <f>$C$751</f>
        <v>353200_2024_12_</v>
      </c>
      <c r="K1110" s="1616">
        <v>3.41</v>
      </c>
      <c r="L1110" s="249"/>
      <c r="M1110" s="1371" t="s">
        <v>1364</v>
      </c>
      <c r="P1110" s="248"/>
      <c r="Q1110" s="248"/>
      <c r="R1110" s="248"/>
      <c r="T1110" s="169"/>
      <c r="U1110" s="50"/>
      <c r="V1110" s="2177"/>
      <c r="W1110" s="1326">
        <v>3.41</v>
      </c>
      <c r="X1110" s="1326">
        <v>3.41</v>
      </c>
      <c r="Y1110" s="1326">
        <v>3.41</v>
      </c>
      <c r="Z1110" s="1326">
        <v>3.41</v>
      </c>
      <c r="AA1110" s="1326">
        <v>3.41</v>
      </c>
      <c r="AB1110" s="1326">
        <v>3.41</v>
      </c>
      <c r="AC1110" s="1326">
        <v>3.41</v>
      </c>
      <c r="AD1110" s="1326">
        <v>3.41</v>
      </c>
      <c r="AE1110" s="1326">
        <v>3.41</v>
      </c>
      <c r="AF1110" s="258">
        <f t="shared" si="189"/>
        <v>3.41</v>
      </c>
      <c r="AG1110" s="1326"/>
      <c r="DG1110" s="555"/>
      <c r="DH1110" s="151"/>
      <c r="DI1110" s="1049"/>
      <c r="DJ1110" s="1127"/>
    </row>
    <row r="1111" spans="1:114" ht="15" hidden="1" customHeight="1" outlineLevel="1" x14ac:dyDescent="0.25">
      <c r="A1111" s="442"/>
      <c r="C1111" s="49"/>
      <c r="D1111" s="2177"/>
      <c r="E1111" s="2177"/>
      <c r="F1111" s="2176" t="str">
        <f>$E$753</f>
        <v>ASHP-SEER18-Replace_CAC_NonElectricHeat_ROF_SF</v>
      </c>
      <c r="G1111" s="2176"/>
      <c r="H1111" s="2176"/>
      <c r="I1111" s="2176"/>
      <c r="J1111" s="986" t="str">
        <f>$C$753</f>
        <v>353210_2024_12_</v>
      </c>
      <c r="K1111" s="1616">
        <v>0</v>
      </c>
      <c r="L1111" s="12"/>
      <c r="M1111" s="1371" t="s">
        <v>1365</v>
      </c>
      <c r="P1111" s="248"/>
      <c r="Q1111" s="248"/>
      <c r="R1111" s="248"/>
      <c r="T1111" s="169"/>
      <c r="U1111" s="50"/>
      <c r="V1111" s="2177"/>
      <c r="W1111" s="1326"/>
      <c r="X1111" s="1326"/>
      <c r="Y1111" s="1326"/>
      <c r="Z1111" s="1326"/>
      <c r="AA1111" s="1326"/>
      <c r="AB1111" s="1326"/>
      <c r="AC1111" s="1326"/>
      <c r="AD1111" s="790">
        <v>0</v>
      </c>
      <c r="AE1111" s="1326">
        <v>0</v>
      </c>
      <c r="AF1111" s="258">
        <f t="shared" si="189"/>
        <v>0</v>
      </c>
      <c r="AG1111" s="1326"/>
      <c r="DG1111" s="555"/>
      <c r="DH1111" s="151"/>
      <c r="DI1111" s="1049"/>
      <c r="DJ1111" s="1127"/>
    </row>
    <row r="1112" spans="1:114" ht="15" hidden="1" customHeight="1" outlineLevel="1" x14ac:dyDescent="0.25">
      <c r="A1112" s="442"/>
      <c r="C1112" s="49"/>
      <c r="D1112" s="2177"/>
      <c r="E1112" s="2177"/>
      <c r="F1112" s="2176" t="str">
        <f>$E$755</f>
        <v>ASHP-SEER19-Replace_CAC_ElectricHeat_ROF_SF</v>
      </c>
      <c r="G1112" s="2176"/>
      <c r="H1112" s="2176"/>
      <c r="I1112" s="2176"/>
      <c r="J1112" s="986" t="str">
        <f>$C$755</f>
        <v>353300_2024_12_</v>
      </c>
      <c r="K1112" s="1616">
        <v>3.41</v>
      </c>
      <c r="L1112" s="249"/>
      <c r="M1112" s="1371" t="s">
        <v>1364</v>
      </c>
      <c r="P1112" s="248"/>
      <c r="Q1112" s="248"/>
      <c r="R1112" s="248"/>
      <c r="T1112" s="169"/>
      <c r="U1112" s="50"/>
      <c r="V1112" s="2177"/>
      <c r="W1112" s="1326">
        <v>3.41</v>
      </c>
      <c r="X1112" s="1326">
        <v>3.41</v>
      </c>
      <c r="Y1112" s="1326">
        <v>3.41</v>
      </c>
      <c r="Z1112" s="1326">
        <v>3.41</v>
      </c>
      <c r="AA1112" s="1326">
        <v>3.41</v>
      </c>
      <c r="AB1112" s="1326">
        <v>3.41</v>
      </c>
      <c r="AC1112" s="1326">
        <v>3.41</v>
      </c>
      <c r="AD1112" s="1326">
        <v>3.41</v>
      </c>
      <c r="AE1112" s="1326">
        <v>3.41</v>
      </c>
      <c r="AF1112" s="258">
        <f t="shared" ref="AF1112:AF1145" si="190">IF(K1112&lt;&gt;"",K1112,"")</f>
        <v>3.41</v>
      </c>
      <c r="AG1112" s="1326"/>
      <c r="DG1112" s="555"/>
      <c r="DH1112" s="151"/>
      <c r="DI1112" s="1049"/>
      <c r="DJ1112" s="1127"/>
    </row>
    <row r="1113" spans="1:114" ht="15" hidden="1" customHeight="1" outlineLevel="1" x14ac:dyDescent="0.25">
      <c r="A1113" s="442"/>
      <c r="C1113" s="49"/>
      <c r="D1113" s="2177"/>
      <c r="E1113" s="2177"/>
      <c r="F1113" s="2176" t="str">
        <f>$E$757</f>
        <v>ASHP-SEER19-Replace_CAC_NonElectricHeat_ROF_SF</v>
      </c>
      <c r="G1113" s="2176"/>
      <c r="H1113" s="2176"/>
      <c r="I1113" s="2176"/>
      <c r="J1113" s="986" t="str">
        <f>$C$757</f>
        <v>353310_2024_12_</v>
      </c>
      <c r="K1113" s="1616">
        <v>0</v>
      </c>
      <c r="L1113" s="12"/>
      <c r="M1113" s="1371" t="s">
        <v>1365</v>
      </c>
      <c r="P1113" s="248"/>
      <c r="Q1113" s="248"/>
      <c r="R1113" s="248"/>
      <c r="T1113" s="169"/>
      <c r="U1113" s="50"/>
      <c r="V1113" s="2177"/>
      <c r="W1113" s="1326"/>
      <c r="X1113" s="1326"/>
      <c r="Y1113" s="1326"/>
      <c r="Z1113" s="1326"/>
      <c r="AA1113" s="1326"/>
      <c r="AB1113" s="1326"/>
      <c r="AC1113" s="1326"/>
      <c r="AD1113" s="790">
        <v>0</v>
      </c>
      <c r="AE1113" s="1326">
        <v>0</v>
      </c>
      <c r="AF1113" s="258">
        <f t="shared" si="190"/>
        <v>0</v>
      </c>
      <c r="AG1113" s="1326"/>
      <c r="DG1113" s="555"/>
      <c r="DH1113" s="151"/>
      <c r="DI1113" s="1049"/>
      <c r="DJ1113" s="1127"/>
    </row>
    <row r="1114" spans="1:114" ht="15" hidden="1" customHeight="1" outlineLevel="1" x14ac:dyDescent="0.25">
      <c r="A1114" s="442"/>
      <c r="C1114" s="49"/>
      <c r="D1114" s="2177"/>
      <c r="E1114" s="2177"/>
      <c r="F1114" s="2176" t="str">
        <f>$E$759</f>
        <v>ASHP-SEER20-Replace_CAC_ElectricHeat_ER1_SF</v>
      </c>
      <c r="G1114" s="2176"/>
      <c r="H1114" s="2176"/>
      <c r="I1114" s="2176"/>
      <c r="J1114" s="986" t="str">
        <f>$C$759</f>
        <v>353400_2024_12_</v>
      </c>
      <c r="K1114" s="1616">
        <v>3.41</v>
      </c>
      <c r="L1114" s="249"/>
      <c r="M1114" s="1371" t="s">
        <v>1364</v>
      </c>
      <c r="P1114" s="248"/>
      <c r="Q1114" s="248"/>
      <c r="R1114" s="248"/>
      <c r="T1114" s="169"/>
      <c r="U1114" s="50"/>
      <c r="V1114" s="2177"/>
      <c r="W1114" s="1326">
        <v>3.41</v>
      </c>
      <c r="X1114" s="1326">
        <v>3.41</v>
      </c>
      <c r="Y1114" s="1326">
        <v>3.41</v>
      </c>
      <c r="Z1114" s="1326">
        <v>3.41</v>
      </c>
      <c r="AA1114" s="1326">
        <v>3.41</v>
      </c>
      <c r="AB1114" s="1326">
        <v>3.41</v>
      </c>
      <c r="AC1114" s="1326">
        <v>3.41</v>
      </c>
      <c r="AD1114" s="1326">
        <v>3.41</v>
      </c>
      <c r="AE1114" s="1326">
        <v>3.41</v>
      </c>
      <c r="AF1114" s="258">
        <f t="shared" si="190"/>
        <v>3.41</v>
      </c>
      <c r="AG1114" s="1326"/>
      <c r="DG1114" s="555"/>
      <c r="DH1114" s="151"/>
      <c r="DI1114" s="1049"/>
      <c r="DJ1114" s="1127"/>
    </row>
    <row r="1115" spans="1:114" ht="15" hidden="1" customHeight="1" outlineLevel="1" x14ac:dyDescent="0.25">
      <c r="A1115" s="442"/>
      <c r="C1115" s="49"/>
      <c r="D1115" s="2177"/>
      <c r="E1115" s="2177"/>
      <c r="F1115" s="2176" t="str">
        <f>$E$761</f>
        <v>ASHP-SEER20-Replace_CAC_ElectricHeat_ER2_SF</v>
      </c>
      <c r="G1115" s="2176"/>
      <c r="H1115" s="2176"/>
      <c r="I1115" s="2176"/>
      <c r="J1115" s="986" t="str">
        <f>$C$761</f>
        <v>353400_2024_12_</v>
      </c>
      <c r="K1115" s="1616">
        <v>3.41</v>
      </c>
      <c r="L1115" s="249"/>
      <c r="M1115" s="1371" t="s">
        <v>1364</v>
      </c>
      <c r="P1115" s="248"/>
      <c r="Q1115" s="248"/>
      <c r="R1115" s="248"/>
      <c r="T1115" s="169"/>
      <c r="U1115" s="50"/>
      <c r="V1115" s="2177"/>
      <c r="W1115" s="1326">
        <v>3.41</v>
      </c>
      <c r="X1115" s="1326">
        <v>3.41</v>
      </c>
      <c r="Y1115" s="1326">
        <v>3.41</v>
      </c>
      <c r="Z1115" s="1326">
        <v>3.41</v>
      </c>
      <c r="AA1115" s="1326">
        <v>3.41</v>
      </c>
      <c r="AB1115" s="1326">
        <v>3.41</v>
      </c>
      <c r="AC1115" s="1326">
        <v>3.41</v>
      </c>
      <c r="AD1115" s="1326">
        <v>3.41</v>
      </c>
      <c r="AE1115" s="1326">
        <v>3.41</v>
      </c>
      <c r="AF1115" s="258">
        <f t="shared" si="190"/>
        <v>3.41</v>
      </c>
      <c r="AG1115" s="1326"/>
      <c r="DG1115" s="555"/>
      <c r="DH1115" s="151"/>
      <c r="DI1115" s="1049"/>
      <c r="DJ1115" s="1127"/>
    </row>
    <row r="1116" spans="1:114" ht="15" hidden="1" customHeight="1" outlineLevel="1" x14ac:dyDescent="0.25">
      <c r="A1116" s="442"/>
      <c r="C1116" s="49"/>
      <c r="D1116" s="2177"/>
      <c r="E1116" s="2177"/>
      <c r="F1116" s="2176" t="str">
        <f>$E$763</f>
        <v>ASHP-SEER20-Replace_CAC_NonElectricHeat_ER1_SF</v>
      </c>
      <c r="G1116" s="2176"/>
      <c r="H1116" s="2176"/>
      <c r="I1116" s="2176"/>
      <c r="J1116" s="986" t="str">
        <f>$C$763</f>
        <v>353410_2024_12_</v>
      </c>
      <c r="K1116" s="1618">
        <v>0</v>
      </c>
      <c r="L1116" s="249"/>
      <c r="M1116" s="1371" t="s">
        <v>1365</v>
      </c>
      <c r="P1116" s="248"/>
      <c r="Q1116" s="248"/>
      <c r="R1116" s="248"/>
      <c r="T1116" s="169"/>
      <c r="U1116" s="50"/>
      <c r="V1116" s="2177"/>
      <c r="W1116" s="1326"/>
      <c r="X1116" s="1326"/>
      <c r="Y1116" s="1326"/>
      <c r="Z1116" s="1326"/>
      <c r="AA1116" s="1326"/>
      <c r="AB1116" s="1326"/>
      <c r="AC1116" s="790">
        <v>0</v>
      </c>
      <c r="AD1116" s="766">
        <v>0</v>
      </c>
      <c r="AE1116" s="766">
        <v>0</v>
      </c>
      <c r="AF1116" s="258">
        <f t="shared" si="190"/>
        <v>0</v>
      </c>
      <c r="AG1116" s="1326"/>
      <c r="DG1116" s="555"/>
      <c r="DH1116" s="151"/>
      <c r="DI1116" s="1049"/>
      <c r="DJ1116" s="1127"/>
    </row>
    <row r="1117" spans="1:114" ht="15" hidden="1" customHeight="1" outlineLevel="1" x14ac:dyDescent="0.25">
      <c r="A1117" s="442"/>
      <c r="C1117" s="49"/>
      <c r="D1117" s="2177"/>
      <c r="E1117" s="2177"/>
      <c r="F1117" s="2176" t="str">
        <f>$E$765</f>
        <v>ASHP-SEER20-Replace_CAC_NonElectricHeat_ER2_SF</v>
      </c>
      <c r="G1117" s="2176"/>
      <c r="H1117" s="2176"/>
      <c r="I1117" s="2176"/>
      <c r="J1117" s="986" t="str">
        <f>$C$765</f>
        <v>353410_2024_12_</v>
      </c>
      <c r="K1117" s="1618">
        <v>0</v>
      </c>
      <c r="L1117" s="249"/>
      <c r="M1117" s="1371" t="s">
        <v>1365</v>
      </c>
      <c r="P1117" s="248"/>
      <c r="Q1117" s="248"/>
      <c r="R1117" s="248"/>
      <c r="T1117" s="169"/>
      <c r="U1117" s="50"/>
      <c r="V1117" s="2177"/>
      <c r="W1117" s="1326"/>
      <c r="X1117" s="1326"/>
      <c r="Y1117" s="1326"/>
      <c r="Z1117" s="1326"/>
      <c r="AA1117" s="1326"/>
      <c r="AB1117" s="1326"/>
      <c r="AC1117" s="790">
        <v>0</v>
      </c>
      <c r="AD1117" s="766">
        <v>0</v>
      </c>
      <c r="AE1117" s="766">
        <v>0</v>
      </c>
      <c r="AF1117" s="258">
        <f t="shared" si="190"/>
        <v>0</v>
      </c>
      <c r="AG1117" s="1326"/>
      <c r="DG1117" s="555"/>
      <c r="DH1117" s="151"/>
      <c r="DI1117" s="1049"/>
      <c r="DJ1117" s="1127"/>
    </row>
    <row r="1118" spans="1:114" ht="15" hidden="1" customHeight="1" outlineLevel="1" x14ac:dyDescent="0.25">
      <c r="A1118" s="442"/>
      <c r="C1118" s="49"/>
      <c r="D1118" s="2177"/>
      <c r="E1118" s="2177"/>
      <c r="F1118" s="2176" t="str">
        <f>$E$767</f>
        <v>ASHP-SEER20-Replace_CAC_ElectricHeat_ROF_SF</v>
      </c>
      <c r="G1118" s="2176"/>
      <c r="H1118" s="2176"/>
      <c r="I1118" s="2176"/>
      <c r="J1118" s="986" t="str">
        <f>$C$767</f>
        <v>353450_2024_12_</v>
      </c>
      <c r="K1118" s="1616">
        <v>3.41</v>
      </c>
      <c r="L1118" s="249"/>
      <c r="M1118" s="1371" t="s">
        <v>1364</v>
      </c>
      <c r="P1118" s="248"/>
      <c r="Q1118" s="248"/>
      <c r="R1118" s="248"/>
      <c r="T1118" s="169"/>
      <c r="U1118" s="50"/>
      <c r="V1118" s="2177"/>
      <c r="W1118" s="1326">
        <v>3.41</v>
      </c>
      <c r="X1118" s="1326">
        <v>3.41</v>
      </c>
      <c r="Y1118" s="1326">
        <v>3.41</v>
      </c>
      <c r="Z1118" s="1326">
        <v>3.41</v>
      </c>
      <c r="AA1118" s="1326">
        <v>3.41</v>
      </c>
      <c r="AB1118" s="1326">
        <v>3.41</v>
      </c>
      <c r="AC1118" s="1326">
        <v>3.41</v>
      </c>
      <c r="AD1118" s="1326">
        <v>3.41</v>
      </c>
      <c r="AE1118" s="1326">
        <v>3.41</v>
      </c>
      <c r="AF1118" s="258">
        <f t="shared" si="190"/>
        <v>3.41</v>
      </c>
      <c r="AG1118" s="1326"/>
      <c r="DG1118" s="555"/>
      <c r="DH1118" s="151"/>
      <c r="DI1118" s="1049"/>
      <c r="DJ1118" s="1127"/>
    </row>
    <row r="1119" spans="1:114" ht="15" hidden="1" customHeight="1" outlineLevel="1" x14ac:dyDescent="0.25">
      <c r="A1119" s="442"/>
      <c r="C1119" s="49"/>
      <c r="D1119" s="2177"/>
      <c r="E1119" s="2177"/>
      <c r="F1119" s="2176" t="str">
        <f>$E$769</f>
        <v>ASHP-SEER20-Replace_CAC_NonElectricHeat_ROF_SF</v>
      </c>
      <c r="G1119" s="2176"/>
      <c r="H1119" s="2176"/>
      <c r="I1119" s="2176"/>
      <c r="J1119" s="986" t="str">
        <f>$C$769</f>
        <v>353460_2024_12_</v>
      </c>
      <c r="K1119" s="1616">
        <v>0</v>
      </c>
      <c r="L1119" s="12"/>
      <c r="M1119" s="1371" t="s">
        <v>1365</v>
      </c>
      <c r="P1119" s="248"/>
      <c r="Q1119" s="248"/>
      <c r="R1119" s="248"/>
      <c r="T1119" s="169"/>
      <c r="U1119" s="50"/>
      <c r="V1119" s="2177"/>
      <c r="W1119" s="1326"/>
      <c r="X1119" s="1326"/>
      <c r="Y1119" s="1326"/>
      <c r="Z1119" s="1326"/>
      <c r="AA1119" s="1326"/>
      <c r="AB1119" s="1326"/>
      <c r="AC1119" s="1326"/>
      <c r="AD1119" s="790">
        <v>0</v>
      </c>
      <c r="AE1119" s="1326">
        <v>0</v>
      </c>
      <c r="AF1119" s="258">
        <f t="shared" si="190"/>
        <v>0</v>
      </c>
      <c r="AG1119" s="1326"/>
      <c r="DG1119" s="555"/>
      <c r="DH1119" s="151"/>
      <c r="DI1119" s="1049"/>
      <c r="DJ1119" s="1127"/>
    </row>
    <row r="1120" spans="1:114" ht="15" hidden="1" customHeight="1" outlineLevel="1" x14ac:dyDescent="0.25">
      <c r="A1120" s="442"/>
      <c r="C1120" s="49"/>
      <c r="D1120" s="2177"/>
      <c r="E1120" s="2177"/>
      <c r="F1120" s="2176" t="str">
        <f>$E$771</f>
        <v>ASHP-SEER21-Replace_CAC_ElectricHeat_ER1_SF</v>
      </c>
      <c r="G1120" s="2176"/>
      <c r="H1120" s="2176"/>
      <c r="I1120" s="2176"/>
      <c r="J1120" s="986" t="str">
        <f>$C$771</f>
        <v>353550_2024_12_</v>
      </c>
      <c r="K1120" s="1616">
        <v>3.41</v>
      </c>
      <c r="L1120" s="249"/>
      <c r="M1120" s="1371" t="s">
        <v>1364</v>
      </c>
      <c r="P1120" s="248"/>
      <c r="Q1120" s="196"/>
      <c r="R1120" s="248"/>
      <c r="T1120" s="169"/>
      <c r="U1120" s="50"/>
      <c r="V1120" s="2177"/>
      <c r="W1120" s="1326">
        <v>3.41</v>
      </c>
      <c r="X1120" s="1326">
        <v>3.41</v>
      </c>
      <c r="Y1120" s="1326">
        <v>3.41</v>
      </c>
      <c r="Z1120" s="1326">
        <v>3.41</v>
      </c>
      <c r="AA1120" s="1326">
        <v>3.41</v>
      </c>
      <c r="AB1120" s="1326">
        <v>3.41</v>
      </c>
      <c r="AC1120" s="1326">
        <v>3.41</v>
      </c>
      <c r="AD1120" s="1326">
        <v>3.41</v>
      </c>
      <c r="AE1120" s="1326">
        <v>3.41</v>
      </c>
      <c r="AF1120" s="258">
        <f t="shared" si="190"/>
        <v>3.41</v>
      </c>
      <c r="AG1120" s="1326"/>
      <c r="DG1120" s="555"/>
      <c r="DH1120" s="151"/>
      <c r="DI1120" s="1049"/>
      <c r="DJ1120" s="1127"/>
    </row>
    <row r="1121" spans="1:114" ht="15" hidden="1" customHeight="1" outlineLevel="1" x14ac:dyDescent="0.25">
      <c r="A1121" s="442"/>
      <c r="C1121" s="49"/>
      <c r="D1121" s="2177"/>
      <c r="E1121" s="2177"/>
      <c r="F1121" s="2176" t="str">
        <f>$E$773</f>
        <v>ASHP-SEER21-Replace_CAC_ElectricHeat_ER2_SF</v>
      </c>
      <c r="G1121" s="2176"/>
      <c r="H1121" s="2176"/>
      <c r="I1121" s="2176"/>
      <c r="J1121" s="986" t="str">
        <f>$C$773</f>
        <v>353550_2024_12_</v>
      </c>
      <c r="K1121" s="1616">
        <v>3.41</v>
      </c>
      <c r="L1121" s="249"/>
      <c r="M1121" s="1371" t="s">
        <v>1364</v>
      </c>
      <c r="P1121" s="248"/>
      <c r="Q1121" s="196"/>
      <c r="R1121" s="248"/>
      <c r="T1121" s="169"/>
      <c r="U1121" s="50"/>
      <c r="V1121" s="2177"/>
      <c r="W1121" s="1326">
        <v>3.41</v>
      </c>
      <c r="X1121" s="1326">
        <v>3.41</v>
      </c>
      <c r="Y1121" s="1326">
        <v>3.41</v>
      </c>
      <c r="Z1121" s="1326">
        <v>3.41</v>
      </c>
      <c r="AA1121" s="1326">
        <v>3.41</v>
      </c>
      <c r="AB1121" s="1326">
        <v>3.41</v>
      </c>
      <c r="AC1121" s="1326">
        <v>3.41</v>
      </c>
      <c r="AD1121" s="1326">
        <v>3.41</v>
      </c>
      <c r="AE1121" s="1326">
        <v>3.41</v>
      </c>
      <c r="AF1121" s="258">
        <f t="shared" si="190"/>
        <v>3.41</v>
      </c>
      <c r="AG1121" s="1326"/>
      <c r="DG1121" s="555"/>
      <c r="DH1121" s="151"/>
      <c r="DI1121" s="1049"/>
      <c r="DJ1121" s="1127"/>
    </row>
    <row r="1122" spans="1:114" ht="15" hidden="1" customHeight="1" outlineLevel="1" x14ac:dyDescent="0.25">
      <c r="A1122" s="442"/>
      <c r="C1122" s="49"/>
      <c r="D1122" s="2177"/>
      <c r="E1122" s="2177"/>
      <c r="F1122" s="2176" t="str">
        <f>$E$775</f>
        <v>ASHP-SEER21-Replace_CAC_NonElectricHeat_ER1_SF</v>
      </c>
      <c r="G1122" s="2176"/>
      <c r="H1122" s="2176"/>
      <c r="I1122" s="2176"/>
      <c r="J1122" s="986" t="str">
        <f>$C$775</f>
        <v>353560_2024_12_</v>
      </c>
      <c r="K1122" s="1618">
        <v>0</v>
      </c>
      <c r="L1122" s="249"/>
      <c r="M1122" s="1371" t="s">
        <v>1365</v>
      </c>
      <c r="P1122" s="248"/>
      <c r="Q1122" s="196"/>
      <c r="R1122" s="248"/>
      <c r="T1122" s="169"/>
      <c r="U1122" s="50"/>
      <c r="V1122" s="2177"/>
      <c r="W1122" s="1326"/>
      <c r="X1122" s="1326"/>
      <c r="Y1122" s="1326"/>
      <c r="Z1122" s="1326"/>
      <c r="AA1122" s="1326"/>
      <c r="AB1122" s="1326"/>
      <c r="AC1122" s="790">
        <v>0</v>
      </c>
      <c r="AD1122" s="766">
        <v>0</v>
      </c>
      <c r="AE1122" s="766">
        <v>0</v>
      </c>
      <c r="AF1122" s="258">
        <f t="shared" si="190"/>
        <v>0</v>
      </c>
      <c r="AG1122" s="1326"/>
      <c r="DG1122" s="555"/>
      <c r="DH1122" s="151"/>
      <c r="DI1122" s="1049"/>
      <c r="DJ1122" s="1127"/>
    </row>
    <row r="1123" spans="1:114" ht="15" hidden="1" customHeight="1" outlineLevel="1" x14ac:dyDescent="0.25">
      <c r="A1123" s="442"/>
      <c r="C1123" s="49"/>
      <c r="D1123" s="2177"/>
      <c r="E1123" s="2177"/>
      <c r="F1123" s="2176" t="str">
        <f>$E$777</f>
        <v>ASHP-SEER21-Replace_CAC_NonElectricHeat_ER2_SF</v>
      </c>
      <c r="G1123" s="2176"/>
      <c r="H1123" s="2176"/>
      <c r="I1123" s="2176"/>
      <c r="J1123" s="986" t="str">
        <f>$C$777</f>
        <v>353560_2024_12_</v>
      </c>
      <c r="K1123" s="1618">
        <v>0</v>
      </c>
      <c r="L1123" s="249"/>
      <c r="M1123" s="1371" t="s">
        <v>1365</v>
      </c>
      <c r="P1123" s="248"/>
      <c r="Q1123" s="196"/>
      <c r="R1123" s="248"/>
      <c r="T1123" s="169"/>
      <c r="U1123" s="50"/>
      <c r="V1123" s="2177"/>
      <c r="W1123" s="1326"/>
      <c r="X1123" s="1326"/>
      <c r="Y1123" s="1326"/>
      <c r="Z1123" s="1326"/>
      <c r="AA1123" s="1326"/>
      <c r="AB1123" s="1326"/>
      <c r="AC1123" s="790">
        <v>0</v>
      </c>
      <c r="AD1123" s="766">
        <v>0</v>
      </c>
      <c r="AE1123" s="766">
        <v>0</v>
      </c>
      <c r="AF1123" s="258">
        <f t="shared" si="190"/>
        <v>0</v>
      </c>
      <c r="AG1123" s="1326"/>
      <c r="DG1123" s="555"/>
      <c r="DH1123" s="151"/>
      <c r="DI1123" s="1049"/>
      <c r="DJ1123" s="1127"/>
    </row>
    <row r="1124" spans="1:114" ht="15" hidden="1" customHeight="1" outlineLevel="1" x14ac:dyDescent="0.25">
      <c r="A1124" s="442"/>
      <c r="C1124" s="49"/>
      <c r="D1124" s="2177"/>
      <c r="E1124" s="2177"/>
      <c r="F1124" s="2176" t="str">
        <f>$E$779</f>
        <v>ASHP-SEER21-Replace_CAC_ElectricHeat_ER1_MF</v>
      </c>
      <c r="G1124" s="2176"/>
      <c r="H1124" s="2176"/>
      <c r="I1124" s="2176"/>
      <c r="J1124" s="986" t="str">
        <f>$C$779</f>
        <v>353600_2024_12_</v>
      </c>
      <c r="K1124" s="1616">
        <v>3.41</v>
      </c>
      <c r="L1124" s="249"/>
      <c r="M1124" s="1371" t="s">
        <v>1366</v>
      </c>
      <c r="P1124" s="248"/>
      <c r="Q1124" s="196"/>
      <c r="R1124" s="248"/>
      <c r="T1124" s="169"/>
      <c r="U1124" s="50"/>
      <c r="V1124" s="2177"/>
      <c r="W1124" s="1326">
        <v>3.41</v>
      </c>
      <c r="X1124" s="1326">
        <v>3.41</v>
      </c>
      <c r="Y1124" s="1326">
        <v>3.41</v>
      </c>
      <c r="Z1124" s="1326">
        <v>3.41</v>
      </c>
      <c r="AA1124" s="1326">
        <v>3.41</v>
      </c>
      <c r="AB1124" s="1326">
        <v>3.41</v>
      </c>
      <c r="AC1124" s="1326">
        <v>3.41</v>
      </c>
      <c r="AD1124" s="1326">
        <v>3.41</v>
      </c>
      <c r="AE1124" s="1326">
        <v>3.41</v>
      </c>
      <c r="AF1124" s="258">
        <f t="shared" si="190"/>
        <v>3.41</v>
      </c>
      <c r="AG1124" s="1326"/>
      <c r="DG1124" s="555"/>
      <c r="DH1124" s="151"/>
      <c r="DI1124" s="1049"/>
      <c r="DJ1124" s="1127"/>
    </row>
    <row r="1125" spans="1:114" ht="15" hidden="1" customHeight="1" outlineLevel="1" x14ac:dyDescent="0.25">
      <c r="A1125" s="442"/>
      <c r="C1125" s="49"/>
      <c r="D1125" s="2177"/>
      <c r="E1125" s="2177"/>
      <c r="F1125" s="2176" t="str">
        <f>$E$781</f>
        <v>ASHP-SEER21-Replace_CAC_ElectricHeat_ER2_MF</v>
      </c>
      <c r="G1125" s="2176"/>
      <c r="H1125" s="2176"/>
      <c r="I1125" s="2176"/>
      <c r="J1125" s="986" t="str">
        <f>$C$781</f>
        <v>353600_2024_12_</v>
      </c>
      <c r="K1125" s="1616">
        <v>3.41</v>
      </c>
      <c r="L1125" s="249"/>
      <c r="M1125" s="1371" t="s">
        <v>1366</v>
      </c>
      <c r="P1125" s="248"/>
      <c r="Q1125" s="196"/>
      <c r="R1125" s="248"/>
      <c r="T1125" s="169"/>
      <c r="U1125" s="50"/>
      <c r="V1125" s="2177"/>
      <c r="W1125" s="1326">
        <v>3.41</v>
      </c>
      <c r="X1125" s="1326">
        <v>3.41</v>
      </c>
      <c r="Y1125" s="1326">
        <v>3.41</v>
      </c>
      <c r="Z1125" s="1326">
        <v>3.41</v>
      </c>
      <c r="AA1125" s="1326">
        <v>3.41</v>
      </c>
      <c r="AB1125" s="1326">
        <v>3.41</v>
      </c>
      <c r="AC1125" s="1326">
        <v>3.41</v>
      </c>
      <c r="AD1125" s="1326">
        <v>3.41</v>
      </c>
      <c r="AE1125" s="1326">
        <v>3.41</v>
      </c>
      <c r="AF1125" s="258">
        <f t="shared" si="190"/>
        <v>3.41</v>
      </c>
      <c r="AG1125" s="1326"/>
      <c r="DG1125" s="555"/>
      <c r="DH1125" s="151"/>
      <c r="DI1125" s="1049"/>
      <c r="DJ1125" s="1127"/>
    </row>
    <row r="1126" spans="1:114" ht="15" hidden="1" customHeight="1" outlineLevel="1" x14ac:dyDescent="0.25">
      <c r="A1126" s="442"/>
      <c r="C1126" s="49"/>
      <c r="D1126" s="2177"/>
      <c r="E1126" s="2177"/>
      <c r="F1126" s="2176" t="str">
        <f>$E$783</f>
        <v>ASHP-SEER21-Replace_CAC_ElectricHeat_ROF_SF</v>
      </c>
      <c r="G1126" s="2176"/>
      <c r="H1126" s="2176"/>
      <c r="I1126" s="2176"/>
      <c r="J1126" s="986" t="str">
        <f>$C$783</f>
        <v>353650_2024_12_</v>
      </c>
      <c r="K1126" s="1616">
        <v>3.41</v>
      </c>
      <c r="L1126" s="249"/>
      <c r="M1126" s="1371" t="s">
        <v>1364</v>
      </c>
      <c r="P1126" s="248"/>
      <c r="Q1126" s="196"/>
      <c r="R1126" s="248"/>
      <c r="T1126" s="169"/>
      <c r="U1126" s="50"/>
      <c r="V1126" s="2177"/>
      <c r="W1126" s="1326">
        <v>3.41</v>
      </c>
      <c r="X1126" s="1326">
        <v>3.41</v>
      </c>
      <c r="Y1126" s="1326">
        <v>3.41</v>
      </c>
      <c r="Z1126" s="1326">
        <v>3.41</v>
      </c>
      <c r="AA1126" s="1326">
        <v>3.41</v>
      </c>
      <c r="AB1126" s="1326">
        <v>3.41</v>
      </c>
      <c r="AC1126" s="1326">
        <v>3.41</v>
      </c>
      <c r="AD1126" s="1326">
        <v>3.41</v>
      </c>
      <c r="AE1126" s="1326">
        <v>3.41</v>
      </c>
      <c r="AF1126" s="258">
        <f t="shared" si="190"/>
        <v>3.41</v>
      </c>
      <c r="AG1126" s="1326"/>
      <c r="DG1126" s="555"/>
      <c r="DH1126" s="151"/>
      <c r="DI1126" s="1049"/>
      <c r="DJ1126" s="1127"/>
    </row>
    <row r="1127" spans="1:114" ht="15" hidden="1" customHeight="1" outlineLevel="1" x14ac:dyDescent="0.25">
      <c r="A1127" s="442"/>
      <c r="C1127" s="49"/>
      <c r="D1127" s="2177"/>
      <c r="E1127" s="2177"/>
      <c r="F1127" s="2176" t="str">
        <f>$E$785</f>
        <v>ASHP-SEER21-Replace_CAC_NonElectricHeat_ROF_SF</v>
      </c>
      <c r="G1127" s="2176"/>
      <c r="H1127" s="2176"/>
      <c r="I1127" s="2176"/>
      <c r="J1127" s="986" t="str">
        <f>$C$785</f>
        <v>353660_2024_12_</v>
      </c>
      <c r="K1127" s="1616">
        <v>0</v>
      </c>
      <c r="L1127" s="12"/>
      <c r="M1127" s="1371" t="s">
        <v>1365</v>
      </c>
      <c r="P1127" s="248"/>
      <c r="Q1127" s="196"/>
      <c r="R1127" s="248"/>
      <c r="T1127" s="169"/>
      <c r="U1127" s="50"/>
      <c r="V1127" s="2177"/>
      <c r="W1127" s="1326"/>
      <c r="X1127" s="1326"/>
      <c r="Y1127" s="1326"/>
      <c r="Z1127" s="1326"/>
      <c r="AA1127" s="1326"/>
      <c r="AB1127" s="1326"/>
      <c r="AC1127" s="1326"/>
      <c r="AD1127" s="790">
        <v>0</v>
      </c>
      <c r="AE1127" s="1326">
        <v>0</v>
      </c>
      <c r="AF1127" s="258">
        <f t="shared" si="190"/>
        <v>0</v>
      </c>
      <c r="AG1127" s="1326"/>
      <c r="DG1127" s="555"/>
      <c r="DH1127" s="151"/>
      <c r="DI1127" s="1049"/>
      <c r="DJ1127" s="1127"/>
    </row>
    <row r="1128" spans="1:114" ht="15" hidden="1" customHeight="1" outlineLevel="1" x14ac:dyDescent="0.25">
      <c r="A1128" s="442"/>
      <c r="C1128" s="49"/>
      <c r="D1128" s="2177"/>
      <c r="E1128" s="2177"/>
      <c r="F1128" s="2176" t="str">
        <f>$E$787</f>
        <v>ASHP-SEER17_ER1_SF</v>
      </c>
      <c r="G1128" s="2176"/>
      <c r="H1128" s="2176"/>
      <c r="I1128" s="2176"/>
      <c r="J1128" s="986" t="str">
        <f>$C$787</f>
        <v>353750_2024_12_</v>
      </c>
      <c r="K1128" s="1616">
        <v>6.58</v>
      </c>
      <c r="L1128" s="249"/>
      <c r="M1128" s="1371" t="s">
        <v>1364</v>
      </c>
      <c r="T1128" s="50"/>
      <c r="U1128" s="50"/>
      <c r="V1128" s="2177"/>
      <c r="W1128" s="1326">
        <v>5.44</v>
      </c>
      <c r="X1128" s="794">
        <v>6.58</v>
      </c>
      <c r="Y1128" s="1326">
        <v>6.58</v>
      </c>
      <c r="Z1128" s="1326">
        <v>6.58</v>
      </c>
      <c r="AA1128" s="1326">
        <v>6.58</v>
      </c>
      <c r="AB1128" s="1326">
        <v>6.58</v>
      </c>
      <c r="AC1128" s="1326">
        <v>6.58</v>
      </c>
      <c r="AD1128" s="1326">
        <v>6.58</v>
      </c>
      <c r="AE1128" s="1326">
        <v>6.58</v>
      </c>
      <c r="AF1128" s="258">
        <f t="shared" si="190"/>
        <v>6.58</v>
      </c>
      <c r="AG1128" s="1326"/>
      <c r="DG1128" s="555"/>
      <c r="DH1128" s="151"/>
      <c r="DI1128" s="1049"/>
      <c r="DJ1128" s="1127"/>
    </row>
    <row r="1129" spans="1:114" ht="15" hidden="1" customHeight="1" outlineLevel="1" x14ac:dyDescent="0.25">
      <c r="A1129" s="442"/>
      <c r="C1129" s="49"/>
      <c r="D1129" s="2177"/>
      <c r="E1129" s="2177"/>
      <c r="F1129" s="2176" t="str">
        <f>$E$789</f>
        <v>ASHP-SEER17_ER2_SF</v>
      </c>
      <c r="G1129" s="2176"/>
      <c r="H1129" s="2176"/>
      <c r="I1129" s="2176"/>
      <c r="J1129" s="986" t="str">
        <f>$C$789</f>
        <v>353750_2024_12_</v>
      </c>
      <c r="K1129" s="1616">
        <v>7.5</v>
      </c>
      <c r="L1129" s="249"/>
      <c r="M1129" s="1307" t="s">
        <v>1029</v>
      </c>
      <c r="P1129" s="248"/>
      <c r="Q1129" s="196"/>
      <c r="R1129" s="248"/>
      <c r="T1129" s="169"/>
      <c r="U1129" s="50"/>
      <c r="V1129" s="2177"/>
      <c r="W1129" s="1326">
        <v>8.1999999999999993</v>
      </c>
      <c r="X1129" s="1326">
        <v>8.1999999999999993</v>
      </c>
      <c r="Y1129" s="1326">
        <v>8.1999999999999993</v>
      </c>
      <c r="Z1129" s="1326">
        <v>8.1999999999999993</v>
      </c>
      <c r="AA1129" s="1326">
        <v>8.1999999999999993</v>
      </c>
      <c r="AB1129" s="1326">
        <v>8.1999999999999993</v>
      </c>
      <c r="AC1129" s="1326">
        <v>8.1999999999999993</v>
      </c>
      <c r="AD1129" s="1326">
        <v>8.1999999999999993</v>
      </c>
      <c r="AE1129" s="794">
        <v>8.6</v>
      </c>
      <c r="AF1129" s="258">
        <f t="shared" si="190"/>
        <v>7.5</v>
      </c>
      <c r="AG1129" s="1326"/>
      <c r="DG1129" s="555"/>
      <c r="DH1129" s="151"/>
      <c r="DI1129" s="1049"/>
      <c r="DJ1129" s="1127"/>
    </row>
    <row r="1130" spans="1:114" ht="15" hidden="1" customHeight="1" outlineLevel="1" x14ac:dyDescent="0.25">
      <c r="A1130" s="442"/>
      <c r="C1130" s="49"/>
      <c r="D1130" s="2177"/>
      <c r="E1130" s="2177"/>
      <c r="F1130" s="2176" t="str">
        <f>$E$791</f>
        <v>ASHP-SEER17_ROF_SF</v>
      </c>
      <c r="G1130" s="2176"/>
      <c r="H1130" s="2176"/>
      <c r="I1130" s="2176"/>
      <c r="J1130" s="986" t="str">
        <f>$C$791</f>
        <v>353800_2024_12_</v>
      </c>
      <c r="K1130" s="1616">
        <v>7.5</v>
      </c>
      <c r="L1130" s="249"/>
      <c r="M1130" s="1307" t="s">
        <v>1029</v>
      </c>
      <c r="T1130" s="50"/>
      <c r="U1130" s="50"/>
      <c r="V1130" s="2177"/>
      <c r="W1130" s="1326">
        <v>8.1999999999999993</v>
      </c>
      <c r="X1130" s="1326">
        <v>8.1999999999999993</v>
      </c>
      <c r="Y1130" s="1326">
        <v>8.1999999999999993</v>
      </c>
      <c r="Z1130" s="1326">
        <v>8.1999999999999993</v>
      </c>
      <c r="AA1130" s="1326">
        <v>8.1999999999999993</v>
      </c>
      <c r="AB1130" s="1326">
        <v>8.1999999999999993</v>
      </c>
      <c r="AC1130" s="1326">
        <v>8.1999999999999993</v>
      </c>
      <c r="AD1130" s="1326">
        <v>8.1999999999999993</v>
      </c>
      <c r="AE1130" s="794">
        <v>8.6</v>
      </c>
      <c r="AF1130" s="258">
        <f t="shared" si="190"/>
        <v>7.5</v>
      </c>
      <c r="AG1130" s="1326"/>
      <c r="DG1130" s="555"/>
      <c r="DH1130" s="151"/>
      <c r="DI1130" s="1049"/>
      <c r="DJ1130" s="1127"/>
    </row>
    <row r="1131" spans="1:114" ht="15" hidden="1" customHeight="1" outlineLevel="1" x14ac:dyDescent="0.25">
      <c r="A1131" s="442"/>
      <c r="C1131" s="49"/>
      <c r="D1131" s="2177"/>
      <c r="E1131" s="2177"/>
      <c r="F1131" s="2176" t="str">
        <f>$E$793</f>
        <v>ASHP-SEER18_ER1_SF</v>
      </c>
      <c r="G1131" s="2176"/>
      <c r="H1131" s="2176"/>
      <c r="I1131" s="2176"/>
      <c r="J1131" s="986" t="str">
        <f>$C$793</f>
        <v>353850_2024_12_</v>
      </c>
      <c r="K1131" s="1616">
        <v>6.58</v>
      </c>
      <c r="L1131" s="249"/>
      <c r="M1131" s="1371" t="s">
        <v>1364</v>
      </c>
      <c r="P1131" s="248"/>
      <c r="Q1131" s="196"/>
      <c r="R1131" s="248"/>
      <c r="T1131" s="169"/>
      <c r="U1131" s="50"/>
      <c r="V1131" s="2177"/>
      <c r="W1131" s="1326">
        <v>5.44</v>
      </c>
      <c r="X1131" s="794">
        <v>6.58</v>
      </c>
      <c r="Y1131" s="1326">
        <v>6.58</v>
      </c>
      <c r="Z1131" s="1326">
        <v>6.58</v>
      </c>
      <c r="AA1131" s="1326">
        <v>6.58</v>
      </c>
      <c r="AB1131" s="1326">
        <v>6.58</v>
      </c>
      <c r="AC1131" s="1326">
        <v>6.58</v>
      </c>
      <c r="AD1131" s="1326">
        <v>6.58</v>
      </c>
      <c r="AE1131" s="1326">
        <v>6.58</v>
      </c>
      <c r="AF1131" s="258">
        <f t="shared" si="190"/>
        <v>6.58</v>
      </c>
      <c r="AG1131" s="1326"/>
      <c r="DG1131" s="555"/>
      <c r="DH1131" s="151"/>
      <c r="DI1131" s="1049"/>
      <c r="DJ1131" s="1127"/>
    </row>
    <row r="1132" spans="1:114" ht="15" hidden="1" customHeight="1" outlineLevel="1" x14ac:dyDescent="0.25">
      <c r="A1132" s="442"/>
      <c r="C1132" s="49"/>
      <c r="D1132" s="2177"/>
      <c r="E1132" s="2177"/>
      <c r="F1132" s="2176" t="str">
        <f>$E$795</f>
        <v>ASHP-SEER18_ER2_SF</v>
      </c>
      <c r="G1132" s="2176"/>
      <c r="H1132" s="2176"/>
      <c r="I1132" s="2176"/>
      <c r="J1132" s="986" t="str">
        <f>$C$795</f>
        <v>353850_2024_12_</v>
      </c>
      <c r="K1132" s="1616">
        <v>7.5</v>
      </c>
      <c r="L1132" s="249"/>
      <c r="M1132" s="1307" t="s">
        <v>1029</v>
      </c>
      <c r="T1132" s="50"/>
      <c r="U1132" s="50"/>
      <c r="V1132" s="2177"/>
      <c r="W1132" s="1326">
        <v>8.1999999999999993</v>
      </c>
      <c r="X1132" s="1326">
        <v>8.1999999999999993</v>
      </c>
      <c r="Y1132" s="1326">
        <v>8.1999999999999993</v>
      </c>
      <c r="Z1132" s="1326">
        <v>8.1999999999999993</v>
      </c>
      <c r="AA1132" s="1326">
        <v>8.1999999999999993</v>
      </c>
      <c r="AB1132" s="1326">
        <v>8.1999999999999993</v>
      </c>
      <c r="AC1132" s="1326">
        <v>8.1999999999999993</v>
      </c>
      <c r="AD1132" s="1326">
        <v>8.1999999999999993</v>
      </c>
      <c r="AE1132" s="794">
        <v>8.6</v>
      </c>
      <c r="AF1132" s="258">
        <f t="shared" si="190"/>
        <v>7.5</v>
      </c>
      <c r="AG1132" s="1326"/>
      <c r="DG1132" s="555"/>
      <c r="DH1132" s="151"/>
      <c r="DI1132" s="1049"/>
      <c r="DJ1132" s="1127"/>
    </row>
    <row r="1133" spans="1:114" ht="15" hidden="1" customHeight="1" outlineLevel="1" x14ac:dyDescent="0.25">
      <c r="A1133" s="442"/>
      <c r="C1133" s="49"/>
      <c r="D1133" s="2177"/>
      <c r="E1133" s="2177"/>
      <c r="F1133" s="2176" t="str">
        <f>$E$797</f>
        <v>ASHP-SEER18_ROF_SF</v>
      </c>
      <c r="G1133" s="2176"/>
      <c r="H1133" s="2176"/>
      <c r="I1133" s="2176"/>
      <c r="J1133" s="986" t="str">
        <f>$C$797</f>
        <v>353950_2024_12_</v>
      </c>
      <c r="K1133" s="1616">
        <v>7.5</v>
      </c>
      <c r="L1133" s="249"/>
      <c r="M1133" s="1307" t="s">
        <v>1029</v>
      </c>
      <c r="P1133" s="248"/>
      <c r="Q1133" s="196"/>
      <c r="R1133" s="248"/>
      <c r="T1133" s="169"/>
      <c r="U1133" s="50"/>
      <c r="V1133" s="2177"/>
      <c r="W1133" s="1326">
        <v>8.1999999999999993</v>
      </c>
      <c r="X1133" s="1326">
        <v>8.1999999999999993</v>
      </c>
      <c r="Y1133" s="1326">
        <v>8.1999999999999993</v>
      </c>
      <c r="Z1133" s="1326">
        <v>8.1999999999999993</v>
      </c>
      <c r="AA1133" s="1326">
        <v>8.1999999999999993</v>
      </c>
      <c r="AB1133" s="1326">
        <v>8.1999999999999993</v>
      </c>
      <c r="AC1133" s="1326">
        <v>8.1999999999999993</v>
      </c>
      <c r="AD1133" s="1326">
        <v>8.1999999999999993</v>
      </c>
      <c r="AE1133" s="794">
        <v>8.6</v>
      </c>
      <c r="AF1133" s="258">
        <f t="shared" si="190"/>
        <v>7.5</v>
      </c>
      <c r="AG1133" s="1326"/>
      <c r="DG1133" s="555"/>
      <c r="DH1133" s="151"/>
      <c r="DI1133" s="1049"/>
      <c r="DJ1133" s="1127"/>
    </row>
    <row r="1134" spans="1:114" ht="15" hidden="1" customHeight="1" outlineLevel="1" x14ac:dyDescent="0.25">
      <c r="A1134" s="442"/>
      <c r="C1134" s="49"/>
      <c r="D1134" s="2177"/>
      <c r="E1134" s="2177"/>
      <c r="F1134" s="2176" t="str">
        <f>$E$799</f>
        <v>ASHP-SEER19_ER1_SF</v>
      </c>
      <c r="G1134" s="2176"/>
      <c r="H1134" s="2176"/>
      <c r="I1134" s="2176"/>
      <c r="J1134" s="986" t="str">
        <f>$C$799</f>
        <v>354000_2024_12_</v>
      </c>
      <c r="K1134" s="1616">
        <v>6.58</v>
      </c>
      <c r="L1134" s="249"/>
      <c r="M1134" s="1371" t="s">
        <v>1364</v>
      </c>
      <c r="P1134" s="248"/>
      <c r="Q1134" s="196"/>
      <c r="R1134" s="248"/>
      <c r="T1134" s="169"/>
      <c r="U1134" s="50"/>
      <c r="V1134" s="2177"/>
      <c r="W1134" s="1326">
        <v>5.44</v>
      </c>
      <c r="X1134" s="794">
        <v>6.58</v>
      </c>
      <c r="Y1134" s="1326">
        <v>6.58</v>
      </c>
      <c r="Z1134" s="1326">
        <v>6.58</v>
      </c>
      <c r="AA1134" s="1326">
        <v>6.58</v>
      </c>
      <c r="AB1134" s="1326">
        <v>6.58</v>
      </c>
      <c r="AC1134" s="1326">
        <v>6.58</v>
      </c>
      <c r="AD1134" s="1326">
        <v>6.58</v>
      </c>
      <c r="AE1134" s="1326">
        <v>6.58</v>
      </c>
      <c r="AF1134" s="258">
        <f t="shared" si="190"/>
        <v>6.58</v>
      </c>
      <c r="AG1134" s="1326"/>
      <c r="DG1134" s="555"/>
      <c r="DH1134" s="151"/>
      <c r="DI1134" s="1049"/>
      <c r="DJ1134" s="1127"/>
    </row>
    <row r="1135" spans="1:114" ht="15" hidden="1" customHeight="1" outlineLevel="1" x14ac:dyDescent="0.25">
      <c r="A1135" s="442"/>
      <c r="C1135" s="49"/>
      <c r="D1135" s="2177"/>
      <c r="E1135" s="2177"/>
      <c r="F1135" s="2176" t="str">
        <f>$E$801</f>
        <v>ASHP-SEER19_ER2_SF</v>
      </c>
      <c r="G1135" s="2176"/>
      <c r="H1135" s="2176"/>
      <c r="I1135" s="2176"/>
      <c r="J1135" s="986" t="str">
        <f>$C$801</f>
        <v>354000_2024_12_</v>
      </c>
      <c r="K1135" s="1616">
        <v>7.5</v>
      </c>
      <c r="L1135" s="249"/>
      <c r="M1135" s="1307" t="s">
        <v>1029</v>
      </c>
      <c r="T1135" s="50"/>
      <c r="U1135" s="50"/>
      <c r="V1135" s="2177"/>
      <c r="W1135" s="1326">
        <v>8.1999999999999993</v>
      </c>
      <c r="X1135" s="1326">
        <v>8.1999999999999993</v>
      </c>
      <c r="Y1135" s="1326">
        <v>8.1999999999999993</v>
      </c>
      <c r="Z1135" s="1326">
        <v>8.1999999999999993</v>
      </c>
      <c r="AA1135" s="1326">
        <v>8.1999999999999993</v>
      </c>
      <c r="AB1135" s="1326">
        <v>8.1999999999999993</v>
      </c>
      <c r="AC1135" s="1326">
        <v>8.1999999999999993</v>
      </c>
      <c r="AD1135" s="1326">
        <v>8.1999999999999993</v>
      </c>
      <c r="AE1135" s="794">
        <v>8.6</v>
      </c>
      <c r="AF1135" s="258">
        <f t="shared" si="190"/>
        <v>7.5</v>
      </c>
      <c r="AG1135" s="1326"/>
      <c r="DG1135" s="555"/>
      <c r="DH1135" s="151"/>
      <c r="DI1135" s="1049"/>
      <c r="DJ1135" s="1127"/>
    </row>
    <row r="1136" spans="1:114" ht="15" hidden="1" customHeight="1" outlineLevel="1" x14ac:dyDescent="0.25">
      <c r="A1136" s="442"/>
      <c r="C1136" s="49"/>
      <c r="D1136" s="2177"/>
      <c r="E1136" s="2177"/>
      <c r="F1136" s="2176" t="str">
        <f>$E$803</f>
        <v>ASHP-SEER19_ROF_SF</v>
      </c>
      <c r="G1136" s="2176"/>
      <c r="H1136" s="2176"/>
      <c r="I1136" s="2176"/>
      <c r="J1136" s="986" t="str">
        <f>$C$803</f>
        <v>354050_2024_12_</v>
      </c>
      <c r="K1136" s="1616">
        <v>7.5</v>
      </c>
      <c r="L1136" s="249"/>
      <c r="M1136" s="1307" t="s">
        <v>1029</v>
      </c>
      <c r="T1136" s="50"/>
      <c r="U1136" s="50"/>
      <c r="V1136" s="2177"/>
      <c r="W1136" s="1326">
        <v>8.1999999999999993</v>
      </c>
      <c r="X1136" s="1326">
        <v>8.1999999999999993</v>
      </c>
      <c r="Y1136" s="1326">
        <v>8.1999999999999993</v>
      </c>
      <c r="Z1136" s="1326">
        <v>8.1999999999999993</v>
      </c>
      <c r="AA1136" s="1326">
        <v>8.1999999999999993</v>
      </c>
      <c r="AB1136" s="1326">
        <v>8.1999999999999993</v>
      </c>
      <c r="AC1136" s="1326">
        <v>8.1999999999999993</v>
      </c>
      <c r="AD1136" s="1326">
        <v>8.1999999999999993</v>
      </c>
      <c r="AE1136" s="794">
        <v>8.6</v>
      </c>
      <c r="AF1136" s="258">
        <f t="shared" si="190"/>
        <v>7.5</v>
      </c>
      <c r="AG1136" s="1326"/>
      <c r="DG1136" s="555"/>
      <c r="DH1136" s="151"/>
      <c r="DI1136" s="1049"/>
      <c r="DJ1136" s="1127"/>
    </row>
    <row r="1137" spans="1:114" ht="15" hidden="1" customHeight="1" outlineLevel="1" x14ac:dyDescent="0.25">
      <c r="A1137" s="442"/>
      <c r="C1137" s="49"/>
      <c r="D1137" s="2177"/>
      <c r="E1137" s="2177"/>
      <c r="F1137" s="2176" t="str">
        <f>$E$805</f>
        <v>ASHP-SEER17-Replace_CAC_ElectricHeat_ER1_SF</v>
      </c>
      <c r="G1137" s="2176"/>
      <c r="H1137" s="2176"/>
      <c r="I1137" s="2176"/>
      <c r="J1137" s="986" t="str">
        <f>$C$805</f>
        <v>354100_2024_12_</v>
      </c>
      <c r="K1137" s="1616">
        <v>3.41</v>
      </c>
      <c r="L1137" s="249"/>
      <c r="M1137" s="1371" t="s">
        <v>1364</v>
      </c>
      <c r="T1137" s="50"/>
      <c r="U1137" s="50"/>
      <c r="V1137" s="2177"/>
      <c r="W1137" s="1326">
        <v>3.41</v>
      </c>
      <c r="X1137" s="1326">
        <v>3.41</v>
      </c>
      <c r="Y1137" s="1326">
        <v>3.41</v>
      </c>
      <c r="Z1137" s="1326">
        <v>3.41</v>
      </c>
      <c r="AA1137" s="1326">
        <v>3.41</v>
      </c>
      <c r="AB1137" s="1326">
        <v>3.41</v>
      </c>
      <c r="AC1137" s="1326">
        <v>3.41</v>
      </c>
      <c r="AD1137" s="1326">
        <v>3.41</v>
      </c>
      <c r="AE1137" s="1326">
        <v>3.41</v>
      </c>
      <c r="AF1137" s="258">
        <f t="shared" si="190"/>
        <v>3.41</v>
      </c>
      <c r="AG1137" s="1326"/>
      <c r="DG1137" s="555"/>
      <c r="DH1137" s="151"/>
      <c r="DI1137" s="1049"/>
      <c r="DJ1137" s="1127"/>
    </row>
    <row r="1138" spans="1:114" ht="15" hidden="1" customHeight="1" outlineLevel="1" x14ac:dyDescent="0.25">
      <c r="A1138" s="442"/>
      <c r="C1138" s="49"/>
      <c r="D1138" s="2177"/>
      <c r="E1138" s="2177"/>
      <c r="F1138" s="2176" t="str">
        <f>$E$807</f>
        <v>ASHP-SEER17-Replace_CAC_ElectricHeat_ER2_SF</v>
      </c>
      <c r="G1138" s="2176"/>
      <c r="H1138" s="2176"/>
      <c r="I1138" s="2176"/>
      <c r="J1138" s="986" t="str">
        <f>$C$807</f>
        <v>354100_2024_12_</v>
      </c>
      <c r="K1138" s="1616">
        <v>3.41</v>
      </c>
      <c r="L1138" s="249"/>
      <c r="M1138" s="1371" t="s">
        <v>1364</v>
      </c>
      <c r="T1138" s="50"/>
      <c r="U1138" s="50"/>
      <c r="V1138" s="2177"/>
      <c r="W1138" s="1326">
        <v>3.41</v>
      </c>
      <c r="X1138" s="1326">
        <v>3.41</v>
      </c>
      <c r="Y1138" s="1326">
        <v>3.41</v>
      </c>
      <c r="Z1138" s="1326">
        <v>3.41</v>
      </c>
      <c r="AA1138" s="1326">
        <v>3.41</v>
      </c>
      <c r="AB1138" s="1326">
        <v>3.41</v>
      </c>
      <c r="AC1138" s="1326">
        <v>3.41</v>
      </c>
      <c r="AD1138" s="1326">
        <v>3.41</v>
      </c>
      <c r="AE1138" s="1326">
        <v>3.41</v>
      </c>
      <c r="AF1138" s="258">
        <f t="shared" si="190"/>
        <v>3.41</v>
      </c>
      <c r="AG1138" s="1326"/>
      <c r="DG1138" s="555"/>
      <c r="DH1138" s="151"/>
      <c r="DI1138" s="1049"/>
      <c r="DJ1138" s="1127"/>
    </row>
    <row r="1139" spans="1:114" ht="15" hidden="1" customHeight="1" outlineLevel="1" x14ac:dyDescent="0.25">
      <c r="A1139" s="442"/>
      <c r="C1139" s="49"/>
      <c r="D1139" s="2177"/>
      <c r="E1139" s="2177"/>
      <c r="F1139" s="2176" t="str">
        <f>$E$809</f>
        <v>ASHP-SEER17-Replace_CAC_NonElectricHeat_ER1_SF</v>
      </c>
      <c r="G1139" s="2176"/>
      <c r="H1139" s="2176"/>
      <c r="I1139" s="2176"/>
      <c r="J1139" s="986" t="str">
        <f>$C$809</f>
        <v>354110_2024_12_</v>
      </c>
      <c r="K1139" s="1618">
        <v>0</v>
      </c>
      <c r="L1139" s="249"/>
      <c r="M1139" s="1371" t="s">
        <v>1365</v>
      </c>
      <c r="T1139" s="50"/>
      <c r="U1139" s="50"/>
      <c r="V1139" s="2177"/>
      <c r="W1139" s="1326"/>
      <c r="X1139" s="1326"/>
      <c r="Y1139" s="1326"/>
      <c r="Z1139" s="1326"/>
      <c r="AA1139" s="1326"/>
      <c r="AB1139" s="1326"/>
      <c r="AC1139" s="790">
        <v>0</v>
      </c>
      <c r="AD1139" s="766">
        <v>0</v>
      </c>
      <c r="AE1139" s="766">
        <v>0</v>
      </c>
      <c r="AF1139" s="258">
        <f t="shared" si="190"/>
        <v>0</v>
      </c>
      <c r="AG1139" s="1326"/>
      <c r="DG1139" s="555"/>
      <c r="DH1139" s="151"/>
      <c r="DI1139" s="1049"/>
      <c r="DJ1139" s="1127"/>
    </row>
    <row r="1140" spans="1:114" ht="15" hidden="1" customHeight="1" outlineLevel="1" x14ac:dyDescent="0.25">
      <c r="A1140" s="442"/>
      <c r="C1140" s="49"/>
      <c r="D1140" s="2177"/>
      <c r="E1140" s="2177"/>
      <c r="F1140" s="2176" t="str">
        <f>$E$811</f>
        <v>ASHP-SEER17-Replace_CAC_NonElectricHeat_ER2_SF</v>
      </c>
      <c r="G1140" s="2176"/>
      <c r="H1140" s="2176"/>
      <c r="I1140" s="2176"/>
      <c r="J1140" s="986" t="str">
        <f>$C$811</f>
        <v>354110_2024_12_</v>
      </c>
      <c r="K1140" s="1618">
        <v>0</v>
      </c>
      <c r="L1140" s="249"/>
      <c r="M1140" s="1371" t="s">
        <v>1365</v>
      </c>
      <c r="T1140" s="50"/>
      <c r="U1140" s="50"/>
      <c r="V1140" s="2177"/>
      <c r="W1140" s="1326"/>
      <c r="X1140" s="1326"/>
      <c r="Y1140" s="1326"/>
      <c r="Z1140" s="1326"/>
      <c r="AA1140" s="1326"/>
      <c r="AB1140" s="1326"/>
      <c r="AC1140" s="790">
        <v>0</v>
      </c>
      <c r="AD1140" s="766">
        <v>0</v>
      </c>
      <c r="AE1140" s="766">
        <v>0</v>
      </c>
      <c r="AF1140" s="258">
        <f t="shared" si="190"/>
        <v>0</v>
      </c>
      <c r="AG1140" s="1326"/>
      <c r="DG1140" s="555"/>
      <c r="DH1140" s="151"/>
      <c r="DI1140" s="1049"/>
      <c r="DJ1140" s="1127"/>
    </row>
    <row r="1141" spans="1:114" ht="15" hidden="1" customHeight="1" outlineLevel="1" x14ac:dyDescent="0.25">
      <c r="A1141" s="442"/>
      <c r="C1141" s="49"/>
      <c r="D1141" s="2177"/>
      <c r="E1141" s="2177"/>
      <c r="F1141" s="2176" t="str">
        <f>$E$813</f>
        <v>ASHP-SEER17-Replace_CAC_ElectricHeat_ER1_MF</v>
      </c>
      <c r="G1141" s="2176"/>
      <c r="H1141" s="2176"/>
      <c r="I1141" s="2176"/>
      <c r="J1141" s="986" t="str">
        <f>$C$813</f>
        <v>354150_2024_12_</v>
      </c>
      <c r="K1141" s="1616">
        <v>3.41</v>
      </c>
      <c r="L1141" s="249"/>
      <c r="M1141" s="1371" t="s">
        <v>1366</v>
      </c>
      <c r="T1141" s="50"/>
      <c r="U1141" s="50"/>
      <c r="V1141" s="2177"/>
      <c r="W1141" s="1326">
        <v>3.41</v>
      </c>
      <c r="X1141" s="1326">
        <v>3.41</v>
      </c>
      <c r="Y1141" s="1326">
        <v>3.41</v>
      </c>
      <c r="Z1141" s="1326">
        <v>3.41</v>
      </c>
      <c r="AA1141" s="1326">
        <v>3.41</v>
      </c>
      <c r="AB1141" s="1326">
        <v>3.41</v>
      </c>
      <c r="AC1141" s="1326">
        <v>3.41</v>
      </c>
      <c r="AD1141" s="1326">
        <v>3.41</v>
      </c>
      <c r="AE1141" s="1326">
        <v>3.41</v>
      </c>
      <c r="AF1141" s="258">
        <f t="shared" si="190"/>
        <v>3.41</v>
      </c>
      <c r="AG1141" s="1326"/>
      <c r="DG1141" s="555"/>
      <c r="DH1141" s="151"/>
      <c r="DI1141" s="1049"/>
      <c r="DJ1141" s="1127"/>
    </row>
    <row r="1142" spans="1:114" ht="15" hidden="1" customHeight="1" outlineLevel="1" x14ac:dyDescent="0.25">
      <c r="A1142" s="442"/>
      <c r="C1142" s="49"/>
      <c r="D1142" s="2177"/>
      <c r="E1142" s="2177"/>
      <c r="F1142" s="2176" t="str">
        <f>$E$815</f>
        <v>ASHP-SEER17-Replace_CAC_ElectricHeat_ER2_MF</v>
      </c>
      <c r="G1142" s="2176"/>
      <c r="H1142" s="2176"/>
      <c r="I1142" s="2176"/>
      <c r="J1142" s="986" t="str">
        <f>$C$815</f>
        <v>354150_2024_12_</v>
      </c>
      <c r="K1142" s="1616">
        <v>3.41</v>
      </c>
      <c r="L1142" s="249"/>
      <c r="M1142" s="1371" t="s">
        <v>1366</v>
      </c>
      <c r="T1142" s="50"/>
      <c r="U1142" s="50"/>
      <c r="V1142" s="2177"/>
      <c r="W1142" s="1326">
        <v>3.41</v>
      </c>
      <c r="X1142" s="1326">
        <v>3.41</v>
      </c>
      <c r="Y1142" s="1326">
        <v>3.41</v>
      </c>
      <c r="Z1142" s="1326">
        <v>3.41</v>
      </c>
      <c r="AA1142" s="1326">
        <v>3.41</v>
      </c>
      <c r="AB1142" s="1326">
        <v>3.41</v>
      </c>
      <c r="AC1142" s="1326">
        <v>3.41</v>
      </c>
      <c r="AD1142" s="1326">
        <v>3.41</v>
      </c>
      <c r="AE1142" s="1326">
        <v>3.41</v>
      </c>
      <c r="AF1142" s="258">
        <f t="shared" si="190"/>
        <v>3.41</v>
      </c>
      <c r="AG1142" s="1326"/>
      <c r="DG1142" s="555"/>
      <c r="DH1142" s="151"/>
      <c r="DI1142" s="1049"/>
      <c r="DJ1142" s="1127"/>
    </row>
    <row r="1143" spans="1:114" ht="15" hidden="1" customHeight="1" outlineLevel="1" x14ac:dyDescent="0.25">
      <c r="A1143" s="442"/>
      <c r="C1143" s="49"/>
      <c r="D1143" s="2177"/>
      <c r="E1143" s="2177"/>
      <c r="F1143" s="2176" t="str">
        <f>$E$817</f>
        <v>ASHP-SEER17_ER1_MF</v>
      </c>
      <c r="G1143" s="2176"/>
      <c r="H1143" s="2176"/>
      <c r="I1143" s="2176"/>
      <c r="J1143" s="986" t="str">
        <f>$C$817</f>
        <v>354200_2024_12_</v>
      </c>
      <c r="K1143" s="1616">
        <v>6.58</v>
      </c>
      <c r="L1143" s="249"/>
      <c r="M1143" s="1371" t="s">
        <v>1366</v>
      </c>
      <c r="T1143" s="50"/>
      <c r="U1143" s="50"/>
      <c r="V1143" s="2177"/>
      <c r="W1143" s="1326">
        <v>5.44</v>
      </c>
      <c r="X1143" s="794">
        <v>6.58</v>
      </c>
      <c r="Y1143" s="1326">
        <v>6.58</v>
      </c>
      <c r="Z1143" s="1326">
        <v>6.58</v>
      </c>
      <c r="AA1143" s="1326">
        <v>6.58</v>
      </c>
      <c r="AB1143" s="1326">
        <v>6.58</v>
      </c>
      <c r="AC1143" s="1326">
        <v>6.58</v>
      </c>
      <c r="AD1143" s="1326">
        <v>6.58</v>
      </c>
      <c r="AE1143" s="1326">
        <v>6.58</v>
      </c>
      <c r="AF1143" s="258">
        <f t="shared" si="190"/>
        <v>6.58</v>
      </c>
      <c r="AG1143" s="1326"/>
      <c r="DG1143" s="555"/>
      <c r="DH1143" s="151"/>
      <c r="DI1143" s="1049"/>
      <c r="DJ1143" s="1127"/>
    </row>
    <row r="1144" spans="1:114" ht="15" hidden="1" customHeight="1" outlineLevel="1" x14ac:dyDescent="0.25">
      <c r="A1144" s="442"/>
      <c r="C1144" s="49"/>
      <c r="D1144" s="2177"/>
      <c r="E1144" s="2177"/>
      <c r="F1144" s="2176" t="str">
        <f>$E$819</f>
        <v>ASHP-SEER17_ER2_MF</v>
      </c>
      <c r="G1144" s="2176"/>
      <c r="H1144" s="2176"/>
      <c r="I1144" s="2176"/>
      <c r="J1144" s="986" t="str">
        <f>$C$819</f>
        <v>354200_2024_12_</v>
      </c>
      <c r="K1144" s="1616">
        <v>7.5</v>
      </c>
      <c r="L1144" s="249"/>
      <c r="M1144" s="1307" t="s">
        <v>1029</v>
      </c>
      <c r="T1144" s="50"/>
      <c r="U1144" s="50"/>
      <c r="V1144" s="2177"/>
      <c r="W1144" s="1326">
        <v>8.1999999999999993</v>
      </c>
      <c r="X1144" s="1326">
        <v>8.1999999999999993</v>
      </c>
      <c r="Y1144" s="1326">
        <v>8.1999999999999993</v>
      </c>
      <c r="Z1144" s="1326">
        <v>8.1999999999999993</v>
      </c>
      <c r="AA1144" s="1326">
        <v>8.1999999999999993</v>
      </c>
      <c r="AB1144" s="1326">
        <v>8.1999999999999993</v>
      </c>
      <c r="AC1144" s="1326">
        <v>8.1999999999999993</v>
      </c>
      <c r="AD1144" s="1326">
        <v>8.1999999999999993</v>
      </c>
      <c r="AE1144" s="794">
        <v>8.6</v>
      </c>
      <c r="AF1144" s="258">
        <f t="shared" si="190"/>
        <v>7.5</v>
      </c>
      <c r="AG1144" s="1326"/>
      <c r="DG1144" s="555"/>
      <c r="DH1144" s="151"/>
      <c r="DI1144" s="1049"/>
      <c r="DJ1144" s="1127"/>
    </row>
    <row r="1145" spans="1:114" ht="15" hidden="1" customHeight="1" outlineLevel="1" x14ac:dyDescent="0.25">
      <c r="A1145" s="442"/>
      <c r="C1145" s="49"/>
      <c r="D1145" s="2177"/>
      <c r="E1145" s="2177"/>
      <c r="F1145" s="2176" t="str">
        <f>$E$821</f>
        <v>ASHP-SEER18-Replace_CAC_ElectricHeat_ER1_SF</v>
      </c>
      <c r="G1145" s="2176"/>
      <c r="H1145" s="2176"/>
      <c r="I1145" s="2176"/>
      <c r="J1145" s="986" t="str">
        <f>$C$821</f>
        <v>354250_2024_12_</v>
      </c>
      <c r="K1145" s="1616">
        <v>3.41</v>
      </c>
      <c r="L1145" s="249"/>
      <c r="M1145" s="1371" t="s">
        <v>1364</v>
      </c>
      <c r="T1145" s="50"/>
      <c r="U1145" s="50"/>
      <c r="V1145" s="2177"/>
      <c r="W1145" s="1326">
        <v>3.41</v>
      </c>
      <c r="X1145" s="1326">
        <v>3.41</v>
      </c>
      <c r="Y1145" s="1326">
        <v>3.41</v>
      </c>
      <c r="Z1145" s="1326">
        <v>3.41</v>
      </c>
      <c r="AA1145" s="1326">
        <v>3.41</v>
      </c>
      <c r="AB1145" s="1326">
        <v>3.41</v>
      </c>
      <c r="AC1145" s="1326">
        <v>3.41</v>
      </c>
      <c r="AD1145" s="1326">
        <v>3.41</v>
      </c>
      <c r="AE1145" s="1326">
        <v>3.41</v>
      </c>
      <c r="AF1145" s="258">
        <f t="shared" si="190"/>
        <v>3.41</v>
      </c>
      <c r="AG1145" s="1326"/>
      <c r="DG1145" s="555"/>
      <c r="DH1145" s="151"/>
      <c r="DI1145" s="1049"/>
      <c r="DJ1145" s="1127"/>
    </row>
    <row r="1146" spans="1:114" ht="15" hidden="1" customHeight="1" outlineLevel="1" x14ac:dyDescent="0.25">
      <c r="A1146" s="442"/>
      <c r="C1146" s="49"/>
      <c r="D1146" s="2177"/>
      <c r="E1146" s="2177"/>
      <c r="F1146" s="2176" t="str">
        <f>$E$823</f>
        <v>ASHP-SEER18-Replace_CAC_ElectricHeat_ER2_SF</v>
      </c>
      <c r="G1146" s="2176"/>
      <c r="H1146" s="2176"/>
      <c r="I1146" s="2176"/>
      <c r="J1146" s="986" t="str">
        <f>$C$823</f>
        <v>354250_2024_12_</v>
      </c>
      <c r="K1146" s="1616">
        <v>3.41</v>
      </c>
      <c r="L1146" s="249"/>
      <c r="M1146" s="1371" t="s">
        <v>1364</v>
      </c>
      <c r="T1146" s="50"/>
      <c r="U1146" s="50"/>
      <c r="V1146" s="2177"/>
      <c r="W1146" s="1326">
        <v>3.41</v>
      </c>
      <c r="X1146" s="1326">
        <v>3.41</v>
      </c>
      <c r="Y1146" s="1326">
        <v>3.41</v>
      </c>
      <c r="Z1146" s="1326">
        <v>3.41</v>
      </c>
      <c r="AA1146" s="1326">
        <v>3.41</v>
      </c>
      <c r="AB1146" s="1326">
        <v>3.41</v>
      </c>
      <c r="AC1146" s="1326">
        <v>3.41</v>
      </c>
      <c r="AD1146" s="1326">
        <v>3.41</v>
      </c>
      <c r="AE1146" s="1326">
        <v>3.41</v>
      </c>
      <c r="AF1146" s="258">
        <f t="shared" ref="AF1146:AF1177" si="191">IF(K1146&lt;&gt;"",K1146,"")</f>
        <v>3.41</v>
      </c>
      <c r="AG1146" s="1326"/>
      <c r="DG1146" s="555"/>
      <c r="DH1146" s="151"/>
      <c r="DI1146" s="1049"/>
      <c r="DJ1146" s="1127"/>
    </row>
    <row r="1147" spans="1:114" ht="15" hidden="1" customHeight="1" outlineLevel="1" x14ac:dyDescent="0.25">
      <c r="A1147" s="442"/>
      <c r="C1147" s="49"/>
      <c r="D1147" s="2177"/>
      <c r="E1147" s="2177"/>
      <c r="F1147" s="2176" t="str">
        <f>$E$825</f>
        <v>ASHP-SEER18-Replace_CAC_NonElectricHeat_ER1_SF</v>
      </c>
      <c r="G1147" s="2176"/>
      <c r="H1147" s="2176"/>
      <c r="I1147" s="2176"/>
      <c r="J1147" s="986" t="str">
        <f>$C$825</f>
        <v>354260_2024_12_</v>
      </c>
      <c r="K1147" s="1618">
        <v>0</v>
      </c>
      <c r="L1147" s="249"/>
      <c r="M1147" s="1371" t="s">
        <v>1365</v>
      </c>
      <c r="T1147" s="50"/>
      <c r="U1147" s="50"/>
      <c r="V1147" s="2177"/>
      <c r="W1147" s="1326"/>
      <c r="X1147" s="1326"/>
      <c r="Y1147" s="1326"/>
      <c r="Z1147" s="1326"/>
      <c r="AA1147" s="1326"/>
      <c r="AB1147" s="1326"/>
      <c r="AC1147" s="790">
        <v>0</v>
      </c>
      <c r="AD1147" s="766">
        <v>0</v>
      </c>
      <c r="AE1147" s="766">
        <v>0</v>
      </c>
      <c r="AF1147" s="258">
        <f t="shared" si="191"/>
        <v>0</v>
      </c>
      <c r="AG1147" s="1326"/>
      <c r="DG1147" s="555"/>
      <c r="DH1147" s="151"/>
      <c r="DI1147" s="1049"/>
      <c r="DJ1147" s="1127"/>
    </row>
    <row r="1148" spans="1:114" ht="15" hidden="1" customHeight="1" outlineLevel="1" x14ac:dyDescent="0.25">
      <c r="A1148" s="442"/>
      <c r="C1148" s="49"/>
      <c r="D1148" s="2177"/>
      <c r="E1148" s="2177"/>
      <c r="F1148" s="2176" t="str">
        <f>$E$827</f>
        <v>ASHP-SEER18-Replace_CAC_NonElectricHeat_ER2_SF</v>
      </c>
      <c r="G1148" s="2176"/>
      <c r="H1148" s="2176"/>
      <c r="I1148" s="2176"/>
      <c r="J1148" s="986" t="str">
        <f>$C$827</f>
        <v>354260_2024_12_</v>
      </c>
      <c r="K1148" s="1618">
        <v>0</v>
      </c>
      <c r="L1148" s="249"/>
      <c r="M1148" s="1371" t="s">
        <v>1365</v>
      </c>
      <c r="T1148" s="50"/>
      <c r="U1148" s="50"/>
      <c r="V1148" s="2177"/>
      <c r="W1148" s="1326"/>
      <c r="X1148" s="1326"/>
      <c r="Y1148" s="1326"/>
      <c r="Z1148" s="1326"/>
      <c r="AA1148" s="1326"/>
      <c r="AB1148" s="1326"/>
      <c r="AC1148" s="790">
        <v>0</v>
      </c>
      <c r="AD1148" s="766">
        <v>0</v>
      </c>
      <c r="AE1148" s="766">
        <v>0</v>
      </c>
      <c r="AF1148" s="258">
        <f t="shared" si="191"/>
        <v>0</v>
      </c>
      <c r="AG1148" s="1326"/>
      <c r="DG1148" s="555"/>
      <c r="DH1148" s="151"/>
      <c r="DI1148" s="1049"/>
      <c r="DJ1148" s="1127"/>
    </row>
    <row r="1149" spans="1:114" ht="15" hidden="1" customHeight="1" outlineLevel="1" x14ac:dyDescent="0.25">
      <c r="A1149" s="442"/>
      <c r="C1149" s="49"/>
      <c r="D1149" s="2177"/>
      <c r="E1149" s="2177"/>
      <c r="F1149" s="2176" t="str">
        <f>$E$829</f>
        <v>ASHP-SEER18-Replace_CAC_ElectricHeat_ER1_MF</v>
      </c>
      <c r="G1149" s="2176"/>
      <c r="H1149" s="2176"/>
      <c r="I1149" s="2176"/>
      <c r="J1149" s="986" t="str">
        <f>$C$829</f>
        <v>354300_2024_12_</v>
      </c>
      <c r="K1149" s="1616">
        <v>3.41</v>
      </c>
      <c r="L1149" s="249"/>
      <c r="M1149" s="1371" t="s">
        <v>1366</v>
      </c>
      <c r="T1149" s="50"/>
      <c r="U1149" s="50"/>
      <c r="V1149" s="2177"/>
      <c r="W1149" s="1326">
        <v>3.41</v>
      </c>
      <c r="X1149" s="1326">
        <v>3.41</v>
      </c>
      <c r="Y1149" s="1326">
        <v>3.41</v>
      </c>
      <c r="Z1149" s="1326">
        <v>3.41</v>
      </c>
      <c r="AA1149" s="1326">
        <v>3.41</v>
      </c>
      <c r="AB1149" s="1326">
        <v>3.41</v>
      </c>
      <c r="AC1149" s="1326">
        <v>3.41</v>
      </c>
      <c r="AD1149" s="1326">
        <v>3.41</v>
      </c>
      <c r="AE1149" s="1326">
        <v>3.41</v>
      </c>
      <c r="AF1149" s="258">
        <f t="shared" si="191"/>
        <v>3.41</v>
      </c>
      <c r="AG1149" s="1326"/>
      <c r="DG1149" s="555"/>
      <c r="DH1149" s="151"/>
      <c r="DI1149" s="1049"/>
      <c r="DJ1149" s="1127"/>
    </row>
    <row r="1150" spans="1:114" ht="15" hidden="1" customHeight="1" outlineLevel="1" x14ac:dyDescent="0.25">
      <c r="A1150" s="442"/>
      <c r="C1150" s="49"/>
      <c r="D1150" s="2177"/>
      <c r="E1150" s="2177"/>
      <c r="F1150" s="2176" t="str">
        <f>$E$831</f>
        <v>ASHP-SEER18-Replace_CAC_ElectricHeat_ER2_MF</v>
      </c>
      <c r="G1150" s="2176"/>
      <c r="H1150" s="2176"/>
      <c r="I1150" s="2176"/>
      <c r="J1150" s="986" t="str">
        <f>$C$831</f>
        <v>354300_2024_12_</v>
      </c>
      <c r="K1150" s="1616">
        <v>3.41</v>
      </c>
      <c r="L1150" s="249"/>
      <c r="M1150" s="1371" t="s">
        <v>1366</v>
      </c>
      <c r="T1150" s="50"/>
      <c r="U1150" s="50"/>
      <c r="V1150" s="2177"/>
      <c r="W1150" s="1326">
        <v>3.41</v>
      </c>
      <c r="X1150" s="1326">
        <v>3.41</v>
      </c>
      <c r="Y1150" s="1326">
        <v>3.41</v>
      </c>
      <c r="Z1150" s="1326">
        <v>3.41</v>
      </c>
      <c r="AA1150" s="1326">
        <v>3.41</v>
      </c>
      <c r="AB1150" s="1326">
        <v>3.41</v>
      </c>
      <c r="AC1150" s="1326">
        <v>3.41</v>
      </c>
      <c r="AD1150" s="1326">
        <v>3.41</v>
      </c>
      <c r="AE1150" s="1326">
        <v>3.41</v>
      </c>
      <c r="AF1150" s="258">
        <f t="shared" si="191"/>
        <v>3.41</v>
      </c>
      <c r="AG1150" s="1326"/>
      <c r="DG1150" s="555"/>
      <c r="DH1150" s="151"/>
      <c r="DI1150" s="1049"/>
      <c r="DJ1150" s="1127"/>
    </row>
    <row r="1151" spans="1:114" ht="15" hidden="1" customHeight="1" outlineLevel="1" x14ac:dyDescent="0.25">
      <c r="A1151" s="442"/>
      <c r="C1151" s="49"/>
      <c r="D1151" s="2177"/>
      <c r="E1151" s="2177"/>
      <c r="F1151" s="2176" t="str">
        <f>$E$833</f>
        <v>ASHP-SEER18_ER1_MF</v>
      </c>
      <c r="G1151" s="2176"/>
      <c r="H1151" s="2176"/>
      <c r="I1151" s="2176"/>
      <c r="J1151" s="986" t="str">
        <f>$C$833</f>
        <v>354350_2024_12_</v>
      </c>
      <c r="K1151" s="1616">
        <v>6.58</v>
      </c>
      <c r="L1151" s="249"/>
      <c r="M1151" s="1371" t="s">
        <v>1366</v>
      </c>
      <c r="T1151" s="50"/>
      <c r="U1151" s="50"/>
      <c r="V1151" s="2177"/>
      <c r="W1151" s="1326">
        <v>5.44</v>
      </c>
      <c r="X1151" s="794">
        <v>6.58</v>
      </c>
      <c r="Y1151" s="1326">
        <v>6.58</v>
      </c>
      <c r="Z1151" s="1326">
        <v>6.58</v>
      </c>
      <c r="AA1151" s="1326">
        <v>6.58</v>
      </c>
      <c r="AB1151" s="1326">
        <v>6.58</v>
      </c>
      <c r="AC1151" s="1326">
        <v>6.58</v>
      </c>
      <c r="AD1151" s="1326">
        <v>6.58</v>
      </c>
      <c r="AE1151" s="1326">
        <v>6.58</v>
      </c>
      <c r="AF1151" s="258">
        <f t="shared" si="191"/>
        <v>6.58</v>
      </c>
      <c r="AG1151" s="1326"/>
      <c r="DG1151" s="555"/>
      <c r="DH1151" s="151"/>
      <c r="DI1151" s="1049"/>
      <c r="DJ1151" s="1127"/>
    </row>
    <row r="1152" spans="1:114" ht="15" hidden="1" customHeight="1" outlineLevel="1" x14ac:dyDescent="0.25">
      <c r="A1152" s="442"/>
      <c r="C1152" s="49"/>
      <c r="D1152" s="2177"/>
      <c r="E1152" s="2177"/>
      <c r="F1152" s="2176" t="str">
        <f>$E$835</f>
        <v>ASHP-SEER18_ER2_MF</v>
      </c>
      <c r="G1152" s="2176"/>
      <c r="H1152" s="2176"/>
      <c r="I1152" s="2176"/>
      <c r="J1152" s="986" t="str">
        <f>$C$835</f>
        <v>354350_2024_12_</v>
      </c>
      <c r="K1152" s="1616">
        <v>7.5</v>
      </c>
      <c r="L1152" s="249"/>
      <c r="M1152" s="1307" t="s">
        <v>1029</v>
      </c>
      <c r="T1152" s="50"/>
      <c r="U1152" s="50"/>
      <c r="V1152" s="2177"/>
      <c r="W1152" s="1326">
        <v>8.1999999999999993</v>
      </c>
      <c r="X1152" s="1326">
        <v>8.1999999999999993</v>
      </c>
      <c r="Y1152" s="1326">
        <v>8.1999999999999993</v>
      </c>
      <c r="Z1152" s="1326">
        <v>8.1999999999999993</v>
      </c>
      <c r="AA1152" s="1326">
        <v>8.1999999999999993</v>
      </c>
      <c r="AB1152" s="1326">
        <v>8.1999999999999993</v>
      </c>
      <c r="AC1152" s="1326">
        <v>8.1999999999999993</v>
      </c>
      <c r="AD1152" s="1326">
        <v>8.1999999999999993</v>
      </c>
      <c r="AE1152" s="794">
        <v>8.6</v>
      </c>
      <c r="AF1152" s="258">
        <f t="shared" si="191"/>
        <v>7.5</v>
      </c>
      <c r="AG1152" s="1326"/>
      <c r="DG1152" s="555"/>
      <c r="DH1152" s="151"/>
      <c r="DI1152" s="1049"/>
      <c r="DJ1152" s="1127"/>
    </row>
    <row r="1153" spans="1:114" ht="15" hidden="1" customHeight="1" outlineLevel="1" x14ac:dyDescent="0.25">
      <c r="A1153" s="442"/>
      <c r="C1153" s="49"/>
      <c r="D1153" s="2177"/>
      <c r="E1153" s="2177"/>
      <c r="F1153" s="2176" t="str">
        <f>$E$837</f>
        <v>ASHP-SEER19-Replace_CAC_ElectricHeat_ER1_SF</v>
      </c>
      <c r="G1153" s="2176"/>
      <c r="H1153" s="2176"/>
      <c r="I1153" s="2176"/>
      <c r="J1153" s="986" t="str">
        <f>$C$837</f>
        <v>354400_2024_12_</v>
      </c>
      <c r="K1153" s="1616">
        <v>3.41</v>
      </c>
      <c r="L1153" s="249"/>
      <c r="M1153" s="1371" t="s">
        <v>1364</v>
      </c>
      <c r="T1153" s="50"/>
      <c r="U1153" s="50"/>
      <c r="V1153" s="2177"/>
      <c r="W1153" s="1326">
        <v>3.41</v>
      </c>
      <c r="X1153" s="1326">
        <v>3.41</v>
      </c>
      <c r="Y1153" s="1326">
        <v>3.41</v>
      </c>
      <c r="Z1153" s="1326">
        <v>3.41</v>
      </c>
      <c r="AA1153" s="1326">
        <v>3.41</v>
      </c>
      <c r="AB1153" s="1326">
        <v>3.41</v>
      </c>
      <c r="AC1153" s="1326">
        <v>3.41</v>
      </c>
      <c r="AD1153" s="1326">
        <v>3.41</v>
      </c>
      <c r="AE1153" s="1326">
        <v>3.41</v>
      </c>
      <c r="AF1153" s="258">
        <f t="shared" si="191"/>
        <v>3.41</v>
      </c>
      <c r="AG1153" s="1326"/>
      <c r="DG1153" s="555"/>
      <c r="DH1153" s="151"/>
      <c r="DI1153" s="1049"/>
      <c r="DJ1153" s="1127"/>
    </row>
    <row r="1154" spans="1:114" ht="15" hidden="1" customHeight="1" outlineLevel="1" x14ac:dyDescent="0.25">
      <c r="A1154" s="442"/>
      <c r="C1154" s="49"/>
      <c r="D1154" s="2177"/>
      <c r="E1154" s="2177"/>
      <c r="F1154" s="2176" t="str">
        <f>$E$839</f>
        <v>ASHP-SEER19-Replace_CAC_ElectricHeat_ER2_SF</v>
      </c>
      <c r="G1154" s="2176"/>
      <c r="H1154" s="2176"/>
      <c r="I1154" s="2176"/>
      <c r="J1154" s="986" t="str">
        <f>$C$839</f>
        <v>354400_2024_12_</v>
      </c>
      <c r="K1154" s="1616">
        <v>3.41</v>
      </c>
      <c r="L1154" s="249"/>
      <c r="M1154" s="1371" t="s">
        <v>1364</v>
      </c>
      <c r="T1154" s="50"/>
      <c r="U1154" s="50"/>
      <c r="V1154" s="2177"/>
      <c r="W1154" s="1326">
        <v>3.41</v>
      </c>
      <c r="X1154" s="1326">
        <v>3.41</v>
      </c>
      <c r="Y1154" s="1326">
        <v>3.41</v>
      </c>
      <c r="Z1154" s="1326">
        <v>3.41</v>
      </c>
      <c r="AA1154" s="1326">
        <v>3.41</v>
      </c>
      <c r="AB1154" s="1326">
        <v>3.41</v>
      </c>
      <c r="AC1154" s="1326">
        <v>3.41</v>
      </c>
      <c r="AD1154" s="1326">
        <v>3.41</v>
      </c>
      <c r="AE1154" s="1326">
        <v>3.41</v>
      </c>
      <c r="AF1154" s="258">
        <f t="shared" si="191"/>
        <v>3.41</v>
      </c>
      <c r="AG1154" s="1326"/>
      <c r="DG1154" s="555"/>
      <c r="DH1154" s="151"/>
      <c r="DI1154" s="1049"/>
      <c r="DJ1154" s="1127"/>
    </row>
    <row r="1155" spans="1:114" ht="15" hidden="1" customHeight="1" outlineLevel="1" x14ac:dyDescent="0.25">
      <c r="A1155" s="442"/>
      <c r="C1155" s="49"/>
      <c r="D1155" s="2177"/>
      <c r="E1155" s="2177"/>
      <c r="F1155" s="2176" t="str">
        <f>$E$841</f>
        <v>ASHP-SEER19-Replace_CAC_NonElectricHeat_ER1_SF</v>
      </c>
      <c r="G1155" s="2176"/>
      <c r="H1155" s="2176"/>
      <c r="I1155" s="2176"/>
      <c r="J1155" s="986" t="str">
        <f>$C$841</f>
        <v>354410_2024_12_</v>
      </c>
      <c r="K1155" s="1618">
        <v>0</v>
      </c>
      <c r="L1155" s="249"/>
      <c r="M1155" s="1371" t="s">
        <v>1365</v>
      </c>
      <c r="T1155" s="50"/>
      <c r="U1155" s="50"/>
      <c r="V1155" s="2177"/>
      <c r="W1155" s="1326"/>
      <c r="X1155" s="1326"/>
      <c r="Y1155" s="1326"/>
      <c r="Z1155" s="1326"/>
      <c r="AA1155" s="1326"/>
      <c r="AB1155" s="1326"/>
      <c r="AC1155" s="790">
        <v>0</v>
      </c>
      <c r="AD1155" s="766">
        <v>0</v>
      </c>
      <c r="AE1155" s="766">
        <v>0</v>
      </c>
      <c r="AF1155" s="258">
        <f t="shared" si="191"/>
        <v>0</v>
      </c>
      <c r="AG1155" s="1326"/>
      <c r="DG1155" s="555"/>
      <c r="DH1155" s="151"/>
      <c r="DI1155" s="1049"/>
      <c r="DJ1155" s="1127"/>
    </row>
    <row r="1156" spans="1:114" ht="15" hidden="1" customHeight="1" outlineLevel="1" x14ac:dyDescent="0.25">
      <c r="A1156" s="442"/>
      <c r="C1156" s="49"/>
      <c r="D1156" s="2177"/>
      <c r="E1156" s="2177"/>
      <c r="F1156" s="2176" t="str">
        <f>$E$843</f>
        <v>ASHP-SEER19-Replace_CAC_NonElectricHeat_ER2_SF</v>
      </c>
      <c r="G1156" s="2176"/>
      <c r="H1156" s="2176"/>
      <c r="I1156" s="2176"/>
      <c r="J1156" s="986" t="str">
        <f>$C$843</f>
        <v>354410_2024_12_</v>
      </c>
      <c r="K1156" s="1618">
        <v>0</v>
      </c>
      <c r="L1156" s="249"/>
      <c r="M1156" s="1371" t="s">
        <v>1365</v>
      </c>
      <c r="T1156" s="50"/>
      <c r="U1156" s="50"/>
      <c r="V1156" s="2177"/>
      <c r="W1156" s="1326"/>
      <c r="X1156" s="1326"/>
      <c r="Y1156" s="1326"/>
      <c r="Z1156" s="1326"/>
      <c r="AA1156" s="1326"/>
      <c r="AB1156" s="1326"/>
      <c r="AC1156" s="790">
        <v>0</v>
      </c>
      <c r="AD1156" s="766">
        <v>0</v>
      </c>
      <c r="AE1156" s="766">
        <v>0</v>
      </c>
      <c r="AF1156" s="258">
        <f t="shared" si="191"/>
        <v>0</v>
      </c>
      <c r="AG1156" s="1326"/>
      <c r="DG1156" s="555"/>
      <c r="DH1156" s="151"/>
      <c r="DI1156" s="1049"/>
      <c r="DJ1156" s="1127"/>
    </row>
    <row r="1157" spans="1:114" ht="15" hidden="1" customHeight="1" outlineLevel="1" x14ac:dyDescent="0.25">
      <c r="A1157" s="442"/>
      <c r="C1157" s="49"/>
      <c r="D1157" s="2177"/>
      <c r="E1157" s="2177"/>
      <c r="F1157" s="2176" t="str">
        <f>$E$845</f>
        <v>ASHP-SEER19-Replace_CAC_ElectricHeat_ER1_MF</v>
      </c>
      <c r="G1157" s="2176"/>
      <c r="H1157" s="2176"/>
      <c r="I1157" s="2176"/>
      <c r="J1157" s="986" t="str">
        <f>$C$845</f>
        <v>354450_2024_12_</v>
      </c>
      <c r="K1157" s="1616">
        <v>3.41</v>
      </c>
      <c r="L1157" s="249"/>
      <c r="M1157" s="1371" t="s">
        <v>1366</v>
      </c>
      <c r="T1157" s="50"/>
      <c r="U1157" s="50"/>
      <c r="V1157" s="2177"/>
      <c r="W1157" s="1326">
        <v>3.41</v>
      </c>
      <c r="X1157" s="1326">
        <v>3.41</v>
      </c>
      <c r="Y1157" s="1326">
        <v>3.41</v>
      </c>
      <c r="Z1157" s="1326">
        <v>3.41</v>
      </c>
      <c r="AA1157" s="1326">
        <v>3.41</v>
      </c>
      <c r="AB1157" s="1326">
        <v>3.41</v>
      </c>
      <c r="AC1157" s="1326">
        <v>3.41</v>
      </c>
      <c r="AD1157" s="1326">
        <v>3.41</v>
      </c>
      <c r="AE1157" s="1326">
        <v>3.41</v>
      </c>
      <c r="AF1157" s="258">
        <f t="shared" si="191"/>
        <v>3.41</v>
      </c>
      <c r="AG1157" s="1326"/>
      <c r="DG1157" s="555"/>
      <c r="DH1157" s="151"/>
      <c r="DI1157" s="1049"/>
      <c r="DJ1157" s="1127"/>
    </row>
    <row r="1158" spans="1:114" ht="15" hidden="1" customHeight="1" outlineLevel="1" x14ac:dyDescent="0.25">
      <c r="A1158" s="442"/>
      <c r="C1158" s="49"/>
      <c r="D1158" s="2177"/>
      <c r="E1158" s="2177"/>
      <c r="F1158" s="2176" t="str">
        <f>$E$847</f>
        <v>ASHP-SEER19-Replace_CAC_ElectricHeat_ER2_MF</v>
      </c>
      <c r="G1158" s="2176"/>
      <c r="H1158" s="2176"/>
      <c r="I1158" s="2176"/>
      <c r="J1158" s="986" t="str">
        <f>$C$847</f>
        <v>354450_2024_12_</v>
      </c>
      <c r="K1158" s="1616">
        <v>3.41</v>
      </c>
      <c r="L1158" s="249"/>
      <c r="M1158" s="1371" t="s">
        <v>1366</v>
      </c>
      <c r="T1158" s="50"/>
      <c r="U1158" s="50"/>
      <c r="V1158" s="2177"/>
      <c r="W1158" s="1326">
        <v>3.41</v>
      </c>
      <c r="X1158" s="1326">
        <v>3.41</v>
      </c>
      <c r="Y1158" s="1326">
        <v>3.41</v>
      </c>
      <c r="Z1158" s="1326">
        <v>3.41</v>
      </c>
      <c r="AA1158" s="1326">
        <v>3.41</v>
      </c>
      <c r="AB1158" s="1326">
        <v>3.41</v>
      </c>
      <c r="AC1158" s="1326">
        <v>3.41</v>
      </c>
      <c r="AD1158" s="1326">
        <v>3.41</v>
      </c>
      <c r="AE1158" s="1326">
        <v>3.41</v>
      </c>
      <c r="AF1158" s="258">
        <f t="shared" si="191"/>
        <v>3.41</v>
      </c>
      <c r="AG1158" s="1326"/>
      <c r="DG1158" s="555"/>
      <c r="DH1158" s="151"/>
      <c r="DI1158" s="1049"/>
      <c r="DJ1158" s="1127"/>
    </row>
    <row r="1159" spans="1:114" ht="15" hidden="1" customHeight="1" outlineLevel="1" x14ac:dyDescent="0.25">
      <c r="A1159" s="442"/>
      <c r="C1159" s="49"/>
      <c r="D1159" s="2177"/>
      <c r="E1159" s="2177"/>
      <c r="F1159" s="2176" t="str">
        <f>$E$849</f>
        <v>ASHP-SEER19_ER1_MF</v>
      </c>
      <c r="G1159" s="2176"/>
      <c r="H1159" s="2176"/>
      <c r="I1159" s="2176"/>
      <c r="J1159" s="986" t="str">
        <f>$C$849</f>
        <v>354500_2024_12_</v>
      </c>
      <c r="K1159" s="1616">
        <v>6.58</v>
      </c>
      <c r="L1159" s="249"/>
      <c r="M1159" s="1371" t="s">
        <v>1366</v>
      </c>
      <c r="T1159" s="50"/>
      <c r="U1159" s="50"/>
      <c r="V1159" s="2177"/>
      <c r="W1159" s="1326">
        <v>5.44</v>
      </c>
      <c r="X1159" s="794">
        <v>6.58</v>
      </c>
      <c r="Y1159" s="1326">
        <v>6.58</v>
      </c>
      <c r="Z1159" s="1326">
        <v>6.58</v>
      </c>
      <c r="AA1159" s="1326">
        <v>6.58</v>
      </c>
      <c r="AB1159" s="1326">
        <v>6.58</v>
      </c>
      <c r="AC1159" s="1326">
        <v>6.58</v>
      </c>
      <c r="AD1159" s="1326">
        <v>6.58</v>
      </c>
      <c r="AE1159" s="1326">
        <v>6.58</v>
      </c>
      <c r="AF1159" s="258">
        <f t="shared" si="191"/>
        <v>6.58</v>
      </c>
      <c r="AG1159" s="1326"/>
      <c r="DG1159" s="555"/>
      <c r="DH1159" s="151"/>
      <c r="DI1159" s="1049"/>
      <c r="DJ1159" s="1127"/>
    </row>
    <row r="1160" spans="1:114" ht="15" hidden="1" customHeight="1" outlineLevel="1" x14ac:dyDescent="0.25">
      <c r="A1160" s="442"/>
      <c r="C1160" s="49"/>
      <c r="D1160" s="2177"/>
      <c r="E1160" s="2177"/>
      <c r="F1160" s="2176" t="str">
        <f>$E$851</f>
        <v>ASHP-SEER19_ER2_MF</v>
      </c>
      <c r="G1160" s="2176"/>
      <c r="H1160" s="2176"/>
      <c r="I1160" s="2176"/>
      <c r="J1160" s="986" t="str">
        <f>$C$851</f>
        <v>354500_2024_12_</v>
      </c>
      <c r="K1160" s="1616">
        <v>7.5</v>
      </c>
      <c r="L1160" s="249"/>
      <c r="M1160" s="1307" t="s">
        <v>1029</v>
      </c>
      <c r="T1160" s="50"/>
      <c r="U1160" s="50"/>
      <c r="V1160" s="2177"/>
      <c r="W1160" s="1326">
        <v>8.1999999999999993</v>
      </c>
      <c r="X1160" s="1326">
        <v>8.1999999999999993</v>
      </c>
      <c r="Y1160" s="1326">
        <v>8.1999999999999993</v>
      </c>
      <c r="Z1160" s="1326">
        <v>8.1999999999999993</v>
      </c>
      <c r="AA1160" s="1326">
        <v>8.1999999999999993</v>
      </c>
      <c r="AB1160" s="1326">
        <v>8.1999999999999993</v>
      </c>
      <c r="AC1160" s="1326">
        <v>8.1999999999999993</v>
      </c>
      <c r="AD1160" s="1326">
        <v>8.1999999999999993</v>
      </c>
      <c r="AE1160" s="794">
        <v>8.6</v>
      </c>
      <c r="AF1160" s="258">
        <f t="shared" si="191"/>
        <v>7.5</v>
      </c>
      <c r="AG1160" s="1326"/>
      <c r="DG1160" s="555"/>
      <c r="DH1160" s="151"/>
      <c r="DI1160" s="1049"/>
      <c r="DJ1160" s="1127"/>
    </row>
    <row r="1161" spans="1:114" ht="15" hidden="1" customHeight="1" outlineLevel="1" x14ac:dyDescent="0.25">
      <c r="A1161" s="442"/>
      <c r="C1161" s="49"/>
      <c r="D1161" s="2177"/>
      <c r="E1161" s="2177"/>
      <c r="F1161" s="2176" t="str">
        <f>$E$853</f>
        <v>ASHP-SEER20_ER1_SF</v>
      </c>
      <c r="G1161" s="2176"/>
      <c r="H1161" s="2176"/>
      <c r="I1161" s="2176"/>
      <c r="J1161" s="986" t="str">
        <f>$C$853</f>
        <v>354550_2024_12_</v>
      </c>
      <c r="K1161" s="1616">
        <v>6.58</v>
      </c>
      <c r="L1161" s="249"/>
      <c r="M1161" s="1371" t="s">
        <v>1364</v>
      </c>
      <c r="T1161" s="50"/>
      <c r="U1161" s="50"/>
      <c r="V1161" s="2177"/>
      <c r="W1161" s="1326">
        <v>5.44</v>
      </c>
      <c r="X1161" s="794">
        <v>6.58</v>
      </c>
      <c r="Y1161" s="1326">
        <v>6.58</v>
      </c>
      <c r="Z1161" s="1326">
        <v>6.58</v>
      </c>
      <c r="AA1161" s="1326">
        <v>6.58</v>
      </c>
      <c r="AB1161" s="1326">
        <v>6.58</v>
      </c>
      <c r="AC1161" s="1326">
        <v>6.58</v>
      </c>
      <c r="AD1161" s="1326">
        <v>6.58</v>
      </c>
      <c r="AE1161" s="1326">
        <v>6.58</v>
      </c>
      <c r="AF1161" s="258">
        <f t="shared" si="191"/>
        <v>6.58</v>
      </c>
      <c r="AG1161" s="1326"/>
      <c r="DG1161" s="555"/>
      <c r="DH1161" s="151"/>
      <c r="DI1161" s="1049"/>
      <c r="DJ1161" s="1127"/>
    </row>
    <row r="1162" spans="1:114" ht="15" hidden="1" customHeight="1" outlineLevel="1" x14ac:dyDescent="0.25">
      <c r="A1162" s="442"/>
      <c r="C1162" s="49"/>
      <c r="D1162" s="2177"/>
      <c r="E1162" s="2177"/>
      <c r="F1162" s="2176" t="str">
        <f>$E$855</f>
        <v>ASHP-SEER20_ER2_SF</v>
      </c>
      <c r="G1162" s="2176"/>
      <c r="H1162" s="2176"/>
      <c r="I1162" s="2176"/>
      <c r="J1162" s="986" t="str">
        <f>$C$855</f>
        <v>354550_2024_12_</v>
      </c>
      <c r="K1162" s="1616">
        <v>7.5</v>
      </c>
      <c r="L1162" s="249"/>
      <c r="M1162" s="1307" t="s">
        <v>1029</v>
      </c>
      <c r="T1162" s="50"/>
      <c r="U1162" s="50"/>
      <c r="V1162" s="2177"/>
      <c r="W1162" s="1326">
        <v>8.1999999999999993</v>
      </c>
      <c r="X1162" s="1326">
        <v>8.1999999999999993</v>
      </c>
      <c r="Y1162" s="1326">
        <v>8.1999999999999993</v>
      </c>
      <c r="Z1162" s="1326">
        <v>8.1999999999999993</v>
      </c>
      <c r="AA1162" s="1326">
        <v>8.1999999999999993</v>
      </c>
      <c r="AB1162" s="1326">
        <v>8.1999999999999993</v>
      </c>
      <c r="AC1162" s="1326">
        <v>8.1999999999999993</v>
      </c>
      <c r="AD1162" s="1326">
        <v>8.1999999999999993</v>
      </c>
      <c r="AE1162" s="794">
        <v>8.6</v>
      </c>
      <c r="AF1162" s="258">
        <f t="shared" si="191"/>
        <v>7.5</v>
      </c>
      <c r="AG1162" s="1326"/>
      <c r="DG1162" s="555"/>
      <c r="DH1162" s="151"/>
      <c r="DI1162" s="1049"/>
      <c r="DJ1162" s="1127"/>
    </row>
    <row r="1163" spans="1:114" ht="15" hidden="1" customHeight="1" outlineLevel="1" x14ac:dyDescent="0.25">
      <c r="A1163" s="442"/>
      <c r="C1163" s="49"/>
      <c r="D1163" s="2177"/>
      <c r="E1163" s="2177"/>
      <c r="F1163" s="2176" t="str">
        <f>$E$857</f>
        <v>ASHP-SEER20_ROF_SF</v>
      </c>
      <c r="G1163" s="2176"/>
      <c r="H1163" s="2176"/>
      <c r="I1163" s="2176"/>
      <c r="J1163" s="986" t="str">
        <f>$C$857</f>
        <v>354600_2024_12_</v>
      </c>
      <c r="K1163" s="1616">
        <v>7.5</v>
      </c>
      <c r="L1163" s="249"/>
      <c r="M1163" s="1307" t="s">
        <v>1029</v>
      </c>
      <c r="T1163" s="50"/>
      <c r="U1163" s="50"/>
      <c r="V1163" s="2177"/>
      <c r="W1163" s="1326">
        <v>8.1999999999999993</v>
      </c>
      <c r="X1163" s="1326">
        <v>8.1999999999999993</v>
      </c>
      <c r="Y1163" s="1326">
        <v>8.1999999999999993</v>
      </c>
      <c r="Z1163" s="1326">
        <v>8.1999999999999993</v>
      </c>
      <c r="AA1163" s="1326">
        <v>8.1999999999999993</v>
      </c>
      <c r="AB1163" s="1326">
        <v>8.1999999999999993</v>
      </c>
      <c r="AC1163" s="1326">
        <v>8.1999999999999993</v>
      </c>
      <c r="AD1163" s="1326">
        <v>8.1999999999999993</v>
      </c>
      <c r="AE1163" s="794">
        <v>8.6</v>
      </c>
      <c r="AF1163" s="258">
        <f t="shared" si="191"/>
        <v>7.5</v>
      </c>
      <c r="AG1163" s="1326"/>
      <c r="DG1163" s="555"/>
      <c r="DH1163" s="151"/>
      <c r="DI1163" s="1049"/>
      <c r="DJ1163" s="1127"/>
    </row>
    <row r="1164" spans="1:114" ht="15" hidden="1" customHeight="1" outlineLevel="1" x14ac:dyDescent="0.25">
      <c r="A1164" s="442"/>
      <c r="C1164" s="49"/>
      <c r="D1164" s="2177"/>
      <c r="E1164" s="2177"/>
      <c r="F1164" s="2176" t="str">
        <f>$E$859</f>
        <v>ASHP-SEER20-Replace_CAC_ElectricHeat_ER1_MF</v>
      </c>
      <c r="G1164" s="2176"/>
      <c r="H1164" s="2176"/>
      <c r="I1164" s="2176"/>
      <c r="J1164" s="986" t="str">
        <f>$C$859</f>
        <v>354650_2024_12_</v>
      </c>
      <c r="K1164" s="1616">
        <v>3.41</v>
      </c>
      <c r="L1164" s="249"/>
      <c r="M1164" s="1371" t="s">
        <v>1366</v>
      </c>
      <c r="T1164" s="50"/>
      <c r="U1164" s="50"/>
      <c r="V1164" s="2177"/>
      <c r="W1164" s="1326">
        <v>3.41</v>
      </c>
      <c r="X1164" s="1326">
        <v>3.41</v>
      </c>
      <c r="Y1164" s="1326">
        <v>3.41</v>
      </c>
      <c r="Z1164" s="1326">
        <v>3.41</v>
      </c>
      <c r="AA1164" s="1326">
        <v>3.41</v>
      </c>
      <c r="AB1164" s="1326">
        <v>3.41</v>
      </c>
      <c r="AC1164" s="1326">
        <v>3.41</v>
      </c>
      <c r="AD1164" s="1326">
        <v>3.41</v>
      </c>
      <c r="AE1164" s="1326">
        <v>3.41</v>
      </c>
      <c r="AF1164" s="258">
        <f t="shared" si="191"/>
        <v>3.41</v>
      </c>
      <c r="AG1164" s="1326"/>
      <c r="DG1164" s="555"/>
      <c r="DH1164" s="151"/>
      <c r="DI1164" s="1049"/>
      <c r="DJ1164" s="1127"/>
    </row>
    <row r="1165" spans="1:114" ht="15" hidden="1" customHeight="1" outlineLevel="1" x14ac:dyDescent="0.25">
      <c r="A1165" s="442"/>
      <c r="C1165" s="49"/>
      <c r="D1165" s="2177"/>
      <c r="E1165" s="2177"/>
      <c r="F1165" s="2176" t="str">
        <f>$E$861</f>
        <v>ASHP-SEER20-Replace_CAC_ElectricHeat_ER2_MF</v>
      </c>
      <c r="G1165" s="2176"/>
      <c r="H1165" s="2176"/>
      <c r="I1165" s="2176"/>
      <c r="J1165" s="986" t="str">
        <f>$C$861</f>
        <v>354650_2024_12_</v>
      </c>
      <c r="K1165" s="1616">
        <v>3.41</v>
      </c>
      <c r="L1165" s="249"/>
      <c r="M1165" s="1371" t="s">
        <v>1366</v>
      </c>
      <c r="T1165" s="50"/>
      <c r="U1165" s="50"/>
      <c r="V1165" s="2177"/>
      <c r="W1165" s="1326">
        <v>3.41</v>
      </c>
      <c r="X1165" s="1326">
        <v>3.41</v>
      </c>
      <c r="Y1165" s="1326">
        <v>3.41</v>
      </c>
      <c r="Z1165" s="1326">
        <v>3.41</v>
      </c>
      <c r="AA1165" s="1326">
        <v>3.41</v>
      </c>
      <c r="AB1165" s="1326">
        <v>3.41</v>
      </c>
      <c r="AC1165" s="1326">
        <v>3.41</v>
      </c>
      <c r="AD1165" s="1326">
        <v>3.41</v>
      </c>
      <c r="AE1165" s="1326">
        <v>3.41</v>
      </c>
      <c r="AF1165" s="258">
        <f t="shared" si="191"/>
        <v>3.41</v>
      </c>
      <c r="AG1165" s="1326"/>
      <c r="DG1165" s="555"/>
      <c r="DH1165" s="151"/>
      <c r="DI1165" s="1049"/>
      <c r="DJ1165" s="1127"/>
    </row>
    <row r="1166" spans="1:114" ht="15" hidden="1" customHeight="1" outlineLevel="1" x14ac:dyDescent="0.25">
      <c r="A1166" s="442"/>
      <c r="C1166" s="49"/>
      <c r="D1166" s="2177"/>
      <c r="E1166" s="2177"/>
      <c r="F1166" s="2176" t="str">
        <f>$E$863</f>
        <v>ASHP-SEER20_ER1_MF</v>
      </c>
      <c r="G1166" s="2176"/>
      <c r="H1166" s="2176"/>
      <c r="I1166" s="2176"/>
      <c r="J1166" s="986" t="str">
        <f>$C$863</f>
        <v>354700_2024_12_</v>
      </c>
      <c r="K1166" s="1616">
        <v>6.58</v>
      </c>
      <c r="L1166" s="249"/>
      <c r="M1166" s="1371" t="s">
        <v>1366</v>
      </c>
      <c r="T1166" s="50"/>
      <c r="U1166" s="50"/>
      <c r="V1166" s="2177"/>
      <c r="W1166" s="1326">
        <v>5.44</v>
      </c>
      <c r="X1166" s="794">
        <v>6.58</v>
      </c>
      <c r="Y1166" s="1326">
        <v>6.58</v>
      </c>
      <c r="Z1166" s="1326">
        <v>6.58</v>
      </c>
      <c r="AA1166" s="1326">
        <v>6.58</v>
      </c>
      <c r="AB1166" s="1326">
        <v>6.58</v>
      </c>
      <c r="AC1166" s="1326">
        <v>6.58</v>
      </c>
      <c r="AD1166" s="1326">
        <v>6.58</v>
      </c>
      <c r="AE1166" s="1326">
        <v>6.58</v>
      </c>
      <c r="AF1166" s="258">
        <f t="shared" si="191"/>
        <v>6.58</v>
      </c>
      <c r="AG1166" s="1326"/>
      <c r="DG1166" s="555"/>
      <c r="DH1166" s="151"/>
      <c r="DI1166" s="1049"/>
      <c r="DJ1166" s="1127"/>
    </row>
    <row r="1167" spans="1:114" ht="15" hidden="1" customHeight="1" outlineLevel="1" x14ac:dyDescent="0.25">
      <c r="A1167" s="442"/>
      <c r="C1167" s="49"/>
      <c r="D1167" s="2177"/>
      <c r="E1167" s="2177"/>
      <c r="F1167" s="2176" t="str">
        <f>$E$865</f>
        <v>ASHP-SEER20_ER2_MF</v>
      </c>
      <c r="G1167" s="2176"/>
      <c r="H1167" s="2176"/>
      <c r="I1167" s="2176"/>
      <c r="J1167" s="986" t="str">
        <f>$C$865</f>
        <v>354700_2024_12_</v>
      </c>
      <c r="K1167" s="1616">
        <v>7.5</v>
      </c>
      <c r="L1167" s="249"/>
      <c r="M1167" s="1307" t="s">
        <v>1029</v>
      </c>
      <c r="T1167" s="50"/>
      <c r="U1167" s="50"/>
      <c r="V1167" s="2177"/>
      <c r="W1167" s="1326">
        <v>8.1999999999999993</v>
      </c>
      <c r="X1167" s="1326">
        <v>8.1999999999999993</v>
      </c>
      <c r="Y1167" s="1326">
        <v>8.1999999999999993</v>
      </c>
      <c r="Z1167" s="1326">
        <v>8.1999999999999993</v>
      </c>
      <c r="AA1167" s="1326">
        <v>8.1999999999999993</v>
      </c>
      <c r="AB1167" s="1326">
        <v>8.1999999999999993</v>
      </c>
      <c r="AC1167" s="1326">
        <v>8.1999999999999993</v>
      </c>
      <c r="AD1167" s="1326">
        <v>8.1999999999999993</v>
      </c>
      <c r="AE1167" s="794">
        <v>8.6</v>
      </c>
      <c r="AF1167" s="258">
        <f t="shared" si="191"/>
        <v>7.5</v>
      </c>
      <c r="AG1167" s="1326"/>
      <c r="DG1167" s="555"/>
      <c r="DH1167" s="151"/>
      <c r="DI1167" s="1049"/>
      <c r="DJ1167" s="1127"/>
    </row>
    <row r="1168" spans="1:114" ht="15" hidden="1" customHeight="1" outlineLevel="1" x14ac:dyDescent="0.25">
      <c r="A1168" s="442"/>
      <c r="C1168" s="49"/>
      <c r="D1168" s="2177"/>
      <c r="E1168" s="2177"/>
      <c r="F1168" s="2176" t="str">
        <f>$E$867</f>
        <v>ASHP-SEER21_ER1_SF</v>
      </c>
      <c r="G1168" s="2176"/>
      <c r="H1168" s="2176"/>
      <c r="I1168" s="2176"/>
      <c r="J1168" s="986" t="str">
        <f>$C$867</f>
        <v>354750_2024_12_</v>
      </c>
      <c r="K1168" s="1616">
        <v>6.58</v>
      </c>
      <c r="L1168" s="249"/>
      <c r="M1168" s="1371" t="s">
        <v>1364</v>
      </c>
      <c r="T1168" s="50"/>
      <c r="U1168" s="50"/>
      <c r="V1168" s="2177"/>
      <c r="W1168" s="1326">
        <v>5.44</v>
      </c>
      <c r="X1168" s="794">
        <v>6.58</v>
      </c>
      <c r="Y1168" s="1326">
        <v>6.58</v>
      </c>
      <c r="Z1168" s="1326">
        <v>6.58</v>
      </c>
      <c r="AA1168" s="1326">
        <v>6.58</v>
      </c>
      <c r="AB1168" s="1326">
        <v>6.58</v>
      </c>
      <c r="AC1168" s="1326">
        <v>6.58</v>
      </c>
      <c r="AD1168" s="1326">
        <v>6.58</v>
      </c>
      <c r="AE1168" s="1326">
        <v>6.58</v>
      </c>
      <c r="AF1168" s="258">
        <f t="shared" si="191"/>
        <v>6.58</v>
      </c>
      <c r="AG1168" s="1326"/>
      <c r="DG1168" s="555"/>
      <c r="DH1168" s="151"/>
      <c r="DI1168" s="1049"/>
      <c r="DJ1168" s="1127"/>
    </row>
    <row r="1169" spans="1:114" ht="15" hidden="1" customHeight="1" outlineLevel="1" x14ac:dyDescent="0.25">
      <c r="A1169" s="442"/>
      <c r="C1169" s="49"/>
      <c r="D1169" s="2177"/>
      <c r="E1169" s="2177"/>
      <c r="F1169" s="2176" t="str">
        <f>$E$869</f>
        <v>ASHP-SEER21_ER2_SF</v>
      </c>
      <c r="G1169" s="2176"/>
      <c r="H1169" s="2176"/>
      <c r="I1169" s="2176"/>
      <c r="J1169" s="986" t="str">
        <f>$C$869</f>
        <v>354750_2024_12_</v>
      </c>
      <c r="K1169" s="1616">
        <v>7.5</v>
      </c>
      <c r="L1169" s="249"/>
      <c r="M1169" s="1307" t="s">
        <v>1029</v>
      </c>
      <c r="T1169" s="50"/>
      <c r="U1169" s="50"/>
      <c r="V1169" s="2177"/>
      <c r="W1169" s="1326">
        <v>8.1999999999999993</v>
      </c>
      <c r="X1169" s="1326">
        <v>8.1999999999999993</v>
      </c>
      <c r="Y1169" s="1326">
        <v>8.1999999999999993</v>
      </c>
      <c r="Z1169" s="1326">
        <v>8.1999999999999993</v>
      </c>
      <c r="AA1169" s="1326">
        <v>8.1999999999999993</v>
      </c>
      <c r="AB1169" s="1326">
        <v>8.1999999999999993</v>
      </c>
      <c r="AC1169" s="1326">
        <v>8.1999999999999993</v>
      </c>
      <c r="AD1169" s="1326">
        <v>8.1999999999999993</v>
      </c>
      <c r="AE1169" s="794">
        <v>8.6</v>
      </c>
      <c r="AF1169" s="258">
        <f t="shared" si="191"/>
        <v>7.5</v>
      </c>
      <c r="AG1169" s="1326"/>
      <c r="DG1169" s="555"/>
      <c r="DH1169" s="151"/>
      <c r="DI1169" s="1049"/>
      <c r="DJ1169" s="1127"/>
    </row>
    <row r="1170" spans="1:114" ht="15" hidden="1" customHeight="1" outlineLevel="1" x14ac:dyDescent="0.25">
      <c r="A1170" s="442"/>
      <c r="C1170" s="49"/>
      <c r="D1170" s="2177"/>
      <c r="E1170" s="2177"/>
      <c r="F1170" s="2176" t="str">
        <f>$E$871</f>
        <v>ASHP-SEER21_ROF_SF</v>
      </c>
      <c r="G1170" s="2176"/>
      <c r="H1170" s="2176"/>
      <c r="I1170" s="2176"/>
      <c r="J1170" s="986" t="str">
        <f>$C$871</f>
        <v>354800_2024_12_</v>
      </c>
      <c r="K1170" s="1616">
        <v>7.5</v>
      </c>
      <c r="L1170" s="249"/>
      <c r="M1170" s="1307" t="s">
        <v>1029</v>
      </c>
      <c r="T1170" s="50"/>
      <c r="U1170" s="50"/>
      <c r="V1170" s="2177"/>
      <c r="W1170" s="1326">
        <v>8.1999999999999993</v>
      </c>
      <c r="X1170" s="1326">
        <v>8.1999999999999993</v>
      </c>
      <c r="Y1170" s="1326">
        <v>8.1999999999999993</v>
      </c>
      <c r="Z1170" s="1326">
        <v>8.1999999999999993</v>
      </c>
      <c r="AA1170" s="1326">
        <v>8.1999999999999993</v>
      </c>
      <c r="AB1170" s="1326">
        <v>8.1999999999999993</v>
      </c>
      <c r="AC1170" s="1326">
        <v>8.1999999999999993</v>
      </c>
      <c r="AD1170" s="1326">
        <v>8.1999999999999993</v>
      </c>
      <c r="AE1170" s="794">
        <v>8.6</v>
      </c>
      <c r="AF1170" s="258">
        <f t="shared" si="191"/>
        <v>7.5</v>
      </c>
      <c r="AG1170" s="1326"/>
      <c r="DG1170" s="555"/>
      <c r="DH1170" s="151"/>
      <c r="DI1170" s="1049"/>
      <c r="DJ1170" s="1127"/>
    </row>
    <row r="1171" spans="1:114" ht="15" hidden="1" customHeight="1" outlineLevel="1" x14ac:dyDescent="0.25">
      <c r="A1171" s="442"/>
      <c r="C1171" s="49"/>
      <c r="D1171" s="2177"/>
      <c r="E1171" s="2177"/>
      <c r="F1171" s="2176" t="str">
        <f>$E$873</f>
        <v>ASHP-SEER21-Replace_CAC_ElectricHeat_ROF_MF</v>
      </c>
      <c r="G1171" s="2176"/>
      <c r="H1171" s="2176"/>
      <c r="I1171" s="2176"/>
      <c r="J1171" s="986" t="str">
        <f>$C$873</f>
        <v>354850_2024_12_</v>
      </c>
      <c r="K1171" s="1616">
        <v>3.41</v>
      </c>
      <c r="L1171" s="249"/>
      <c r="M1171" s="1371" t="s">
        <v>1366</v>
      </c>
      <c r="T1171" s="50"/>
      <c r="U1171" s="50"/>
      <c r="V1171" s="2177"/>
      <c r="W1171" s="1326">
        <v>3.41</v>
      </c>
      <c r="X1171" s="1326">
        <v>3.41</v>
      </c>
      <c r="Y1171" s="1326">
        <v>3.41</v>
      </c>
      <c r="Z1171" s="1326">
        <v>3.41</v>
      </c>
      <c r="AA1171" s="1326">
        <v>3.41</v>
      </c>
      <c r="AB1171" s="1326">
        <v>3.41</v>
      </c>
      <c r="AC1171" s="1326">
        <v>3.41</v>
      </c>
      <c r="AD1171" s="1326">
        <v>3.41</v>
      </c>
      <c r="AE1171" s="1326">
        <v>3.41</v>
      </c>
      <c r="AF1171" s="258">
        <f t="shared" si="191"/>
        <v>3.41</v>
      </c>
      <c r="AG1171" s="1326"/>
      <c r="DG1171" s="555"/>
      <c r="DH1171" s="151"/>
      <c r="DI1171" s="1049"/>
      <c r="DJ1171" s="1127"/>
    </row>
    <row r="1172" spans="1:114" ht="15" hidden="1" customHeight="1" outlineLevel="1" x14ac:dyDescent="0.25">
      <c r="A1172" s="442"/>
      <c r="C1172" s="49"/>
      <c r="D1172" s="2177"/>
      <c r="E1172" s="2177"/>
      <c r="F1172" s="2176" t="str">
        <f>$E$875</f>
        <v>ASHP-SEER21_ER1_MF</v>
      </c>
      <c r="G1172" s="2176"/>
      <c r="H1172" s="2176"/>
      <c r="I1172" s="2176"/>
      <c r="J1172" s="986" t="str">
        <f>$C$875</f>
        <v>354900_2024_12_</v>
      </c>
      <c r="K1172" s="1616">
        <v>6.58</v>
      </c>
      <c r="L1172" s="249"/>
      <c r="M1172" s="1371" t="s">
        <v>1366</v>
      </c>
      <c r="T1172" s="50"/>
      <c r="U1172" s="50"/>
      <c r="V1172" s="2177"/>
      <c r="W1172" s="1326">
        <v>5.44</v>
      </c>
      <c r="X1172" s="794">
        <v>6.58</v>
      </c>
      <c r="Y1172" s="1326">
        <v>6.58</v>
      </c>
      <c r="Z1172" s="1326">
        <v>6.58</v>
      </c>
      <c r="AA1172" s="1326">
        <v>6.58</v>
      </c>
      <c r="AB1172" s="1326">
        <v>6.58</v>
      </c>
      <c r="AC1172" s="1326">
        <v>6.58</v>
      </c>
      <c r="AD1172" s="1326">
        <v>6.58</v>
      </c>
      <c r="AE1172" s="1326">
        <v>6.58</v>
      </c>
      <c r="AF1172" s="258">
        <f t="shared" si="191"/>
        <v>6.58</v>
      </c>
      <c r="AG1172" s="1326"/>
      <c r="DG1172" s="555"/>
      <c r="DH1172" s="151"/>
      <c r="DI1172" s="1049"/>
      <c r="DJ1172" s="1127"/>
    </row>
    <row r="1173" spans="1:114" ht="15" hidden="1" customHeight="1" outlineLevel="1" x14ac:dyDescent="0.25">
      <c r="A1173" s="442"/>
      <c r="C1173" s="49"/>
      <c r="D1173" s="2177"/>
      <c r="E1173" s="2177"/>
      <c r="F1173" s="2176" t="str">
        <f>$E$877</f>
        <v>ASHP-SEER21_ER2_MF</v>
      </c>
      <c r="G1173" s="2176"/>
      <c r="H1173" s="2176"/>
      <c r="I1173" s="2176"/>
      <c r="J1173" s="986" t="str">
        <f>$C$877</f>
        <v>354900_2024_12_</v>
      </c>
      <c r="K1173" s="1616">
        <v>7.5</v>
      </c>
      <c r="L1173" s="249"/>
      <c r="M1173" s="1307" t="s">
        <v>1029</v>
      </c>
      <c r="T1173" s="50"/>
      <c r="U1173" s="50"/>
      <c r="V1173" s="2177"/>
      <c r="W1173" s="1326">
        <v>8.1999999999999993</v>
      </c>
      <c r="X1173" s="1326">
        <v>8.1999999999999993</v>
      </c>
      <c r="Y1173" s="1326">
        <v>8.1999999999999993</v>
      </c>
      <c r="Z1173" s="1326">
        <v>8.1999999999999993</v>
      </c>
      <c r="AA1173" s="1326">
        <v>8.1999999999999993</v>
      </c>
      <c r="AB1173" s="1326">
        <v>8.1999999999999993</v>
      </c>
      <c r="AC1173" s="1326">
        <v>8.1999999999999993</v>
      </c>
      <c r="AD1173" s="1326">
        <v>8.1999999999999993</v>
      </c>
      <c r="AE1173" s="794">
        <v>8.6</v>
      </c>
      <c r="AF1173" s="258">
        <f t="shared" si="191"/>
        <v>7.5</v>
      </c>
      <c r="AG1173" s="1326"/>
      <c r="DG1173" s="555"/>
      <c r="DH1173" s="151"/>
      <c r="DI1173" s="1049"/>
      <c r="DJ1173" s="1127"/>
    </row>
    <row r="1174" spans="1:114" ht="15" hidden="1" customHeight="1" outlineLevel="1" x14ac:dyDescent="0.25">
      <c r="A1174" s="442"/>
      <c r="C1174" s="49"/>
      <c r="D1174" s="2177"/>
      <c r="E1174" s="2177"/>
      <c r="F1174" s="2176" t="str">
        <f>$E$879</f>
        <v>ASHP-SEER17_ROF_MF</v>
      </c>
      <c r="G1174" s="2176"/>
      <c r="H1174" s="2176"/>
      <c r="I1174" s="2176"/>
      <c r="J1174" s="986" t="str">
        <f>$C$879</f>
        <v>354950_2024_12_</v>
      </c>
      <c r="K1174" s="1616">
        <v>7.5</v>
      </c>
      <c r="L1174" s="249"/>
      <c r="M1174" s="1307" t="s">
        <v>1029</v>
      </c>
      <c r="P1174" s="248"/>
      <c r="Q1174" s="196"/>
      <c r="R1174" s="248"/>
      <c r="T1174" s="169"/>
      <c r="U1174" s="50"/>
      <c r="V1174" s="2177"/>
      <c r="W1174" s="1326">
        <v>8.1999999999999993</v>
      </c>
      <c r="X1174" s="1326">
        <v>8.1999999999999993</v>
      </c>
      <c r="Y1174" s="1326">
        <v>8.1999999999999993</v>
      </c>
      <c r="Z1174" s="1326">
        <v>8.1999999999999993</v>
      </c>
      <c r="AA1174" s="1326">
        <v>8.1999999999999993</v>
      </c>
      <c r="AB1174" s="1326">
        <v>8.1999999999999993</v>
      </c>
      <c r="AC1174" s="1326">
        <v>8.1999999999999993</v>
      </c>
      <c r="AD1174" s="1326">
        <v>8.1999999999999993</v>
      </c>
      <c r="AE1174" s="794">
        <v>8.6</v>
      </c>
      <c r="AF1174" s="258">
        <f t="shared" si="191"/>
        <v>7.5</v>
      </c>
      <c r="AG1174" s="1326"/>
      <c r="DG1174" s="555"/>
      <c r="DH1174" s="151"/>
      <c r="DI1174" s="1049"/>
      <c r="DJ1174" s="1127"/>
    </row>
    <row r="1175" spans="1:114" ht="15" hidden="1" customHeight="1" outlineLevel="1" x14ac:dyDescent="0.25">
      <c r="A1175" s="442"/>
      <c r="C1175" s="49"/>
      <c r="D1175" s="2177"/>
      <c r="E1175" s="2177"/>
      <c r="F1175" s="2176" t="str">
        <f>$E$881</f>
        <v>ASHP-SEER18_ROF_MF</v>
      </c>
      <c r="G1175" s="2176"/>
      <c r="H1175" s="2176"/>
      <c r="I1175" s="2176"/>
      <c r="J1175" s="986" t="str">
        <f>$C$881</f>
        <v>355000_2024_12_</v>
      </c>
      <c r="K1175" s="1616">
        <v>7.5</v>
      </c>
      <c r="L1175" s="249"/>
      <c r="M1175" s="1307" t="s">
        <v>1029</v>
      </c>
      <c r="P1175" s="248"/>
      <c r="Q1175" s="196"/>
      <c r="R1175" s="248"/>
      <c r="T1175" s="169"/>
      <c r="U1175" s="50"/>
      <c r="V1175" s="2177"/>
      <c r="W1175" s="1326">
        <v>8.1999999999999993</v>
      </c>
      <c r="X1175" s="1326">
        <v>8.1999999999999993</v>
      </c>
      <c r="Y1175" s="1326">
        <v>8.1999999999999993</v>
      </c>
      <c r="Z1175" s="1326">
        <v>8.1999999999999993</v>
      </c>
      <c r="AA1175" s="1326">
        <v>8.1999999999999993</v>
      </c>
      <c r="AB1175" s="1326">
        <v>8.1999999999999993</v>
      </c>
      <c r="AC1175" s="1326">
        <v>8.1999999999999993</v>
      </c>
      <c r="AD1175" s="1326">
        <v>8.1999999999999993</v>
      </c>
      <c r="AE1175" s="794">
        <v>8.6</v>
      </c>
      <c r="AF1175" s="258">
        <f t="shared" si="191"/>
        <v>7.5</v>
      </c>
      <c r="AG1175" s="1326"/>
      <c r="DG1175" s="555"/>
      <c r="DH1175" s="151"/>
      <c r="DI1175" s="1049"/>
      <c r="DJ1175" s="1127"/>
    </row>
    <row r="1176" spans="1:114" ht="15" hidden="1" customHeight="1" outlineLevel="1" x14ac:dyDescent="0.25">
      <c r="A1176" s="442"/>
      <c r="C1176" s="49"/>
      <c r="D1176" s="2177"/>
      <c r="E1176" s="2177"/>
      <c r="F1176" s="2176" t="str">
        <f>$E$883</f>
        <v>ASHP-SEER19_ROF_MF</v>
      </c>
      <c r="G1176" s="2176"/>
      <c r="H1176" s="2176"/>
      <c r="I1176" s="2176"/>
      <c r="J1176" s="986" t="str">
        <f>$C$883</f>
        <v>355050_2024_12_</v>
      </c>
      <c r="K1176" s="1616">
        <v>7.5</v>
      </c>
      <c r="L1176" s="249"/>
      <c r="M1176" s="1307" t="s">
        <v>1029</v>
      </c>
      <c r="T1176" s="50"/>
      <c r="U1176" s="50"/>
      <c r="V1176" s="2177"/>
      <c r="W1176" s="1326">
        <v>8.1999999999999993</v>
      </c>
      <c r="X1176" s="1326">
        <v>8.1999999999999993</v>
      </c>
      <c r="Y1176" s="1326">
        <v>8.1999999999999993</v>
      </c>
      <c r="Z1176" s="1326">
        <v>8.1999999999999993</v>
      </c>
      <c r="AA1176" s="1326">
        <v>8.1999999999999993</v>
      </c>
      <c r="AB1176" s="1326">
        <v>8.1999999999999993</v>
      </c>
      <c r="AC1176" s="1326">
        <v>8.1999999999999993</v>
      </c>
      <c r="AD1176" s="1326">
        <v>8.1999999999999993</v>
      </c>
      <c r="AE1176" s="794">
        <v>8.6</v>
      </c>
      <c r="AF1176" s="258">
        <f t="shared" si="191"/>
        <v>7.5</v>
      </c>
      <c r="AG1176" s="1326"/>
      <c r="DG1176" s="555"/>
      <c r="DH1176" s="151"/>
      <c r="DI1176" s="1049"/>
      <c r="DJ1176" s="1127"/>
    </row>
    <row r="1177" spans="1:114" ht="15" hidden="1" customHeight="1" outlineLevel="1" x14ac:dyDescent="0.25">
      <c r="A1177" s="442"/>
      <c r="C1177" s="49"/>
      <c r="D1177" s="2177"/>
      <c r="E1177" s="2177"/>
      <c r="F1177" s="2176" t="str">
        <f>$E$885</f>
        <v>ASHP-SEER20_ROF_MF</v>
      </c>
      <c r="G1177" s="2176"/>
      <c r="H1177" s="2176"/>
      <c r="I1177" s="2176"/>
      <c r="J1177" s="986" t="str">
        <f>$C$885</f>
        <v>355100_2024_12_</v>
      </c>
      <c r="K1177" s="1616">
        <v>7.5</v>
      </c>
      <c r="L1177" s="249"/>
      <c r="M1177" s="1307" t="s">
        <v>1029</v>
      </c>
      <c r="T1177" s="50"/>
      <c r="U1177" s="50"/>
      <c r="V1177" s="2177"/>
      <c r="W1177" s="1326">
        <v>8.1999999999999993</v>
      </c>
      <c r="X1177" s="1326">
        <v>8.1999999999999993</v>
      </c>
      <c r="Y1177" s="1326">
        <v>8.1999999999999993</v>
      </c>
      <c r="Z1177" s="1326">
        <v>8.1999999999999993</v>
      </c>
      <c r="AA1177" s="1326">
        <v>8.1999999999999993</v>
      </c>
      <c r="AB1177" s="1326">
        <v>8.1999999999999993</v>
      </c>
      <c r="AC1177" s="1326">
        <v>8.1999999999999993</v>
      </c>
      <c r="AD1177" s="1326">
        <v>8.1999999999999993</v>
      </c>
      <c r="AE1177" s="794">
        <v>8.6</v>
      </c>
      <c r="AF1177" s="258">
        <f t="shared" si="191"/>
        <v>7.5</v>
      </c>
      <c r="AG1177" s="1326"/>
      <c r="DG1177" s="555"/>
      <c r="DH1177" s="151"/>
      <c r="DI1177" s="1049"/>
      <c r="DJ1177" s="1127"/>
    </row>
    <row r="1178" spans="1:114" ht="15.75" hidden="1" customHeight="1" outlineLevel="1" x14ac:dyDescent="0.25">
      <c r="A1178" s="442"/>
      <c r="C1178" s="49"/>
      <c r="D1178" s="2177"/>
      <c r="E1178" s="2177"/>
      <c r="F1178" s="2176" t="str">
        <f>$E$887</f>
        <v>ASHP-SEER21_ROF_MF</v>
      </c>
      <c r="G1178" s="2176"/>
      <c r="H1178" s="2176"/>
      <c r="I1178" s="2176"/>
      <c r="J1178" s="986" t="str">
        <f>$C$887</f>
        <v>355150_2024_12_</v>
      </c>
      <c r="K1178" s="1616">
        <v>7.5</v>
      </c>
      <c r="L1178" s="249"/>
      <c r="M1178" s="1307" t="s">
        <v>1029</v>
      </c>
      <c r="R1178" s="248"/>
      <c r="T1178" s="169"/>
      <c r="U1178" s="50"/>
      <c r="V1178" s="2177"/>
      <c r="W1178" s="1326">
        <v>8.1999999999999993</v>
      </c>
      <c r="X1178" s="1326">
        <v>8.1999999999999993</v>
      </c>
      <c r="Y1178" s="1326">
        <v>8.1999999999999993</v>
      </c>
      <c r="Z1178" s="1326">
        <v>8.1999999999999993</v>
      </c>
      <c r="AA1178" s="1326">
        <v>8.1999999999999993</v>
      </c>
      <c r="AB1178" s="1326">
        <v>8.1999999999999993</v>
      </c>
      <c r="AC1178" s="1326">
        <v>8.1999999999999993</v>
      </c>
      <c r="AD1178" s="1326">
        <v>8.1999999999999993</v>
      </c>
      <c r="AE1178" s="794">
        <v>8.6</v>
      </c>
      <c r="AF1178" s="258">
        <f t="shared" ref="AF1178:AF1200" si="192">IF(K1178&lt;&gt;"",K1178,"")</f>
        <v>7.5</v>
      </c>
      <c r="AG1178" s="1326"/>
      <c r="DG1178" s="555"/>
      <c r="DH1178" s="151"/>
      <c r="DI1178" s="1049"/>
      <c r="DJ1178" s="1127"/>
    </row>
    <row r="1179" spans="1:114" ht="15" hidden="1" customHeight="1" outlineLevel="1" x14ac:dyDescent="0.25">
      <c r="A1179" s="442"/>
      <c r="C1179" s="49"/>
      <c r="D1179" s="2177" t="s">
        <v>1156</v>
      </c>
      <c r="E1179" s="2177" t="s">
        <v>1367</v>
      </c>
      <c r="F1179" s="2176" t="str">
        <f>$E$709</f>
        <v>ASHP-SEER15-Replace_CAC_ElectricHeat_ER1_SF</v>
      </c>
      <c r="G1179" s="2176"/>
      <c r="H1179" s="2176"/>
      <c r="I1179" s="2176"/>
      <c r="J1179" s="986" t="str">
        <f>$C$709</f>
        <v>352300_2024_12_</v>
      </c>
      <c r="K1179" s="875">
        <v>8.806153846153844</v>
      </c>
      <c r="L1179" s="1575"/>
      <c r="M1179" s="1576" t="s">
        <v>1024</v>
      </c>
      <c r="R1179" s="248"/>
      <c r="T1179" s="169"/>
      <c r="U1179" s="50"/>
      <c r="V1179" s="2181" t="s">
        <v>1156</v>
      </c>
      <c r="W1179" s="1326">
        <v>8.6999999999999993</v>
      </c>
      <c r="X1179" s="794">
        <v>8.69</v>
      </c>
      <c r="Y1179" s="794">
        <v>8.67</v>
      </c>
      <c r="Z1179" s="1326">
        <v>8.67</v>
      </c>
      <c r="AA1179" s="1326">
        <v>8.67</v>
      </c>
      <c r="AB1179" s="199">
        <v>8.532040816326532</v>
      </c>
      <c r="AC1179" s="199">
        <v>8.7156542056074802</v>
      </c>
      <c r="AD1179" s="930">
        <v>8.776540284360193</v>
      </c>
      <c r="AE1179" s="930">
        <v>8.806153846153844</v>
      </c>
      <c r="AF1179" s="258">
        <f t="shared" si="192"/>
        <v>8.806153846153844</v>
      </c>
      <c r="AG1179" s="1326"/>
      <c r="DG1179" s="555"/>
      <c r="DH1179" s="151"/>
      <c r="DI1179" s="1049"/>
      <c r="DJ1179" s="1127"/>
    </row>
    <row r="1180" spans="1:114" ht="15" hidden="1" customHeight="1" outlineLevel="1" x14ac:dyDescent="0.25">
      <c r="A1180" s="442"/>
      <c r="C1180" s="49"/>
      <c r="D1180" s="2177"/>
      <c r="E1180" s="2177"/>
      <c r="F1180" s="2176" t="str">
        <f>$E$711</f>
        <v>ASHP-SEER15-Replace_CAC_ElectricHeat_ER2_SF</v>
      </c>
      <c r="G1180" s="2176"/>
      <c r="H1180" s="2176"/>
      <c r="I1180" s="2176"/>
      <c r="J1180" s="986" t="str">
        <f>$C$711</f>
        <v>352300_2024_12_</v>
      </c>
      <c r="K1180" s="875">
        <v>8.806153846153844</v>
      </c>
      <c r="L1180" s="1575"/>
      <c r="M1180" s="1576" t="s">
        <v>1024</v>
      </c>
      <c r="R1180" s="248"/>
      <c r="T1180" s="169"/>
      <c r="U1180" s="50"/>
      <c r="V1180" s="2181"/>
      <c r="W1180" s="1326">
        <v>8.6999999999999993</v>
      </c>
      <c r="X1180" s="794">
        <v>8.69</v>
      </c>
      <c r="Y1180" s="794">
        <v>8.67</v>
      </c>
      <c r="Z1180" s="1326">
        <v>8.67</v>
      </c>
      <c r="AA1180" s="1326">
        <v>8.67</v>
      </c>
      <c r="AB1180" s="199">
        <v>8.532040816326532</v>
      </c>
      <c r="AC1180" s="199">
        <f>AC1179</f>
        <v>8.7156542056074802</v>
      </c>
      <c r="AD1180" s="930">
        <v>8.776540284360193</v>
      </c>
      <c r="AE1180" s="930">
        <v>8.806153846153844</v>
      </c>
      <c r="AF1180" s="258">
        <f t="shared" si="192"/>
        <v>8.806153846153844</v>
      </c>
      <c r="AG1180" s="1326"/>
      <c r="DG1180" s="555"/>
      <c r="DH1180" s="151"/>
      <c r="DI1180" s="1049"/>
      <c r="DJ1180" s="1127"/>
    </row>
    <row r="1181" spans="1:114" ht="15" hidden="1" customHeight="1" outlineLevel="1" x14ac:dyDescent="0.25">
      <c r="A1181" s="442"/>
      <c r="C1181" s="49"/>
      <c r="D1181" s="2177"/>
      <c r="E1181" s="2177"/>
      <c r="F1181" s="2176" t="str">
        <f>$E$713</f>
        <v>ASHP-SEER15-Replace_CAC_NonElectricHeat_ER1_SF</v>
      </c>
      <c r="G1181" s="2176"/>
      <c r="H1181" s="2176"/>
      <c r="I1181" s="2176"/>
      <c r="J1181" s="986" t="str">
        <f>$C$713</f>
        <v>352310_2024_12_</v>
      </c>
      <c r="K1181" s="875">
        <v>8.806153846153844</v>
      </c>
      <c r="L1181" s="1575"/>
      <c r="M1181" s="1576" t="s">
        <v>1024</v>
      </c>
      <c r="R1181" s="248"/>
      <c r="T1181" s="169"/>
      <c r="U1181" s="50"/>
      <c r="V1181" s="2181"/>
      <c r="W1181" s="1326"/>
      <c r="X1181" s="794"/>
      <c r="Y1181" s="794"/>
      <c r="Z1181" s="1326"/>
      <c r="AA1181" s="1326"/>
      <c r="AB1181" s="199"/>
      <c r="AC1181" s="199">
        <v>8.7156542056074802</v>
      </c>
      <c r="AD1181" s="930">
        <v>8.776540284360193</v>
      </c>
      <c r="AE1181" s="930">
        <v>8.806153846153844</v>
      </c>
      <c r="AF1181" s="258">
        <f t="shared" si="192"/>
        <v>8.806153846153844</v>
      </c>
      <c r="AG1181" s="1326"/>
      <c r="DG1181" s="555"/>
      <c r="DH1181" s="151"/>
      <c r="DI1181" s="1049"/>
      <c r="DJ1181" s="1127"/>
    </row>
    <row r="1182" spans="1:114" ht="15" hidden="1" customHeight="1" outlineLevel="1" x14ac:dyDescent="0.25">
      <c r="A1182" s="442"/>
      <c r="C1182" s="49"/>
      <c r="D1182" s="2177"/>
      <c r="E1182" s="2177"/>
      <c r="F1182" s="2176" t="str">
        <f>$E$715</f>
        <v>ASHP-SEER15-Replace_CAC_NonElectricHeat_ER2_SF</v>
      </c>
      <c r="G1182" s="2176"/>
      <c r="H1182" s="2176"/>
      <c r="I1182" s="2176"/>
      <c r="J1182" s="986" t="str">
        <f>$C$715</f>
        <v>352310_2024_12_</v>
      </c>
      <c r="K1182" s="875">
        <v>8.806153846153844</v>
      </c>
      <c r="L1182" s="1575"/>
      <c r="M1182" s="1576" t="s">
        <v>1024</v>
      </c>
      <c r="R1182" s="248"/>
      <c r="T1182" s="169"/>
      <c r="U1182" s="50"/>
      <c r="V1182" s="2181"/>
      <c r="W1182" s="1326"/>
      <c r="X1182" s="794"/>
      <c r="Y1182" s="794"/>
      <c r="Z1182" s="1326"/>
      <c r="AA1182" s="1326"/>
      <c r="AB1182" s="199"/>
      <c r="AC1182" s="199">
        <f>AC1181</f>
        <v>8.7156542056074802</v>
      </c>
      <c r="AD1182" s="930">
        <v>8.776540284360193</v>
      </c>
      <c r="AE1182" s="930">
        <v>8.806153846153844</v>
      </c>
      <c r="AF1182" s="258">
        <f t="shared" si="192"/>
        <v>8.806153846153844</v>
      </c>
      <c r="AG1182" s="1326"/>
      <c r="DG1182" s="555"/>
      <c r="DH1182" s="151"/>
      <c r="DI1182" s="1049"/>
      <c r="DJ1182" s="1127"/>
    </row>
    <row r="1183" spans="1:114" ht="15" hidden="1" customHeight="1" outlineLevel="1" x14ac:dyDescent="0.25">
      <c r="A1183" s="442"/>
      <c r="C1183" s="49"/>
      <c r="D1183" s="2177"/>
      <c r="E1183" s="2177"/>
      <c r="F1183" s="2176" t="str">
        <f>$E$717</f>
        <v>ASHP-SEER15_ER1_SF</v>
      </c>
      <c r="G1183" s="2176"/>
      <c r="H1183" s="2176"/>
      <c r="I1183" s="2176"/>
      <c r="J1183" s="986" t="str">
        <f>$C$717</f>
        <v>352350_2024_12_</v>
      </c>
      <c r="K1183" s="875">
        <v>8.806153846153844</v>
      </c>
      <c r="L1183" s="1575"/>
      <c r="M1183" s="1576" t="s">
        <v>1024</v>
      </c>
      <c r="R1183" s="248"/>
      <c r="T1183" s="169"/>
      <c r="U1183" s="50"/>
      <c r="V1183" s="2181"/>
      <c r="W1183" s="1326">
        <v>8.6999999999999993</v>
      </c>
      <c r="X1183" s="794">
        <v>8.69</v>
      </c>
      <c r="Y1183" s="794">
        <v>8.75</v>
      </c>
      <c r="Z1183" s="1326">
        <v>8.75</v>
      </c>
      <c r="AA1183" s="1326">
        <v>8.75</v>
      </c>
      <c r="AB1183" s="199">
        <v>8.4761904761904781</v>
      </c>
      <c r="AC1183" s="199">
        <v>8.8245098039215701</v>
      </c>
      <c r="AD1183" s="930">
        <v>8.776540284360193</v>
      </c>
      <c r="AE1183" s="930">
        <v>8.806153846153844</v>
      </c>
      <c r="AF1183" s="258">
        <f t="shared" si="192"/>
        <v>8.806153846153844</v>
      </c>
      <c r="AG1183" s="1326"/>
      <c r="DG1183" s="555"/>
      <c r="DH1183" s="151"/>
      <c r="DI1183" s="1049"/>
      <c r="DJ1183" s="1127"/>
    </row>
    <row r="1184" spans="1:114" ht="15" hidden="1" customHeight="1" outlineLevel="1" x14ac:dyDescent="0.25">
      <c r="A1184" s="442"/>
      <c r="C1184" s="49"/>
      <c r="D1184" s="2177"/>
      <c r="E1184" s="2177"/>
      <c r="F1184" s="2176" t="str">
        <f>$E$719</f>
        <v>ASHP-SEER15_ER2_SF</v>
      </c>
      <c r="G1184" s="2176"/>
      <c r="H1184" s="2176"/>
      <c r="I1184" s="2176"/>
      <c r="J1184" s="986" t="str">
        <f>$C$719</f>
        <v>352350_2024_12_</v>
      </c>
      <c r="K1184" s="875">
        <v>8.806153846153844</v>
      </c>
      <c r="L1184" s="1575"/>
      <c r="M1184" s="1576" t="s">
        <v>1024</v>
      </c>
      <c r="R1184" s="248"/>
      <c r="T1184" s="169"/>
      <c r="U1184" s="50"/>
      <c r="V1184" s="2181"/>
      <c r="W1184" s="1326">
        <v>8.6999999999999993</v>
      </c>
      <c r="X1184" s="794">
        <v>8.69</v>
      </c>
      <c r="Y1184" s="794">
        <v>8.75</v>
      </c>
      <c r="Z1184" s="1326">
        <v>8.75</v>
      </c>
      <c r="AA1184" s="1326">
        <v>8.75</v>
      </c>
      <c r="AB1184" s="199">
        <v>8.4761904761904781</v>
      </c>
      <c r="AC1184" s="199">
        <f>AC1183</f>
        <v>8.8245098039215701</v>
      </c>
      <c r="AD1184" s="930">
        <v>8.776540284360193</v>
      </c>
      <c r="AE1184" s="930">
        <v>8.806153846153844</v>
      </c>
      <c r="AF1184" s="258">
        <f t="shared" si="192"/>
        <v>8.806153846153844</v>
      </c>
      <c r="AG1184" s="1326"/>
      <c r="DG1184" s="555"/>
      <c r="DH1184" s="151"/>
      <c r="DI1184" s="1049"/>
      <c r="DJ1184" s="1127"/>
    </row>
    <row r="1185" spans="1:114" ht="15" hidden="1" customHeight="1" outlineLevel="1" x14ac:dyDescent="0.25">
      <c r="A1185" s="442"/>
      <c r="C1185" s="49"/>
      <c r="D1185" s="2177"/>
      <c r="E1185" s="2177"/>
      <c r="F1185" s="2176" t="str">
        <f>$E$721</f>
        <v>ASHP-SEER15-Replace_CAC_ElectricHeat_ROF_SF</v>
      </c>
      <c r="G1185" s="2176"/>
      <c r="H1185" s="2176"/>
      <c r="I1185" s="2176"/>
      <c r="J1185" s="986" t="str">
        <f>$C$721</f>
        <v>352400_2024_12_</v>
      </c>
      <c r="K1185" s="875">
        <v>8.6653061224489818</v>
      </c>
      <c r="L1185" s="933"/>
      <c r="M1185" s="1576" t="s">
        <v>1024</v>
      </c>
      <c r="R1185" s="248"/>
      <c r="T1185" s="169"/>
      <c r="U1185" s="50"/>
      <c r="V1185" s="2181"/>
      <c r="W1185" s="1326">
        <v>8.6</v>
      </c>
      <c r="X1185" s="794">
        <v>8.69</v>
      </c>
      <c r="Y1185" s="794">
        <v>8.66</v>
      </c>
      <c r="Z1185" s="1326">
        <v>8.66</v>
      </c>
      <c r="AA1185" s="1326">
        <v>8.66</v>
      </c>
      <c r="AB1185" s="199">
        <v>8.4308510638297864</v>
      </c>
      <c r="AC1185" s="199">
        <v>8.812711864406781</v>
      </c>
      <c r="AD1185" s="930">
        <v>8.7601941747572809</v>
      </c>
      <c r="AE1185" s="930">
        <v>8.6653061224489818</v>
      </c>
      <c r="AF1185" s="258">
        <f t="shared" si="192"/>
        <v>8.6653061224489818</v>
      </c>
      <c r="AG1185" s="1326"/>
      <c r="DG1185" s="555"/>
      <c r="DH1185" s="151"/>
      <c r="DI1185" s="1049"/>
      <c r="DJ1185" s="1127"/>
    </row>
    <row r="1186" spans="1:114" ht="15" hidden="1" customHeight="1" outlineLevel="1" x14ac:dyDescent="0.25">
      <c r="A1186" s="442"/>
      <c r="C1186" s="49"/>
      <c r="D1186" s="2177"/>
      <c r="E1186" s="2177"/>
      <c r="F1186" s="2176" t="str">
        <f>$E$723</f>
        <v>ASHP-SEER15-Replace_CAC_NonElectricHeat_ROF_SF</v>
      </c>
      <c r="G1186" s="2176"/>
      <c r="H1186" s="2176"/>
      <c r="I1186" s="2176"/>
      <c r="J1186" s="986" t="str">
        <f>$C$723</f>
        <v>352410_2024_12_</v>
      </c>
      <c r="K1186" s="875">
        <v>8.6653061224489818</v>
      </c>
      <c r="L1186" s="933"/>
      <c r="M1186" s="1576" t="s">
        <v>1024</v>
      </c>
      <c r="R1186" s="248"/>
      <c r="T1186" s="169"/>
      <c r="U1186" s="50"/>
      <c r="V1186" s="2181"/>
      <c r="W1186" s="1326"/>
      <c r="X1186" s="794"/>
      <c r="Y1186" s="794"/>
      <c r="Z1186" s="1326"/>
      <c r="AA1186" s="1326"/>
      <c r="AB1186" s="199"/>
      <c r="AC1186" s="199">
        <v>8.812711864406781</v>
      </c>
      <c r="AD1186" s="930">
        <v>8.7601941747572809</v>
      </c>
      <c r="AE1186" s="930">
        <v>8.6653061224489818</v>
      </c>
      <c r="AF1186" s="258">
        <f t="shared" si="192"/>
        <v>8.6653061224489818</v>
      </c>
      <c r="AG1186" s="1326"/>
      <c r="DG1186" s="555"/>
      <c r="DH1186" s="151"/>
      <c r="DI1186" s="1049"/>
      <c r="DJ1186" s="1127"/>
    </row>
    <row r="1187" spans="1:114" ht="15" hidden="1" customHeight="1" outlineLevel="1" x14ac:dyDescent="0.25">
      <c r="A1187" s="442"/>
      <c r="C1187" s="49"/>
      <c r="D1187" s="2177"/>
      <c r="E1187" s="2177"/>
      <c r="F1187" s="2176" t="str">
        <f>$E$725</f>
        <v>ASHP-SEER16-Replace_CAC_ElectricHeat_ER1_SF</v>
      </c>
      <c r="G1187" s="2176"/>
      <c r="H1187" s="2176"/>
      <c r="I1187" s="2176"/>
      <c r="J1187" s="986" t="str">
        <f>$C$725</f>
        <v>352500_2024_12_</v>
      </c>
      <c r="K1187" s="875">
        <v>9.1268714011516288</v>
      </c>
      <c r="L1187" s="933"/>
      <c r="M1187" s="1576" t="s">
        <v>1024</v>
      </c>
      <c r="R1187" s="248"/>
      <c r="T1187" s="169"/>
      <c r="U1187" s="50"/>
      <c r="V1187" s="2181"/>
      <c r="W1187" s="1326">
        <v>9.4</v>
      </c>
      <c r="X1187" s="794">
        <v>8.69</v>
      </c>
      <c r="Y1187" s="794">
        <v>9.35</v>
      </c>
      <c r="Z1187" s="1326">
        <v>9.35</v>
      </c>
      <c r="AA1187" s="1326">
        <v>9.35</v>
      </c>
      <c r="AB1187" s="199">
        <v>8.4276397515527925</v>
      </c>
      <c r="AC1187" s="199">
        <v>9.0449206349206346</v>
      </c>
      <c r="AD1187" s="930">
        <v>9.0582601054481522</v>
      </c>
      <c r="AE1187" s="930">
        <v>9.1268714011516288</v>
      </c>
      <c r="AF1187" s="258">
        <f t="shared" si="192"/>
        <v>9.1268714011516288</v>
      </c>
      <c r="AG1187" s="1326"/>
      <c r="DG1187" s="555"/>
      <c r="DH1187" s="151"/>
      <c r="DI1187" s="1049"/>
      <c r="DJ1187" s="1127"/>
    </row>
    <row r="1188" spans="1:114" ht="15" hidden="1" customHeight="1" outlineLevel="1" x14ac:dyDescent="0.25">
      <c r="A1188" s="442"/>
      <c r="C1188" s="49"/>
      <c r="D1188" s="2177"/>
      <c r="E1188" s="2177"/>
      <c r="F1188" s="2176" t="str">
        <f>$E$727</f>
        <v>ASHP-SEER16-Replace_CAC_ElectricHeat_ER2_SF</v>
      </c>
      <c r="G1188" s="2176"/>
      <c r="H1188" s="2176"/>
      <c r="I1188" s="2176"/>
      <c r="J1188" s="986" t="str">
        <f>$C$727</f>
        <v>352500_2024_12_</v>
      </c>
      <c r="K1188" s="875">
        <v>9.1268714011516288</v>
      </c>
      <c r="L1188" s="933"/>
      <c r="M1188" s="1576" t="s">
        <v>1024</v>
      </c>
      <c r="R1188" s="248"/>
      <c r="T1188" s="169"/>
      <c r="U1188" s="50"/>
      <c r="V1188" s="2181"/>
      <c r="W1188" s="1326">
        <v>9.4</v>
      </c>
      <c r="X1188" s="794">
        <v>8.69</v>
      </c>
      <c r="Y1188" s="794">
        <v>9.35</v>
      </c>
      <c r="Z1188" s="1326">
        <v>9.35</v>
      </c>
      <c r="AA1188" s="1326">
        <v>9.35</v>
      </c>
      <c r="AB1188" s="199">
        <v>8.4276397515527925</v>
      </c>
      <c r="AC1188" s="199">
        <f>AC1187</f>
        <v>9.0449206349206346</v>
      </c>
      <c r="AD1188" s="930">
        <v>9.0582601054481522</v>
      </c>
      <c r="AE1188" s="930">
        <v>9.1268714011516288</v>
      </c>
      <c r="AF1188" s="258">
        <f t="shared" si="192"/>
        <v>9.1268714011516288</v>
      </c>
      <c r="AG1188" s="1326"/>
      <c r="DG1188" s="555"/>
      <c r="DH1188" s="151"/>
      <c r="DI1188" s="1049"/>
      <c r="DJ1188" s="1127"/>
    </row>
    <row r="1189" spans="1:114" ht="15" hidden="1" customHeight="1" outlineLevel="1" x14ac:dyDescent="0.25">
      <c r="A1189" s="442"/>
      <c r="C1189" s="49"/>
      <c r="D1189" s="2177"/>
      <c r="E1189" s="2177"/>
      <c r="F1189" s="2176" t="str">
        <f>$E$729</f>
        <v>ASHP-SEER16-Replace_CAC_NonElectricHeat_ER1_SF</v>
      </c>
      <c r="G1189" s="2176"/>
      <c r="H1189" s="2176"/>
      <c r="I1189" s="2176"/>
      <c r="J1189" s="986" t="str">
        <f>$C$729</f>
        <v>352510_2024_12_</v>
      </c>
      <c r="K1189" s="875">
        <v>9.1268714011516288</v>
      </c>
      <c r="L1189" s="933"/>
      <c r="M1189" s="1576" t="s">
        <v>1024</v>
      </c>
      <c r="R1189" s="248"/>
      <c r="T1189" s="169"/>
      <c r="U1189" s="50"/>
      <c r="V1189" s="2181"/>
      <c r="W1189" s="1326"/>
      <c r="X1189" s="794"/>
      <c r="Y1189" s="794"/>
      <c r="Z1189" s="1326"/>
      <c r="AA1189" s="1326"/>
      <c r="AB1189" s="199"/>
      <c r="AC1189" s="199">
        <v>9.0449206349206346</v>
      </c>
      <c r="AD1189" s="930">
        <v>9.0582601054481522</v>
      </c>
      <c r="AE1189" s="930">
        <v>9.1268714011516288</v>
      </c>
      <c r="AF1189" s="258">
        <f t="shared" si="192"/>
        <v>9.1268714011516288</v>
      </c>
      <c r="AG1189" s="1326"/>
      <c r="DG1189" s="555"/>
      <c r="DH1189" s="151"/>
      <c r="DI1189" s="1049"/>
      <c r="DJ1189" s="1127"/>
    </row>
    <row r="1190" spans="1:114" ht="15" hidden="1" customHeight="1" outlineLevel="1" x14ac:dyDescent="0.25">
      <c r="A1190" s="442"/>
      <c r="C1190" s="49"/>
      <c r="D1190" s="2177"/>
      <c r="E1190" s="2177"/>
      <c r="F1190" s="2176" t="str">
        <f>$E$731</f>
        <v>ASHP-SEER16-Replace_CAC_NonElectricHeat_ER2_SF</v>
      </c>
      <c r="G1190" s="2176"/>
      <c r="H1190" s="2176"/>
      <c r="I1190" s="2176"/>
      <c r="J1190" s="986" t="str">
        <f>$C$731</f>
        <v>352510_2024_12_</v>
      </c>
      <c r="K1190" s="875">
        <v>9.1268714011516288</v>
      </c>
      <c r="L1190" s="933"/>
      <c r="M1190" s="1576" t="s">
        <v>1024</v>
      </c>
      <c r="R1190" s="248"/>
      <c r="T1190" s="169"/>
      <c r="U1190" s="50"/>
      <c r="V1190" s="2181"/>
      <c r="W1190" s="1326"/>
      <c r="X1190" s="794"/>
      <c r="Y1190" s="794"/>
      <c r="Z1190" s="1326"/>
      <c r="AA1190" s="1326"/>
      <c r="AB1190" s="199"/>
      <c r="AC1190" s="199">
        <f>AC1189</f>
        <v>9.0449206349206346</v>
      </c>
      <c r="AD1190" s="930">
        <v>9.0582601054481522</v>
      </c>
      <c r="AE1190" s="930">
        <v>9.1268714011516288</v>
      </c>
      <c r="AF1190" s="258">
        <f t="shared" si="192"/>
        <v>9.1268714011516288</v>
      </c>
      <c r="AG1190" s="1326"/>
      <c r="DG1190" s="555"/>
      <c r="DH1190" s="151"/>
      <c r="DI1190" s="1049"/>
      <c r="DJ1190" s="1127"/>
    </row>
    <row r="1191" spans="1:114" ht="15" hidden="1" customHeight="1" outlineLevel="1" x14ac:dyDescent="0.25">
      <c r="A1191" s="442"/>
      <c r="C1191" s="49"/>
      <c r="D1191" s="2177"/>
      <c r="E1191" s="2177"/>
      <c r="F1191" s="2176" t="str">
        <f>$E$733</f>
        <v>ASHP-SEER16_ER1_SF</v>
      </c>
      <c r="G1191" s="2176"/>
      <c r="H1191" s="2176"/>
      <c r="I1191" s="2176"/>
      <c r="J1191" s="986" t="str">
        <f>$C$733</f>
        <v>352550_2024_12_</v>
      </c>
      <c r="K1191" s="875">
        <v>9.1268714011516288</v>
      </c>
      <c r="L1191" s="933"/>
      <c r="M1191" s="1576" t="s">
        <v>1024</v>
      </c>
      <c r="R1191" s="248"/>
      <c r="T1191" s="169"/>
      <c r="U1191" s="50"/>
      <c r="V1191" s="2181"/>
      <c r="W1191" s="1326">
        <v>9.5</v>
      </c>
      <c r="X1191" s="794">
        <v>8.69</v>
      </c>
      <c r="Y1191" s="794">
        <v>9.33</v>
      </c>
      <c r="Z1191" s="1326">
        <v>9.33</v>
      </c>
      <c r="AA1191" s="1326">
        <v>9.33</v>
      </c>
      <c r="AB1191" s="199">
        <v>8.8862149532710237</v>
      </c>
      <c r="AC1191" s="199">
        <v>9.11991341991342</v>
      </c>
      <c r="AD1191" s="930">
        <v>9.0582601054481522</v>
      </c>
      <c r="AE1191" s="930">
        <v>9.1268714011516288</v>
      </c>
      <c r="AF1191" s="258">
        <f t="shared" si="192"/>
        <v>9.1268714011516288</v>
      </c>
      <c r="AG1191" s="1326"/>
      <c r="DG1191" s="555"/>
      <c r="DH1191" s="151"/>
      <c r="DI1191" s="1049"/>
      <c r="DJ1191" s="1127"/>
    </row>
    <row r="1192" spans="1:114" ht="15" hidden="1" customHeight="1" outlineLevel="1" x14ac:dyDescent="0.25">
      <c r="A1192" s="442"/>
      <c r="C1192" s="49"/>
      <c r="D1192" s="2177"/>
      <c r="E1192" s="2177"/>
      <c r="F1192" s="2176" t="str">
        <f>$E$735</f>
        <v>ASHP-SEER16_ER2_SF</v>
      </c>
      <c r="G1192" s="2176"/>
      <c r="H1192" s="2176"/>
      <c r="I1192" s="2176"/>
      <c r="J1192" s="986" t="str">
        <f>$C$735</f>
        <v>352550_2024_12_</v>
      </c>
      <c r="K1192" s="875">
        <v>9.1268714011516288</v>
      </c>
      <c r="L1192" s="933"/>
      <c r="M1192" s="1576" t="s">
        <v>1024</v>
      </c>
      <c r="P1192" s="248"/>
      <c r="Q1192" s="248"/>
      <c r="R1192" s="248"/>
      <c r="T1192" s="169"/>
      <c r="U1192" s="50"/>
      <c r="V1192" s="2181"/>
      <c r="W1192" s="1326">
        <v>9.5</v>
      </c>
      <c r="X1192" s="794">
        <v>8.69</v>
      </c>
      <c r="Y1192" s="794">
        <v>9.33</v>
      </c>
      <c r="Z1192" s="1326">
        <v>9.33</v>
      </c>
      <c r="AA1192" s="1326">
        <v>9.33</v>
      </c>
      <c r="AB1192" s="199">
        <v>8.8862149532710237</v>
      </c>
      <c r="AC1192" s="199">
        <f>AC1191</f>
        <v>9.11991341991342</v>
      </c>
      <c r="AD1192" s="930">
        <v>9.0582601054481522</v>
      </c>
      <c r="AE1192" s="930">
        <v>9.1268714011516288</v>
      </c>
      <c r="AF1192" s="258">
        <f t="shared" si="192"/>
        <v>9.1268714011516288</v>
      </c>
      <c r="AG1192" s="1326"/>
      <c r="DG1192" s="555"/>
      <c r="DH1192" s="151"/>
      <c r="DI1192" s="1049"/>
      <c r="DJ1192" s="1127"/>
    </row>
    <row r="1193" spans="1:114" ht="15" hidden="1" customHeight="1" outlineLevel="1" x14ac:dyDescent="0.25">
      <c r="A1193" s="442"/>
      <c r="C1193" s="49"/>
      <c r="D1193" s="2177"/>
      <c r="E1193" s="2177"/>
      <c r="F1193" s="2176" t="str">
        <f>$E$737</f>
        <v>ASHP-SEER16-Replace_CAC_ElectricHeat_ROF_SF</v>
      </c>
      <c r="G1193" s="2176"/>
      <c r="H1193" s="2176"/>
      <c r="I1193" s="2176"/>
      <c r="J1193" s="986" t="str">
        <f>$C$737</f>
        <v>352600_2024_12_</v>
      </c>
      <c r="K1193" s="875">
        <v>8.9733812949640299</v>
      </c>
      <c r="L1193" s="933"/>
      <c r="M1193" s="1576" t="s">
        <v>1024</v>
      </c>
      <c r="P1193" s="248"/>
      <c r="Q1193" s="248"/>
      <c r="R1193" s="248"/>
      <c r="T1193" s="169"/>
      <c r="U1193" s="50"/>
      <c r="V1193" s="2181"/>
      <c r="W1193" s="1326">
        <v>9.6999999999999993</v>
      </c>
      <c r="X1193" s="794">
        <v>8.69</v>
      </c>
      <c r="Y1193" s="794">
        <v>9.43</v>
      </c>
      <c r="Z1193" s="1326">
        <v>9.43</v>
      </c>
      <c r="AA1193" s="1326">
        <v>9.43</v>
      </c>
      <c r="AB1193" s="199">
        <v>8.7769841269841269</v>
      </c>
      <c r="AC1193" s="199">
        <v>9.3470588235294123</v>
      </c>
      <c r="AD1193" s="930">
        <v>9.1536458333333339</v>
      </c>
      <c r="AE1193" s="930">
        <v>8.9733812949640299</v>
      </c>
      <c r="AF1193" s="258">
        <f t="shared" si="192"/>
        <v>8.9733812949640299</v>
      </c>
      <c r="AG1193" s="1326"/>
      <c r="DG1193" s="555"/>
      <c r="DH1193" s="151"/>
      <c r="DI1193" s="1049"/>
      <c r="DJ1193" s="1127"/>
    </row>
    <row r="1194" spans="1:114" ht="15" hidden="1" customHeight="1" outlineLevel="1" x14ac:dyDescent="0.25">
      <c r="A1194" s="442"/>
      <c r="C1194" s="49"/>
      <c r="D1194" s="2177"/>
      <c r="E1194" s="2177"/>
      <c r="F1194" s="2176" t="str">
        <f>$E$739</f>
        <v>ASHP-SEER16-Replace_CAC_NonElectricHeat_ROF_SF</v>
      </c>
      <c r="G1194" s="2176"/>
      <c r="H1194" s="2176"/>
      <c r="I1194" s="2176"/>
      <c r="J1194" s="986" t="str">
        <f>$C$739</f>
        <v>352610_2024_12_</v>
      </c>
      <c r="K1194" s="875">
        <v>8.9733812949640299</v>
      </c>
      <c r="L1194" s="933"/>
      <c r="M1194" s="1576" t="s">
        <v>1024</v>
      </c>
      <c r="P1194" s="248"/>
      <c r="Q1194" s="248"/>
      <c r="R1194" s="248"/>
      <c r="T1194" s="169"/>
      <c r="U1194" s="50"/>
      <c r="V1194" s="2181"/>
      <c r="W1194" s="1326"/>
      <c r="X1194" s="794"/>
      <c r="Y1194" s="794"/>
      <c r="Z1194" s="1326"/>
      <c r="AA1194" s="1326"/>
      <c r="AB1194" s="199"/>
      <c r="AC1194" s="199"/>
      <c r="AD1194" s="930">
        <v>9.1536458333333339</v>
      </c>
      <c r="AE1194" s="930">
        <v>8.9733812949640299</v>
      </c>
      <c r="AF1194" s="258">
        <f t="shared" si="192"/>
        <v>8.9733812949640299</v>
      </c>
      <c r="AG1194" s="1326"/>
      <c r="DG1194" s="555"/>
      <c r="DH1194" s="151"/>
      <c r="DI1194" s="1049"/>
      <c r="DJ1194" s="1127"/>
    </row>
    <row r="1195" spans="1:114" ht="15" hidden="1" customHeight="1" outlineLevel="1" x14ac:dyDescent="0.25">
      <c r="A1195" s="442"/>
      <c r="C1195" s="49"/>
      <c r="D1195" s="2177"/>
      <c r="E1195" s="2177"/>
      <c r="F1195" s="2176" t="str">
        <f>$E$741</f>
        <v>ASHP-SEER16_ROF_SF</v>
      </c>
      <c r="G1195" s="2176"/>
      <c r="H1195" s="2176"/>
      <c r="I1195" s="2176"/>
      <c r="J1195" s="986" t="str">
        <f>$C$741</f>
        <v>352650_2024_12_</v>
      </c>
      <c r="K1195" s="875">
        <v>8.9733812949640299</v>
      </c>
      <c r="L1195" s="933"/>
      <c r="M1195" s="1576" t="s">
        <v>1024</v>
      </c>
      <c r="P1195" s="248"/>
      <c r="Q1195" s="248"/>
      <c r="R1195" s="248"/>
      <c r="T1195" s="169"/>
      <c r="U1195" s="50"/>
      <c r="V1195" s="2181"/>
      <c r="W1195" s="1326">
        <v>9.8000000000000007</v>
      </c>
      <c r="X1195" s="794">
        <v>8.69</v>
      </c>
      <c r="Y1195" s="794">
        <v>9.43</v>
      </c>
      <c r="Z1195" s="1326">
        <v>9.43</v>
      </c>
      <c r="AA1195" s="1326">
        <v>9.43</v>
      </c>
      <c r="AB1195" s="1326">
        <v>9.43</v>
      </c>
      <c r="AC1195" s="199">
        <v>9.0519999999999996</v>
      </c>
      <c r="AD1195" s="930">
        <v>9.1536458333333339</v>
      </c>
      <c r="AE1195" s="930">
        <v>8.9733812949640299</v>
      </c>
      <c r="AF1195" s="258">
        <f t="shared" si="192"/>
        <v>8.9733812949640299</v>
      </c>
      <c r="AG1195" s="1326"/>
      <c r="DG1195" s="555"/>
      <c r="DH1195" s="151"/>
      <c r="DI1195" s="1049"/>
      <c r="DJ1195" s="1127"/>
    </row>
    <row r="1196" spans="1:114" ht="15" hidden="1" customHeight="1" outlineLevel="1" x14ac:dyDescent="0.25">
      <c r="A1196" s="442"/>
      <c r="C1196" s="49"/>
      <c r="D1196" s="2177"/>
      <c r="E1196" s="2177"/>
      <c r="F1196" s="2176" t="str">
        <f>$E$743</f>
        <v>ASHP-SEER16-Replace_CAC_ElectricHeat_ER1_MF</v>
      </c>
      <c r="G1196" s="2176"/>
      <c r="H1196" s="2176"/>
      <c r="I1196" s="2176"/>
      <c r="J1196" s="986" t="str">
        <f>$C$743</f>
        <v>353000_2024_12_</v>
      </c>
      <c r="K1196" s="875">
        <v>9.2666666666666675</v>
      </c>
      <c r="L1196" s="933"/>
      <c r="M1196" s="1576" t="s">
        <v>1026</v>
      </c>
      <c r="P1196" s="248"/>
      <c r="Q1196" s="248"/>
      <c r="R1196" s="248"/>
      <c r="T1196" s="169"/>
      <c r="U1196" s="50"/>
      <c r="V1196" s="2181"/>
      <c r="W1196" s="1326">
        <v>9.4</v>
      </c>
      <c r="X1196" s="1326">
        <v>9.4</v>
      </c>
      <c r="Y1196" s="1326">
        <v>9.4</v>
      </c>
      <c r="Z1196" s="1326">
        <v>9.4</v>
      </c>
      <c r="AA1196" s="1326">
        <v>9.4</v>
      </c>
      <c r="AB1196" s="794">
        <v>7.42</v>
      </c>
      <c r="AC1196" s="199">
        <v>9</v>
      </c>
      <c r="AD1196" s="930">
        <v>9.2666666666666675</v>
      </c>
      <c r="AE1196" s="931">
        <v>9.2666666666666675</v>
      </c>
      <c r="AF1196" s="258">
        <f t="shared" si="192"/>
        <v>9.2666666666666675</v>
      </c>
      <c r="AG1196" s="1326"/>
      <c r="DG1196" s="555"/>
      <c r="DH1196" s="151"/>
      <c r="DI1196" s="1049"/>
      <c r="DJ1196" s="1127"/>
    </row>
    <row r="1197" spans="1:114" ht="15" hidden="1" customHeight="1" outlineLevel="1" x14ac:dyDescent="0.25">
      <c r="A1197" s="442"/>
      <c r="C1197" s="49"/>
      <c r="D1197" s="2177"/>
      <c r="E1197" s="2177"/>
      <c r="F1197" s="2176" t="str">
        <f>$E$745</f>
        <v>ASHP-SEER16-Replace_CAC_ElectricHeat_ER2_MF</v>
      </c>
      <c r="G1197" s="2176"/>
      <c r="H1197" s="2176"/>
      <c r="I1197" s="2176"/>
      <c r="J1197" s="986" t="str">
        <f>$C$745</f>
        <v>353000_2024_12_</v>
      </c>
      <c r="K1197" s="875">
        <v>9.2666666666666675</v>
      </c>
      <c r="L1197" s="933"/>
      <c r="M1197" s="1576" t="s">
        <v>1026</v>
      </c>
      <c r="P1197" s="248"/>
      <c r="Q1197" s="248"/>
      <c r="R1197" s="248"/>
      <c r="T1197" s="169"/>
      <c r="U1197" s="50"/>
      <c r="V1197" s="2181"/>
      <c r="W1197" s="1326">
        <v>9.4</v>
      </c>
      <c r="X1197" s="1326">
        <v>9.4</v>
      </c>
      <c r="Y1197" s="1326">
        <v>9.4</v>
      </c>
      <c r="Z1197" s="1326">
        <v>9.4</v>
      </c>
      <c r="AA1197" s="1326">
        <v>9.4</v>
      </c>
      <c r="AB1197" s="794">
        <v>7.42</v>
      </c>
      <c r="AC1197" s="199">
        <f>AC1196</f>
        <v>9</v>
      </c>
      <c r="AD1197" s="930">
        <v>9.2666666666666675</v>
      </c>
      <c r="AE1197" s="931">
        <v>9.2666666666666675</v>
      </c>
      <c r="AF1197" s="258">
        <f t="shared" si="192"/>
        <v>9.2666666666666675</v>
      </c>
      <c r="AG1197" s="1326"/>
      <c r="DG1197" s="555"/>
      <c r="DH1197" s="151"/>
      <c r="DI1197" s="1049"/>
      <c r="DJ1197" s="1127"/>
    </row>
    <row r="1198" spans="1:114" ht="15" hidden="1" customHeight="1" outlineLevel="1" x14ac:dyDescent="0.25">
      <c r="A1198" s="442"/>
      <c r="C1198" s="49"/>
      <c r="D1198" s="2177"/>
      <c r="E1198" s="2177"/>
      <c r="F1198" s="2176" t="str">
        <f>$E$747</f>
        <v>ASHP-SEER17-Replace_CAC_ElectricHeat_ROF_SF</v>
      </c>
      <c r="G1198" s="2176"/>
      <c r="H1198" s="2176"/>
      <c r="I1198" s="2176"/>
      <c r="J1198" s="986" t="str">
        <f>$C$747</f>
        <v>353100_2024_12_</v>
      </c>
      <c r="K1198" s="875">
        <v>9.4296296296296287</v>
      </c>
      <c r="L1198" s="933"/>
      <c r="M1198" s="1576" t="s">
        <v>1024</v>
      </c>
      <c r="P1198" s="248"/>
      <c r="Q1198" s="248"/>
      <c r="R1198" s="248"/>
      <c r="T1198" s="169"/>
      <c r="U1198" s="50"/>
      <c r="V1198" s="2181"/>
      <c r="W1198" s="1326">
        <v>9.6999999999999993</v>
      </c>
      <c r="X1198" s="1326">
        <v>9.6999999999999993</v>
      </c>
      <c r="Y1198" s="1326">
        <v>9.6999999999999993</v>
      </c>
      <c r="Z1198" s="1326">
        <v>9.6999999999999993</v>
      </c>
      <c r="AA1198" s="1326">
        <v>9.6999999999999993</v>
      </c>
      <c r="AB1198" s="1326">
        <v>9.6999999999999993</v>
      </c>
      <c r="AC1198" s="199">
        <v>9.5</v>
      </c>
      <c r="AD1198" s="930">
        <v>9.4181159420289866</v>
      </c>
      <c r="AE1198" s="930">
        <v>9.4296296296296287</v>
      </c>
      <c r="AF1198" s="258">
        <f t="shared" si="192"/>
        <v>9.4296296296296287</v>
      </c>
      <c r="AG1198" s="1326"/>
      <c r="DG1198" s="555"/>
      <c r="DH1198" s="151"/>
      <c r="DI1198" s="1049"/>
      <c r="DJ1198" s="1127"/>
    </row>
    <row r="1199" spans="1:114" ht="15" hidden="1" customHeight="1" outlineLevel="1" x14ac:dyDescent="0.25">
      <c r="A1199" s="442"/>
      <c r="C1199" s="49"/>
      <c r="D1199" s="2177"/>
      <c r="E1199" s="2177"/>
      <c r="F1199" s="2176" t="str">
        <f>$E$749</f>
        <v>ASHP-SEER17-Replace_CAC_NonElectricHeat_ROF_SF</v>
      </c>
      <c r="G1199" s="2176"/>
      <c r="H1199" s="2176"/>
      <c r="I1199" s="2176"/>
      <c r="J1199" s="986" t="str">
        <f>$C$749</f>
        <v>353110_2024_12_</v>
      </c>
      <c r="K1199" s="875">
        <v>9.4296296296296287</v>
      </c>
      <c r="L1199" s="933"/>
      <c r="M1199" s="1576" t="s">
        <v>1024</v>
      </c>
      <c r="P1199" s="248"/>
      <c r="Q1199" s="248"/>
      <c r="R1199" s="248"/>
      <c r="T1199" s="169"/>
      <c r="U1199" s="50"/>
      <c r="V1199" s="2181"/>
      <c r="W1199" s="1326"/>
      <c r="X1199" s="794"/>
      <c r="Y1199" s="794"/>
      <c r="Z1199" s="1326"/>
      <c r="AA1199" s="1326"/>
      <c r="AB1199" s="199"/>
      <c r="AC1199" s="199"/>
      <c r="AD1199" s="930">
        <v>9.4181159420289866</v>
      </c>
      <c r="AE1199" s="930">
        <v>9.4296296296296287</v>
      </c>
      <c r="AF1199" s="258">
        <f t="shared" si="192"/>
        <v>9.4296296296296287</v>
      </c>
      <c r="AG1199" s="1326"/>
      <c r="DG1199" s="555"/>
      <c r="DH1199" s="151"/>
      <c r="DI1199" s="1049"/>
      <c r="DJ1199" s="1127"/>
    </row>
    <row r="1200" spans="1:114" ht="15" hidden="1" customHeight="1" outlineLevel="1" x14ac:dyDescent="0.25">
      <c r="A1200" s="442"/>
      <c r="C1200" s="49"/>
      <c r="D1200" s="2177"/>
      <c r="E1200" s="2177"/>
      <c r="F1200" s="2176" t="str">
        <f>$E$751</f>
        <v>ASHP-SEER18-Replace_CAC_ElectricHeat_ROF_SF</v>
      </c>
      <c r="G1200" s="2176"/>
      <c r="H1200" s="2176"/>
      <c r="I1200" s="2176"/>
      <c r="J1200" s="986" t="str">
        <f>$C$751</f>
        <v>353200_2024_12_</v>
      </c>
      <c r="K1200" s="875">
        <v>9.8957142857142895</v>
      </c>
      <c r="L1200" s="933"/>
      <c r="M1200" s="1576" t="s">
        <v>1024</v>
      </c>
      <c r="P1200" s="248"/>
      <c r="Q1200" s="248"/>
      <c r="R1200" s="248"/>
      <c r="T1200" s="169"/>
      <c r="U1200" s="50"/>
      <c r="V1200" s="2181"/>
      <c r="W1200" s="1326">
        <v>9.6999999999999993</v>
      </c>
      <c r="X1200" s="1326">
        <v>9.6999999999999993</v>
      </c>
      <c r="Y1200" s="1326">
        <v>9.6999999999999993</v>
      </c>
      <c r="Z1200" s="1326">
        <v>9.6999999999999993</v>
      </c>
      <c r="AA1200" s="1326">
        <v>9.6999999999999993</v>
      </c>
      <c r="AB1200" s="794">
        <v>10.5</v>
      </c>
      <c r="AC1200" s="199">
        <v>9.7852941176470605</v>
      </c>
      <c r="AD1200" s="930">
        <v>10.148936170212766</v>
      </c>
      <c r="AE1200" s="930">
        <v>9.8957142857142895</v>
      </c>
      <c r="AF1200" s="258">
        <f t="shared" si="192"/>
        <v>9.8957142857142895</v>
      </c>
      <c r="AG1200" s="1326"/>
      <c r="DG1200" s="555"/>
      <c r="DH1200" s="151"/>
      <c r="DI1200" s="1049"/>
      <c r="DJ1200" s="1127"/>
    </row>
    <row r="1201" spans="1:114" ht="15" hidden="1" customHeight="1" outlineLevel="1" x14ac:dyDescent="0.25">
      <c r="A1201" s="442"/>
      <c r="C1201" s="49"/>
      <c r="D1201" s="2177"/>
      <c r="E1201" s="2177"/>
      <c r="F1201" s="2176" t="str">
        <f>$E$753</f>
        <v>ASHP-SEER18-Replace_CAC_NonElectricHeat_ROF_SF</v>
      </c>
      <c r="G1201" s="2176"/>
      <c r="H1201" s="2176"/>
      <c r="I1201" s="2176"/>
      <c r="J1201" s="986" t="str">
        <f>$C$753</f>
        <v>353210_2024_12_</v>
      </c>
      <c r="K1201" s="875">
        <v>9.8957142857142895</v>
      </c>
      <c r="L1201" s="933"/>
      <c r="M1201" s="1576" t="s">
        <v>1024</v>
      </c>
      <c r="P1201" s="248"/>
      <c r="Q1201" s="248"/>
      <c r="R1201" s="248"/>
      <c r="T1201" s="169"/>
      <c r="U1201" s="50"/>
      <c r="V1201" s="2181"/>
      <c r="W1201" s="1326"/>
      <c r="X1201" s="794"/>
      <c r="Y1201" s="794"/>
      <c r="Z1201" s="1326"/>
      <c r="AA1201" s="1326"/>
      <c r="AB1201" s="199"/>
      <c r="AC1201" s="199"/>
      <c r="AD1201" s="930">
        <v>10.148936170212766</v>
      </c>
      <c r="AE1201" s="930">
        <v>9.8957142857142895</v>
      </c>
      <c r="AF1201" s="258">
        <f t="shared" ref="AF1201:AF1234" si="193">IF(K1201&lt;&gt;"",K1201,"")</f>
        <v>9.8957142857142895</v>
      </c>
      <c r="AG1201" s="1326"/>
      <c r="DG1201" s="555"/>
      <c r="DH1201" s="151"/>
      <c r="DI1201" s="1049"/>
      <c r="DJ1201" s="1127"/>
    </row>
    <row r="1202" spans="1:114" ht="15" hidden="1" customHeight="1" outlineLevel="1" x14ac:dyDescent="0.25">
      <c r="A1202" s="442"/>
      <c r="C1202" s="49"/>
      <c r="D1202" s="2177"/>
      <c r="E1202" s="2177"/>
      <c r="F1202" s="2176" t="str">
        <f>$E$755</f>
        <v>ASHP-SEER19-Replace_CAC_ElectricHeat_ROF_SF</v>
      </c>
      <c r="G1202" s="2176"/>
      <c r="H1202" s="2176"/>
      <c r="I1202" s="2176"/>
      <c r="J1202" s="986" t="str">
        <f>$C$755</f>
        <v>353300_2024_12_</v>
      </c>
      <c r="K1202" s="875">
        <v>10.115384615384615</v>
      </c>
      <c r="L1202" s="933"/>
      <c r="M1202" s="1576" t="s">
        <v>1026</v>
      </c>
      <c r="P1202" s="248"/>
      <c r="Q1202" s="248"/>
      <c r="R1202" s="248"/>
      <c r="T1202" s="169"/>
      <c r="U1202" s="50"/>
      <c r="V1202" s="2181"/>
      <c r="W1202" s="1326">
        <v>9.6999999999999993</v>
      </c>
      <c r="X1202" s="1326">
        <v>9.6999999999999993</v>
      </c>
      <c r="Y1202" s="1326">
        <v>9.6999999999999993</v>
      </c>
      <c r="Z1202" s="1326">
        <v>9.6999999999999993</v>
      </c>
      <c r="AA1202" s="1326">
        <v>9.6999999999999993</v>
      </c>
      <c r="AB1202" s="1326">
        <v>9.6999999999999993</v>
      </c>
      <c r="AC1202" s="199">
        <v>11</v>
      </c>
      <c r="AD1202" s="930">
        <v>10.115384615384615</v>
      </c>
      <c r="AE1202" s="931">
        <v>10.115384615384615</v>
      </c>
      <c r="AF1202" s="258">
        <f t="shared" si="193"/>
        <v>10.115384615384615</v>
      </c>
      <c r="AG1202" s="1326"/>
      <c r="DG1202" s="555"/>
      <c r="DH1202" s="151"/>
      <c r="DI1202" s="1049"/>
      <c r="DJ1202" s="1127"/>
    </row>
    <row r="1203" spans="1:114" ht="15" hidden="1" customHeight="1" outlineLevel="1" x14ac:dyDescent="0.25">
      <c r="A1203" s="442"/>
      <c r="C1203" s="49"/>
      <c r="D1203" s="2177"/>
      <c r="E1203" s="2177"/>
      <c r="F1203" s="2176" t="str">
        <f>$E$757</f>
        <v>ASHP-SEER19-Replace_CAC_NonElectricHeat_ROF_SF</v>
      </c>
      <c r="G1203" s="2176"/>
      <c r="H1203" s="2176"/>
      <c r="I1203" s="2176"/>
      <c r="J1203" s="986" t="str">
        <f>$C$757</f>
        <v>353310_2024_12_</v>
      </c>
      <c r="K1203" s="875">
        <v>10.115384615384615</v>
      </c>
      <c r="L1203" s="933"/>
      <c r="M1203" s="1576" t="s">
        <v>1112</v>
      </c>
      <c r="P1203" s="248"/>
      <c r="Q1203" s="248"/>
      <c r="R1203" s="248"/>
      <c r="T1203" s="169"/>
      <c r="U1203" s="50"/>
      <c r="V1203" s="2181"/>
      <c r="W1203" s="1326"/>
      <c r="X1203" s="794"/>
      <c r="Y1203" s="794"/>
      <c r="Z1203" s="1326"/>
      <c r="AA1203" s="1326"/>
      <c r="AB1203" s="199"/>
      <c r="AC1203" s="199"/>
      <c r="AD1203" s="930">
        <v>10.115384615384615</v>
      </c>
      <c r="AE1203" s="931">
        <v>10.115384615384615</v>
      </c>
      <c r="AF1203" s="258">
        <f t="shared" si="193"/>
        <v>10.115384615384615</v>
      </c>
      <c r="AG1203" s="1326"/>
      <c r="DG1203" s="555"/>
      <c r="DH1203" s="151"/>
      <c r="DI1203" s="1049"/>
      <c r="DJ1203" s="1127"/>
    </row>
    <row r="1204" spans="1:114" ht="15" hidden="1" customHeight="1" outlineLevel="1" x14ac:dyDescent="0.25">
      <c r="A1204" s="442"/>
      <c r="C1204" s="49"/>
      <c r="D1204" s="2177"/>
      <c r="E1204" s="2177"/>
      <c r="F1204" s="2176" t="str">
        <f>$E$759</f>
        <v>ASHP-SEER20-Replace_CAC_ElectricHeat_ER1_SF</v>
      </c>
      <c r="G1204" s="2176"/>
      <c r="H1204" s="2176"/>
      <c r="I1204" s="2176"/>
      <c r="J1204" s="986" t="str">
        <f>$C$759</f>
        <v>353400_2024_12_</v>
      </c>
      <c r="K1204" s="875">
        <v>10.36212121212121</v>
      </c>
      <c r="L1204" s="933"/>
      <c r="M1204" s="1576" t="s">
        <v>1024</v>
      </c>
      <c r="P1204" s="248"/>
      <c r="Q1204" s="248"/>
      <c r="R1204" s="248"/>
      <c r="T1204" s="169"/>
      <c r="U1204" s="50"/>
      <c r="V1204" s="2181"/>
      <c r="W1204" s="1326">
        <v>9.4</v>
      </c>
      <c r="X1204" s="1326">
        <v>9.4</v>
      </c>
      <c r="Y1204" s="1326">
        <v>9.4</v>
      </c>
      <c r="Z1204" s="1326">
        <v>9.4</v>
      </c>
      <c r="AA1204" s="1326">
        <v>9.4</v>
      </c>
      <c r="AB1204" s="1326">
        <v>9.4</v>
      </c>
      <c r="AC1204" s="199">
        <v>11.1</v>
      </c>
      <c r="AD1204" s="930">
        <v>10.135555555555554</v>
      </c>
      <c r="AE1204" s="930">
        <v>10.36212121212121</v>
      </c>
      <c r="AF1204" s="258">
        <f t="shared" si="193"/>
        <v>10.36212121212121</v>
      </c>
      <c r="AG1204" s="1326"/>
      <c r="DG1204" s="555"/>
      <c r="DH1204" s="151"/>
      <c r="DI1204" s="1049"/>
      <c r="DJ1204" s="1127"/>
    </row>
    <row r="1205" spans="1:114" ht="15" hidden="1" customHeight="1" outlineLevel="1" x14ac:dyDescent="0.25">
      <c r="A1205" s="442"/>
      <c r="C1205" s="49"/>
      <c r="D1205" s="2177"/>
      <c r="E1205" s="2177"/>
      <c r="F1205" s="2176" t="str">
        <f>$E$761</f>
        <v>ASHP-SEER20-Replace_CAC_ElectricHeat_ER2_SF</v>
      </c>
      <c r="G1205" s="2176"/>
      <c r="H1205" s="2176"/>
      <c r="I1205" s="2176"/>
      <c r="J1205" s="986" t="str">
        <f>$C$761</f>
        <v>353400_2024_12_</v>
      </c>
      <c r="K1205" s="875">
        <v>10.36212121212121</v>
      </c>
      <c r="L1205" s="933"/>
      <c r="M1205" s="1576" t="s">
        <v>1024</v>
      </c>
      <c r="P1205" s="248"/>
      <c r="Q1205" s="248"/>
      <c r="R1205" s="248"/>
      <c r="T1205" s="169"/>
      <c r="U1205" s="50"/>
      <c r="V1205" s="2181"/>
      <c r="W1205" s="1326">
        <v>9.4</v>
      </c>
      <c r="X1205" s="1326">
        <v>9.4</v>
      </c>
      <c r="Y1205" s="1326">
        <v>9.4</v>
      </c>
      <c r="Z1205" s="1326">
        <v>9.4</v>
      </c>
      <c r="AA1205" s="1326">
        <v>9.4</v>
      </c>
      <c r="AB1205" s="1326">
        <v>9.4</v>
      </c>
      <c r="AC1205" s="199">
        <f>AC1204</f>
        <v>11.1</v>
      </c>
      <c r="AD1205" s="930">
        <v>10.135555555555554</v>
      </c>
      <c r="AE1205" s="930">
        <v>10.36212121212121</v>
      </c>
      <c r="AF1205" s="258">
        <f t="shared" si="193"/>
        <v>10.36212121212121</v>
      </c>
      <c r="AG1205" s="1326"/>
      <c r="DG1205" s="555"/>
      <c r="DH1205" s="151"/>
      <c r="DI1205" s="1049"/>
      <c r="DJ1205" s="1127"/>
    </row>
    <row r="1206" spans="1:114" ht="15" hidden="1" customHeight="1" outlineLevel="1" x14ac:dyDescent="0.25">
      <c r="A1206" s="442"/>
      <c r="C1206" s="49"/>
      <c r="D1206" s="2177"/>
      <c r="E1206" s="2177"/>
      <c r="F1206" s="2176" t="str">
        <f>$E$763</f>
        <v>ASHP-SEER20-Replace_CAC_NonElectricHeat_ER1_SF</v>
      </c>
      <c r="G1206" s="2176"/>
      <c r="H1206" s="2176"/>
      <c r="I1206" s="2176"/>
      <c r="J1206" s="986" t="str">
        <f>$C$763</f>
        <v>353410_2024_12_</v>
      </c>
      <c r="K1206" s="875">
        <v>10.36212121212121</v>
      </c>
      <c r="L1206" s="933"/>
      <c r="M1206" s="1576" t="s">
        <v>1024</v>
      </c>
      <c r="P1206" s="248"/>
      <c r="Q1206" s="248"/>
      <c r="R1206" s="248"/>
      <c r="T1206" s="169"/>
      <c r="U1206" s="50"/>
      <c r="V1206" s="2181"/>
      <c r="W1206" s="1326"/>
      <c r="X1206" s="1326"/>
      <c r="Y1206" s="1326"/>
      <c r="Z1206" s="1326"/>
      <c r="AA1206" s="1326"/>
      <c r="AB1206" s="1326"/>
      <c r="AC1206" s="199">
        <v>11.1</v>
      </c>
      <c r="AD1206" s="930">
        <v>10.135555555555554</v>
      </c>
      <c r="AE1206" s="930">
        <v>10.36212121212121</v>
      </c>
      <c r="AF1206" s="258">
        <f t="shared" si="193"/>
        <v>10.36212121212121</v>
      </c>
      <c r="AG1206" s="1326"/>
      <c r="DG1206" s="555"/>
      <c r="DH1206" s="151"/>
      <c r="DI1206" s="1049"/>
      <c r="DJ1206" s="1127"/>
    </row>
    <row r="1207" spans="1:114" ht="15" hidden="1" customHeight="1" outlineLevel="1" x14ac:dyDescent="0.25">
      <c r="A1207" s="442"/>
      <c r="C1207" s="49"/>
      <c r="D1207" s="2177"/>
      <c r="E1207" s="2177"/>
      <c r="F1207" s="2176" t="str">
        <f>$E$765</f>
        <v>ASHP-SEER20-Replace_CAC_NonElectricHeat_ER2_SF</v>
      </c>
      <c r="G1207" s="2176"/>
      <c r="H1207" s="2176"/>
      <c r="I1207" s="2176"/>
      <c r="J1207" s="986" t="str">
        <f>$C$765</f>
        <v>353410_2024_12_</v>
      </c>
      <c r="K1207" s="875">
        <v>10.36212121212121</v>
      </c>
      <c r="L1207" s="933"/>
      <c r="M1207" s="1576" t="s">
        <v>1024</v>
      </c>
      <c r="P1207" s="248"/>
      <c r="Q1207" s="248"/>
      <c r="R1207" s="248"/>
      <c r="T1207" s="169"/>
      <c r="U1207" s="50"/>
      <c r="V1207" s="2181"/>
      <c r="W1207" s="1326"/>
      <c r="X1207" s="1326"/>
      <c r="Y1207" s="1326"/>
      <c r="Z1207" s="1326"/>
      <c r="AA1207" s="1326"/>
      <c r="AB1207" s="1326"/>
      <c r="AC1207" s="199">
        <f>AC1206</f>
        <v>11.1</v>
      </c>
      <c r="AD1207" s="930">
        <v>10.135555555555554</v>
      </c>
      <c r="AE1207" s="930">
        <v>10.36212121212121</v>
      </c>
      <c r="AF1207" s="258">
        <f t="shared" si="193"/>
        <v>10.36212121212121</v>
      </c>
      <c r="AG1207" s="1326"/>
      <c r="DG1207" s="555"/>
      <c r="DH1207" s="151"/>
      <c r="DI1207" s="1049"/>
      <c r="DJ1207" s="1127"/>
    </row>
    <row r="1208" spans="1:114" ht="15" hidden="1" customHeight="1" outlineLevel="1" x14ac:dyDescent="0.25">
      <c r="A1208" s="442"/>
      <c r="C1208" s="49"/>
      <c r="D1208" s="2177"/>
      <c r="E1208" s="2177"/>
      <c r="F1208" s="2176" t="str">
        <f>$E$767</f>
        <v>ASHP-SEER20-Replace_CAC_ElectricHeat_ROF_SF</v>
      </c>
      <c r="G1208" s="2176"/>
      <c r="H1208" s="2176"/>
      <c r="I1208" s="2176"/>
      <c r="J1208" s="986" t="str">
        <f>$C$767</f>
        <v>353450_2024_12_</v>
      </c>
      <c r="K1208" s="875">
        <v>10.403571428571428</v>
      </c>
      <c r="L1208" s="933"/>
      <c r="M1208" s="1576" t="s">
        <v>1026</v>
      </c>
      <c r="P1208" s="248"/>
      <c r="Q1208" s="248"/>
      <c r="R1208" s="248"/>
      <c r="T1208" s="169"/>
      <c r="U1208" s="50"/>
      <c r="V1208" s="2181"/>
      <c r="W1208" s="1326">
        <v>9.6999999999999993</v>
      </c>
      <c r="X1208" s="1326">
        <v>9.6999999999999993</v>
      </c>
      <c r="Y1208" s="1326">
        <v>9.6999999999999993</v>
      </c>
      <c r="Z1208" s="1326">
        <v>9.6999999999999993</v>
      </c>
      <c r="AA1208" s="1326">
        <v>9.6999999999999993</v>
      </c>
      <c r="AB1208" s="1326">
        <v>9.6999999999999993</v>
      </c>
      <c r="AC1208" s="199">
        <v>10.5</v>
      </c>
      <c r="AD1208" s="930">
        <v>10.403571428571428</v>
      </c>
      <c r="AE1208" s="931">
        <v>10.403571428571428</v>
      </c>
      <c r="AF1208" s="258">
        <f t="shared" si="193"/>
        <v>10.403571428571428</v>
      </c>
      <c r="AG1208" s="1326"/>
      <c r="DG1208" s="555"/>
      <c r="DH1208" s="151"/>
      <c r="DI1208" s="1049"/>
      <c r="DJ1208" s="1127"/>
    </row>
    <row r="1209" spans="1:114" ht="15" hidden="1" customHeight="1" outlineLevel="1" x14ac:dyDescent="0.25">
      <c r="A1209" s="442"/>
      <c r="C1209" s="49"/>
      <c r="D1209" s="2177"/>
      <c r="E1209" s="2177"/>
      <c r="F1209" s="2176" t="str">
        <f>$E$769</f>
        <v>ASHP-SEER20-Replace_CAC_NonElectricHeat_ROF_SF</v>
      </c>
      <c r="G1209" s="2176"/>
      <c r="H1209" s="2176"/>
      <c r="I1209" s="2176"/>
      <c r="J1209" s="986" t="str">
        <f>$C$769</f>
        <v>353460_2024_12_</v>
      </c>
      <c r="K1209" s="875">
        <v>10.403571428571428</v>
      </c>
      <c r="L1209" s="933"/>
      <c r="M1209" s="1576" t="s">
        <v>1112</v>
      </c>
      <c r="P1209" s="248"/>
      <c r="Q1209" s="248"/>
      <c r="R1209" s="248"/>
      <c r="T1209" s="169"/>
      <c r="U1209" s="50"/>
      <c r="V1209" s="2181"/>
      <c r="W1209" s="1326"/>
      <c r="X1209" s="794"/>
      <c r="Y1209" s="794"/>
      <c r="Z1209" s="1326"/>
      <c r="AA1209" s="1326"/>
      <c r="AB1209" s="199"/>
      <c r="AC1209" s="199"/>
      <c r="AD1209" s="930">
        <v>10.403571428571428</v>
      </c>
      <c r="AE1209" s="931">
        <v>10.403571428571428</v>
      </c>
      <c r="AF1209" s="258">
        <f t="shared" si="193"/>
        <v>10.403571428571428</v>
      </c>
      <c r="AG1209" s="1326"/>
      <c r="DG1209" s="555"/>
      <c r="DH1209" s="151"/>
      <c r="DI1209" s="1049"/>
      <c r="DJ1209" s="1127"/>
    </row>
    <row r="1210" spans="1:114" ht="15" hidden="1" customHeight="1" outlineLevel="1" x14ac:dyDescent="0.25">
      <c r="A1210" s="442"/>
      <c r="C1210" s="49"/>
      <c r="D1210" s="2177"/>
      <c r="E1210" s="2177"/>
      <c r="F1210" s="2176" t="str">
        <f>$E$771</f>
        <v>ASHP-SEER21-Replace_CAC_ElectricHeat_ER1_SF</v>
      </c>
      <c r="G1210" s="2176"/>
      <c r="H1210" s="2176"/>
      <c r="I1210" s="2176"/>
      <c r="J1210" s="986" t="str">
        <f>$C$771</f>
        <v>353550_2024_12_</v>
      </c>
      <c r="K1210" s="875">
        <v>10.753333333333332</v>
      </c>
      <c r="L1210" s="933"/>
      <c r="M1210" s="1576" t="s">
        <v>1024</v>
      </c>
      <c r="P1210" s="248"/>
      <c r="Q1210" s="196"/>
      <c r="R1210" s="248"/>
      <c r="T1210" s="169"/>
      <c r="U1210" s="50"/>
      <c r="V1210" s="2181"/>
      <c r="W1210" s="1326">
        <v>9.4</v>
      </c>
      <c r="X1210" s="1326">
        <v>9.4</v>
      </c>
      <c r="Y1210" s="1326">
        <v>9.4</v>
      </c>
      <c r="Z1210" s="1326">
        <v>9.4</v>
      </c>
      <c r="AA1210" s="1326">
        <v>9.4</v>
      </c>
      <c r="AB1210" s="1326">
        <v>9.4</v>
      </c>
      <c r="AC1210" s="199">
        <v>10.727272727272727</v>
      </c>
      <c r="AD1210" s="931">
        <v>10.727272727272727</v>
      </c>
      <c r="AE1210" s="930">
        <v>10.753333333333332</v>
      </c>
      <c r="AF1210" s="258">
        <f t="shared" si="193"/>
        <v>10.753333333333332</v>
      </c>
      <c r="AG1210" s="1326"/>
      <c r="DG1210" s="555"/>
      <c r="DH1210" s="151"/>
      <c r="DI1210" s="1049"/>
      <c r="DJ1210" s="1127"/>
    </row>
    <row r="1211" spans="1:114" ht="15" hidden="1" customHeight="1" outlineLevel="1" x14ac:dyDescent="0.25">
      <c r="A1211" s="442"/>
      <c r="C1211" s="49"/>
      <c r="D1211" s="2177"/>
      <c r="E1211" s="2177"/>
      <c r="F1211" s="2176" t="str">
        <f>$E$773</f>
        <v>ASHP-SEER21-Replace_CAC_ElectricHeat_ER2_SF</v>
      </c>
      <c r="G1211" s="2176"/>
      <c r="H1211" s="2176"/>
      <c r="I1211" s="2176"/>
      <c r="J1211" s="986" t="str">
        <f>$C$773</f>
        <v>353550_2024_12_</v>
      </c>
      <c r="K1211" s="875">
        <v>10.753333333333332</v>
      </c>
      <c r="L1211" s="933"/>
      <c r="M1211" s="1576" t="s">
        <v>1024</v>
      </c>
      <c r="P1211" s="248"/>
      <c r="Q1211" s="196"/>
      <c r="R1211" s="248"/>
      <c r="T1211" s="169"/>
      <c r="U1211" s="50"/>
      <c r="V1211" s="2181"/>
      <c r="W1211" s="1326">
        <v>9.4</v>
      </c>
      <c r="X1211" s="1326">
        <v>9.4</v>
      </c>
      <c r="Y1211" s="1326">
        <v>9.4</v>
      </c>
      <c r="Z1211" s="1326">
        <v>9.4</v>
      </c>
      <c r="AA1211" s="1326">
        <v>9.4</v>
      </c>
      <c r="AB1211" s="1326">
        <v>9.4</v>
      </c>
      <c r="AC1211" s="199">
        <f>AC1210</f>
        <v>10.727272727272727</v>
      </c>
      <c r="AD1211" s="931">
        <v>10.727272727272727</v>
      </c>
      <c r="AE1211" s="930">
        <v>10.753333333333332</v>
      </c>
      <c r="AF1211" s="258">
        <f t="shared" si="193"/>
        <v>10.753333333333332</v>
      </c>
      <c r="AG1211" s="1326"/>
      <c r="DG1211" s="555"/>
      <c r="DH1211" s="151"/>
      <c r="DI1211" s="1049"/>
      <c r="DJ1211" s="1127"/>
    </row>
    <row r="1212" spans="1:114" ht="15" hidden="1" customHeight="1" outlineLevel="1" x14ac:dyDescent="0.25">
      <c r="A1212" s="442"/>
      <c r="C1212" s="49"/>
      <c r="D1212" s="2177"/>
      <c r="E1212" s="2177"/>
      <c r="F1212" s="2176" t="str">
        <f>$E$775</f>
        <v>ASHP-SEER21-Replace_CAC_NonElectricHeat_ER1_SF</v>
      </c>
      <c r="G1212" s="2176"/>
      <c r="H1212" s="2176"/>
      <c r="I1212" s="2176"/>
      <c r="J1212" s="986" t="str">
        <f>$C$775</f>
        <v>353560_2024_12_</v>
      </c>
      <c r="K1212" s="875">
        <v>10.753333333333332</v>
      </c>
      <c r="L1212" s="933"/>
      <c r="M1212" s="1576" t="s">
        <v>1024</v>
      </c>
      <c r="P1212" s="248"/>
      <c r="Q1212" s="196"/>
      <c r="R1212" s="248"/>
      <c r="T1212" s="169"/>
      <c r="U1212" s="50"/>
      <c r="V1212" s="2181"/>
      <c r="W1212" s="1326"/>
      <c r="X1212" s="1326"/>
      <c r="Y1212" s="1326"/>
      <c r="Z1212" s="1326"/>
      <c r="AA1212" s="1326"/>
      <c r="AB1212" s="1326"/>
      <c r="AC1212" s="199">
        <v>10.727272727272727</v>
      </c>
      <c r="AD1212" s="931">
        <v>10.727272727272727</v>
      </c>
      <c r="AE1212" s="930">
        <v>10.753333333333332</v>
      </c>
      <c r="AF1212" s="258">
        <f t="shared" si="193"/>
        <v>10.753333333333332</v>
      </c>
      <c r="AG1212" s="1326"/>
      <c r="DG1212" s="555"/>
      <c r="DH1212" s="151"/>
      <c r="DI1212" s="1049"/>
      <c r="DJ1212" s="1127"/>
    </row>
    <row r="1213" spans="1:114" ht="15" hidden="1" customHeight="1" outlineLevel="1" x14ac:dyDescent="0.25">
      <c r="A1213" s="442"/>
      <c r="C1213" s="49"/>
      <c r="D1213" s="2177"/>
      <c r="E1213" s="2177"/>
      <c r="F1213" s="2176" t="str">
        <f>$E$777</f>
        <v>ASHP-SEER21-Replace_CAC_NonElectricHeat_ER2_SF</v>
      </c>
      <c r="G1213" s="2176"/>
      <c r="H1213" s="2176"/>
      <c r="I1213" s="2176"/>
      <c r="J1213" s="986" t="str">
        <f>$C$777</f>
        <v>353560_2024_12_</v>
      </c>
      <c r="K1213" s="875">
        <v>10.753333333333332</v>
      </c>
      <c r="L1213" s="933"/>
      <c r="M1213" s="1576" t="s">
        <v>1024</v>
      </c>
      <c r="P1213" s="248"/>
      <c r="Q1213" s="196"/>
      <c r="R1213" s="248"/>
      <c r="T1213" s="169"/>
      <c r="U1213" s="50"/>
      <c r="V1213" s="2181"/>
      <c r="W1213" s="1326"/>
      <c r="X1213" s="1326"/>
      <c r="Y1213" s="1326"/>
      <c r="Z1213" s="1326"/>
      <c r="AA1213" s="1326"/>
      <c r="AB1213" s="1326"/>
      <c r="AC1213" s="199">
        <f>AC1212</f>
        <v>10.727272727272727</v>
      </c>
      <c r="AD1213" s="931">
        <v>10.727272727272727</v>
      </c>
      <c r="AE1213" s="930">
        <v>10.753333333333332</v>
      </c>
      <c r="AF1213" s="258">
        <f t="shared" si="193"/>
        <v>10.753333333333332</v>
      </c>
      <c r="AG1213" s="1326"/>
      <c r="DG1213" s="555"/>
      <c r="DH1213" s="151"/>
      <c r="DI1213" s="1049"/>
      <c r="DJ1213" s="1127"/>
    </row>
    <row r="1214" spans="1:114" ht="15" hidden="1" customHeight="1" outlineLevel="1" x14ac:dyDescent="0.25">
      <c r="A1214" s="442"/>
      <c r="C1214" s="49"/>
      <c r="D1214" s="2177"/>
      <c r="E1214" s="2177"/>
      <c r="F1214" s="2176" t="str">
        <f>$E$779</f>
        <v>ASHP-SEER21-Replace_CAC_ElectricHeat_ER1_MF</v>
      </c>
      <c r="G1214" s="2176"/>
      <c r="H1214" s="2176"/>
      <c r="I1214" s="2176"/>
      <c r="J1214" s="986" t="str">
        <f>$C$779</f>
        <v>353600_2024_12_</v>
      </c>
      <c r="K1214" s="1591">
        <v>9.4</v>
      </c>
      <c r="L1214" s="933"/>
      <c r="M1214" s="1577" t="s">
        <v>1361</v>
      </c>
      <c r="P1214" s="248"/>
      <c r="Q1214" s="196"/>
      <c r="R1214" s="248"/>
      <c r="T1214" s="169"/>
      <c r="U1214" s="50"/>
      <c r="V1214" s="2181"/>
      <c r="W1214" s="1326">
        <v>9.4</v>
      </c>
      <c r="X1214" s="1326">
        <v>9.4</v>
      </c>
      <c r="Y1214" s="1326">
        <v>9.4</v>
      </c>
      <c r="Z1214" s="1326">
        <v>9.4</v>
      </c>
      <c r="AA1214" s="1326">
        <v>9.4</v>
      </c>
      <c r="AB1214" s="1326">
        <v>9.4</v>
      </c>
      <c r="AC1214" s="198">
        <v>9.4</v>
      </c>
      <c r="AD1214" s="198">
        <v>9.4</v>
      </c>
      <c r="AE1214" s="932">
        <v>9.4</v>
      </c>
      <c r="AF1214" s="258">
        <f t="shared" si="193"/>
        <v>9.4</v>
      </c>
      <c r="AG1214" s="1326"/>
      <c r="DG1214" s="555"/>
      <c r="DH1214" s="151"/>
      <c r="DI1214" s="1049"/>
      <c r="DJ1214" s="1127"/>
    </row>
    <row r="1215" spans="1:114" ht="15" hidden="1" customHeight="1" outlineLevel="1" x14ac:dyDescent="0.25">
      <c r="A1215" s="442"/>
      <c r="C1215" s="49"/>
      <c r="D1215" s="2177"/>
      <c r="E1215" s="2177"/>
      <c r="F1215" s="2176" t="str">
        <f>$E$781</f>
        <v>ASHP-SEER21-Replace_CAC_ElectricHeat_ER2_MF</v>
      </c>
      <c r="G1215" s="2176"/>
      <c r="H1215" s="2176"/>
      <c r="I1215" s="2176"/>
      <c r="J1215" s="986" t="str">
        <f>$C$781</f>
        <v>353600_2024_12_</v>
      </c>
      <c r="K1215" s="1591">
        <v>9.4</v>
      </c>
      <c r="L1215" s="933"/>
      <c r="M1215" s="1577" t="s">
        <v>1361</v>
      </c>
      <c r="P1215" s="248"/>
      <c r="Q1215" s="196"/>
      <c r="R1215" s="248"/>
      <c r="T1215" s="169"/>
      <c r="U1215" s="50"/>
      <c r="V1215" s="2181"/>
      <c r="W1215" s="1326">
        <v>9.4</v>
      </c>
      <c r="X1215" s="1326">
        <v>9.4</v>
      </c>
      <c r="Y1215" s="1326">
        <v>9.4</v>
      </c>
      <c r="Z1215" s="1326">
        <v>9.4</v>
      </c>
      <c r="AA1215" s="1326">
        <v>9.4</v>
      </c>
      <c r="AB1215" s="1326">
        <v>9.4</v>
      </c>
      <c r="AC1215" s="198">
        <v>9.4</v>
      </c>
      <c r="AD1215" s="198">
        <v>9.4</v>
      </c>
      <c r="AE1215" s="932">
        <v>9.4</v>
      </c>
      <c r="AF1215" s="258">
        <f t="shared" si="193"/>
        <v>9.4</v>
      </c>
      <c r="AG1215" s="1326"/>
      <c r="DG1215" s="555"/>
      <c r="DH1215" s="151"/>
      <c r="DI1215" s="1049"/>
      <c r="DJ1215" s="1127"/>
    </row>
    <row r="1216" spans="1:114" ht="15" hidden="1" customHeight="1" outlineLevel="1" x14ac:dyDescent="0.25">
      <c r="A1216" s="442"/>
      <c r="C1216" s="49"/>
      <c r="D1216" s="2177"/>
      <c r="E1216" s="2177"/>
      <c r="F1216" s="2176" t="str">
        <f>$E$783</f>
        <v>ASHP-SEER21-Replace_CAC_ElectricHeat_ROF_SF</v>
      </c>
      <c r="G1216" s="2176"/>
      <c r="H1216" s="2176"/>
      <c r="I1216" s="2176"/>
      <c r="J1216" s="986" t="str">
        <f>$C$783</f>
        <v>353650_2024_12_</v>
      </c>
      <c r="K1216" s="875">
        <v>10.609090909090909</v>
      </c>
      <c r="L1216" s="933"/>
      <c r="M1216" s="1576" t="s">
        <v>1024</v>
      </c>
      <c r="P1216" s="248"/>
      <c r="Q1216" s="196"/>
      <c r="R1216" s="248"/>
      <c r="T1216" s="169"/>
      <c r="U1216" s="50"/>
      <c r="V1216" s="2181"/>
      <c r="W1216" s="1326">
        <v>9.6999999999999993</v>
      </c>
      <c r="X1216" s="1326">
        <v>9.6999999999999993</v>
      </c>
      <c r="Y1216" s="1326">
        <v>9.6999999999999993</v>
      </c>
      <c r="Z1216" s="1326">
        <v>9.6999999999999993</v>
      </c>
      <c r="AA1216" s="1326">
        <v>9.6999999999999993</v>
      </c>
      <c r="AB1216" s="1326">
        <v>9.6999999999999993</v>
      </c>
      <c r="AC1216" s="199">
        <v>10.5</v>
      </c>
      <c r="AD1216" s="930">
        <v>11</v>
      </c>
      <c r="AE1216" s="930">
        <v>10.609090909090909</v>
      </c>
      <c r="AF1216" s="258">
        <f t="shared" si="193"/>
        <v>10.609090909090909</v>
      </c>
      <c r="AG1216" s="1326"/>
      <c r="DG1216" s="555"/>
      <c r="DH1216" s="151"/>
      <c r="DI1216" s="1049"/>
      <c r="DJ1216" s="1127"/>
    </row>
    <row r="1217" spans="1:114" ht="15" hidden="1" customHeight="1" outlineLevel="1" x14ac:dyDescent="0.25">
      <c r="A1217" s="442"/>
      <c r="C1217" s="49"/>
      <c r="D1217" s="2177"/>
      <c r="E1217" s="2177"/>
      <c r="F1217" s="2176" t="str">
        <f>$E$785</f>
        <v>ASHP-SEER21-Replace_CAC_NonElectricHeat_ROF_SF</v>
      </c>
      <c r="G1217" s="2176"/>
      <c r="H1217" s="2176"/>
      <c r="I1217" s="2176"/>
      <c r="J1217" s="986" t="str">
        <f>$C$785</f>
        <v>353660_2024_12_</v>
      </c>
      <c r="K1217" s="875">
        <v>10.609090909090909</v>
      </c>
      <c r="L1217" s="933"/>
      <c r="M1217" s="1576" t="s">
        <v>1024</v>
      </c>
      <c r="P1217" s="248"/>
      <c r="Q1217" s="196"/>
      <c r="R1217" s="248"/>
      <c r="T1217" s="169"/>
      <c r="U1217" s="50"/>
      <c r="V1217" s="2181"/>
      <c r="W1217" s="1326"/>
      <c r="X1217" s="794"/>
      <c r="Y1217" s="794"/>
      <c r="Z1217" s="1326"/>
      <c r="AA1217" s="1326"/>
      <c r="AB1217" s="199"/>
      <c r="AC1217" s="199"/>
      <c r="AD1217" s="930">
        <v>11</v>
      </c>
      <c r="AE1217" s="930">
        <v>10.609090909090909</v>
      </c>
      <c r="AF1217" s="258">
        <f t="shared" si="193"/>
        <v>10.609090909090909</v>
      </c>
      <c r="AG1217" s="1326"/>
      <c r="DG1217" s="555"/>
      <c r="DH1217" s="151"/>
      <c r="DI1217" s="1049"/>
      <c r="DJ1217" s="1127"/>
    </row>
    <row r="1218" spans="1:114" ht="15" hidden="1" customHeight="1" outlineLevel="1" x14ac:dyDescent="0.25">
      <c r="A1218" s="442"/>
      <c r="C1218" s="49"/>
      <c r="D1218" s="2177"/>
      <c r="E1218" s="2177"/>
      <c r="F1218" s="2176" t="str">
        <f>$E$787</f>
        <v>ASHP-SEER17_ER1_SF</v>
      </c>
      <c r="G1218" s="2176"/>
      <c r="H1218" s="2176"/>
      <c r="I1218" s="2176"/>
      <c r="J1218" s="986" t="str">
        <f>$C$787</f>
        <v>353750_2024_12_</v>
      </c>
      <c r="K1218" s="875">
        <v>9.4688524590163912</v>
      </c>
      <c r="L1218" s="933"/>
      <c r="M1218" s="1576" t="s">
        <v>1024</v>
      </c>
      <c r="P1218" s="248"/>
      <c r="Q1218" s="196"/>
      <c r="R1218" s="248"/>
      <c r="T1218" s="169"/>
      <c r="U1218" s="50"/>
      <c r="V1218" s="2181"/>
      <c r="W1218" s="1326">
        <v>9.5</v>
      </c>
      <c r="X1218" s="1326">
        <v>9.5</v>
      </c>
      <c r="Y1218" s="1326">
        <v>9.5</v>
      </c>
      <c r="Z1218" s="1326">
        <v>9.5</v>
      </c>
      <c r="AA1218" s="1326">
        <v>9.5</v>
      </c>
      <c r="AB1218" s="1326">
        <v>9.5</v>
      </c>
      <c r="AC1218" s="199">
        <v>9.3857142857142861</v>
      </c>
      <c r="AD1218" s="930">
        <v>9.4631147540983651</v>
      </c>
      <c r="AE1218" s="930">
        <v>9.4688524590163912</v>
      </c>
      <c r="AF1218" s="258">
        <f t="shared" si="193"/>
        <v>9.4688524590163912</v>
      </c>
      <c r="AG1218" s="1326"/>
      <c r="DG1218" s="555"/>
      <c r="DH1218" s="151"/>
      <c r="DI1218" s="1049"/>
      <c r="DJ1218" s="1127"/>
    </row>
    <row r="1219" spans="1:114" ht="15" hidden="1" customHeight="1" outlineLevel="1" x14ac:dyDescent="0.25">
      <c r="A1219" s="442"/>
      <c r="C1219" s="49"/>
      <c r="D1219" s="2177"/>
      <c r="E1219" s="2177"/>
      <c r="F1219" s="2176" t="str">
        <f>$E$789</f>
        <v>ASHP-SEER17_ER2_SF</v>
      </c>
      <c r="G1219" s="2176"/>
      <c r="H1219" s="2176"/>
      <c r="I1219" s="2176"/>
      <c r="J1219" s="986" t="str">
        <f>$C$789</f>
        <v>353750_2024_12_</v>
      </c>
      <c r="K1219" s="875">
        <v>9.4688524590163912</v>
      </c>
      <c r="L1219" s="933"/>
      <c r="M1219" s="1576" t="s">
        <v>1024</v>
      </c>
      <c r="T1219" s="50"/>
      <c r="U1219" s="50"/>
      <c r="V1219" s="2181"/>
      <c r="W1219" s="1326">
        <v>9.5</v>
      </c>
      <c r="X1219" s="1326">
        <v>9.5</v>
      </c>
      <c r="Y1219" s="1326">
        <v>9.5</v>
      </c>
      <c r="Z1219" s="1326">
        <v>9.5</v>
      </c>
      <c r="AA1219" s="1326">
        <v>9.5</v>
      </c>
      <c r="AB1219" s="1326">
        <v>9.5</v>
      </c>
      <c r="AC1219" s="199">
        <f>AC1218</f>
        <v>9.3857142857142861</v>
      </c>
      <c r="AD1219" s="930">
        <v>9.4631147540983651</v>
      </c>
      <c r="AE1219" s="930">
        <v>9.4688524590163912</v>
      </c>
      <c r="AF1219" s="258">
        <f t="shared" si="193"/>
        <v>9.4688524590163912</v>
      </c>
      <c r="AG1219" s="1326"/>
      <c r="DG1219" s="555"/>
      <c r="DH1219" s="151"/>
      <c r="DI1219" s="1049"/>
      <c r="DJ1219" s="1127"/>
    </row>
    <row r="1220" spans="1:114" ht="15" hidden="1" customHeight="1" outlineLevel="1" x14ac:dyDescent="0.25">
      <c r="A1220" s="442"/>
      <c r="C1220" s="49"/>
      <c r="D1220" s="2177"/>
      <c r="E1220" s="2177"/>
      <c r="F1220" s="2176" t="str">
        <f>$E$791</f>
        <v>ASHP-SEER17_ROF_SF</v>
      </c>
      <c r="G1220" s="2176"/>
      <c r="H1220" s="2176"/>
      <c r="I1220" s="2176"/>
      <c r="J1220" s="986" t="str">
        <f>$C$791</f>
        <v>353800_2024_12_</v>
      </c>
      <c r="K1220" s="875">
        <v>9.4296296296296287</v>
      </c>
      <c r="L1220" s="933"/>
      <c r="M1220" s="1576" t="s">
        <v>1024</v>
      </c>
      <c r="P1220" s="248"/>
      <c r="Q1220" s="196"/>
      <c r="R1220" s="248"/>
      <c r="T1220" s="169"/>
      <c r="U1220" s="50"/>
      <c r="V1220" s="2181"/>
      <c r="W1220" s="1326">
        <v>9.8000000000000007</v>
      </c>
      <c r="X1220" s="1326">
        <v>9.8000000000000007</v>
      </c>
      <c r="Y1220" s="1326">
        <v>9.8000000000000007</v>
      </c>
      <c r="Z1220" s="1326">
        <v>9.8000000000000007</v>
      </c>
      <c r="AA1220" s="1326">
        <v>9.8000000000000007</v>
      </c>
      <c r="AB1220" s="1326">
        <v>9.8000000000000007</v>
      </c>
      <c r="AC1220" s="199">
        <v>9.6047619047619044</v>
      </c>
      <c r="AD1220" s="930">
        <v>9.4181159420289866</v>
      </c>
      <c r="AE1220" s="930">
        <v>9.4296296296296287</v>
      </c>
      <c r="AF1220" s="258">
        <f t="shared" si="193"/>
        <v>9.4296296296296287</v>
      </c>
      <c r="AG1220" s="1326"/>
      <c r="DG1220" s="555"/>
      <c r="DH1220" s="151"/>
      <c r="DI1220" s="1049"/>
      <c r="DJ1220" s="1127"/>
    </row>
    <row r="1221" spans="1:114" ht="15" hidden="1" customHeight="1" outlineLevel="1" x14ac:dyDescent="0.25">
      <c r="A1221" s="442"/>
      <c r="C1221" s="49"/>
      <c r="D1221" s="2177"/>
      <c r="E1221" s="2177"/>
      <c r="F1221" s="2176" t="str">
        <f>$E$793</f>
        <v>ASHP-SEER18_ER1_SF</v>
      </c>
      <c r="G1221" s="2176"/>
      <c r="H1221" s="2176"/>
      <c r="I1221" s="2176"/>
      <c r="J1221" s="986" t="str">
        <f>$C$793</f>
        <v>353850_2024_12_</v>
      </c>
      <c r="K1221" s="875">
        <v>10.033870967741937</v>
      </c>
      <c r="L1221" s="933"/>
      <c r="M1221" s="1576" t="s">
        <v>1024</v>
      </c>
      <c r="T1221" s="50"/>
      <c r="U1221" s="50"/>
      <c r="V1221" s="2181"/>
      <c r="W1221" s="1326">
        <v>9.5</v>
      </c>
      <c r="X1221" s="1326">
        <v>9.5</v>
      </c>
      <c r="Y1221" s="1326">
        <v>9.5</v>
      </c>
      <c r="Z1221" s="1326">
        <v>9.5</v>
      </c>
      <c r="AA1221" s="1326">
        <v>9.5</v>
      </c>
      <c r="AB1221" s="237">
        <v>9.6830769230769231</v>
      </c>
      <c r="AC1221" s="199">
        <v>9.9742424242424281</v>
      </c>
      <c r="AD1221" s="930">
        <v>10.124561403508777</v>
      </c>
      <c r="AE1221" s="930">
        <v>10.033870967741937</v>
      </c>
      <c r="AF1221" s="258">
        <f t="shared" si="193"/>
        <v>10.033870967741937</v>
      </c>
      <c r="AG1221" s="1326"/>
      <c r="DG1221" s="555"/>
      <c r="DH1221" s="151"/>
      <c r="DI1221" s="1049"/>
      <c r="DJ1221" s="1127"/>
    </row>
    <row r="1222" spans="1:114" ht="15" hidden="1" customHeight="1" outlineLevel="1" x14ac:dyDescent="0.25">
      <c r="A1222" s="442"/>
      <c r="C1222" s="49"/>
      <c r="D1222" s="2177"/>
      <c r="E1222" s="2177"/>
      <c r="F1222" s="2176" t="str">
        <f>$E$795</f>
        <v>ASHP-SEER18_ER2_SF</v>
      </c>
      <c r="G1222" s="2176"/>
      <c r="H1222" s="2176"/>
      <c r="I1222" s="2176"/>
      <c r="J1222" s="986" t="str">
        <f>$C$795</f>
        <v>353850_2024_12_</v>
      </c>
      <c r="K1222" s="875">
        <v>10.033870967741937</v>
      </c>
      <c r="L1222" s="933"/>
      <c r="M1222" s="1576" t="s">
        <v>1024</v>
      </c>
      <c r="T1222" s="50"/>
      <c r="U1222" s="50"/>
      <c r="V1222" s="2181"/>
      <c r="W1222" s="1326">
        <v>9.5</v>
      </c>
      <c r="X1222" s="1326">
        <v>9.5</v>
      </c>
      <c r="Y1222" s="1326">
        <v>9.5</v>
      </c>
      <c r="Z1222" s="1326">
        <v>9.5</v>
      </c>
      <c r="AA1222" s="1326">
        <v>9.5</v>
      </c>
      <c r="AB1222" s="237">
        <v>9.6830769230769231</v>
      </c>
      <c r="AC1222" s="199">
        <f>AC1221</f>
        <v>9.9742424242424281</v>
      </c>
      <c r="AD1222" s="930">
        <v>10.124561403508777</v>
      </c>
      <c r="AE1222" s="930">
        <v>10.033870967741937</v>
      </c>
      <c r="AF1222" s="258">
        <f t="shared" si="193"/>
        <v>10.033870967741937</v>
      </c>
      <c r="AG1222" s="1326"/>
      <c r="DG1222" s="555"/>
      <c r="DH1222" s="151"/>
      <c r="DI1222" s="1049"/>
      <c r="DJ1222" s="1127"/>
    </row>
    <row r="1223" spans="1:114" ht="15" hidden="1" customHeight="1" outlineLevel="1" x14ac:dyDescent="0.25">
      <c r="A1223" s="442"/>
      <c r="C1223" s="49"/>
      <c r="D1223" s="2177"/>
      <c r="E1223" s="2177"/>
      <c r="F1223" s="2176" t="str">
        <f>$E$797</f>
        <v>ASHP-SEER18_ROF_SF</v>
      </c>
      <c r="G1223" s="2176"/>
      <c r="H1223" s="2176"/>
      <c r="I1223" s="2176"/>
      <c r="J1223" s="986" t="str">
        <f>$C$797</f>
        <v>353950_2024_12_</v>
      </c>
      <c r="K1223" s="875">
        <v>9.8957142857142895</v>
      </c>
      <c r="L1223" s="933"/>
      <c r="M1223" s="1576" t="s">
        <v>1024</v>
      </c>
      <c r="P1223" s="248"/>
      <c r="Q1223" s="196"/>
      <c r="R1223" s="248"/>
      <c r="T1223" s="169"/>
      <c r="U1223" s="50"/>
      <c r="V1223" s="2181"/>
      <c r="W1223" s="1326">
        <v>9.8000000000000007</v>
      </c>
      <c r="X1223" s="1326">
        <v>9.8000000000000007</v>
      </c>
      <c r="Y1223" s="1326">
        <v>9.8000000000000007</v>
      </c>
      <c r="Z1223" s="1326">
        <v>9.8000000000000007</v>
      </c>
      <c r="AA1223" s="1326">
        <v>9.8000000000000007</v>
      </c>
      <c r="AB1223" s="1326">
        <v>9.8000000000000007</v>
      </c>
      <c r="AC1223" s="199">
        <v>10.549999999999999</v>
      </c>
      <c r="AD1223" s="930">
        <v>10.148936170212766</v>
      </c>
      <c r="AE1223" s="930">
        <v>9.8957142857142895</v>
      </c>
      <c r="AF1223" s="258">
        <f t="shared" si="193"/>
        <v>9.8957142857142895</v>
      </c>
      <c r="AG1223" s="1326"/>
      <c r="DG1223" s="555"/>
      <c r="DH1223" s="151"/>
      <c r="DI1223" s="1049"/>
      <c r="DJ1223" s="1127"/>
    </row>
    <row r="1224" spans="1:114" ht="15" hidden="1" customHeight="1" outlineLevel="1" x14ac:dyDescent="0.25">
      <c r="A1224" s="442"/>
      <c r="C1224" s="49"/>
      <c r="D1224" s="2177"/>
      <c r="E1224" s="2177"/>
      <c r="F1224" s="2176" t="str">
        <f>$E$799</f>
        <v>ASHP-SEER19_ER1_SF</v>
      </c>
      <c r="G1224" s="2176"/>
      <c r="H1224" s="2176"/>
      <c r="I1224" s="2176"/>
      <c r="J1224" s="986" t="str">
        <f>$C$799</f>
        <v>354000_2024_12_</v>
      </c>
      <c r="K1224" s="875">
        <v>10.081818181818182</v>
      </c>
      <c r="L1224" s="933"/>
      <c r="M1224" s="1576" t="s">
        <v>1024</v>
      </c>
      <c r="T1224" s="50"/>
      <c r="U1224" s="50"/>
      <c r="V1224" s="2181"/>
      <c r="W1224" s="1326">
        <v>9.5</v>
      </c>
      <c r="X1224" s="1326">
        <v>9.5</v>
      </c>
      <c r="Y1224" s="1326">
        <v>9.5</v>
      </c>
      <c r="Z1224" s="1326">
        <v>9.5</v>
      </c>
      <c r="AA1224" s="1326">
        <v>9.5</v>
      </c>
      <c r="AB1224" s="1326">
        <v>9.5</v>
      </c>
      <c r="AC1224" s="199">
        <v>10.040000000000001</v>
      </c>
      <c r="AD1224" s="930">
        <v>9.815151515151511</v>
      </c>
      <c r="AE1224" s="930">
        <v>10.081818181818182</v>
      </c>
      <c r="AF1224" s="258">
        <f t="shared" si="193"/>
        <v>10.081818181818182</v>
      </c>
      <c r="AG1224" s="1326"/>
      <c r="DG1224" s="555"/>
      <c r="DH1224" s="151"/>
      <c r="DI1224" s="1049"/>
      <c r="DJ1224" s="1127"/>
    </row>
    <row r="1225" spans="1:114" ht="15" hidden="1" customHeight="1" outlineLevel="1" x14ac:dyDescent="0.25">
      <c r="A1225" s="442"/>
      <c r="C1225" s="49"/>
      <c r="D1225" s="2177"/>
      <c r="E1225" s="2177"/>
      <c r="F1225" s="2176" t="str">
        <f>$E$801</f>
        <v>ASHP-SEER19_ER2_SF</v>
      </c>
      <c r="G1225" s="2176"/>
      <c r="H1225" s="2176"/>
      <c r="I1225" s="2176"/>
      <c r="J1225" s="986" t="str">
        <f>$C$801</f>
        <v>354000_2024_12_</v>
      </c>
      <c r="K1225" s="875">
        <v>10.081818181818182</v>
      </c>
      <c r="L1225" s="933"/>
      <c r="M1225" s="1576" t="s">
        <v>1024</v>
      </c>
      <c r="T1225" s="50"/>
      <c r="U1225" s="50"/>
      <c r="V1225" s="2181"/>
      <c r="W1225" s="1326">
        <v>9.5</v>
      </c>
      <c r="X1225" s="1326">
        <v>9.5</v>
      </c>
      <c r="Y1225" s="1326">
        <v>9.5</v>
      </c>
      <c r="Z1225" s="1326">
        <v>9.5</v>
      </c>
      <c r="AA1225" s="1326">
        <v>9.5</v>
      </c>
      <c r="AB1225" s="1326">
        <v>9.5</v>
      </c>
      <c r="AC1225" s="199">
        <f>AC1224</f>
        <v>10.040000000000001</v>
      </c>
      <c r="AD1225" s="930">
        <v>9.815151515151511</v>
      </c>
      <c r="AE1225" s="930">
        <v>10.081818181818182</v>
      </c>
      <c r="AF1225" s="258">
        <f t="shared" si="193"/>
        <v>10.081818181818182</v>
      </c>
      <c r="AG1225" s="1326"/>
      <c r="DG1225" s="555"/>
      <c r="DH1225" s="151"/>
      <c r="DI1225" s="1049"/>
      <c r="DJ1225" s="1127"/>
    </row>
    <row r="1226" spans="1:114" ht="15" hidden="1" customHeight="1" outlineLevel="1" x14ac:dyDescent="0.25">
      <c r="A1226" s="442"/>
      <c r="C1226" s="49"/>
      <c r="D1226" s="2177"/>
      <c r="E1226" s="2177"/>
      <c r="F1226" s="2176" t="str">
        <f>$E$803</f>
        <v>ASHP-SEER19_ROF_SF</v>
      </c>
      <c r="G1226" s="2176"/>
      <c r="H1226" s="2176"/>
      <c r="I1226" s="2176"/>
      <c r="J1226" s="986" t="str">
        <f>$C$803</f>
        <v>354050_2024_12_</v>
      </c>
      <c r="K1226" s="875">
        <v>10.115384615384615</v>
      </c>
      <c r="L1226" s="933"/>
      <c r="M1226" s="1576" t="s">
        <v>1026</v>
      </c>
      <c r="P1226" s="248"/>
      <c r="Q1226" s="196"/>
      <c r="R1226" s="248"/>
      <c r="T1226" s="169"/>
      <c r="U1226" s="50"/>
      <c r="V1226" s="2181"/>
      <c r="W1226" s="1326">
        <v>9.8000000000000007</v>
      </c>
      <c r="X1226" s="1326">
        <v>9.8000000000000007</v>
      </c>
      <c r="Y1226" s="1326">
        <v>9.8000000000000007</v>
      </c>
      <c r="Z1226" s="1326">
        <v>9.8000000000000007</v>
      </c>
      <c r="AA1226" s="1326">
        <v>9.8000000000000007</v>
      </c>
      <c r="AB1226" s="1326">
        <v>9.8000000000000007</v>
      </c>
      <c r="AC1226" s="199">
        <v>10.502222222222223</v>
      </c>
      <c r="AD1226" s="930">
        <v>10.115384615384615</v>
      </c>
      <c r="AE1226" s="931">
        <v>10.115384615384615</v>
      </c>
      <c r="AF1226" s="258">
        <f t="shared" si="193"/>
        <v>10.115384615384615</v>
      </c>
      <c r="AG1226" s="1326"/>
      <c r="DG1226" s="555"/>
      <c r="DH1226" s="151"/>
      <c r="DI1226" s="1049"/>
      <c r="DJ1226" s="1127"/>
    </row>
    <row r="1227" spans="1:114" ht="15" hidden="1" customHeight="1" outlineLevel="1" x14ac:dyDescent="0.25">
      <c r="A1227" s="442"/>
      <c r="C1227" s="49"/>
      <c r="D1227" s="2177"/>
      <c r="E1227" s="2177"/>
      <c r="F1227" s="2176" t="str">
        <f>$E$805</f>
        <v>ASHP-SEER17-Replace_CAC_ElectricHeat_ER1_SF</v>
      </c>
      <c r="G1227" s="2176"/>
      <c r="H1227" s="2176"/>
      <c r="I1227" s="2176"/>
      <c r="J1227" s="986" t="str">
        <f>$C$805</f>
        <v>354100_2024_12_</v>
      </c>
      <c r="K1227" s="875">
        <v>9.4688524590163912</v>
      </c>
      <c r="L1227" s="933"/>
      <c r="M1227" s="1576" t="s">
        <v>1024</v>
      </c>
      <c r="P1227" s="248"/>
      <c r="Q1227" s="196"/>
      <c r="R1227" s="248"/>
      <c r="T1227" s="169"/>
      <c r="U1227" s="50"/>
      <c r="V1227" s="2181"/>
      <c r="W1227" s="1326">
        <v>9.4</v>
      </c>
      <c r="X1227" s="1326">
        <v>9.4</v>
      </c>
      <c r="Y1227" s="1326">
        <v>9.4</v>
      </c>
      <c r="Z1227" s="1326">
        <v>9.4</v>
      </c>
      <c r="AA1227" s="1326">
        <v>9.4</v>
      </c>
      <c r="AB1227" s="1326">
        <v>9.4</v>
      </c>
      <c r="AC1227" s="199">
        <v>9.5113636363636349</v>
      </c>
      <c r="AD1227" s="930">
        <v>9.4631147540983651</v>
      </c>
      <c r="AE1227" s="930">
        <v>9.4688524590163912</v>
      </c>
      <c r="AF1227" s="258">
        <f t="shared" si="193"/>
        <v>9.4688524590163912</v>
      </c>
      <c r="AG1227" s="1326"/>
      <c r="DG1227" s="555"/>
      <c r="DH1227" s="151"/>
      <c r="DI1227" s="1049"/>
      <c r="DJ1227" s="1127"/>
    </row>
    <row r="1228" spans="1:114" ht="15" hidden="1" customHeight="1" outlineLevel="1" x14ac:dyDescent="0.25">
      <c r="A1228" s="442"/>
      <c r="C1228" s="49"/>
      <c r="D1228" s="2177"/>
      <c r="E1228" s="2177"/>
      <c r="F1228" s="2176" t="str">
        <f>$E$807</f>
        <v>ASHP-SEER17-Replace_CAC_ElectricHeat_ER2_SF</v>
      </c>
      <c r="G1228" s="2176"/>
      <c r="H1228" s="2176"/>
      <c r="I1228" s="2176"/>
      <c r="J1228" s="986" t="str">
        <f>$C$807</f>
        <v>354100_2024_12_</v>
      </c>
      <c r="K1228" s="875">
        <v>9.4688524590163912</v>
      </c>
      <c r="L1228" s="933"/>
      <c r="M1228" s="1576" t="s">
        <v>1024</v>
      </c>
      <c r="P1228" s="248"/>
      <c r="Q1228" s="196"/>
      <c r="R1228" s="248"/>
      <c r="T1228" s="169"/>
      <c r="U1228" s="50"/>
      <c r="V1228" s="2181"/>
      <c r="W1228" s="1326">
        <v>9.4</v>
      </c>
      <c r="X1228" s="1326">
        <v>9.4</v>
      </c>
      <c r="Y1228" s="1326">
        <v>9.4</v>
      </c>
      <c r="Z1228" s="1326">
        <v>9.4</v>
      </c>
      <c r="AA1228" s="1326">
        <v>9.4</v>
      </c>
      <c r="AB1228" s="1326">
        <v>9.4</v>
      </c>
      <c r="AC1228" s="199">
        <f>AC1227</f>
        <v>9.5113636363636349</v>
      </c>
      <c r="AD1228" s="930">
        <v>9.4631147540983651</v>
      </c>
      <c r="AE1228" s="930">
        <v>9.4688524590163912</v>
      </c>
      <c r="AF1228" s="258">
        <f t="shared" si="193"/>
        <v>9.4688524590163912</v>
      </c>
      <c r="AG1228" s="1326"/>
      <c r="DG1228" s="555"/>
      <c r="DH1228" s="151"/>
      <c r="DI1228" s="1049"/>
      <c r="DJ1228" s="1127"/>
    </row>
    <row r="1229" spans="1:114" ht="15" hidden="1" customHeight="1" outlineLevel="1" x14ac:dyDescent="0.25">
      <c r="A1229" s="442"/>
      <c r="C1229" s="49"/>
      <c r="D1229" s="2177"/>
      <c r="E1229" s="2177"/>
      <c r="F1229" s="2176" t="str">
        <f>$E$809</f>
        <v>ASHP-SEER17-Replace_CAC_NonElectricHeat_ER1_SF</v>
      </c>
      <c r="G1229" s="2176"/>
      <c r="H1229" s="2176"/>
      <c r="I1229" s="2176"/>
      <c r="J1229" s="986" t="str">
        <f>$C$809</f>
        <v>354110_2024_12_</v>
      </c>
      <c r="K1229" s="875">
        <v>9.4688524590163912</v>
      </c>
      <c r="L1229" s="933"/>
      <c r="M1229" s="1576" t="s">
        <v>1024</v>
      </c>
      <c r="P1229" s="248"/>
      <c r="Q1229" s="196"/>
      <c r="R1229" s="248"/>
      <c r="T1229" s="169"/>
      <c r="U1229" s="50"/>
      <c r="V1229" s="2181"/>
      <c r="W1229" s="1326"/>
      <c r="X1229" s="1326"/>
      <c r="Y1229" s="1326"/>
      <c r="Z1229" s="1326"/>
      <c r="AA1229" s="1326"/>
      <c r="AB1229" s="1326"/>
      <c r="AC1229" s="199">
        <v>9.5113636363636349</v>
      </c>
      <c r="AD1229" s="930">
        <v>9.4631147540983651</v>
      </c>
      <c r="AE1229" s="930">
        <v>9.4688524590163912</v>
      </c>
      <c r="AF1229" s="258">
        <f t="shared" si="193"/>
        <v>9.4688524590163912</v>
      </c>
      <c r="AG1229" s="1326"/>
      <c r="DG1229" s="555"/>
      <c r="DH1229" s="151"/>
      <c r="DI1229" s="1049"/>
      <c r="DJ1229" s="1127"/>
    </row>
    <row r="1230" spans="1:114" ht="15" hidden="1" customHeight="1" outlineLevel="1" x14ac:dyDescent="0.25">
      <c r="A1230" s="442"/>
      <c r="C1230" s="49"/>
      <c r="D1230" s="2177"/>
      <c r="E1230" s="2177"/>
      <c r="F1230" s="2176" t="str">
        <f>$E$811</f>
        <v>ASHP-SEER17-Replace_CAC_NonElectricHeat_ER2_SF</v>
      </c>
      <c r="G1230" s="2176"/>
      <c r="H1230" s="2176"/>
      <c r="I1230" s="2176"/>
      <c r="J1230" s="986" t="str">
        <f>$C$811</f>
        <v>354110_2024_12_</v>
      </c>
      <c r="K1230" s="875">
        <v>9.4688524590163912</v>
      </c>
      <c r="L1230" s="933"/>
      <c r="M1230" s="1576" t="s">
        <v>1024</v>
      </c>
      <c r="P1230" s="248"/>
      <c r="Q1230" s="196"/>
      <c r="R1230" s="248"/>
      <c r="T1230" s="169"/>
      <c r="U1230" s="50"/>
      <c r="V1230" s="2181"/>
      <c r="W1230" s="1326"/>
      <c r="X1230" s="1326"/>
      <c r="Y1230" s="1326"/>
      <c r="Z1230" s="1326"/>
      <c r="AA1230" s="1326"/>
      <c r="AB1230" s="1326"/>
      <c r="AC1230" s="199">
        <f>AC1229</f>
        <v>9.5113636363636349</v>
      </c>
      <c r="AD1230" s="930">
        <v>9.4631147540983651</v>
      </c>
      <c r="AE1230" s="930">
        <v>9.4688524590163912</v>
      </c>
      <c r="AF1230" s="258">
        <f t="shared" si="193"/>
        <v>9.4688524590163912</v>
      </c>
      <c r="AG1230" s="1326"/>
      <c r="DG1230" s="555"/>
      <c r="DH1230" s="151"/>
      <c r="DI1230" s="1049"/>
      <c r="DJ1230" s="1127"/>
    </row>
    <row r="1231" spans="1:114" ht="15" hidden="1" customHeight="1" outlineLevel="1" x14ac:dyDescent="0.25">
      <c r="A1231" s="442"/>
      <c r="C1231" s="49"/>
      <c r="D1231" s="2177"/>
      <c r="E1231" s="2177"/>
      <c r="F1231" s="2176" t="str">
        <f>$E$813</f>
        <v>ASHP-SEER17-Replace_CAC_ElectricHeat_ER1_MF</v>
      </c>
      <c r="G1231" s="2176"/>
      <c r="H1231" s="2176"/>
      <c r="I1231" s="2176"/>
      <c r="J1231" s="986" t="str">
        <f>$C$813</f>
        <v>354150_2024_12_</v>
      </c>
      <c r="K1231" s="1591">
        <v>9.4</v>
      </c>
      <c r="L1231" s="933"/>
      <c r="M1231" s="1577" t="s">
        <v>1112</v>
      </c>
      <c r="P1231" s="248"/>
      <c r="Q1231" s="196"/>
      <c r="R1231" s="248"/>
      <c r="T1231" s="169"/>
      <c r="U1231" s="50"/>
      <c r="V1231" s="2181"/>
      <c r="W1231" s="1326">
        <v>9.4</v>
      </c>
      <c r="X1231" s="1326">
        <v>9.4</v>
      </c>
      <c r="Y1231" s="1326">
        <v>9.4</v>
      </c>
      <c r="Z1231" s="1326">
        <v>9.4</v>
      </c>
      <c r="AA1231" s="1326">
        <v>9.4</v>
      </c>
      <c r="AB1231" s="1326">
        <v>9.4</v>
      </c>
      <c r="AC1231" s="198">
        <v>9.4</v>
      </c>
      <c r="AD1231" s="198">
        <v>9.4</v>
      </c>
      <c r="AE1231" s="932">
        <v>9.4</v>
      </c>
      <c r="AF1231" s="258">
        <f t="shared" si="193"/>
        <v>9.4</v>
      </c>
      <c r="AG1231" s="1326"/>
      <c r="DG1231" s="555"/>
      <c r="DH1231" s="151"/>
      <c r="DI1231" s="1049"/>
      <c r="DJ1231" s="1127"/>
    </row>
    <row r="1232" spans="1:114" ht="15" hidden="1" customHeight="1" outlineLevel="1" x14ac:dyDescent="0.25">
      <c r="A1232" s="442"/>
      <c r="C1232" s="49"/>
      <c r="D1232" s="2177"/>
      <c r="E1232" s="2177"/>
      <c r="F1232" s="2176" t="str">
        <f>$E$815</f>
        <v>ASHP-SEER17-Replace_CAC_ElectricHeat_ER2_MF</v>
      </c>
      <c r="G1232" s="2176"/>
      <c r="H1232" s="2176"/>
      <c r="I1232" s="2176"/>
      <c r="J1232" s="986" t="str">
        <f>$C$815</f>
        <v>354150_2024_12_</v>
      </c>
      <c r="K1232" s="1591">
        <v>9.4</v>
      </c>
      <c r="L1232" s="933"/>
      <c r="M1232" s="1577" t="s">
        <v>1112</v>
      </c>
      <c r="P1232" s="248"/>
      <c r="Q1232" s="196"/>
      <c r="R1232" s="248"/>
      <c r="T1232" s="169"/>
      <c r="U1232" s="50"/>
      <c r="V1232" s="2181"/>
      <c r="W1232" s="1326">
        <v>9.4</v>
      </c>
      <c r="X1232" s="1326">
        <v>9.4</v>
      </c>
      <c r="Y1232" s="1326">
        <v>9.4</v>
      </c>
      <c r="Z1232" s="1326">
        <v>9.4</v>
      </c>
      <c r="AA1232" s="1326">
        <v>9.4</v>
      </c>
      <c r="AB1232" s="1326">
        <v>9.4</v>
      </c>
      <c r="AC1232" s="198">
        <v>9.4</v>
      </c>
      <c r="AD1232" s="198">
        <v>9.4</v>
      </c>
      <c r="AE1232" s="932">
        <v>9.4</v>
      </c>
      <c r="AF1232" s="258">
        <f t="shared" si="193"/>
        <v>9.4</v>
      </c>
      <c r="AG1232" s="1326"/>
      <c r="DG1232" s="555"/>
      <c r="DH1232" s="151"/>
      <c r="DI1232" s="1049"/>
      <c r="DJ1232" s="1127"/>
    </row>
    <row r="1233" spans="1:114" ht="15" hidden="1" customHeight="1" outlineLevel="1" x14ac:dyDescent="0.25">
      <c r="A1233" s="442"/>
      <c r="C1233" s="49"/>
      <c r="D1233" s="2177"/>
      <c r="E1233" s="2177"/>
      <c r="F1233" s="2176" t="str">
        <f>$E$817</f>
        <v>ASHP-SEER17_ER1_MF</v>
      </c>
      <c r="G1233" s="2176"/>
      <c r="H1233" s="2176"/>
      <c r="I1233" s="2176"/>
      <c r="J1233" s="986" t="str">
        <f>$C$817</f>
        <v>354200_2024_12_</v>
      </c>
      <c r="K1233" s="1591">
        <v>9.5</v>
      </c>
      <c r="L1233" s="933"/>
      <c r="M1233" s="1577" t="s">
        <v>1112</v>
      </c>
      <c r="P1233" s="248"/>
      <c r="Q1233" s="196"/>
      <c r="R1233" s="248"/>
      <c r="T1233" s="169"/>
      <c r="U1233" s="50"/>
      <c r="V1233" s="2181"/>
      <c r="W1233" s="1326">
        <v>9.5</v>
      </c>
      <c r="X1233" s="1326">
        <v>9.5</v>
      </c>
      <c r="Y1233" s="1326">
        <v>9.5</v>
      </c>
      <c r="Z1233" s="1326">
        <v>9.5</v>
      </c>
      <c r="AA1233" s="1326">
        <v>9.5</v>
      </c>
      <c r="AB1233" s="1326">
        <v>9.5</v>
      </c>
      <c r="AC1233" s="198">
        <v>9.5</v>
      </c>
      <c r="AD1233" s="198">
        <v>9.5</v>
      </c>
      <c r="AE1233" s="932">
        <v>9.5</v>
      </c>
      <c r="AF1233" s="258">
        <f t="shared" si="193"/>
        <v>9.5</v>
      </c>
      <c r="AG1233" s="1326"/>
      <c r="DG1233" s="555"/>
      <c r="DH1233" s="151"/>
      <c r="DI1233" s="1049"/>
      <c r="DJ1233" s="1127"/>
    </row>
    <row r="1234" spans="1:114" ht="15" hidden="1" customHeight="1" outlineLevel="1" x14ac:dyDescent="0.25">
      <c r="A1234" s="442"/>
      <c r="C1234" s="49"/>
      <c r="D1234" s="2177"/>
      <c r="E1234" s="2177"/>
      <c r="F1234" s="2176" t="str">
        <f>$E$819</f>
        <v>ASHP-SEER17_ER2_MF</v>
      </c>
      <c r="G1234" s="2176"/>
      <c r="H1234" s="2176"/>
      <c r="I1234" s="2176"/>
      <c r="J1234" s="986" t="str">
        <f>$C$819</f>
        <v>354200_2024_12_</v>
      </c>
      <c r="K1234" s="1591">
        <v>9.5</v>
      </c>
      <c r="L1234" s="933"/>
      <c r="M1234" s="1577" t="s">
        <v>1112</v>
      </c>
      <c r="P1234" s="248"/>
      <c r="Q1234" s="196"/>
      <c r="R1234" s="248"/>
      <c r="T1234" s="169"/>
      <c r="U1234" s="50"/>
      <c r="V1234" s="2181"/>
      <c r="W1234" s="1326">
        <v>9.5</v>
      </c>
      <c r="X1234" s="1326">
        <v>9.5</v>
      </c>
      <c r="Y1234" s="1326">
        <v>9.5</v>
      </c>
      <c r="Z1234" s="1326">
        <v>9.5</v>
      </c>
      <c r="AA1234" s="1326">
        <v>9.5</v>
      </c>
      <c r="AB1234" s="1326">
        <v>9.5</v>
      </c>
      <c r="AC1234" s="198">
        <v>9.5</v>
      </c>
      <c r="AD1234" s="198">
        <v>9.5</v>
      </c>
      <c r="AE1234" s="932">
        <v>9.5</v>
      </c>
      <c r="AF1234" s="258">
        <f t="shared" si="193"/>
        <v>9.5</v>
      </c>
      <c r="AG1234" s="1326"/>
      <c r="DG1234" s="555"/>
      <c r="DH1234" s="151"/>
      <c r="DI1234" s="1049"/>
      <c r="DJ1234" s="1127"/>
    </row>
    <row r="1235" spans="1:114" ht="15" hidden="1" customHeight="1" outlineLevel="1" x14ac:dyDescent="0.25">
      <c r="A1235" s="442"/>
      <c r="C1235" s="49"/>
      <c r="D1235" s="2177"/>
      <c r="E1235" s="2177"/>
      <c r="F1235" s="2176" t="str">
        <f>$E$821</f>
        <v>ASHP-SEER18-Replace_CAC_ElectricHeat_ER1_SF</v>
      </c>
      <c r="G1235" s="2176"/>
      <c r="H1235" s="2176"/>
      <c r="I1235" s="2176"/>
      <c r="J1235" s="986" t="str">
        <f>$C$821</f>
        <v>354250_2024_12_</v>
      </c>
      <c r="K1235" s="875">
        <v>10.033870967741937</v>
      </c>
      <c r="L1235" s="933"/>
      <c r="M1235" s="1576" t="s">
        <v>1024</v>
      </c>
      <c r="P1235" s="248"/>
      <c r="Q1235" s="196"/>
      <c r="R1235" s="248"/>
      <c r="T1235" s="169"/>
      <c r="U1235" s="50"/>
      <c r="V1235" s="2181"/>
      <c r="W1235" s="1326">
        <v>9.4</v>
      </c>
      <c r="X1235" s="1326">
        <v>9.4</v>
      </c>
      <c r="Y1235" s="1326">
        <v>9.4</v>
      </c>
      <c r="Z1235" s="1326">
        <v>9.4</v>
      </c>
      <c r="AA1235" s="1326">
        <v>9.4</v>
      </c>
      <c r="AB1235" s="237">
        <v>9.8885057471264393</v>
      </c>
      <c r="AC1235" s="199">
        <v>10.084070796460182</v>
      </c>
      <c r="AD1235" s="930">
        <v>10.124561403508777</v>
      </c>
      <c r="AE1235" s="930">
        <v>10.033870967741937</v>
      </c>
      <c r="AF1235" s="258">
        <f t="shared" ref="AF1235:AF1266" si="194">IF(K1235&lt;&gt;"",K1235,"")</f>
        <v>10.033870967741937</v>
      </c>
      <c r="AG1235" s="1326"/>
      <c r="DG1235" s="555"/>
      <c r="DH1235" s="151"/>
      <c r="DI1235" s="1049"/>
      <c r="DJ1235" s="1127"/>
    </row>
    <row r="1236" spans="1:114" ht="15" hidden="1" customHeight="1" outlineLevel="1" x14ac:dyDescent="0.25">
      <c r="A1236" s="442"/>
      <c r="C1236" s="49"/>
      <c r="D1236" s="2177"/>
      <c r="E1236" s="2177"/>
      <c r="F1236" s="2176" t="str">
        <f>$E$823</f>
        <v>ASHP-SEER18-Replace_CAC_ElectricHeat_ER2_SF</v>
      </c>
      <c r="G1236" s="2176"/>
      <c r="H1236" s="2176"/>
      <c r="I1236" s="2176"/>
      <c r="J1236" s="986" t="str">
        <f>$C$823</f>
        <v>354250_2024_12_</v>
      </c>
      <c r="K1236" s="875">
        <v>10.033870967741937</v>
      </c>
      <c r="L1236" s="933"/>
      <c r="M1236" s="1576" t="s">
        <v>1024</v>
      </c>
      <c r="P1236" s="248"/>
      <c r="Q1236" s="196"/>
      <c r="R1236" s="248"/>
      <c r="T1236" s="169"/>
      <c r="U1236" s="50"/>
      <c r="V1236" s="2181"/>
      <c r="W1236" s="1326">
        <v>9.4</v>
      </c>
      <c r="X1236" s="1326">
        <v>9.4</v>
      </c>
      <c r="Y1236" s="1326">
        <v>9.4</v>
      </c>
      <c r="Z1236" s="1326">
        <v>9.4</v>
      </c>
      <c r="AA1236" s="1326">
        <v>9.4</v>
      </c>
      <c r="AB1236" s="237">
        <v>9.8885057471264393</v>
      </c>
      <c r="AC1236" s="199">
        <f>AC1235</f>
        <v>10.084070796460182</v>
      </c>
      <c r="AD1236" s="930">
        <v>10.124561403508777</v>
      </c>
      <c r="AE1236" s="930">
        <v>10.033870967741937</v>
      </c>
      <c r="AF1236" s="258">
        <f t="shared" si="194"/>
        <v>10.033870967741937</v>
      </c>
      <c r="AG1236" s="1326"/>
      <c r="DG1236" s="555"/>
      <c r="DH1236" s="151"/>
      <c r="DI1236" s="1049"/>
      <c r="DJ1236" s="1127"/>
    </row>
    <row r="1237" spans="1:114" ht="15" hidden="1" customHeight="1" outlineLevel="1" x14ac:dyDescent="0.25">
      <c r="A1237" s="442"/>
      <c r="C1237" s="49"/>
      <c r="D1237" s="2177"/>
      <c r="E1237" s="2177"/>
      <c r="F1237" s="2176" t="str">
        <f>$E$825</f>
        <v>ASHP-SEER18-Replace_CAC_NonElectricHeat_ER1_SF</v>
      </c>
      <c r="G1237" s="2176"/>
      <c r="H1237" s="2176"/>
      <c r="I1237" s="2176"/>
      <c r="J1237" s="986" t="str">
        <f>$C$825</f>
        <v>354260_2024_12_</v>
      </c>
      <c r="K1237" s="875">
        <v>10.033870967741937</v>
      </c>
      <c r="L1237" s="933"/>
      <c r="M1237" s="1576" t="s">
        <v>1024</v>
      </c>
      <c r="P1237" s="248"/>
      <c r="Q1237" s="196"/>
      <c r="R1237" s="248"/>
      <c r="T1237" s="169"/>
      <c r="U1237" s="50"/>
      <c r="V1237" s="2181"/>
      <c r="W1237" s="1326"/>
      <c r="X1237" s="1326"/>
      <c r="Y1237" s="1326"/>
      <c r="Z1237" s="1326"/>
      <c r="AA1237" s="1326"/>
      <c r="AB1237" s="237"/>
      <c r="AC1237" s="199">
        <v>10.084070796460182</v>
      </c>
      <c r="AD1237" s="930">
        <v>10.124561403508777</v>
      </c>
      <c r="AE1237" s="930">
        <v>10.033870967741937</v>
      </c>
      <c r="AF1237" s="258">
        <f t="shared" si="194"/>
        <v>10.033870967741937</v>
      </c>
      <c r="AG1237" s="1326"/>
      <c r="DG1237" s="555"/>
      <c r="DH1237" s="151"/>
      <c r="DI1237" s="1049"/>
      <c r="DJ1237" s="1127"/>
    </row>
    <row r="1238" spans="1:114" ht="15" hidden="1" customHeight="1" outlineLevel="1" x14ac:dyDescent="0.25">
      <c r="A1238" s="442"/>
      <c r="C1238" s="49"/>
      <c r="D1238" s="2177"/>
      <c r="E1238" s="2177"/>
      <c r="F1238" s="2176" t="str">
        <f>$E$827</f>
        <v>ASHP-SEER18-Replace_CAC_NonElectricHeat_ER2_SF</v>
      </c>
      <c r="G1238" s="2176"/>
      <c r="H1238" s="2176"/>
      <c r="I1238" s="2176"/>
      <c r="J1238" s="986" t="str">
        <f>$C$827</f>
        <v>354260_2024_12_</v>
      </c>
      <c r="K1238" s="875">
        <v>10.033870967741937</v>
      </c>
      <c r="L1238" s="933"/>
      <c r="M1238" s="1576" t="s">
        <v>1024</v>
      </c>
      <c r="P1238" s="248"/>
      <c r="Q1238" s="196"/>
      <c r="R1238" s="248"/>
      <c r="T1238" s="169"/>
      <c r="U1238" s="50"/>
      <c r="V1238" s="2181"/>
      <c r="W1238" s="1326"/>
      <c r="X1238" s="1326"/>
      <c r="Y1238" s="1326"/>
      <c r="Z1238" s="1326"/>
      <c r="AA1238" s="1326"/>
      <c r="AB1238" s="237"/>
      <c r="AC1238" s="199">
        <f>AC1237</f>
        <v>10.084070796460182</v>
      </c>
      <c r="AD1238" s="930">
        <v>10.124561403508777</v>
      </c>
      <c r="AE1238" s="930">
        <v>10.033870967741937</v>
      </c>
      <c r="AF1238" s="258">
        <f t="shared" si="194"/>
        <v>10.033870967741937</v>
      </c>
      <c r="AG1238" s="1326"/>
      <c r="DG1238" s="555"/>
      <c r="DH1238" s="151"/>
      <c r="DI1238" s="1049"/>
      <c r="DJ1238" s="1127"/>
    </row>
    <row r="1239" spans="1:114" ht="15" hidden="1" customHeight="1" outlineLevel="1" x14ac:dyDescent="0.25">
      <c r="A1239" s="442"/>
      <c r="C1239" s="49"/>
      <c r="D1239" s="2177"/>
      <c r="E1239" s="2177"/>
      <c r="F1239" s="2176" t="str">
        <f>$E$829</f>
        <v>ASHP-SEER18-Replace_CAC_ElectricHeat_ER1_MF</v>
      </c>
      <c r="G1239" s="2176"/>
      <c r="H1239" s="2176"/>
      <c r="I1239" s="2176"/>
      <c r="J1239" s="986" t="str">
        <f>$C$829</f>
        <v>354300_2024_12_</v>
      </c>
      <c r="K1239" s="1591">
        <v>10</v>
      </c>
      <c r="L1239" s="933"/>
      <c r="M1239" s="1576" t="s">
        <v>1026</v>
      </c>
      <c r="P1239" s="248"/>
      <c r="Q1239" s="196"/>
      <c r="R1239" s="248"/>
      <c r="T1239" s="169"/>
      <c r="U1239" s="50"/>
      <c r="V1239" s="2181"/>
      <c r="W1239" s="1326">
        <v>9.4</v>
      </c>
      <c r="X1239" s="1326">
        <v>9.4</v>
      </c>
      <c r="Y1239" s="1326">
        <v>9.4</v>
      </c>
      <c r="Z1239" s="1326">
        <v>9.4</v>
      </c>
      <c r="AA1239" s="1326">
        <v>9.4</v>
      </c>
      <c r="AB1239" s="237">
        <v>10</v>
      </c>
      <c r="AC1239" s="198">
        <v>10</v>
      </c>
      <c r="AD1239" s="198">
        <v>10</v>
      </c>
      <c r="AE1239" s="932">
        <v>10</v>
      </c>
      <c r="AF1239" s="258">
        <f t="shared" si="194"/>
        <v>10</v>
      </c>
      <c r="AG1239" s="1326"/>
      <c r="DG1239" s="555"/>
      <c r="DH1239" s="151"/>
      <c r="DI1239" s="1049"/>
      <c r="DJ1239" s="1127"/>
    </row>
    <row r="1240" spans="1:114" ht="15" hidden="1" customHeight="1" outlineLevel="1" x14ac:dyDescent="0.25">
      <c r="A1240" s="442"/>
      <c r="C1240" s="49"/>
      <c r="D1240" s="2177"/>
      <c r="E1240" s="2177"/>
      <c r="F1240" s="2176" t="str">
        <f>$E$831</f>
        <v>ASHP-SEER18-Replace_CAC_ElectricHeat_ER2_MF</v>
      </c>
      <c r="G1240" s="2176"/>
      <c r="H1240" s="2176"/>
      <c r="I1240" s="2176"/>
      <c r="J1240" s="986" t="str">
        <f>$C$831</f>
        <v>354300_2024_12_</v>
      </c>
      <c r="K1240" s="1591">
        <v>10</v>
      </c>
      <c r="L1240" s="933"/>
      <c r="M1240" s="1576" t="s">
        <v>1026</v>
      </c>
      <c r="P1240" s="248"/>
      <c r="Q1240" s="196"/>
      <c r="R1240" s="248"/>
      <c r="T1240" s="169"/>
      <c r="U1240" s="50"/>
      <c r="V1240" s="2181"/>
      <c r="W1240" s="1326">
        <v>9.4</v>
      </c>
      <c r="X1240" s="1326">
        <v>9.4</v>
      </c>
      <c r="Y1240" s="1326">
        <v>9.4</v>
      </c>
      <c r="Z1240" s="1326">
        <v>9.4</v>
      </c>
      <c r="AA1240" s="1326">
        <v>9.4</v>
      </c>
      <c r="AB1240" s="237">
        <v>10</v>
      </c>
      <c r="AC1240" s="198">
        <f>AC1239</f>
        <v>10</v>
      </c>
      <c r="AD1240" s="198">
        <v>10</v>
      </c>
      <c r="AE1240" s="932">
        <v>10</v>
      </c>
      <c r="AF1240" s="258">
        <f t="shared" si="194"/>
        <v>10</v>
      </c>
      <c r="AG1240" s="1326"/>
      <c r="DG1240" s="555"/>
      <c r="DH1240" s="151"/>
      <c r="DI1240" s="1049"/>
      <c r="DJ1240" s="1127"/>
    </row>
    <row r="1241" spans="1:114" ht="15" hidden="1" customHeight="1" outlineLevel="1" x14ac:dyDescent="0.25">
      <c r="A1241" s="442"/>
      <c r="C1241" s="49"/>
      <c r="D1241" s="2177"/>
      <c r="E1241" s="2177"/>
      <c r="F1241" s="2176" t="str">
        <f>$E$833</f>
        <v>ASHP-SEER18_ER1_MF</v>
      </c>
      <c r="G1241" s="2176"/>
      <c r="H1241" s="2176"/>
      <c r="I1241" s="2176"/>
      <c r="J1241" s="986" t="str">
        <f>$C$833</f>
        <v>354350_2024_12_</v>
      </c>
      <c r="K1241" s="875">
        <v>10</v>
      </c>
      <c r="L1241" s="933"/>
      <c r="M1241" s="1576" t="s">
        <v>1026</v>
      </c>
      <c r="P1241" s="248"/>
      <c r="Q1241" s="196"/>
      <c r="R1241" s="248"/>
      <c r="T1241" s="169"/>
      <c r="U1241" s="50"/>
      <c r="V1241" s="2181"/>
      <c r="W1241" s="1326">
        <v>9.5</v>
      </c>
      <c r="X1241" s="1326">
        <v>9.5</v>
      </c>
      <c r="Y1241" s="1326">
        <v>9.5</v>
      </c>
      <c r="Z1241" s="1326">
        <v>9.5</v>
      </c>
      <c r="AA1241" s="1326">
        <v>9.5</v>
      </c>
      <c r="AB1241" s="701">
        <v>9.5</v>
      </c>
      <c r="AC1241" s="198">
        <v>9.5</v>
      </c>
      <c r="AD1241" s="930">
        <v>10</v>
      </c>
      <c r="AE1241" s="931">
        <v>10</v>
      </c>
      <c r="AF1241" s="258">
        <f t="shared" si="194"/>
        <v>10</v>
      </c>
      <c r="AG1241" s="1326"/>
      <c r="DG1241" s="555"/>
      <c r="DH1241" s="151"/>
      <c r="DI1241" s="1049"/>
      <c r="DJ1241" s="1127"/>
    </row>
    <row r="1242" spans="1:114" ht="15" hidden="1" customHeight="1" outlineLevel="1" x14ac:dyDescent="0.25">
      <c r="A1242" s="442"/>
      <c r="C1242" s="49"/>
      <c r="D1242" s="2177"/>
      <c r="E1242" s="2177"/>
      <c r="F1242" s="2176" t="str">
        <f>$E$835</f>
        <v>ASHP-SEER18_ER2_MF</v>
      </c>
      <c r="G1242" s="2176"/>
      <c r="H1242" s="2176"/>
      <c r="I1242" s="2176"/>
      <c r="J1242" s="986" t="str">
        <f>$C$835</f>
        <v>354350_2024_12_</v>
      </c>
      <c r="K1242" s="875">
        <v>10</v>
      </c>
      <c r="L1242" s="933"/>
      <c r="M1242" s="1576" t="s">
        <v>1026</v>
      </c>
      <c r="P1242" s="248"/>
      <c r="Q1242" s="196"/>
      <c r="R1242" s="248"/>
      <c r="T1242" s="169"/>
      <c r="U1242" s="50"/>
      <c r="V1242" s="2181"/>
      <c r="W1242" s="1326">
        <v>9.5</v>
      </c>
      <c r="X1242" s="1326">
        <v>9.5</v>
      </c>
      <c r="Y1242" s="1326">
        <v>9.5</v>
      </c>
      <c r="Z1242" s="1326">
        <v>9.5</v>
      </c>
      <c r="AA1242" s="1326">
        <v>9.5</v>
      </c>
      <c r="AB1242" s="701">
        <v>9.5</v>
      </c>
      <c r="AC1242" s="198">
        <f>AC1241</f>
        <v>9.5</v>
      </c>
      <c r="AD1242" s="930">
        <v>10</v>
      </c>
      <c r="AE1242" s="931">
        <v>10</v>
      </c>
      <c r="AF1242" s="258">
        <f t="shared" si="194"/>
        <v>10</v>
      </c>
      <c r="AG1242" s="1326"/>
      <c r="DG1242" s="555"/>
      <c r="DH1242" s="151"/>
      <c r="DI1242" s="1049"/>
      <c r="DJ1242" s="1127"/>
    </row>
    <row r="1243" spans="1:114" ht="15" hidden="1" customHeight="1" outlineLevel="1" x14ac:dyDescent="0.25">
      <c r="A1243" s="442"/>
      <c r="C1243" s="49"/>
      <c r="D1243" s="2177"/>
      <c r="E1243" s="2177"/>
      <c r="F1243" s="2176" t="str">
        <f>$E$837</f>
        <v>ASHP-SEER19-Replace_CAC_ElectricHeat_ER1_SF</v>
      </c>
      <c r="G1243" s="2176"/>
      <c r="H1243" s="2176"/>
      <c r="I1243" s="2176"/>
      <c r="J1243" s="986" t="str">
        <f>$C$837</f>
        <v>354400_2024_12_</v>
      </c>
      <c r="K1243" s="875">
        <v>10.081818181818182</v>
      </c>
      <c r="L1243" s="933"/>
      <c r="M1243" s="1576" t="s">
        <v>1024</v>
      </c>
      <c r="P1243" s="248"/>
      <c r="Q1243" s="196"/>
      <c r="R1243" s="248"/>
      <c r="T1243" s="169"/>
      <c r="U1243" s="50"/>
      <c r="V1243" s="2181"/>
      <c r="W1243" s="1326">
        <v>9.4</v>
      </c>
      <c r="X1243" s="1326">
        <v>9.4</v>
      </c>
      <c r="Y1243" s="1326">
        <v>9.4</v>
      </c>
      <c r="Z1243" s="1326">
        <v>9.4</v>
      </c>
      <c r="AA1243" s="1326">
        <v>9.4</v>
      </c>
      <c r="AB1243" s="1326">
        <v>9.4</v>
      </c>
      <c r="AC1243" s="199">
        <v>10.099999999999998</v>
      </c>
      <c r="AD1243" s="930">
        <v>9.815151515151511</v>
      </c>
      <c r="AE1243" s="930">
        <v>10.081818181818182</v>
      </c>
      <c r="AF1243" s="258">
        <f t="shared" si="194"/>
        <v>10.081818181818182</v>
      </c>
      <c r="AG1243" s="1326"/>
      <c r="DG1243" s="555"/>
      <c r="DH1243" s="151"/>
      <c r="DI1243" s="1049"/>
      <c r="DJ1243" s="1127"/>
    </row>
    <row r="1244" spans="1:114" ht="15" hidden="1" customHeight="1" outlineLevel="1" x14ac:dyDescent="0.25">
      <c r="A1244" s="442"/>
      <c r="C1244" s="49"/>
      <c r="D1244" s="2177"/>
      <c r="E1244" s="2177"/>
      <c r="F1244" s="2176" t="str">
        <f>$E$839</f>
        <v>ASHP-SEER19-Replace_CAC_ElectricHeat_ER2_SF</v>
      </c>
      <c r="G1244" s="2176"/>
      <c r="H1244" s="2176"/>
      <c r="I1244" s="2176"/>
      <c r="J1244" s="986" t="str">
        <f>$C$839</f>
        <v>354400_2024_12_</v>
      </c>
      <c r="K1244" s="875">
        <v>10.081818181818182</v>
      </c>
      <c r="L1244" s="933"/>
      <c r="M1244" s="1576" t="s">
        <v>1024</v>
      </c>
      <c r="P1244" s="248"/>
      <c r="Q1244" s="196"/>
      <c r="R1244" s="248"/>
      <c r="T1244" s="169"/>
      <c r="U1244" s="50"/>
      <c r="V1244" s="2181"/>
      <c r="W1244" s="1326">
        <v>9.4</v>
      </c>
      <c r="X1244" s="1326">
        <v>9.4</v>
      </c>
      <c r="Y1244" s="1326">
        <v>9.4</v>
      </c>
      <c r="Z1244" s="1326">
        <v>9.4</v>
      </c>
      <c r="AA1244" s="1326">
        <v>9.4</v>
      </c>
      <c r="AB1244" s="1326">
        <v>9.4</v>
      </c>
      <c r="AC1244" s="199">
        <f>AC1243</f>
        <v>10.099999999999998</v>
      </c>
      <c r="AD1244" s="930">
        <v>9.815151515151511</v>
      </c>
      <c r="AE1244" s="930">
        <v>10.081818181818182</v>
      </c>
      <c r="AF1244" s="258">
        <f t="shared" si="194"/>
        <v>10.081818181818182</v>
      </c>
      <c r="AG1244" s="1326"/>
      <c r="DG1244" s="555"/>
      <c r="DH1244" s="151"/>
      <c r="DI1244" s="1049"/>
      <c r="DJ1244" s="1127"/>
    </row>
    <row r="1245" spans="1:114" ht="15" hidden="1" customHeight="1" outlineLevel="1" x14ac:dyDescent="0.25">
      <c r="A1245" s="442"/>
      <c r="C1245" s="49"/>
      <c r="D1245" s="2177"/>
      <c r="E1245" s="2177"/>
      <c r="F1245" s="2176" t="str">
        <f>$E$841</f>
        <v>ASHP-SEER19-Replace_CAC_NonElectricHeat_ER1_SF</v>
      </c>
      <c r="G1245" s="2176"/>
      <c r="H1245" s="2176"/>
      <c r="I1245" s="2176"/>
      <c r="J1245" s="986" t="str">
        <f>$C$841</f>
        <v>354410_2024_12_</v>
      </c>
      <c r="K1245" s="1591">
        <v>10.081818181818182</v>
      </c>
      <c r="L1245" s="933"/>
      <c r="M1245" s="1576" t="s">
        <v>1024</v>
      </c>
      <c r="P1245" s="248"/>
      <c r="Q1245" s="196"/>
      <c r="R1245" s="248"/>
      <c r="T1245" s="169"/>
      <c r="U1245" s="50"/>
      <c r="V1245" s="2181"/>
      <c r="W1245" s="1326"/>
      <c r="X1245" s="1326"/>
      <c r="Y1245" s="1326"/>
      <c r="Z1245" s="1326"/>
      <c r="AA1245" s="1326"/>
      <c r="AB1245" s="1326"/>
      <c r="AC1245" s="199">
        <v>10.099999999999998</v>
      </c>
      <c r="AD1245" s="198">
        <v>10.099999999999998</v>
      </c>
      <c r="AE1245" s="1065">
        <v>10.081818181818182</v>
      </c>
      <c r="AF1245" s="258">
        <f t="shared" si="194"/>
        <v>10.081818181818182</v>
      </c>
      <c r="AG1245" s="1326"/>
      <c r="DG1245" s="555"/>
      <c r="DH1245" s="151"/>
      <c r="DI1245" s="1049"/>
      <c r="DJ1245" s="1127"/>
    </row>
    <row r="1246" spans="1:114" ht="15" hidden="1" customHeight="1" outlineLevel="1" x14ac:dyDescent="0.25">
      <c r="A1246" s="442"/>
      <c r="C1246" s="49"/>
      <c r="D1246" s="2177"/>
      <c r="E1246" s="2177"/>
      <c r="F1246" s="2176" t="str">
        <f>$E$843</f>
        <v>ASHP-SEER19-Replace_CAC_NonElectricHeat_ER2_SF</v>
      </c>
      <c r="G1246" s="2176"/>
      <c r="H1246" s="2176"/>
      <c r="I1246" s="2176"/>
      <c r="J1246" s="986" t="str">
        <f>$C$843</f>
        <v>354410_2024_12_</v>
      </c>
      <c r="K1246" s="1591">
        <v>10.081818181818182</v>
      </c>
      <c r="L1246" s="933"/>
      <c r="M1246" s="1576" t="s">
        <v>1024</v>
      </c>
      <c r="P1246" s="248"/>
      <c r="Q1246" s="196"/>
      <c r="R1246" s="248"/>
      <c r="T1246" s="169"/>
      <c r="U1246" s="50"/>
      <c r="V1246" s="2181"/>
      <c r="W1246" s="1326"/>
      <c r="X1246" s="1326"/>
      <c r="Y1246" s="1326"/>
      <c r="Z1246" s="1326"/>
      <c r="AA1246" s="1326"/>
      <c r="AB1246" s="1326"/>
      <c r="AC1246" s="199">
        <f>AC1245</f>
        <v>10.099999999999998</v>
      </c>
      <c r="AD1246" s="198">
        <v>10.099999999999998</v>
      </c>
      <c r="AE1246" s="1065">
        <v>10.081818181818182</v>
      </c>
      <c r="AF1246" s="258">
        <f t="shared" si="194"/>
        <v>10.081818181818182</v>
      </c>
      <c r="AG1246" s="1326"/>
      <c r="DG1246" s="555"/>
      <c r="DH1246" s="151"/>
      <c r="DI1246" s="1049"/>
      <c r="DJ1246" s="1127"/>
    </row>
    <row r="1247" spans="1:114" ht="15" hidden="1" customHeight="1" outlineLevel="1" x14ac:dyDescent="0.25">
      <c r="A1247" s="442"/>
      <c r="C1247" s="49"/>
      <c r="D1247" s="2177"/>
      <c r="E1247" s="2177"/>
      <c r="F1247" s="2176" t="str">
        <f>$E$845</f>
        <v>ASHP-SEER19-Replace_CAC_ElectricHeat_ER1_MF</v>
      </c>
      <c r="G1247" s="2176"/>
      <c r="H1247" s="2176"/>
      <c r="I1247" s="2176"/>
      <c r="J1247" s="986" t="str">
        <f>$C$845</f>
        <v>354450_2024_12_</v>
      </c>
      <c r="K1247" s="1591">
        <v>9.4</v>
      </c>
      <c r="L1247" s="933"/>
      <c r="M1247" s="1577" t="s">
        <v>1112</v>
      </c>
      <c r="P1247" s="248"/>
      <c r="Q1247" s="196"/>
      <c r="R1247" s="248"/>
      <c r="T1247" s="169"/>
      <c r="U1247" s="50"/>
      <c r="V1247" s="2181"/>
      <c r="W1247" s="1326">
        <v>9.4</v>
      </c>
      <c r="X1247" s="1326">
        <v>9.4</v>
      </c>
      <c r="Y1247" s="1326">
        <v>9.4</v>
      </c>
      <c r="Z1247" s="1326">
        <v>9.4</v>
      </c>
      <c r="AA1247" s="1326">
        <v>9.4</v>
      </c>
      <c r="AB1247" s="1326">
        <v>9.4</v>
      </c>
      <c r="AC1247" s="198">
        <v>9.4</v>
      </c>
      <c r="AD1247" s="198">
        <v>9.4</v>
      </c>
      <c r="AE1247" s="932">
        <v>9.4</v>
      </c>
      <c r="AF1247" s="258">
        <f t="shared" si="194"/>
        <v>9.4</v>
      </c>
      <c r="AG1247" s="1326"/>
      <c r="DG1247" s="555"/>
      <c r="DH1247" s="151"/>
      <c r="DI1247" s="1049"/>
      <c r="DJ1247" s="1127"/>
    </row>
    <row r="1248" spans="1:114" ht="15" hidden="1" customHeight="1" outlineLevel="1" x14ac:dyDescent="0.25">
      <c r="A1248" s="442"/>
      <c r="C1248" s="49"/>
      <c r="D1248" s="2177"/>
      <c r="E1248" s="2177"/>
      <c r="F1248" s="2176" t="str">
        <f>$E$847</f>
        <v>ASHP-SEER19-Replace_CAC_ElectricHeat_ER2_MF</v>
      </c>
      <c r="G1248" s="2176"/>
      <c r="H1248" s="2176"/>
      <c r="I1248" s="2176"/>
      <c r="J1248" s="986" t="str">
        <f>$C$847</f>
        <v>354450_2024_12_</v>
      </c>
      <c r="K1248" s="1591">
        <v>9.4</v>
      </c>
      <c r="L1248" s="933"/>
      <c r="M1248" s="1577" t="s">
        <v>1112</v>
      </c>
      <c r="P1248" s="248"/>
      <c r="Q1248" s="196"/>
      <c r="R1248" s="248"/>
      <c r="T1248" s="169"/>
      <c r="U1248" s="50"/>
      <c r="V1248" s="2181"/>
      <c r="W1248" s="1326">
        <v>9.4</v>
      </c>
      <c r="X1248" s="1326">
        <v>9.4</v>
      </c>
      <c r="Y1248" s="1326">
        <v>9.4</v>
      </c>
      <c r="Z1248" s="1326">
        <v>9.4</v>
      </c>
      <c r="AA1248" s="1326">
        <v>9.4</v>
      </c>
      <c r="AB1248" s="1326">
        <v>9.4</v>
      </c>
      <c r="AC1248" s="198">
        <v>9.4</v>
      </c>
      <c r="AD1248" s="198">
        <v>9.4</v>
      </c>
      <c r="AE1248" s="932">
        <v>9.4</v>
      </c>
      <c r="AF1248" s="258">
        <f t="shared" si="194"/>
        <v>9.4</v>
      </c>
      <c r="AG1248" s="1326"/>
      <c r="DG1248" s="555"/>
      <c r="DH1248" s="151"/>
      <c r="DI1248" s="1049"/>
      <c r="DJ1248" s="1127"/>
    </row>
    <row r="1249" spans="1:114" ht="15" hidden="1" customHeight="1" outlineLevel="1" x14ac:dyDescent="0.25">
      <c r="A1249" s="442"/>
      <c r="C1249" s="49"/>
      <c r="D1249" s="2177"/>
      <c r="E1249" s="2177"/>
      <c r="F1249" s="2176" t="str">
        <f>$E$849</f>
        <v>ASHP-SEER19_ER1_MF</v>
      </c>
      <c r="G1249" s="2176"/>
      <c r="H1249" s="2176"/>
      <c r="I1249" s="2176"/>
      <c r="J1249" s="986" t="str">
        <f>$C$849</f>
        <v>354500_2024_12_</v>
      </c>
      <c r="K1249" s="1591">
        <v>9.5</v>
      </c>
      <c r="L1249" s="933"/>
      <c r="M1249" s="1577" t="s">
        <v>1112</v>
      </c>
      <c r="P1249" s="248"/>
      <c r="Q1249" s="196"/>
      <c r="R1249" s="248"/>
      <c r="T1249" s="169"/>
      <c r="U1249" s="50"/>
      <c r="V1249" s="2181"/>
      <c r="W1249" s="1326">
        <v>9.5</v>
      </c>
      <c r="X1249" s="1326">
        <v>9.5</v>
      </c>
      <c r="Y1249" s="1326">
        <v>9.5</v>
      </c>
      <c r="Z1249" s="1326">
        <v>9.5</v>
      </c>
      <c r="AA1249" s="1326">
        <v>9.5</v>
      </c>
      <c r="AB1249" s="1326">
        <v>9.5</v>
      </c>
      <c r="AC1249" s="198">
        <v>9.5</v>
      </c>
      <c r="AD1249" s="198">
        <v>9.5</v>
      </c>
      <c r="AE1249" s="932">
        <v>9.5</v>
      </c>
      <c r="AF1249" s="258">
        <f t="shared" si="194"/>
        <v>9.5</v>
      </c>
      <c r="AG1249" s="1326"/>
      <c r="DG1249" s="555"/>
      <c r="DH1249" s="151"/>
      <c r="DI1249" s="1049"/>
      <c r="DJ1249" s="1127"/>
    </row>
    <row r="1250" spans="1:114" ht="15" hidden="1" customHeight="1" outlineLevel="1" x14ac:dyDescent="0.25">
      <c r="A1250" s="442"/>
      <c r="C1250" s="49"/>
      <c r="D1250" s="2177"/>
      <c r="E1250" s="2177"/>
      <c r="F1250" s="2176" t="str">
        <f>$E$851</f>
        <v>ASHP-SEER19_ER2_MF</v>
      </c>
      <c r="G1250" s="2176"/>
      <c r="H1250" s="2176"/>
      <c r="I1250" s="2176"/>
      <c r="J1250" s="986" t="str">
        <f>$C$851</f>
        <v>354500_2024_12_</v>
      </c>
      <c r="K1250" s="1591">
        <v>9.5</v>
      </c>
      <c r="L1250" s="933"/>
      <c r="M1250" s="1577" t="s">
        <v>1112</v>
      </c>
      <c r="P1250" s="248"/>
      <c r="Q1250" s="196"/>
      <c r="R1250" s="248"/>
      <c r="T1250" s="169"/>
      <c r="U1250" s="50"/>
      <c r="V1250" s="2181"/>
      <c r="W1250" s="1326">
        <v>9.5</v>
      </c>
      <c r="X1250" s="1326">
        <v>9.5</v>
      </c>
      <c r="Y1250" s="1326">
        <v>9.5</v>
      </c>
      <c r="Z1250" s="1326">
        <v>9.5</v>
      </c>
      <c r="AA1250" s="1326">
        <v>9.5</v>
      </c>
      <c r="AB1250" s="1326">
        <v>9.5</v>
      </c>
      <c r="AC1250" s="198">
        <v>9.5</v>
      </c>
      <c r="AD1250" s="198">
        <v>9.5</v>
      </c>
      <c r="AE1250" s="932">
        <v>9.5</v>
      </c>
      <c r="AF1250" s="258">
        <f t="shared" si="194"/>
        <v>9.5</v>
      </c>
      <c r="AG1250" s="1326"/>
      <c r="DG1250" s="555"/>
      <c r="DH1250" s="151"/>
      <c r="DI1250" s="1049"/>
      <c r="DJ1250" s="1127"/>
    </row>
    <row r="1251" spans="1:114" ht="15" hidden="1" customHeight="1" outlineLevel="1" x14ac:dyDescent="0.25">
      <c r="A1251" s="442"/>
      <c r="C1251" s="49"/>
      <c r="D1251" s="2177"/>
      <c r="E1251" s="2177"/>
      <c r="F1251" s="2176" t="str">
        <f>$E$853</f>
        <v>ASHP-SEER20_ER1_SF</v>
      </c>
      <c r="G1251" s="2176"/>
      <c r="H1251" s="2176"/>
      <c r="I1251" s="2176"/>
      <c r="J1251" s="986" t="str">
        <f>$C$853</f>
        <v>354550_2024_12_</v>
      </c>
      <c r="K1251" s="875">
        <v>10.36212121212121</v>
      </c>
      <c r="L1251" s="933"/>
      <c r="M1251" s="1576" t="s">
        <v>1024</v>
      </c>
      <c r="P1251" s="248"/>
      <c r="Q1251" s="196"/>
      <c r="R1251" s="248"/>
      <c r="T1251" s="169"/>
      <c r="U1251" s="50"/>
      <c r="V1251" s="2181"/>
      <c r="W1251" s="1326">
        <v>9.5</v>
      </c>
      <c r="X1251" s="1326">
        <v>9.5</v>
      </c>
      <c r="Y1251" s="1326">
        <v>9.5</v>
      </c>
      <c r="Z1251" s="1326">
        <v>9.5</v>
      </c>
      <c r="AA1251" s="1326">
        <v>9.5</v>
      </c>
      <c r="AB1251" s="1326">
        <v>9.5</v>
      </c>
      <c r="AC1251" s="199">
        <v>10.5</v>
      </c>
      <c r="AD1251" s="930">
        <v>10.135555555555554</v>
      </c>
      <c r="AE1251" s="930">
        <v>10.36212121212121</v>
      </c>
      <c r="AF1251" s="258">
        <f t="shared" si="194"/>
        <v>10.36212121212121</v>
      </c>
      <c r="AG1251" s="1326"/>
      <c r="DG1251" s="555"/>
      <c r="DH1251" s="151"/>
      <c r="DI1251" s="1049"/>
      <c r="DJ1251" s="1127"/>
    </row>
    <row r="1252" spans="1:114" ht="15" hidden="1" customHeight="1" outlineLevel="1" x14ac:dyDescent="0.25">
      <c r="A1252" s="442"/>
      <c r="C1252" s="49"/>
      <c r="D1252" s="2177"/>
      <c r="E1252" s="2177"/>
      <c r="F1252" s="2176" t="str">
        <f>$E$855</f>
        <v>ASHP-SEER20_ER2_SF</v>
      </c>
      <c r="G1252" s="2176"/>
      <c r="H1252" s="2176"/>
      <c r="I1252" s="2176"/>
      <c r="J1252" s="986" t="str">
        <f>$C$855</f>
        <v>354550_2024_12_</v>
      </c>
      <c r="K1252" s="875">
        <v>10.36212121212121</v>
      </c>
      <c r="L1252" s="933"/>
      <c r="M1252" s="1576" t="s">
        <v>1024</v>
      </c>
      <c r="P1252" s="248"/>
      <c r="Q1252" s="196"/>
      <c r="R1252" s="248"/>
      <c r="T1252" s="169"/>
      <c r="U1252" s="50"/>
      <c r="V1252" s="2181"/>
      <c r="W1252" s="1326">
        <v>9.5</v>
      </c>
      <c r="X1252" s="1326">
        <v>9.5</v>
      </c>
      <c r="Y1252" s="1326">
        <v>9.5</v>
      </c>
      <c r="Z1252" s="1326">
        <v>9.5</v>
      </c>
      <c r="AA1252" s="1326">
        <v>9.5</v>
      </c>
      <c r="AB1252" s="1326">
        <v>9.5</v>
      </c>
      <c r="AC1252" s="199">
        <f>AC1251</f>
        <v>10.5</v>
      </c>
      <c r="AD1252" s="930">
        <v>10.135555555555554</v>
      </c>
      <c r="AE1252" s="930">
        <v>10.36212121212121</v>
      </c>
      <c r="AF1252" s="258">
        <f t="shared" si="194"/>
        <v>10.36212121212121</v>
      </c>
      <c r="AG1252" s="1326"/>
      <c r="DG1252" s="555"/>
      <c r="DH1252" s="151"/>
      <c r="DI1252" s="1049"/>
      <c r="DJ1252" s="1127"/>
    </row>
    <row r="1253" spans="1:114" ht="15" hidden="1" customHeight="1" outlineLevel="1" x14ac:dyDescent="0.25">
      <c r="A1253" s="442"/>
      <c r="C1253" s="49"/>
      <c r="D1253" s="2177"/>
      <c r="E1253" s="2177"/>
      <c r="F1253" s="2176" t="str">
        <f>$E$857</f>
        <v>ASHP-SEER20_ROF_SF</v>
      </c>
      <c r="G1253" s="2176"/>
      <c r="H1253" s="2176"/>
      <c r="I1253" s="2176"/>
      <c r="J1253" s="986" t="str">
        <f>$C$857</f>
        <v>354600_2024_12_</v>
      </c>
      <c r="K1253" s="875">
        <v>10.403571428571428</v>
      </c>
      <c r="L1253" s="933"/>
      <c r="M1253" s="1576" t="s">
        <v>1026</v>
      </c>
      <c r="P1253" s="248"/>
      <c r="Q1253" s="196"/>
      <c r="R1253" s="248"/>
      <c r="T1253" s="169"/>
      <c r="U1253" s="50"/>
      <c r="V1253" s="2181"/>
      <c r="W1253" s="1326">
        <v>9.8000000000000007</v>
      </c>
      <c r="X1253" s="1326">
        <v>9.8000000000000007</v>
      </c>
      <c r="Y1253" s="1326">
        <v>9.8000000000000007</v>
      </c>
      <c r="Z1253" s="1326">
        <v>9.8000000000000007</v>
      </c>
      <c r="AA1253" s="1326">
        <v>9.8000000000000007</v>
      </c>
      <c r="AB1253" s="1326">
        <v>9.8000000000000007</v>
      </c>
      <c r="AC1253" s="199">
        <v>10.866666666666667</v>
      </c>
      <c r="AD1253" s="930">
        <v>10.403571428571428</v>
      </c>
      <c r="AE1253" s="931">
        <v>10.403571428571428</v>
      </c>
      <c r="AF1253" s="258">
        <f t="shared" si="194"/>
        <v>10.403571428571428</v>
      </c>
      <c r="AG1253" s="1326"/>
      <c r="DG1253" s="555"/>
      <c r="DH1253" s="151"/>
      <c r="DI1253" s="1049"/>
      <c r="DJ1253" s="1127"/>
    </row>
    <row r="1254" spans="1:114" ht="15" hidden="1" customHeight="1" outlineLevel="1" x14ac:dyDescent="0.25">
      <c r="A1254" s="442"/>
      <c r="C1254" s="49"/>
      <c r="D1254" s="2177"/>
      <c r="E1254" s="2177"/>
      <c r="F1254" s="2176" t="str">
        <f>$E$859</f>
        <v>ASHP-SEER20-Replace_CAC_ElectricHeat_ER1_MF</v>
      </c>
      <c r="G1254" s="2176"/>
      <c r="H1254" s="2176"/>
      <c r="I1254" s="2176"/>
      <c r="J1254" s="986" t="str">
        <f>$C$859</f>
        <v>354650_2024_12_</v>
      </c>
      <c r="K1254" s="1591">
        <v>9.4</v>
      </c>
      <c r="L1254" s="933"/>
      <c r="M1254" s="1577" t="s">
        <v>1112</v>
      </c>
      <c r="P1254" s="248"/>
      <c r="Q1254" s="196"/>
      <c r="R1254" s="248"/>
      <c r="T1254" s="169"/>
      <c r="U1254" s="50"/>
      <c r="V1254" s="2181"/>
      <c r="W1254" s="1326">
        <v>9.4</v>
      </c>
      <c r="X1254" s="1326">
        <v>9.4</v>
      </c>
      <c r="Y1254" s="1326">
        <v>9.4</v>
      </c>
      <c r="Z1254" s="1326">
        <v>9.4</v>
      </c>
      <c r="AA1254" s="1326">
        <v>9.4</v>
      </c>
      <c r="AB1254" s="1326">
        <v>9.4</v>
      </c>
      <c r="AC1254" s="198">
        <v>9.4</v>
      </c>
      <c r="AD1254" s="198">
        <v>9.4</v>
      </c>
      <c r="AE1254" s="932">
        <v>9.4</v>
      </c>
      <c r="AF1254" s="258">
        <f t="shared" si="194"/>
        <v>9.4</v>
      </c>
      <c r="AG1254" s="1326"/>
      <c r="DG1254" s="555"/>
      <c r="DH1254" s="151"/>
      <c r="DI1254" s="1049"/>
      <c r="DJ1254" s="1127"/>
    </row>
    <row r="1255" spans="1:114" ht="15" hidden="1" customHeight="1" outlineLevel="1" x14ac:dyDescent="0.25">
      <c r="A1255" s="442"/>
      <c r="C1255" s="49"/>
      <c r="D1255" s="2177"/>
      <c r="E1255" s="2177"/>
      <c r="F1255" s="2176" t="str">
        <f>$E$861</f>
        <v>ASHP-SEER20-Replace_CAC_ElectricHeat_ER2_MF</v>
      </c>
      <c r="G1255" s="2176"/>
      <c r="H1255" s="2176"/>
      <c r="I1255" s="2176"/>
      <c r="J1255" s="986" t="str">
        <f>$C$861</f>
        <v>354650_2024_12_</v>
      </c>
      <c r="K1255" s="1591">
        <v>9.4</v>
      </c>
      <c r="L1255" s="933"/>
      <c r="M1255" s="1577" t="s">
        <v>1112</v>
      </c>
      <c r="P1255" s="248"/>
      <c r="Q1255" s="196"/>
      <c r="R1255" s="248"/>
      <c r="T1255" s="169"/>
      <c r="U1255" s="50"/>
      <c r="V1255" s="2181"/>
      <c r="W1255" s="1326">
        <v>9.4</v>
      </c>
      <c r="X1255" s="1326">
        <v>9.4</v>
      </c>
      <c r="Y1255" s="1326">
        <v>9.4</v>
      </c>
      <c r="Z1255" s="1326">
        <v>9.4</v>
      </c>
      <c r="AA1255" s="1326">
        <v>9.4</v>
      </c>
      <c r="AB1255" s="1326">
        <v>9.4</v>
      </c>
      <c r="AC1255" s="198">
        <v>9.4</v>
      </c>
      <c r="AD1255" s="198">
        <v>9.4</v>
      </c>
      <c r="AE1255" s="932">
        <v>9.4</v>
      </c>
      <c r="AF1255" s="258">
        <f t="shared" ref="AF1255" si="195">IF(K1255&lt;&gt;"",K1255,"")</f>
        <v>9.4</v>
      </c>
      <c r="AG1255" s="1326"/>
      <c r="DG1255" s="555"/>
      <c r="DH1255" s="151"/>
      <c r="DI1255" s="1049"/>
      <c r="DJ1255" s="1127"/>
    </row>
    <row r="1256" spans="1:114" ht="15" hidden="1" customHeight="1" outlineLevel="1" x14ac:dyDescent="0.25">
      <c r="A1256" s="442"/>
      <c r="C1256" s="49"/>
      <c r="D1256" s="2177"/>
      <c r="E1256" s="2177"/>
      <c r="F1256" s="2176" t="str">
        <f>$E$863</f>
        <v>ASHP-SEER20_ER1_MF</v>
      </c>
      <c r="G1256" s="2176"/>
      <c r="H1256" s="2176"/>
      <c r="I1256" s="2176"/>
      <c r="J1256" s="986" t="str">
        <f>$C$863</f>
        <v>354700_2024_12_</v>
      </c>
      <c r="K1256" s="1591">
        <v>9.5</v>
      </c>
      <c r="L1256" s="933"/>
      <c r="M1256" s="1577" t="s">
        <v>1112</v>
      </c>
      <c r="P1256" s="248"/>
      <c r="Q1256" s="196"/>
      <c r="R1256" s="248"/>
      <c r="T1256" s="169"/>
      <c r="U1256" s="50"/>
      <c r="V1256" s="2181"/>
      <c r="W1256" s="1326">
        <v>9.5</v>
      </c>
      <c r="X1256" s="1326">
        <v>9.5</v>
      </c>
      <c r="Y1256" s="1326">
        <v>9.5</v>
      </c>
      <c r="Z1256" s="1326">
        <v>9.5</v>
      </c>
      <c r="AA1256" s="1326">
        <v>9.5</v>
      </c>
      <c r="AB1256" s="1326">
        <v>9.5</v>
      </c>
      <c r="AC1256" s="198">
        <v>9.5</v>
      </c>
      <c r="AD1256" s="198">
        <v>9.5</v>
      </c>
      <c r="AE1256" s="932">
        <v>9.5</v>
      </c>
      <c r="AF1256" s="258">
        <f t="shared" si="194"/>
        <v>9.5</v>
      </c>
      <c r="AG1256" s="1326"/>
      <c r="DG1256" s="555"/>
      <c r="DH1256" s="151"/>
      <c r="DI1256" s="1049"/>
      <c r="DJ1256" s="1127"/>
    </row>
    <row r="1257" spans="1:114" ht="15" hidden="1" customHeight="1" outlineLevel="1" x14ac:dyDescent="0.25">
      <c r="A1257" s="442"/>
      <c r="C1257" s="49"/>
      <c r="D1257" s="2177"/>
      <c r="E1257" s="2177"/>
      <c r="F1257" s="2176" t="str">
        <f>$E$865</f>
        <v>ASHP-SEER20_ER2_MF</v>
      </c>
      <c r="G1257" s="2176"/>
      <c r="H1257" s="2176"/>
      <c r="I1257" s="2176"/>
      <c r="J1257" s="986" t="str">
        <f>$C$865</f>
        <v>354700_2024_12_</v>
      </c>
      <c r="K1257" s="1591">
        <v>9.5</v>
      </c>
      <c r="L1257" s="933"/>
      <c r="M1257" s="1577" t="s">
        <v>1112</v>
      </c>
      <c r="P1257" s="248"/>
      <c r="Q1257" s="196"/>
      <c r="R1257" s="248"/>
      <c r="T1257" s="169"/>
      <c r="U1257" s="50"/>
      <c r="V1257" s="2181"/>
      <c r="W1257" s="1326">
        <v>9.5</v>
      </c>
      <c r="X1257" s="1326">
        <v>9.5</v>
      </c>
      <c r="Y1257" s="1326">
        <v>9.5</v>
      </c>
      <c r="Z1257" s="1326">
        <v>9.5</v>
      </c>
      <c r="AA1257" s="1326">
        <v>9.5</v>
      </c>
      <c r="AB1257" s="1326">
        <v>9.5</v>
      </c>
      <c r="AC1257" s="198">
        <v>9.5</v>
      </c>
      <c r="AD1257" s="198">
        <v>9.5</v>
      </c>
      <c r="AE1257" s="932">
        <v>9.5</v>
      </c>
      <c r="AF1257" s="258">
        <f t="shared" si="194"/>
        <v>9.5</v>
      </c>
      <c r="AG1257" s="1326"/>
      <c r="DG1257" s="555"/>
      <c r="DH1257" s="151"/>
      <c r="DI1257" s="1049"/>
      <c r="DJ1257" s="1127"/>
    </row>
    <row r="1258" spans="1:114" ht="15" hidden="1" customHeight="1" outlineLevel="1" x14ac:dyDescent="0.25">
      <c r="A1258" s="442"/>
      <c r="C1258" s="49"/>
      <c r="D1258" s="2177"/>
      <c r="E1258" s="2177"/>
      <c r="F1258" s="2176" t="str">
        <f>$E$867</f>
        <v>ASHP-SEER21_ER1_SF</v>
      </c>
      <c r="G1258" s="2176"/>
      <c r="H1258" s="2176"/>
      <c r="I1258" s="2176"/>
      <c r="J1258" s="986" t="str">
        <f>$C$867</f>
        <v>354750_2024_12_</v>
      </c>
      <c r="K1258" s="875">
        <v>10.753333333333332</v>
      </c>
      <c r="L1258" s="933"/>
      <c r="M1258" s="1576" t="s">
        <v>1024</v>
      </c>
      <c r="P1258" s="248"/>
      <c r="Q1258" s="196"/>
      <c r="R1258" s="248"/>
      <c r="T1258" s="169"/>
      <c r="U1258" s="50"/>
      <c r="V1258" s="2181"/>
      <c r="W1258" s="1326">
        <v>9.5</v>
      </c>
      <c r="X1258" s="1326">
        <v>9.5</v>
      </c>
      <c r="Y1258" s="1326">
        <v>9.5</v>
      </c>
      <c r="Z1258" s="1326">
        <v>9.5</v>
      </c>
      <c r="AA1258" s="1326">
        <v>9.5</v>
      </c>
      <c r="AB1258" s="1326">
        <v>9.5</v>
      </c>
      <c r="AC1258" s="199">
        <v>10.807692307692308</v>
      </c>
      <c r="AD1258" s="930">
        <v>10.727272727272727</v>
      </c>
      <c r="AE1258" s="930">
        <v>10.753333333333332</v>
      </c>
      <c r="AF1258" s="258">
        <f t="shared" si="194"/>
        <v>10.753333333333332</v>
      </c>
      <c r="AG1258" s="1326"/>
      <c r="DG1258" s="555"/>
      <c r="DH1258" s="151"/>
      <c r="DI1258" s="1049"/>
      <c r="DJ1258" s="1127"/>
    </row>
    <row r="1259" spans="1:114" ht="15" hidden="1" customHeight="1" outlineLevel="1" x14ac:dyDescent="0.25">
      <c r="A1259" s="442"/>
      <c r="C1259" s="49"/>
      <c r="D1259" s="2177"/>
      <c r="E1259" s="2177"/>
      <c r="F1259" s="2176" t="str">
        <f>$E$869</f>
        <v>ASHP-SEER21_ER2_SF</v>
      </c>
      <c r="G1259" s="2176"/>
      <c r="H1259" s="2176"/>
      <c r="I1259" s="2176"/>
      <c r="J1259" s="986" t="str">
        <f>$C$869</f>
        <v>354750_2024_12_</v>
      </c>
      <c r="K1259" s="875">
        <v>10.753333333333332</v>
      </c>
      <c r="L1259" s="933"/>
      <c r="M1259" s="1576" t="s">
        <v>1024</v>
      </c>
      <c r="P1259" s="248"/>
      <c r="Q1259" s="196"/>
      <c r="R1259" s="248"/>
      <c r="T1259" s="169"/>
      <c r="U1259" s="50"/>
      <c r="V1259" s="2181"/>
      <c r="W1259" s="1326">
        <v>9.5</v>
      </c>
      <c r="X1259" s="1326">
        <v>9.5</v>
      </c>
      <c r="Y1259" s="1326">
        <v>9.5</v>
      </c>
      <c r="Z1259" s="1326">
        <v>9.5</v>
      </c>
      <c r="AA1259" s="1326">
        <v>9.5</v>
      </c>
      <c r="AB1259" s="1326">
        <v>9.5</v>
      </c>
      <c r="AC1259" s="199">
        <f>AC1258</f>
        <v>10.807692307692308</v>
      </c>
      <c r="AD1259" s="930">
        <v>10.727272727272727</v>
      </c>
      <c r="AE1259" s="930">
        <v>10.753333333333332</v>
      </c>
      <c r="AF1259" s="258">
        <f t="shared" si="194"/>
        <v>10.753333333333332</v>
      </c>
      <c r="AG1259" s="1326"/>
      <c r="DG1259" s="555"/>
      <c r="DH1259" s="151"/>
      <c r="DI1259" s="1049"/>
      <c r="DJ1259" s="1127"/>
    </row>
    <row r="1260" spans="1:114" ht="15" hidden="1" customHeight="1" outlineLevel="1" x14ac:dyDescent="0.25">
      <c r="A1260" s="442"/>
      <c r="C1260" s="49"/>
      <c r="D1260" s="2177"/>
      <c r="E1260" s="2177"/>
      <c r="F1260" s="2176" t="str">
        <f>$E$871</f>
        <v>ASHP-SEER21_ROF_SF</v>
      </c>
      <c r="G1260" s="2176"/>
      <c r="H1260" s="2176"/>
      <c r="I1260" s="2176"/>
      <c r="J1260" s="986" t="str">
        <f>$C$871</f>
        <v>354800_2024_12_</v>
      </c>
      <c r="K1260" s="875">
        <v>10.609090909090909</v>
      </c>
      <c r="L1260" s="933"/>
      <c r="M1260" s="1576" t="s">
        <v>1024</v>
      </c>
      <c r="P1260" s="248"/>
      <c r="Q1260" s="196"/>
      <c r="R1260" s="248"/>
      <c r="T1260" s="169"/>
      <c r="U1260" s="50"/>
      <c r="V1260" s="2181"/>
      <c r="W1260" s="1326">
        <v>9.8000000000000007</v>
      </c>
      <c r="X1260" s="1326">
        <v>9.8000000000000007</v>
      </c>
      <c r="Y1260" s="1326">
        <v>9.8000000000000007</v>
      </c>
      <c r="Z1260" s="1326">
        <v>9.8000000000000007</v>
      </c>
      <c r="AA1260" s="1326">
        <v>9.8000000000000007</v>
      </c>
      <c r="AB1260" s="1326">
        <v>9.8000000000000007</v>
      </c>
      <c r="AC1260" s="199">
        <v>10.875</v>
      </c>
      <c r="AD1260" s="930">
        <v>11</v>
      </c>
      <c r="AE1260" s="930">
        <v>10.609090909090909</v>
      </c>
      <c r="AF1260" s="258">
        <f t="shared" si="194"/>
        <v>10.609090909090909</v>
      </c>
      <c r="AG1260" s="1326"/>
      <c r="DG1260" s="555"/>
      <c r="DH1260" s="151"/>
      <c r="DI1260" s="1049"/>
      <c r="DJ1260" s="1127"/>
    </row>
    <row r="1261" spans="1:114" ht="15" hidden="1" customHeight="1" outlineLevel="1" x14ac:dyDescent="0.25">
      <c r="A1261" s="442"/>
      <c r="C1261" s="49"/>
      <c r="D1261" s="2177"/>
      <c r="E1261" s="2177"/>
      <c r="F1261" s="2176" t="str">
        <f>$E$873</f>
        <v>ASHP-SEER21-Replace_CAC_ElectricHeat_ROF_MF</v>
      </c>
      <c r="G1261" s="2176"/>
      <c r="H1261" s="2176"/>
      <c r="I1261" s="2176"/>
      <c r="J1261" s="986" t="str">
        <f>$C$873</f>
        <v>354850_2024_12_</v>
      </c>
      <c r="K1261" s="1591">
        <v>9.6999999999999993</v>
      </c>
      <c r="L1261" s="933"/>
      <c r="M1261" s="1577" t="s">
        <v>1112</v>
      </c>
      <c r="P1261" s="248"/>
      <c r="Q1261" s="196"/>
      <c r="R1261" s="248"/>
      <c r="T1261" s="169"/>
      <c r="U1261" s="50"/>
      <c r="V1261" s="2181"/>
      <c r="W1261" s="1326">
        <v>9.6999999999999993</v>
      </c>
      <c r="X1261" s="1326">
        <v>9.6999999999999993</v>
      </c>
      <c r="Y1261" s="1326">
        <v>9.6999999999999993</v>
      </c>
      <c r="Z1261" s="1326">
        <v>9.6999999999999993</v>
      </c>
      <c r="AA1261" s="1326">
        <v>9.6999999999999993</v>
      </c>
      <c r="AB1261" s="1326">
        <v>9.6999999999999993</v>
      </c>
      <c r="AC1261" s="198">
        <v>9.6999999999999993</v>
      </c>
      <c r="AD1261" s="198">
        <v>9.6999999999999993</v>
      </c>
      <c r="AE1261" s="932">
        <v>9.6999999999999993</v>
      </c>
      <c r="AF1261" s="258">
        <f t="shared" si="194"/>
        <v>9.6999999999999993</v>
      </c>
      <c r="AG1261" s="1326"/>
      <c r="DG1261" s="555"/>
      <c r="DH1261" s="151"/>
      <c r="DI1261" s="1049"/>
      <c r="DJ1261" s="1127"/>
    </row>
    <row r="1262" spans="1:114" ht="15" hidden="1" customHeight="1" outlineLevel="1" x14ac:dyDescent="0.25">
      <c r="A1262" s="442"/>
      <c r="C1262" s="49"/>
      <c r="D1262" s="2177"/>
      <c r="E1262" s="2177"/>
      <c r="F1262" s="2176" t="str">
        <f>$E$875</f>
        <v>ASHP-SEER21_ER1_MF</v>
      </c>
      <c r="G1262" s="2176"/>
      <c r="H1262" s="2176"/>
      <c r="I1262" s="2176"/>
      <c r="J1262" s="986" t="str">
        <f>$C$875</f>
        <v>354900_2024_12_</v>
      </c>
      <c r="K1262" s="1591">
        <v>9.5</v>
      </c>
      <c r="L1262" s="933"/>
      <c r="M1262" s="1577" t="s">
        <v>1112</v>
      </c>
      <c r="P1262" s="248"/>
      <c r="Q1262" s="196"/>
      <c r="R1262" s="248"/>
      <c r="T1262" s="169"/>
      <c r="U1262" s="50"/>
      <c r="V1262" s="2181"/>
      <c r="W1262" s="1326">
        <v>9.5</v>
      </c>
      <c r="X1262" s="1326">
        <v>9.5</v>
      </c>
      <c r="Y1262" s="1326">
        <v>9.5</v>
      </c>
      <c r="Z1262" s="1326">
        <v>9.5</v>
      </c>
      <c r="AA1262" s="1326">
        <v>9.5</v>
      </c>
      <c r="AB1262" s="1326">
        <v>9.5</v>
      </c>
      <c r="AC1262" s="198">
        <v>9.5</v>
      </c>
      <c r="AD1262" s="198">
        <v>9.5</v>
      </c>
      <c r="AE1262" s="932">
        <v>9.5</v>
      </c>
      <c r="AF1262" s="258">
        <f t="shared" si="194"/>
        <v>9.5</v>
      </c>
      <c r="AG1262" s="1326"/>
      <c r="DG1262" s="555"/>
      <c r="DH1262" s="151"/>
      <c r="DI1262" s="1049"/>
      <c r="DJ1262" s="1127"/>
    </row>
    <row r="1263" spans="1:114" ht="15" hidden="1" customHeight="1" outlineLevel="1" x14ac:dyDescent="0.25">
      <c r="A1263" s="442"/>
      <c r="C1263" s="49"/>
      <c r="D1263" s="2177"/>
      <c r="E1263" s="2177"/>
      <c r="F1263" s="2176" t="str">
        <f>$E$877</f>
        <v>ASHP-SEER21_ER2_MF</v>
      </c>
      <c r="G1263" s="2176"/>
      <c r="H1263" s="2176"/>
      <c r="I1263" s="2176"/>
      <c r="J1263" s="986" t="str">
        <f>$C$877</f>
        <v>354900_2024_12_</v>
      </c>
      <c r="K1263" s="1591">
        <v>9.5</v>
      </c>
      <c r="L1263" s="933"/>
      <c r="M1263" s="1577" t="s">
        <v>1112</v>
      </c>
      <c r="P1263" s="248"/>
      <c r="Q1263" s="196"/>
      <c r="R1263" s="248"/>
      <c r="T1263" s="169"/>
      <c r="U1263" s="50"/>
      <c r="V1263" s="2181"/>
      <c r="W1263" s="1326">
        <v>9.5</v>
      </c>
      <c r="X1263" s="1326">
        <v>9.5</v>
      </c>
      <c r="Y1263" s="1326">
        <v>9.5</v>
      </c>
      <c r="Z1263" s="1326">
        <v>9.5</v>
      </c>
      <c r="AA1263" s="1326">
        <v>9.5</v>
      </c>
      <c r="AB1263" s="1326">
        <v>9.5</v>
      </c>
      <c r="AC1263" s="198">
        <v>9.5</v>
      </c>
      <c r="AD1263" s="198">
        <v>9.5</v>
      </c>
      <c r="AE1263" s="932">
        <v>9.5</v>
      </c>
      <c r="AF1263" s="258">
        <f t="shared" si="194"/>
        <v>9.5</v>
      </c>
      <c r="AG1263" s="1326"/>
      <c r="DG1263" s="555"/>
      <c r="DH1263" s="151"/>
      <c r="DI1263" s="1049"/>
      <c r="DJ1263" s="1127"/>
    </row>
    <row r="1264" spans="1:114" ht="15" hidden="1" customHeight="1" outlineLevel="1" x14ac:dyDescent="0.25">
      <c r="A1264" s="442"/>
      <c r="C1264" s="49"/>
      <c r="D1264" s="2177"/>
      <c r="E1264" s="2177"/>
      <c r="F1264" s="2176" t="str">
        <f>$E$879</f>
        <v>ASHP-SEER17_ROF_MF</v>
      </c>
      <c r="G1264" s="2176"/>
      <c r="H1264" s="2176"/>
      <c r="I1264" s="2176"/>
      <c r="J1264" s="986" t="str">
        <f>$C$879</f>
        <v>354950_2024_12_</v>
      </c>
      <c r="K1264" s="1591">
        <v>9.8000000000000007</v>
      </c>
      <c r="L1264" s="933"/>
      <c r="M1264" s="1578" t="s">
        <v>1361</v>
      </c>
      <c r="P1264" s="248"/>
      <c r="Q1264" s="196"/>
      <c r="R1264" s="248"/>
      <c r="T1264" s="169"/>
      <c r="U1264" s="50"/>
      <c r="V1264" s="2181"/>
      <c r="W1264" s="1326">
        <v>9.8000000000000007</v>
      </c>
      <c r="X1264" s="1326">
        <v>9.8000000000000007</v>
      </c>
      <c r="Y1264" s="1326">
        <v>9.8000000000000007</v>
      </c>
      <c r="Z1264" s="1326">
        <v>9.8000000000000007</v>
      </c>
      <c r="AA1264" s="1326">
        <v>9.8000000000000007</v>
      </c>
      <c r="AB1264" s="1326">
        <v>9.8000000000000007</v>
      </c>
      <c r="AC1264" s="198">
        <v>9.8000000000000007</v>
      </c>
      <c r="AD1264" s="198">
        <v>9.8000000000000007</v>
      </c>
      <c r="AE1264" s="932">
        <v>9.8000000000000007</v>
      </c>
      <c r="AF1264" s="258">
        <f t="shared" si="194"/>
        <v>9.8000000000000007</v>
      </c>
      <c r="AG1264" s="1326"/>
      <c r="DG1264" s="555"/>
      <c r="DH1264" s="151"/>
      <c r="DI1264" s="1049"/>
      <c r="DJ1264" s="1127"/>
    </row>
    <row r="1265" spans="1:114" ht="15" hidden="1" customHeight="1" outlineLevel="1" x14ac:dyDescent="0.25">
      <c r="A1265" s="442"/>
      <c r="C1265" s="49"/>
      <c r="D1265" s="2177"/>
      <c r="E1265" s="2177"/>
      <c r="F1265" s="2176" t="str">
        <f>$E$881</f>
        <v>ASHP-SEER18_ROF_MF</v>
      </c>
      <c r="G1265" s="2176"/>
      <c r="H1265" s="2176"/>
      <c r="I1265" s="2176"/>
      <c r="J1265" s="986" t="str">
        <f>$C$881</f>
        <v>355000_2024_12_</v>
      </c>
      <c r="K1265" s="1591">
        <v>9.8000000000000007</v>
      </c>
      <c r="L1265" s="933"/>
      <c r="M1265" s="1578" t="s">
        <v>1361</v>
      </c>
      <c r="T1265" s="50"/>
      <c r="U1265" s="50"/>
      <c r="V1265" s="2181"/>
      <c r="W1265" s="1326">
        <v>9.8000000000000007</v>
      </c>
      <c r="X1265" s="1326">
        <v>9.8000000000000007</v>
      </c>
      <c r="Y1265" s="1326">
        <v>9.8000000000000007</v>
      </c>
      <c r="Z1265" s="1326">
        <v>9.8000000000000007</v>
      </c>
      <c r="AA1265" s="1326">
        <v>9.8000000000000007</v>
      </c>
      <c r="AB1265" s="1326">
        <v>9.8000000000000007</v>
      </c>
      <c r="AC1265" s="198">
        <v>9.8000000000000007</v>
      </c>
      <c r="AD1265" s="198">
        <v>9.8000000000000007</v>
      </c>
      <c r="AE1265" s="932">
        <v>9.8000000000000007</v>
      </c>
      <c r="AF1265" s="258">
        <f t="shared" si="194"/>
        <v>9.8000000000000007</v>
      </c>
      <c r="AG1265" s="1326"/>
      <c r="DG1265" s="555"/>
      <c r="DH1265" s="151"/>
      <c r="DI1265" s="1049"/>
      <c r="DJ1265" s="1127"/>
    </row>
    <row r="1266" spans="1:114" ht="15" hidden="1" customHeight="1" outlineLevel="1" x14ac:dyDescent="0.25">
      <c r="A1266" s="442"/>
      <c r="C1266" s="49"/>
      <c r="D1266" s="2177"/>
      <c r="E1266" s="2177"/>
      <c r="F1266" s="2176" t="str">
        <f>$E$883</f>
        <v>ASHP-SEER19_ROF_MF</v>
      </c>
      <c r="G1266" s="2176"/>
      <c r="H1266" s="2176"/>
      <c r="I1266" s="2176"/>
      <c r="J1266" s="986" t="str">
        <f>$C$883</f>
        <v>355050_2024_12_</v>
      </c>
      <c r="K1266" s="1591">
        <v>9.8000000000000007</v>
      </c>
      <c r="L1266" s="933"/>
      <c r="M1266" s="1578" t="s">
        <v>1361</v>
      </c>
      <c r="T1266" s="50"/>
      <c r="U1266" s="50"/>
      <c r="V1266" s="2181"/>
      <c r="W1266" s="1326">
        <v>9.8000000000000007</v>
      </c>
      <c r="X1266" s="1326">
        <v>9.8000000000000007</v>
      </c>
      <c r="Y1266" s="1326">
        <v>9.8000000000000007</v>
      </c>
      <c r="Z1266" s="1326">
        <v>9.8000000000000007</v>
      </c>
      <c r="AA1266" s="1326">
        <v>9.8000000000000007</v>
      </c>
      <c r="AB1266" s="1326">
        <v>9.8000000000000007</v>
      </c>
      <c r="AC1266" s="198">
        <v>9.8000000000000007</v>
      </c>
      <c r="AD1266" s="198">
        <v>9.8000000000000007</v>
      </c>
      <c r="AE1266" s="932">
        <v>9.8000000000000007</v>
      </c>
      <c r="AF1266" s="258">
        <f t="shared" si="194"/>
        <v>9.8000000000000007</v>
      </c>
      <c r="AG1266" s="1326"/>
      <c r="DG1266" s="555"/>
      <c r="DH1266" s="151"/>
      <c r="DI1266" s="1049"/>
      <c r="DJ1266" s="1127"/>
    </row>
    <row r="1267" spans="1:114" ht="15" hidden="1" customHeight="1" outlineLevel="1" x14ac:dyDescent="0.25">
      <c r="A1267" s="442"/>
      <c r="C1267" s="49"/>
      <c r="D1267" s="2177"/>
      <c r="E1267" s="2177"/>
      <c r="F1267" s="2176" t="str">
        <f>$E$885</f>
        <v>ASHP-SEER20_ROF_MF</v>
      </c>
      <c r="G1267" s="2176"/>
      <c r="H1267" s="2176"/>
      <c r="I1267" s="2176"/>
      <c r="J1267" s="986" t="str">
        <f>$C$885</f>
        <v>355100_2024_12_</v>
      </c>
      <c r="K1267" s="1591">
        <v>9.8000000000000007</v>
      </c>
      <c r="L1267" s="933"/>
      <c r="M1267" s="1578" t="s">
        <v>1361</v>
      </c>
      <c r="P1267" s="248"/>
      <c r="Q1267" s="196"/>
      <c r="R1267" s="248"/>
      <c r="T1267" s="169"/>
      <c r="U1267" s="50"/>
      <c r="V1267" s="2181"/>
      <c r="W1267" s="1326">
        <v>9.8000000000000007</v>
      </c>
      <c r="X1267" s="1326">
        <v>9.8000000000000007</v>
      </c>
      <c r="Y1267" s="1326">
        <v>9.8000000000000007</v>
      </c>
      <c r="Z1267" s="1326">
        <v>9.8000000000000007</v>
      </c>
      <c r="AA1267" s="1326">
        <v>9.8000000000000007</v>
      </c>
      <c r="AB1267" s="1326">
        <v>9.8000000000000007</v>
      </c>
      <c r="AC1267" s="198">
        <v>9.8000000000000007</v>
      </c>
      <c r="AD1267" s="198">
        <v>9.8000000000000007</v>
      </c>
      <c r="AE1267" s="932">
        <v>9.8000000000000007</v>
      </c>
      <c r="AF1267" s="258">
        <f t="shared" ref="AF1267:AF1289" si="196">IF(K1267&lt;&gt;"",K1267,"")</f>
        <v>9.8000000000000007</v>
      </c>
      <c r="AG1267" s="1326"/>
      <c r="DG1267" s="555"/>
      <c r="DH1267" s="151"/>
      <c r="DI1267" s="1049"/>
      <c r="DJ1267" s="1127"/>
    </row>
    <row r="1268" spans="1:114" ht="15.75" hidden="1" customHeight="1" outlineLevel="1" x14ac:dyDescent="0.25">
      <c r="A1268" s="442"/>
      <c r="C1268" s="49"/>
      <c r="D1268" s="2177"/>
      <c r="E1268" s="2177"/>
      <c r="F1268" s="2176" t="str">
        <f>$E$887</f>
        <v>ASHP-SEER21_ROF_MF</v>
      </c>
      <c r="G1268" s="2176"/>
      <c r="H1268" s="2176"/>
      <c r="I1268" s="2176"/>
      <c r="J1268" s="986" t="str">
        <f>$C$887</f>
        <v>355150_2024_12_</v>
      </c>
      <c r="K1268" s="1591">
        <v>9.8000000000000007</v>
      </c>
      <c r="L1268" s="933"/>
      <c r="M1268" s="1578" t="s">
        <v>1361</v>
      </c>
      <c r="P1268" s="248"/>
      <c r="Q1268" s="196"/>
      <c r="R1268" s="248"/>
      <c r="T1268" s="169"/>
      <c r="U1268" s="50"/>
      <c r="V1268" s="2181"/>
      <c r="W1268" s="1326">
        <v>9.8000000000000007</v>
      </c>
      <c r="X1268" s="1326">
        <v>9.8000000000000007</v>
      </c>
      <c r="Y1268" s="1326">
        <v>9.8000000000000007</v>
      </c>
      <c r="Z1268" s="1326">
        <v>9.8000000000000007</v>
      </c>
      <c r="AA1268" s="1326">
        <v>9.8000000000000007</v>
      </c>
      <c r="AB1268" s="1326">
        <v>9.8000000000000007</v>
      </c>
      <c r="AC1268" s="198">
        <v>9.8000000000000007</v>
      </c>
      <c r="AD1268" s="198">
        <v>9.8000000000000007</v>
      </c>
      <c r="AE1268" s="932">
        <v>9.8000000000000007</v>
      </c>
      <c r="AF1268" s="258">
        <f t="shared" si="196"/>
        <v>9.8000000000000007</v>
      </c>
      <c r="AG1268" s="1326"/>
      <c r="DG1268" s="555"/>
      <c r="DH1268" s="151"/>
      <c r="DI1268" s="1049"/>
      <c r="DJ1268" s="1127"/>
    </row>
    <row r="1269" spans="1:114" ht="15" hidden="1" customHeight="1" outlineLevel="1" x14ac:dyDescent="0.25">
      <c r="A1269" s="442"/>
      <c r="C1269" s="49"/>
      <c r="D1269" s="2177" t="s">
        <v>1158</v>
      </c>
      <c r="E1269" s="2177" t="s">
        <v>1368</v>
      </c>
      <c r="F1269" s="2176" t="str">
        <f>$E$709</f>
        <v>ASHP-SEER15-Replace_CAC_ElectricHeat_ER1_SF</v>
      </c>
      <c r="G1269" s="2176"/>
      <c r="H1269" s="2176"/>
      <c r="I1269" s="2176"/>
      <c r="J1269" s="986" t="str">
        <f>$C$709</f>
        <v>352300_2024_12_</v>
      </c>
      <c r="K1269" s="1589">
        <v>35979.397590361448</v>
      </c>
      <c r="L1269" s="904">
        <f t="shared" ref="L1269:L1292" si="197">K1269/12000</f>
        <v>2.9982831325301205</v>
      </c>
      <c r="M1269" s="1576" t="s">
        <v>1024</v>
      </c>
      <c r="P1269" s="248"/>
      <c r="Q1269" s="196"/>
      <c r="R1269" s="248"/>
      <c r="T1269" s="169"/>
      <c r="U1269" s="50"/>
      <c r="V1269" s="2177" t="s">
        <v>1158</v>
      </c>
      <c r="W1269" s="1326">
        <v>33600</v>
      </c>
      <c r="X1269" s="794">
        <f>3.06*12000</f>
        <v>36720</v>
      </c>
      <c r="Y1269" s="794">
        <v>34800</v>
      </c>
      <c r="Z1269" s="1326">
        <v>34800</v>
      </c>
      <c r="AA1269" s="1326">
        <v>34800</v>
      </c>
      <c r="AB1269" s="790">
        <v>34457.142857142855</v>
      </c>
      <c r="AC1269" s="790">
        <v>34555.932203389835</v>
      </c>
      <c r="AD1269" s="790">
        <v>35530.201342281878</v>
      </c>
      <c r="AE1269" s="928">
        <v>35979.397590361448</v>
      </c>
      <c r="AF1269" s="258">
        <f t="shared" si="196"/>
        <v>35979.397590361448</v>
      </c>
      <c r="AG1269" s="1326"/>
      <c r="DG1269" s="555"/>
      <c r="DH1269" s="151"/>
      <c r="DI1269" s="1049"/>
      <c r="DJ1269" s="1127"/>
    </row>
    <row r="1270" spans="1:114" ht="15" hidden="1" customHeight="1" outlineLevel="1" x14ac:dyDescent="0.25">
      <c r="A1270" s="442"/>
      <c r="C1270" s="49"/>
      <c r="D1270" s="2177"/>
      <c r="E1270" s="2177"/>
      <c r="F1270" s="2176" t="str">
        <f>$E$711</f>
        <v>ASHP-SEER15-Replace_CAC_ElectricHeat_ER2_SF</v>
      </c>
      <c r="G1270" s="2176"/>
      <c r="H1270" s="2176"/>
      <c r="I1270" s="2176"/>
      <c r="J1270" s="986" t="str">
        <f>$C$711</f>
        <v>352300_2024_12_</v>
      </c>
      <c r="K1270" s="1589">
        <v>35979.397590361448</v>
      </c>
      <c r="L1270" s="904">
        <f t="shared" si="197"/>
        <v>2.9982831325301205</v>
      </c>
      <c r="M1270" s="1576" t="s">
        <v>1112</v>
      </c>
      <c r="P1270" s="248"/>
      <c r="Q1270" s="196"/>
      <c r="R1270" s="248"/>
      <c r="T1270" s="169"/>
      <c r="U1270" s="50"/>
      <c r="V1270" s="2177"/>
      <c r="W1270" s="1326">
        <v>33600</v>
      </c>
      <c r="X1270" s="794">
        <f t="shared" ref="X1270:X1285" si="198">3.06*12000</f>
        <v>36720</v>
      </c>
      <c r="Y1270" s="794">
        <v>34800</v>
      </c>
      <c r="Z1270" s="1326">
        <v>34800</v>
      </c>
      <c r="AA1270" s="1326">
        <v>34800</v>
      </c>
      <c r="AB1270" s="790">
        <v>34457.142857142855</v>
      </c>
      <c r="AC1270" s="790">
        <f>AC1269</f>
        <v>34555.932203389835</v>
      </c>
      <c r="AD1270" s="790">
        <v>35530.201342281878</v>
      </c>
      <c r="AE1270" s="928">
        <v>35979.397590361448</v>
      </c>
      <c r="AF1270" s="258">
        <f t="shared" si="196"/>
        <v>35979.397590361448</v>
      </c>
      <c r="AG1270" s="1326"/>
      <c r="DG1270" s="555"/>
      <c r="DH1270" s="151"/>
      <c r="DI1270" s="1049"/>
      <c r="DJ1270" s="1127"/>
    </row>
    <row r="1271" spans="1:114" ht="15" hidden="1" customHeight="1" outlineLevel="1" x14ac:dyDescent="0.25">
      <c r="A1271" s="442"/>
      <c r="C1271" s="49"/>
      <c r="D1271" s="2177"/>
      <c r="E1271" s="2177"/>
      <c r="F1271" s="2176" t="str">
        <f>$E$713</f>
        <v>ASHP-SEER15-Replace_CAC_NonElectricHeat_ER1_SF</v>
      </c>
      <c r="G1271" s="2176"/>
      <c r="H1271" s="2176"/>
      <c r="I1271" s="2176"/>
      <c r="J1271" s="986" t="str">
        <f>$C$713</f>
        <v>352310_2024_12_</v>
      </c>
      <c r="K1271" s="1589">
        <v>35979.397590361448</v>
      </c>
      <c r="L1271" s="904">
        <f t="shared" si="197"/>
        <v>2.9982831325301205</v>
      </c>
      <c r="M1271" s="1577" t="s">
        <v>1112</v>
      </c>
      <c r="P1271" s="248"/>
      <c r="Q1271" s="196"/>
      <c r="R1271" s="248"/>
      <c r="T1271" s="169"/>
      <c r="U1271" s="50"/>
      <c r="V1271" s="2177"/>
      <c r="W1271" s="1326"/>
      <c r="X1271" s="794"/>
      <c r="Y1271" s="794"/>
      <c r="Z1271" s="1326"/>
      <c r="AA1271" s="1326"/>
      <c r="AB1271" s="790"/>
      <c r="AC1271" s="790">
        <v>34555.932203389835</v>
      </c>
      <c r="AD1271" s="790">
        <v>35530.201342281878</v>
      </c>
      <c r="AE1271" s="928">
        <v>35979.397590361448</v>
      </c>
      <c r="AF1271" s="258">
        <f t="shared" si="196"/>
        <v>35979.397590361448</v>
      </c>
      <c r="AG1271" s="1326"/>
      <c r="DG1271" s="555"/>
      <c r="DH1271" s="151"/>
      <c r="DI1271" s="1049"/>
      <c r="DJ1271" s="1127"/>
    </row>
    <row r="1272" spans="1:114" ht="15" hidden="1" customHeight="1" outlineLevel="1" x14ac:dyDescent="0.25">
      <c r="A1272" s="442"/>
      <c r="C1272" s="49"/>
      <c r="D1272" s="2177"/>
      <c r="E1272" s="2177"/>
      <c r="F1272" s="2176" t="str">
        <f>$E$715</f>
        <v>ASHP-SEER15-Replace_CAC_NonElectricHeat_ER2_SF</v>
      </c>
      <c r="G1272" s="2176"/>
      <c r="H1272" s="2176"/>
      <c r="I1272" s="2176"/>
      <c r="J1272" s="986" t="str">
        <f>$C$715</f>
        <v>352310_2024_12_</v>
      </c>
      <c r="K1272" s="1589">
        <v>35979.397590361448</v>
      </c>
      <c r="L1272" s="904">
        <f t="shared" si="197"/>
        <v>2.9982831325301205</v>
      </c>
      <c r="M1272" s="1577" t="s">
        <v>1112</v>
      </c>
      <c r="P1272" s="248"/>
      <c r="Q1272" s="196"/>
      <c r="R1272" s="248"/>
      <c r="T1272" s="169"/>
      <c r="U1272" s="50"/>
      <c r="V1272" s="2177"/>
      <c r="W1272" s="1326"/>
      <c r="X1272" s="794"/>
      <c r="Y1272" s="794"/>
      <c r="Z1272" s="1326"/>
      <c r="AA1272" s="1326"/>
      <c r="AB1272" s="790"/>
      <c r="AC1272" s="790">
        <f>AC1271</f>
        <v>34555.932203389835</v>
      </c>
      <c r="AD1272" s="790">
        <v>35530.201342281878</v>
      </c>
      <c r="AE1272" s="928">
        <v>35979.397590361448</v>
      </c>
      <c r="AF1272" s="258">
        <f t="shared" si="196"/>
        <v>35979.397590361448</v>
      </c>
      <c r="AG1272" s="1326"/>
      <c r="DG1272" s="555"/>
      <c r="DH1272" s="151"/>
      <c r="DI1272" s="1049"/>
      <c r="DJ1272" s="1127"/>
    </row>
    <row r="1273" spans="1:114" ht="15" hidden="1" customHeight="1" outlineLevel="1" x14ac:dyDescent="0.25">
      <c r="A1273" s="442"/>
      <c r="C1273" s="49"/>
      <c r="D1273" s="2177"/>
      <c r="E1273" s="2177"/>
      <c r="F1273" s="2176" t="str">
        <f>$E$717</f>
        <v>ASHP-SEER15_ER1_SF</v>
      </c>
      <c r="G1273" s="2176"/>
      <c r="H1273" s="2176"/>
      <c r="I1273" s="2176"/>
      <c r="J1273" s="986" t="str">
        <f>$C$717</f>
        <v>352350_2024_12_</v>
      </c>
      <c r="K1273" s="1589">
        <v>35979.397590361448</v>
      </c>
      <c r="L1273" s="904">
        <f t="shared" si="197"/>
        <v>2.9982831325301205</v>
      </c>
      <c r="M1273" s="1576" t="s">
        <v>1112</v>
      </c>
      <c r="P1273" s="248"/>
      <c r="Q1273" s="196"/>
      <c r="R1273" s="248"/>
      <c r="T1273" s="169"/>
      <c r="U1273" s="50"/>
      <c r="V1273" s="2177"/>
      <c r="W1273" s="1326">
        <v>37200</v>
      </c>
      <c r="X1273" s="794">
        <f t="shared" si="198"/>
        <v>36720</v>
      </c>
      <c r="Y1273" s="794">
        <v>35160</v>
      </c>
      <c r="Z1273" s="1326">
        <v>35160</v>
      </c>
      <c r="AA1273" s="1326">
        <v>35160</v>
      </c>
      <c r="AB1273" s="790">
        <v>37222.222222222219</v>
      </c>
      <c r="AC1273" s="790">
        <v>37480.519480519484</v>
      </c>
      <c r="AD1273" s="790">
        <v>35530.201342281878</v>
      </c>
      <c r="AE1273" s="928">
        <v>35979.397590361448</v>
      </c>
      <c r="AF1273" s="258">
        <f t="shared" si="196"/>
        <v>35979.397590361448</v>
      </c>
      <c r="AG1273" s="1326"/>
      <c r="DG1273" s="555"/>
      <c r="DH1273" s="151"/>
      <c r="DI1273" s="1049"/>
      <c r="DJ1273" s="1127"/>
    </row>
    <row r="1274" spans="1:114" ht="15" hidden="1" customHeight="1" outlineLevel="1" x14ac:dyDescent="0.25">
      <c r="A1274" s="442"/>
      <c r="C1274" s="49"/>
      <c r="D1274" s="2177"/>
      <c r="E1274" s="2177"/>
      <c r="F1274" s="2176" t="str">
        <f>$E$719</f>
        <v>ASHP-SEER15_ER2_SF</v>
      </c>
      <c r="G1274" s="2176"/>
      <c r="H1274" s="2176"/>
      <c r="I1274" s="2176"/>
      <c r="J1274" s="986" t="str">
        <f>$C$719</f>
        <v>352350_2024_12_</v>
      </c>
      <c r="K1274" s="1589">
        <v>35979.397590361448</v>
      </c>
      <c r="L1274" s="904">
        <f t="shared" si="197"/>
        <v>2.9982831325301205</v>
      </c>
      <c r="M1274" s="1576" t="s">
        <v>1112</v>
      </c>
      <c r="P1274" s="248"/>
      <c r="Q1274" s="196"/>
      <c r="R1274" s="248"/>
      <c r="T1274" s="169"/>
      <c r="U1274" s="50"/>
      <c r="V1274" s="2177"/>
      <c r="W1274" s="1326">
        <v>37200</v>
      </c>
      <c r="X1274" s="794">
        <f t="shared" si="198"/>
        <v>36720</v>
      </c>
      <c r="Y1274" s="794">
        <v>35160</v>
      </c>
      <c r="Z1274" s="1326">
        <v>35160</v>
      </c>
      <c r="AA1274" s="1326">
        <v>35160</v>
      </c>
      <c r="AB1274" s="790">
        <v>37222.222222222219</v>
      </c>
      <c r="AC1274" s="790">
        <f>AC1273</f>
        <v>37480.519480519484</v>
      </c>
      <c r="AD1274" s="790">
        <v>35530.201342281878</v>
      </c>
      <c r="AE1274" s="928">
        <v>35979.397590361448</v>
      </c>
      <c r="AF1274" s="258">
        <f t="shared" si="196"/>
        <v>35979.397590361448</v>
      </c>
      <c r="AG1274" s="1326"/>
      <c r="DG1274" s="555"/>
      <c r="DH1274" s="151"/>
      <c r="DI1274" s="1049"/>
      <c r="DJ1274" s="1127"/>
    </row>
    <row r="1275" spans="1:114" ht="15" hidden="1" customHeight="1" outlineLevel="1" x14ac:dyDescent="0.25">
      <c r="A1275" s="442"/>
      <c r="C1275" s="49"/>
      <c r="D1275" s="2177"/>
      <c r="E1275" s="2177"/>
      <c r="F1275" s="2176" t="str">
        <f>$E$721</f>
        <v>ASHP-SEER15-Replace_CAC_ElectricHeat_ROF_SF</v>
      </c>
      <c r="G1275" s="2176"/>
      <c r="H1275" s="2176"/>
      <c r="I1275" s="2176"/>
      <c r="J1275" s="986" t="str">
        <f>$C$721</f>
        <v>352400_2024_12_</v>
      </c>
      <c r="K1275" s="1589">
        <v>36788.235294117643</v>
      </c>
      <c r="L1275" s="904">
        <f t="shared" si="197"/>
        <v>3.0656862745098037</v>
      </c>
      <c r="M1275" s="1576" t="s">
        <v>1024</v>
      </c>
      <c r="P1275" s="248"/>
      <c r="Q1275" s="196"/>
      <c r="R1275" s="248"/>
      <c r="T1275" s="169"/>
      <c r="U1275" s="50"/>
      <c r="V1275" s="2177"/>
      <c r="W1275" s="1326">
        <v>31200</v>
      </c>
      <c r="X1275" s="794">
        <f t="shared" si="198"/>
        <v>36720</v>
      </c>
      <c r="Y1275" s="794">
        <v>34320</v>
      </c>
      <c r="Z1275" s="1326">
        <v>34320</v>
      </c>
      <c r="AA1275" s="1326">
        <v>34320</v>
      </c>
      <c r="AB1275" s="790">
        <v>35872.340425531918</v>
      </c>
      <c r="AC1275" s="790">
        <v>37047.619047619046</v>
      </c>
      <c r="AD1275" s="790">
        <v>36495.412844036699</v>
      </c>
      <c r="AE1275" s="928">
        <v>36788.235294117643</v>
      </c>
      <c r="AF1275" s="258">
        <f t="shared" si="196"/>
        <v>36788.235294117643</v>
      </c>
      <c r="AG1275" s="1326"/>
      <c r="DG1275" s="555"/>
      <c r="DH1275" s="151"/>
      <c r="DI1275" s="1049"/>
      <c r="DJ1275" s="1127"/>
    </row>
    <row r="1276" spans="1:114" ht="15" hidden="1" customHeight="1" outlineLevel="1" x14ac:dyDescent="0.25">
      <c r="A1276" s="442"/>
      <c r="C1276" s="49"/>
      <c r="D1276" s="2177"/>
      <c r="E1276" s="2177"/>
      <c r="F1276" s="2176" t="str">
        <f>$E$723</f>
        <v>ASHP-SEER15-Replace_CAC_NonElectricHeat_ROF_SF</v>
      </c>
      <c r="G1276" s="2176"/>
      <c r="H1276" s="2176"/>
      <c r="I1276" s="2176"/>
      <c r="J1276" s="986" t="str">
        <f>$C$723</f>
        <v>352410_2024_12_</v>
      </c>
      <c r="K1276" s="1589">
        <v>36788.235294117643</v>
      </c>
      <c r="L1276" s="904">
        <f t="shared" si="197"/>
        <v>3.0656862745098037</v>
      </c>
      <c r="M1276" s="1577" t="s">
        <v>1112</v>
      </c>
      <c r="P1276" s="248"/>
      <c r="Q1276" s="196"/>
      <c r="R1276" s="248"/>
      <c r="T1276" s="169"/>
      <c r="U1276" s="50"/>
      <c r="V1276" s="2177"/>
      <c r="W1276" s="1326"/>
      <c r="X1276" s="794"/>
      <c r="Y1276" s="794"/>
      <c r="Z1276" s="1326"/>
      <c r="AA1276" s="1326"/>
      <c r="AB1276" s="790"/>
      <c r="AC1276" s="790">
        <v>37047.619047619046</v>
      </c>
      <c r="AD1276" s="790">
        <v>36495.412844036699</v>
      </c>
      <c r="AE1276" s="928">
        <v>36788.235294117643</v>
      </c>
      <c r="AF1276" s="258">
        <f t="shared" si="196"/>
        <v>36788.235294117643</v>
      </c>
      <c r="AG1276" s="1326"/>
      <c r="DG1276" s="555"/>
      <c r="DH1276" s="151"/>
      <c r="DI1276" s="1049"/>
      <c r="DJ1276" s="1127"/>
    </row>
    <row r="1277" spans="1:114" ht="15" hidden="1" customHeight="1" outlineLevel="1" x14ac:dyDescent="0.25">
      <c r="A1277" s="442"/>
      <c r="C1277" s="49"/>
      <c r="D1277" s="2177"/>
      <c r="E1277" s="2177"/>
      <c r="F1277" s="2176" t="str">
        <f>$E$725</f>
        <v>ASHP-SEER16-Replace_CAC_ElectricHeat_ER1_SF</v>
      </c>
      <c r="G1277" s="2176"/>
      <c r="H1277" s="2176"/>
      <c r="I1277" s="2176"/>
      <c r="J1277" s="986" t="str">
        <f>$C$725</f>
        <v>352500_2024_12_</v>
      </c>
      <c r="K1277" s="1589">
        <v>36180.821917808222</v>
      </c>
      <c r="L1277" s="904">
        <f t="shared" si="197"/>
        <v>3.015068493150685</v>
      </c>
      <c r="M1277" s="1593" t="s">
        <v>1025</v>
      </c>
      <c r="P1277" s="248"/>
      <c r="Q1277" s="196"/>
      <c r="R1277" s="248"/>
      <c r="T1277" s="169"/>
      <c r="U1277" s="50"/>
      <c r="V1277" s="2177"/>
      <c r="W1277" s="1326">
        <v>37200</v>
      </c>
      <c r="X1277" s="794">
        <f t="shared" si="198"/>
        <v>36720</v>
      </c>
      <c r="Y1277" s="794">
        <v>38160</v>
      </c>
      <c r="Z1277" s="1326">
        <v>38160</v>
      </c>
      <c r="AA1277" s="1326">
        <v>38160</v>
      </c>
      <c r="AB1277" s="790">
        <v>35375.776397515532</v>
      </c>
      <c r="AC1277" s="790">
        <v>35069.908814589668</v>
      </c>
      <c r="AD1277" s="790">
        <v>35478.530884808017</v>
      </c>
      <c r="AE1277" s="928">
        <v>35329.608938547484</v>
      </c>
      <c r="AF1277" s="258">
        <f t="shared" si="196"/>
        <v>36180.821917808222</v>
      </c>
      <c r="AG1277" s="1326"/>
      <c r="DG1277" s="555"/>
      <c r="DH1277" s="151"/>
      <c r="DI1277" s="1049"/>
      <c r="DJ1277" s="1127"/>
    </row>
    <row r="1278" spans="1:114" ht="15" hidden="1" customHeight="1" outlineLevel="1" x14ac:dyDescent="0.25">
      <c r="A1278" s="442"/>
      <c r="C1278" s="49"/>
      <c r="D1278" s="2177"/>
      <c r="E1278" s="2177"/>
      <c r="F1278" s="2176" t="str">
        <f>$E$727</f>
        <v>ASHP-SEER16-Replace_CAC_ElectricHeat_ER2_SF</v>
      </c>
      <c r="G1278" s="2176"/>
      <c r="H1278" s="2176"/>
      <c r="I1278" s="2176"/>
      <c r="J1278" s="986" t="str">
        <f>$C$727</f>
        <v>352500_2024_12_</v>
      </c>
      <c r="K1278" s="1589">
        <f>$K$1277</f>
        <v>36180.821917808222</v>
      </c>
      <c r="L1278" s="904">
        <f t="shared" si="197"/>
        <v>3.015068493150685</v>
      </c>
      <c r="M1278" s="1593" t="s">
        <v>1025</v>
      </c>
      <c r="P1278" s="248"/>
      <c r="Q1278" s="196"/>
      <c r="R1278" s="248"/>
      <c r="T1278" s="169"/>
      <c r="U1278" s="50"/>
      <c r="V1278" s="2177"/>
      <c r="W1278" s="1326">
        <v>37200</v>
      </c>
      <c r="X1278" s="794">
        <f t="shared" si="198"/>
        <v>36720</v>
      </c>
      <c r="Y1278" s="794">
        <v>38160</v>
      </c>
      <c r="Z1278" s="1326">
        <v>38160</v>
      </c>
      <c r="AA1278" s="1326">
        <v>38160</v>
      </c>
      <c r="AB1278" s="790">
        <v>35375.776397515532</v>
      </c>
      <c r="AC1278" s="790">
        <f>AC1277</f>
        <v>35069.908814589668</v>
      </c>
      <c r="AD1278" s="790">
        <v>35478.530884808017</v>
      </c>
      <c r="AE1278" s="928">
        <v>35329.608938547484</v>
      </c>
      <c r="AF1278" s="258">
        <f t="shared" si="196"/>
        <v>36180.821917808222</v>
      </c>
      <c r="AG1278" s="1326"/>
      <c r="DG1278" s="555"/>
      <c r="DH1278" s="151"/>
      <c r="DI1278" s="1049"/>
      <c r="DJ1278" s="1127"/>
    </row>
    <row r="1279" spans="1:114" ht="15" hidden="1" customHeight="1" outlineLevel="1" x14ac:dyDescent="0.25">
      <c r="A1279" s="442"/>
      <c r="C1279" s="49"/>
      <c r="D1279" s="2177"/>
      <c r="E1279" s="2177"/>
      <c r="F1279" s="2176" t="str">
        <f>$E$729</f>
        <v>ASHP-SEER16-Replace_CAC_NonElectricHeat_ER1_SF</v>
      </c>
      <c r="G1279" s="2176"/>
      <c r="H1279" s="2176"/>
      <c r="I1279" s="2176"/>
      <c r="J1279" s="986" t="str">
        <f>$C$729</f>
        <v>352510_2024_12_</v>
      </c>
      <c r="K1279" s="1589">
        <f t="shared" ref="K1279:K1282" si="199">$K$1277</f>
        <v>36180.821917808222</v>
      </c>
      <c r="L1279" s="904">
        <f t="shared" si="197"/>
        <v>3.015068493150685</v>
      </c>
      <c r="M1279" s="1593" t="s">
        <v>1025</v>
      </c>
      <c r="P1279" s="248"/>
      <c r="Q1279" s="196"/>
      <c r="R1279" s="248"/>
      <c r="T1279" s="169"/>
      <c r="U1279" s="50"/>
      <c r="V1279" s="2177"/>
      <c r="W1279" s="1326"/>
      <c r="X1279" s="794"/>
      <c r="Y1279" s="794"/>
      <c r="Z1279" s="1326"/>
      <c r="AA1279" s="1326"/>
      <c r="AB1279" s="790"/>
      <c r="AC1279" s="790">
        <v>35069.908814589668</v>
      </c>
      <c r="AD1279" s="790">
        <v>35478.530884808017</v>
      </c>
      <c r="AE1279" s="928">
        <v>35329.608938547484</v>
      </c>
      <c r="AF1279" s="258">
        <f t="shared" si="196"/>
        <v>36180.821917808222</v>
      </c>
      <c r="AG1279" s="1326"/>
      <c r="DG1279" s="555"/>
      <c r="DH1279" s="151"/>
      <c r="DI1279" s="1049"/>
      <c r="DJ1279" s="1127"/>
    </row>
    <row r="1280" spans="1:114" ht="15" hidden="1" customHeight="1" outlineLevel="1" x14ac:dyDescent="0.25">
      <c r="A1280" s="442"/>
      <c r="C1280" s="49"/>
      <c r="D1280" s="2177"/>
      <c r="E1280" s="2177"/>
      <c r="F1280" s="2176" t="str">
        <f>$E$731</f>
        <v>ASHP-SEER16-Replace_CAC_NonElectricHeat_ER2_SF</v>
      </c>
      <c r="G1280" s="2176"/>
      <c r="H1280" s="2176"/>
      <c r="I1280" s="2176"/>
      <c r="J1280" s="986" t="str">
        <f>$C$731</f>
        <v>352510_2024_12_</v>
      </c>
      <c r="K1280" s="1589">
        <f t="shared" si="199"/>
        <v>36180.821917808222</v>
      </c>
      <c r="L1280" s="904">
        <f t="shared" si="197"/>
        <v>3.015068493150685</v>
      </c>
      <c r="M1280" s="1593" t="s">
        <v>1025</v>
      </c>
      <c r="P1280" s="248"/>
      <c r="Q1280" s="196"/>
      <c r="R1280" s="248"/>
      <c r="T1280" s="169"/>
      <c r="U1280" s="50"/>
      <c r="V1280" s="2177"/>
      <c r="W1280" s="1326"/>
      <c r="X1280" s="794"/>
      <c r="Y1280" s="794"/>
      <c r="Z1280" s="1326"/>
      <c r="AA1280" s="1326"/>
      <c r="AB1280" s="790"/>
      <c r="AC1280" s="790">
        <f>AC1279</f>
        <v>35069.908814589668</v>
      </c>
      <c r="AD1280" s="790">
        <v>35478.530884808017</v>
      </c>
      <c r="AE1280" s="928">
        <v>35329.608938547484</v>
      </c>
      <c r="AF1280" s="258">
        <f t="shared" si="196"/>
        <v>36180.821917808222</v>
      </c>
      <c r="AG1280" s="1326"/>
      <c r="DG1280" s="555"/>
      <c r="DH1280" s="151"/>
      <c r="DI1280" s="1049"/>
      <c r="DJ1280" s="1127"/>
    </row>
    <row r="1281" spans="1:114" ht="15" hidden="1" customHeight="1" outlineLevel="1" x14ac:dyDescent="0.25">
      <c r="A1281" s="442"/>
      <c r="C1281" s="49"/>
      <c r="D1281" s="2177"/>
      <c r="E1281" s="2177"/>
      <c r="F1281" s="2176" t="str">
        <f>$E$733</f>
        <v>ASHP-SEER16_ER1_SF</v>
      </c>
      <c r="G1281" s="2176"/>
      <c r="H1281" s="2176"/>
      <c r="I1281" s="2176"/>
      <c r="J1281" s="986" t="str">
        <f>$C$733</f>
        <v>352550_2024_12_</v>
      </c>
      <c r="K1281" s="1589">
        <f t="shared" si="199"/>
        <v>36180.821917808222</v>
      </c>
      <c r="L1281" s="904">
        <f t="shared" si="197"/>
        <v>3.015068493150685</v>
      </c>
      <c r="M1281" s="1593" t="s">
        <v>1025</v>
      </c>
      <c r="P1281" s="248"/>
      <c r="Q1281" s="196"/>
      <c r="R1281" s="248"/>
      <c r="T1281" s="169"/>
      <c r="U1281" s="50"/>
      <c r="V1281" s="2177"/>
      <c r="W1281" s="1326">
        <v>39600</v>
      </c>
      <c r="X1281" s="794">
        <f t="shared" si="198"/>
        <v>36720</v>
      </c>
      <c r="Y1281" s="794">
        <v>37800</v>
      </c>
      <c r="Z1281" s="1326">
        <v>37800</v>
      </c>
      <c r="AA1281" s="1326">
        <v>37800</v>
      </c>
      <c r="AB1281" s="790">
        <v>37317.757009345798</v>
      </c>
      <c r="AC1281" s="790">
        <v>36536.170212765959</v>
      </c>
      <c r="AD1281" s="790">
        <v>35478.530884808017</v>
      </c>
      <c r="AE1281" s="928">
        <v>35329.608938547484</v>
      </c>
      <c r="AF1281" s="258">
        <f t="shared" si="196"/>
        <v>36180.821917808222</v>
      </c>
      <c r="AG1281" s="1326"/>
      <c r="DG1281" s="555"/>
      <c r="DH1281" s="151"/>
      <c r="DI1281" s="1049"/>
      <c r="DJ1281" s="1127"/>
    </row>
    <row r="1282" spans="1:114" ht="15" hidden="1" customHeight="1" outlineLevel="1" x14ac:dyDescent="0.25">
      <c r="A1282" s="442"/>
      <c r="C1282" s="49"/>
      <c r="D1282" s="2177"/>
      <c r="E1282" s="2177"/>
      <c r="F1282" s="2176" t="str">
        <f>$E$735</f>
        <v>ASHP-SEER16_ER2_SF</v>
      </c>
      <c r="G1282" s="2176"/>
      <c r="H1282" s="2176"/>
      <c r="I1282" s="2176"/>
      <c r="J1282" s="986" t="str">
        <f>$C$735</f>
        <v>352550_2024_12_</v>
      </c>
      <c r="K1282" s="1589">
        <f t="shared" si="199"/>
        <v>36180.821917808222</v>
      </c>
      <c r="L1282" s="904">
        <f t="shared" si="197"/>
        <v>3.015068493150685</v>
      </c>
      <c r="M1282" s="1593" t="s">
        <v>1025</v>
      </c>
      <c r="P1282" s="248"/>
      <c r="Q1282" s="196"/>
      <c r="R1282" s="248"/>
      <c r="T1282" s="169"/>
      <c r="U1282" s="50"/>
      <c r="V1282" s="2177"/>
      <c r="W1282" s="1326">
        <v>39600</v>
      </c>
      <c r="X1282" s="794">
        <f t="shared" si="198"/>
        <v>36720</v>
      </c>
      <c r="Y1282" s="794">
        <v>37800</v>
      </c>
      <c r="Z1282" s="1326">
        <v>37800</v>
      </c>
      <c r="AA1282" s="1326">
        <v>37800</v>
      </c>
      <c r="AB1282" s="790">
        <v>37317.757009345798</v>
      </c>
      <c r="AC1282" s="790">
        <f>AC1281</f>
        <v>36536.170212765959</v>
      </c>
      <c r="AD1282" s="790">
        <v>35478.530884808017</v>
      </c>
      <c r="AE1282" s="928">
        <v>35329.608938547484</v>
      </c>
      <c r="AF1282" s="258">
        <f t="shared" si="196"/>
        <v>36180.821917808222</v>
      </c>
      <c r="AG1282" s="1326"/>
      <c r="DG1282" s="555"/>
      <c r="DH1282" s="151"/>
      <c r="DI1282" s="1049"/>
      <c r="DJ1282" s="1127"/>
    </row>
    <row r="1283" spans="1:114" ht="15" hidden="1" customHeight="1" outlineLevel="1" x14ac:dyDescent="0.25">
      <c r="A1283" s="442"/>
      <c r="C1283" s="49"/>
      <c r="D1283" s="2177"/>
      <c r="E1283" s="2177"/>
      <c r="F1283" s="2176" t="str">
        <f>$E$737</f>
        <v>ASHP-SEER16-Replace_CAC_ElectricHeat_ROF_SF</v>
      </c>
      <c r="G1283" s="2176"/>
      <c r="H1283" s="2176"/>
      <c r="I1283" s="2176"/>
      <c r="J1283" s="986" t="str">
        <f>$C$737</f>
        <v>352600_2024_12_</v>
      </c>
      <c r="K1283" s="1589">
        <v>36887.323943661962</v>
      </c>
      <c r="L1283" s="904">
        <f t="shared" si="197"/>
        <v>3.0739436619718301</v>
      </c>
      <c r="M1283" s="1576" t="s">
        <v>1026</v>
      </c>
      <c r="P1283" s="248"/>
      <c r="Q1283" s="196"/>
      <c r="R1283" s="248"/>
      <c r="T1283" s="169"/>
      <c r="U1283" s="50"/>
      <c r="V1283" s="2177"/>
      <c r="W1283" s="1326">
        <v>38400</v>
      </c>
      <c r="X1283" s="794">
        <f t="shared" si="198"/>
        <v>36720</v>
      </c>
      <c r="Y1283" s="794">
        <v>37320</v>
      </c>
      <c r="Z1283" s="1326">
        <v>37320</v>
      </c>
      <c r="AA1283" s="1326">
        <v>37320</v>
      </c>
      <c r="AB1283" s="790">
        <v>35428.571428571428</v>
      </c>
      <c r="AC1283" s="790">
        <v>35468.354430379746</v>
      </c>
      <c r="AD1283" s="790">
        <v>37756.097560975613</v>
      </c>
      <c r="AE1283" s="928">
        <v>36887.323943661962</v>
      </c>
      <c r="AF1283" s="258">
        <f t="shared" si="196"/>
        <v>36887.323943661962</v>
      </c>
      <c r="AG1283" s="1326"/>
      <c r="DG1283" s="555"/>
      <c r="DH1283" s="151"/>
      <c r="DI1283" s="1049"/>
      <c r="DJ1283" s="1127"/>
    </row>
    <row r="1284" spans="1:114" ht="15" hidden="1" customHeight="1" outlineLevel="1" x14ac:dyDescent="0.25">
      <c r="A1284" s="442"/>
      <c r="C1284" s="49"/>
      <c r="D1284" s="2177"/>
      <c r="E1284" s="2177"/>
      <c r="F1284" s="2176" t="str">
        <f>$E$739</f>
        <v>ASHP-SEER16-Replace_CAC_NonElectricHeat_ROF_SF</v>
      </c>
      <c r="G1284" s="2176"/>
      <c r="H1284" s="2176"/>
      <c r="I1284" s="2176"/>
      <c r="J1284" s="986" t="str">
        <f>$C$739</f>
        <v>352610_2024_12_</v>
      </c>
      <c r="K1284" s="1589">
        <v>36887.323943661962</v>
      </c>
      <c r="L1284" s="904">
        <f>K1284/12000</f>
        <v>3.0739436619718301</v>
      </c>
      <c r="M1284" s="1576" t="s">
        <v>1112</v>
      </c>
      <c r="P1284" s="248"/>
      <c r="Q1284" s="196"/>
      <c r="R1284" s="248"/>
      <c r="T1284" s="169"/>
      <c r="U1284" s="50"/>
      <c r="V1284" s="2177"/>
      <c r="W1284" s="1326"/>
      <c r="X1284" s="794"/>
      <c r="Y1284" s="794"/>
      <c r="Z1284" s="1326"/>
      <c r="AA1284" s="1326"/>
      <c r="AB1284" s="790"/>
      <c r="AC1284" s="790"/>
      <c r="AD1284" s="790">
        <v>37756.097560975613</v>
      </c>
      <c r="AE1284" s="928">
        <v>36887.323943661962</v>
      </c>
      <c r="AF1284" s="258">
        <f t="shared" si="196"/>
        <v>36887.323943661962</v>
      </c>
      <c r="AG1284" s="1326"/>
      <c r="DG1284" s="555"/>
      <c r="DH1284" s="151"/>
      <c r="DI1284" s="1049"/>
      <c r="DJ1284" s="1127"/>
    </row>
    <row r="1285" spans="1:114" ht="15" hidden="1" customHeight="1" outlineLevel="1" x14ac:dyDescent="0.25">
      <c r="A1285" s="442"/>
      <c r="C1285" s="49"/>
      <c r="D1285" s="2177"/>
      <c r="E1285" s="2177"/>
      <c r="F1285" s="2176" t="str">
        <f>$E$741</f>
        <v>ASHP-SEER16_ROF_SF</v>
      </c>
      <c r="G1285" s="2176"/>
      <c r="H1285" s="2176"/>
      <c r="I1285" s="2176"/>
      <c r="J1285" s="986" t="str">
        <f>$C$741</f>
        <v>352650_2024_12_</v>
      </c>
      <c r="K1285" s="1589">
        <v>36887.323943661962</v>
      </c>
      <c r="L1285" s="904">
        <f t="shared" si="197"/>
        <v>3.0739436619718301</v>
      </c>
      <c r="M1285" s="1576" t="s">
        <v>1026</v>
      </c>
      <c r="P1285" s="248"/>
      <c r="Q1285" s="196"/>
      <c r="R1285" s="248"/>
      <c r="T1285" s="169"/>
      <c r="U1285" s="50"/>
      <c r="V1285" s="2177"/>
      <c r="W1285" s="1326">
        <v>39600</v>
      </c>
      <c r="X1285" s="794">
        <f t="shared" si="198"/>
        <v>36720</v>
      </c>
      <c r="Y1285" s="794">
        <v>39000</v>
      </c>
      <c r="Z1285" s="1326">
        <v>39000</v>
      </c>
      <c r="AA1285" s="1326">
        <v>39000</v>
      </c>
      <c r="AB1285" s="1326">
        <v>39000</v>
      </c>
      <c r="AC1285" s="790">
        <v>37105.263157894733</v>
      </c>
      <c r="AD1285" s="790">
        <v>37756.097560975613</v>
      </c>
      <c r="AE1285" s="928">
        <v>36887.323943661962</v>
      </c>
      <c r="AF1285" s="258">
        <f t="shared" si="196"/>
        <v>36887.323943661962</v>
      </c>
      <c r="AG1285" s="1326"/>
      <c r="DG1285" s="555"/>
      <c r="DH1285" s="151"/>
      <c r="DI1285" s="1049"/>
      <c r="DJ1285" s="1127"/>
    </row>
    <row r="1286" spans="1:114" ht="15" hidden="1" customHeight="1" outlineLevel="1" x14ac:dyDescent="0.25">
      <c r="A1286" s="442"/>
      <c r="C1286" s="49"/>
      <c r="D1286" s="2177"/>
      <c r="E1286" s="2177"/>
      <c r="F1286" s="2176" t="str">
        <f>$E$743</f>
        <v>ASHP-SEER16-Replace_CAC_ElectricHeat_ER1_MF</v>
      </c>
      <c r="G1286" s="2176"/>
      <c r="H1286" s="2176"/>
      <c r="I1286" s="2176"/>
      <c r="J1286" s="986" t="str">
        <f>$C$743</f>
        <v>353000_2024_12_</v>
      </c>
      <c r="K1286" s="1589">
        <v>38000</v>
      </c>
      <c r="L1286" s="904">
        <f t="shared" si="197"/>
        <v>3.1666666666666665</v>
      </c>
      <c r="M1286" s="1576" t="s">
        <v>1026</v>
      </c>
      <c r="P1286" s="248"/>
      <c r="Q1286" s="196"/>
      <c r="R1286" s="248"/>
      <c r="T1286" s="169"/>
      <c r="U1286" s="50"/>
      <c r="V1286" s="2177"/>
      <c r="W1286" s="1326">
        <v>37200</v>
      </c>
      <c r="X1286" s="1326">
        <v>37200</v>
      </c>
      <c r="Y1286" s="1326">
        <v>37200</v>
      </c>
      <c r="Z1286" s="1326">
        <v>37200</v>
      </c>
      <c r="AA1286" s="1326">
        <v>37200</v>
      </c>
      <c r="AB1286" s="794">
        <v>39600</v>
      </c>
      <c r="AC1286" s="790">
        <v>24000</v>
      </c>
      <c r="AD1286" s="790">
        <v>38000</v>
      </c>
      <c r="AE1286" s="990">
        <v>38000</v>
      </c>
      <c r="AF1286" s="258">
        <f t="shared" si="196"/>
        <v>38000</v>
      </c>
      <c r="AG1286" s="1326"/>
      <c r="DG1286" s="555"/>
      <c r="DH1286" s="151"/>
      <c r="DI1286" s="1049"/>
      <c r="DJ1286" s="1127"/>
    </row>
    <row r="1287" spans="1:114" ht="15" hidden="1" customHeight="1" outlineLevel="1" x14ac:dyDescent="0.25">
      <c r="A1287" s="442"/>
      <c r="C1287" s="49"/>
      <c r="D1287" s="2177"/>
      <c r="E1287" s="2177"/>
      <c r="F1287" s="2176" t="str">
        <f>$E$745</f>
        <v>ASHP-SEER16-Replace_CAC_ElectricHeat_ER2_MF</v>
      </c>
      <c r="G1287" s="2176"/>
      <c r="H1287" s="2176"/>
      <c r="I1287" s="2176"/>
      <c r="J1287" s="986" t="str">
        <f>$C$745</f>
        <v>353000_2024_12_</v>
      </c>
      <c r="K1287" s="1589">
        <v>38000</v>
      </c>
      <c r="L1287" s="904">
        <f t="shared" si="197"/>
        <v>3.1666666666666665</v>
      </c>
      <c r="M1287" s="1576" t="s">
        <v>1026</v>
      </c>
      <c r="P1287" s="248"/>
      <c r="Q1287" s="196"/>
      <c r="R1287" s="248"/>
      <c r="T1287" s="169"/>
      <c r="U1287" s="50"/>
      <c r="V1287" s="2177"/>
      <c r="W1287" s="1326">
        <v>37200</v>
      </c>
      <c r="X1287" s="1326">
        <v>37200</v>
      </c>
      <c r="Y1287" s="1326">
        <v>37200</v>
      </c>
      <c r="Z1287" s="1326">
        <v>37200</v>
      </c>
      <c r="AA1287" s="1326">
        <v>37200</v>
      </c>
      <c r="AB1287" s="794">
        <v>39600</v>
      </c>
      <c r="AC1287" s="790">
        <f>AC1286</f>
        <v>24000</v>
      </c>
      <c r="AD1287" s="790">
        <v>38000</v>
      </c>
      <c r="AE1287" s="990">
        <v>38000</v>
      </c>
      <c r="AF1287" s="258">
        <f t="shared" si="196"/>
        <v>38000</v>
      </c>
      <c r="AG1287" s="1326"/>
      <c r="DG1287" s="555"/>
      <c r="DH1287" s="151"/>
      <c r="DI1287" s="1049"/>
      <c r="DJ1287" s="1127"/>
    </row>
    <row r="1288" spans="1:114" ht="15" hidden="1" customHeight="1" outlineLevel="1" x14ac:dyDescent="0.25">
      <c r="A1288" s="442"/>
      <c r="C1288" s="49"/>
      <c r="D1288" s="2177"/>
      <c r="E1288" s="2177"/>
      <c r="F1288" s="2176" t="str">
        <f>$E$747</f>
        <v>ASHP-SEER17-Replace_CAC_ElectricHeat_ROF_SF</v>
      </c>
      <c r="G1288" s="2176"/>
      <c r="H1288" s="2176"/>
      <c r="I1288" s="2176"/>
      <c r="J1288" s="986" t="str">
        <f>$C$747</f>
        <v>353100_2024_12_</v>
      </c>
      <c r="K1288" s="1589">
        <v>36000</v>
      </c>
      <c r="L1288" s="904">
        <f t="shared" si="197"/>
        <v>3</v>
      </c>
      <c r="M1288" s="1593" t="s">
        <v>1025</v>
      </c>
      <c r="P1288" s="248"/>
      <c r="Q1288" s="196"/>
      <c r="R1288" s="248"/>
      <c r="T1288" s="169"/>
      <c r="U1288" s="50"/>
      <c r="V1288" s="2177"/>
      <c r="W1288" s="1326">
        <v>33600</v>
      </c>
      <c r="X1288" s="1326">
        <v>33600</v>
      </c>
      <c r="Y1288" s="1326">
        <v>33600</v>
      </c>
      <c r="Z1288" s="1326">
        <v>33600</v>
      </c>
      <c r="AA1288" s="1326">
        <v>33600</v>
      </c>
      <c r="AB1288" s="1326">
        <v>33600</v>
      </c>
      <c r="AC1288" s="790">
        <v>32400.000000000004</v>
      </c>
      <c r="AD1288" s="790">
        <v>36857.142857142855</v>
      </c>
      <c r="AE1288" s="928">
        <v>37200</v>
      </c>
      <c r="AF1288" s="258">
        <f t="shared" si="196"/>
        <v>36000</v>
      </c>
      <c r="AG1288" s="1326"/>
      <c r="DG1288" s="555"/>
      <c r="DH1288" s="151"/>
      <c r="DI1288" s="1049"/>
      <c r="DJ1288" s="1127"/>
    </row>
    <row r="1289" spans="1:114" ht="15" hidden="1" customHeight="1" outlineLevel="1" x14ac:dyDescent="0.25">
      <c r="A1289" s="442"/>
      <c r="C1289" s="49"/>
      <c r="D1289" s="2177"/>
      <c r="E1289" s="2177"/>
      <c r="F1289" s="2176" t="str">
        <f>$E$749</f>
        <v>ASHP-SEER17-Replace_CAC_NonElectricHeat_ROF_SF</v>
      </c>
      <c r="G1289" s="2176"/>
      <c r="H1289" s="2176"/>
      <c r="I1289" s="2176"/>
      <c r="J1289" s="986" t="str">
        <f>$C$749</f>
        <v>353110_2024_12_</v>
      </c>
      <c r="K1289" s="1589">
        <f>$K$1288</f>
        <v>36000</v>
      </c>
      <c r="L1289" s="904">
        <f t="shared" si="197"/>
        <v>3</v>
      </c>
      <c r="M1289" s="1593" t="s">
        <v>1025</v>
      </c>
      <c r="P1289" s="248"/>
      <c r="Q1289" s="196"/>
      <c r="R1289" s="248"/>
      <c r="T1289" s="169"/>
      <c r="U1289" s="50"/>
      <c r="V1289" s="2177"/>
      <c r="W1289" s="1326"/>
      <c r="X1289" s="794"/>
      <c r="Y1289" s="794"/>
      <c r="Z1289" s="1326"/>
      <c r="AA1289" s="1326"/>
      <c r="AB1289" s="790"/>
      <c r="AC1289" s="790"/>
      <c r="AD1289" s="790">
        <v>36857.142857142855</v>
      </c>
      <c r="AE1289" s="928">
        <v>37200</v>
      </c>
      <c r="AF1289" s="258">
        <f t="shared" si="196"/>
        <v>36000</v>
      </c>
      <c r="AG1289" s="1326"/>
      <c r="DG1289" s="555"/>
      <c r="DH1289" s="151"/>
      <c r="DI1289" s="1049"/>
      <c r="DJ1289" s="1127"/>
    </row>
    <row r="1290" spans="1:114" ht="15" hidden="1" customHeight="1" outlineLevel="1" x14ac:dyDescent="0.25">
      <c r="A1290" s="442"/>
      <c r="C1290" s="49"/>
      <c r="D1290" s="2177"/>
      <c r="E1290" s="2177"/>
      <c r="F1290" s="2176" t="str">
        <f>$E$751</f>
        <v>ASHP-SEER18-Replace_CAC_ElectricHeat_ROF_SF</v>
      </c>
      <c r="G1290" s="2176"/>
      <c r="H1290" s="2176"/>
      <c r="I1290" s="2176"/>
      <c r="J1290" s="986" t="str">
        <f>$C$751</f>
        <v>353200_2024_12_</v>
      </c>
      <c r="K1290" s="1589">
        <v>42078.431372470586</v>
      </c>
      <c r="L1290" s="904">
        <f t="shared" si="197"/>
        <v>3.5065359477058822</v>
      </c>
      <c r="M1290" s="1593" t="s">
        <v>1025</v>
      </c>
      <c r="P1290" s="248"/>
      <c r="Q1290" s="196"/>
      <c r="R1290" s="248"/>
      <c r="T1290" s="169"/>
      <c r="U1290" s="50"/>
      <c r="V1290" s="2177"/>
      <c r="W1290" s="1326">
        <v>33600</v>
      </c>
      <c r="X1290" s="1326">
        <v>33600</v>
      </c>
      <c r="Y1290" s="1326">
        <v>33600</v>
      </c>
      <c r="Z1290" s="1326">
        <v>33600</v>
      </c>
      <c r="AA1290" s="1326">
        <v>33600</v>
      </c>
      <c r="AB1290" s="794">
        <v>36000</v>
      </c>
      <c r="AC1290" s="790">
        <v>36486.486486486487</v>
      </c>
      <c r="AD1290" s="790">
        <v>38808.51063829787</v>
      </c>
      <c r="AE1290" s="928">
        <v>35780</v>
      </c>
      <c r="AF1290" s="258">
        <f t="shared" ref="AF1290:AF1324" si="200">IF(K1290&lt;&gt;"",K1290,"")</f>
        <v>42078.431372470586</v>
      </c>
      <c r="AG1290" s="1326"/>
      <c r="DG1290" s="555"/>
      <c r="DH1290" s="151"/>
      <c r="DI1290" s="1049"/>
      <c r="DJ1290" s="1127"/>
    </row>
    <row r="1291" spans="1:114" ht="15" hidden="1" customHeight="1" outlineLevel="1" x14ac:dyDescent="0.25">
      <c r="A1291" s="442"/>
      <c r="C1291" s="49"/>
      <c r="D1291" s="2177"/>
      <c r="E1291" s="2177"/>
      <c r="F1291" s="2176" t="str">
        <f>$E$753</f>
        <v>ASHP-SEER18-Replace_CAC_NonElectricHeat_ROF_SF</v>
      </c>
      <c r="G1291" s="2176"/>
      <c r="H1291" s="2176"/>
      <c r="I1291" s="2176"/>
      <c r="J1291" s="986" t="str">
        <f>$C$753</f>
        <v>353210_2024_12_</v>
      </c>
      <c r="K1291" s="1589">
        <v>42078.431372470586</v>
      </c>
      <c r="L1291" s="904">
        <f t="shared" si="197"/>
        <v>3.5065359477058822</v>
      </c>
      <c r="M1291" s="1593" t="s">
        <v>1025</v>
      </c>
      <c r="P1291" s="248"/>
      <c r="Q1291" s="196"/>
      <c r="R1291" s="248"/>
      <c r="T1291" s="169"/>
      <c r="U1291" s="50"/>
      <c r="V1291" s="2177"/>
      <c r="W1291" s="1326"/>
      <c r="X1291" s="794"/>
      <c r="Y1291" s="794"/>
      <c r="Z1291" s="1326"/>
      <c r="AA1291" s="1326"/>
      <c r="AB1291" s="790"/>
      <c r="AC1291" s="790"/>
      <c r="AD1291" s="790">
        <v>38808.51063829787</v>
      </c>
      <c r="AE1291" s="928">
        <v>35780</v>
      </c>
      <c r="AF1291" s="258">
        <f t="shared" si="200"/>
        <v>42078.431372470586</v>
      </c>
      <c r="AG1291" s="1326"/>
      <c r="DG1291" s="555"/>
      <c r="DH1291" s="151"/>
      <c r="DI1291" s="1049"/>
      <c r="DJ1291" s="1127"/>
    </row>
    <row r="1292" spans="1:114" ht="15" hidden="1" customHeight="1" outlineLevel="1" x14ac:dyDescent="0.25">
      <c r="A1292" s="442"/>
      <c r="C1292" s="49"/>
      <c r="D1292" s="2177"/>
      <c r="E1292" s="2177"/>
      <c r="F1292" s="2176" t="str">
        <f>$E$755</f>
        <v>ASHP-SEER19-Replace_CAC_ElectricHeat_ROF_SF</v>
      </c>
      <c r="G1292" s="2176"/>
      <c r="H1292" s="2176"/>
      <c r="I1292" s="2176"/>
      <c r="J1292" s="986" t="str">
        <f>$C$755</f>
        <v>353300_2024_12_</v>
      </c>
      <c r="K1292" s="1589">
        <v>42333.333333333336</v>
      </c>
      <c r="L1292" s="904">
        <f t="shared" si="197"/>
        <v>3.5277777777777781</v>
      </c>
      <c r="M1292" s="1593" t="s">
        <v>1025</v>
      </c>
      <c r="P1292" s="248"/>
      <c r="Q1292" s="196"/>
      <c r="R1292" s="248"/>
      <c r="T1292" s="169"/>
      <c r="U1292" s="50"/>
      <c r="V1292" s="2177"/>
      <c r="W1292" s="1326">
        <v>33600</v>
      </c>
      <c r="X1292" s="1326">
        <v>33600</v>
      </c>
      <c r="Y1292" s="1326">
        <v>33600</v>
      </c>
      <c r="Z1292" s="1326">
        <v>33600</v>
      </c>
      <c r="AA1292" s="1326">
        <v>33600</v>
      </c>
      <c r="AB1292" s="1326">
        <v>33600</v>
      </c>
      <c r="AC1292" s="790">
        <v>48000</v>
      </c>
      <c r="AD1292" s="790">
        <v>41076.923076923078</v>
      </c>
      <c r="AE1292" s="990">
        <v>41076.923076923078</v>
      </c>
      <c r="AF1292" s="258">
        <f t="shared" si="200"/>
        <v>42333.333333333336</v>
      </c>
      <c r="AG1292" s="1326"/>
      <c r="DG1292" s="555"/>
      <c r="DH1292" s="151"/>
      <c r="DI1292" s="1049"/>
      <c r="DJ1292" s="1127"/>
    </row>
    <row r="1293" spans="1:114" ht="15" hidden="1" customHeight="1" outlineLevel="1" x14ac:dyDescent="0.25">
      <c r="A1293" s="442"/>
      <c r="C1293" s="49"/>
      <c r="D1293" s="2177"/>
      <c r="E1293" s="2177"/>
      <c r="F1293" s="2176" t="str">
        <f>$E$757</f>
        <v>ASHP-SEER19-Replace_CAC_NonElectricHeat_ROF_SF</v>
      </c>
      <c r="G1293" s="2176"/>
      <c r="H1293" s="2176"/>
      <c r="I1293" s="2176"/>
      <c r="J1293" s="986" t="str">
        <f>$C$757</f>
        <v>353310_2024_12_</v>
      </c>
      <c r="K1293" s="1589">
        <v>42333.333333333336</v>
      </c>
      <c r="L1293" s="904">
        <f>K1293/12000</f>
        <v>3.5277777777777781</v>
      </c>
      <c r="M1293" s="1593" t="s">
        <v>1025</v>
      </c>
      <c r="P1293" s="248"/>
      <c r="Q1293" s="196"/>
      <c r="R1293" s="248"/>
      <c r="T1293" s="169"/>
      <c r="U1293" s="50"/>
      <c r="V1293" s="2177"/>
      <c r="W1293" s="1326"/>
      <c r="X1293" s="794"/>
      <c r="Y1293" s="794"/>
      <c r="Z1293" s="1326"/>
      <c r="AA1293" s="1326"/>
      <c r="AB1293" s="790"/>
      <c r="AC1293" s="790"/>
      <c r="AD1293" s="790">
        <v>41076.923076923078</v>
      </c>
      <c r="AE1293" s="990">
        <v>41076.923076923078</v>
      </c>
      <c r="AF1293" s="258">
        <f t="shared" si="200"/>
        <v>42333.333333333336</v>
      </c>
      <c r="AG1293" s="1326"/>
      <c r="DG1293" s="555"/>
      <c r="DH1293" s="151"/>
      <c r="DI1293" s="1049"/>
      <c r="DJ1293" s="1127"/>
    </row>
    <row r="1294" spans="1:114" ht="15" hidden="1" customHeight="1" outlineLevel="1" x14ac:dyDescent="0.25">
      <c r="A1294" s="442"/>
      <c r="C1294" s="49"/>
      <c r="D1294" s="2177"/>
      <c r="E1294" s="2177"/>
      <c r="F1294" s="2176" t="str">
        <f>$E$759</f>
        <v>ASHP-SEER20-Replace_CAC_ElectricHeat_ER1_SF</v>
      </c>
      <c r="G1294" s="2176"/>
      <c r="H1294" s="2176"/>
      <c r="I1294" s="2176"/>
      <c r="J1294" s="986" t="str">
        <f>$C$759</f>
        <v>353400_2024_12_</v>
      </c>
      <c r="K1294" s="1589">
        <v>35275.324675324671</v>
      </c>
      <c r="L1294" s="904">
        <f t="shared" ref="L1294:L1330" si="201">K1294/12000</f>
        <v>2.9396103896103893</v>
      </c>
      <c r="M1294" s="1593" t="s">
        <v>1025</v>
      </c>
      <c r="P1294" s="248"/>
      <c r="Q1294" s="196"/>
      <c r="R1294" s="248"/>
      <c r="T1294" s="169"/>
      <c r="U1294" s="50"/>
      <c r="V1294" s="2177"/>
      <c r="W1294" s="1326">
        <v>37200</v>
      </c>
      <c r="X1294" s="1326">
        <v>37200</v>
      </c>
      <c r="Y1294" s="1326">
        <v>37200</v>
      </c>
      <c r="Z1294" s="1326">
        <v>37200</v>
      </c>
      <c r="AA1294" s="1326">
        <v>37200</v>
      </c>
      <c r="AB1294" s="1326">
        <v>37200</v>
      </c>
      <c r="AC1294" s="790">
        <v>36000</v>
      </c>
      <c r="AD1294" s="790">
        <v>36754.666666666664</v>
      </c>
      <c r="AE1294" s="928">
        <v>38333.333333333336</v>
      </c>
      <c r="AF1294" s="258">
        <f t="shared" si="200"/>
        <v>35275.324675324671</v>
      </c>
      <c r="AG1294" s="1326"/>
      <c r="DG1294" s="555"/>
      <c r="DH1294" s="151"/>
      <c r="DI1294" s="1049"/>
      <c r="DJ1294" s="1127"/>
    </row>
    <row r="1295" spans="1:114" ht="15" hidden="1" customHeight="1" outlineLevel="1" x14ac:dyDescent="0.25">
      <c r="A1295" s="442"/>
      <c r="C1295" s="49"/>
      <c r="D1295" s="2177"/>
      <c r="E1295" s="2177"/>
      <c r="F1295" s="2176" t="str">
        <f>$E$761</f>
        <v>ASHP-SEER20-Replace_CAC_ElectricHeat_ER2_SF</v>
      </c>
      <c r="G1295" s="2176"/>
      <c r="H1295" s="2176"/>
      <c r="I1295" s="2176"/>
      <c r="J1295" s="986" t="str">
        <f>$C$761</f>
        <v>353400_2024_12_</v>
      </c>
      <c r="K1295" s="1589">
        <f>$K$1294</f>
        <v>35275.324675324671</v>
      </c>
      <c r="L1295" s="904">
        <f t="shared" si="201"/>
        <v>2.9396103896103893</v>
      </c>
      <c r="M1295" s="1593" t="s">
        <v>1025</v>
      </c>
      <c r="P1295" s="248"/>
      <c r="Q1295" s="196"/>
      <c r="R1295" s="248"/>
      <c r="T1295" s="169"/>
      <c r="U1295" s="50"/>
      <c r="V1295" s="2177"/>
      <c r="W1295" s="1326">
        <v>37200</v>
      </c>
      <c r="X1295" s="1326">
        <v>37200</v>
      </c>
      <c r="Y1295" s="1326">
        <v>37200</v>
      </c>
      <c r="Z1295" s="1326">
        <v>37200</v>
      </c>
      <c r="AA1295" s="1326">
        <v>37200</v>
      </c>
      <c r="AB1295" s="1326">
        <v>37200</v>
      </c>
      <c r="AC1295" s="790">
        <f>AC1294</f>
        <v>36000</v>
      </c>
      <c r="AD1295" s="790">
        <v>36754.666666666664</v>
      </c>
      <c r="AE1295" s="928">
        <v>38333.333333333336</v>
      </c>
      <c r="AF1295" s="258">
        <f t="shared" si="200"/>
        <v>35275.324675324671</v>
      </c>
      <c r="AG1295" s="1326"/>
      <c r="DG1295" s="555"/>
      <c r="DH1295" s="151"/>
      <c r="DI1295" s="1049"/>
      <c r="DJ1295" s="1127"/>
    </row>
    <row r="1296" spans="1:114" ht="15" hidden="1" customHeight="1" outlineLevel="1" x14ac:dyDescent="0.25">
      <c r="A1296" s="442"/>
      <c r="C1296" s="49"/>
      <c r="D1296" s="2177"/>
      <c r="E1296" s="2177"/>
      <c r="F1296" s="2176" t="str">
        <f>$E$763</f>
        <v>ASHP-SEER20-Replace_CAC_NonElectricHeat_ER1_SF</v>
      </c>
      <c r="G1296" s="2176"/>
      <c r="H1296" s="2176"/>
      <c r="I1296" s="2176"/>
      <c r="J1296" s="986" t="str">
        <f>$C$763</f>
        <v>353410_2024_12_</v>
      </c>
      <c r="K1296" s="1589">
        <f t="shared" ref="K1296:K1297" si="202">$K$1294</f>
        <v>35275.324675324671</v>
      </c>
      <c r="L1296" s="904">
        <f t="shared" si="201"/>
        <v>2.9396103896103893</v>
      </c>
      <c r="M1296" s="1593" t="s">
        <v>1025</v>
      </c>
      <c r="P1296" s="248"/>
      <c r="Q1296" s="196"/>
      <c r="R1296" s="248"/>
      <c r="T1296" s="169"/>
      <c r="U1296" s="50"/>
      <c r="V1296" s="2177"/>
      <c r="W1296" s="1326"/>
      <c r="X1296" s="1326"/>
      <c r="Y1296" s="1326"/>
      <c r="Z1296" s="1326"/>
      <c r="AA1296" s="1326"/>
      <c r="AB1296" s="1326"/>
      <c r="AC1296" s="790">
        <v>36000</v>
      </c>
      <c r="AD1296" s="790">
        <v>36754.666666666664</v>
      </c>
      <c r="AE1296" s="928">
        <v>38333.333333333336</v>
      </c>
      <c r="AF1296" s="258">
        <f t="shared" si="200"/>
        <v>35275.324675324671</v>
      </c>
      <c r="AG1296" s="1326"/>
      <c r="DG1296" s="555"/>
      <c r="DH1296" s="151"/>
      <c r="DI1296" s="1049"/>
      <c r="DJ1296" s="1127"/>
    </row>
    <row r="1297" spans="1:114" ht="15" hidden="1" customHeight="1" outlineLevel="1" x14ac:dyDescent="0.25">
      <c r="A1297" s="442"/>
      <c r="C1297" s="49"/>
      <c r="D1297" s="2177"/>
      <c r="E1297" s="2177"/>
      <c r="F1297" s="2176" t="str">
        <f>$E$765</f>
        <v>ASHP-SEER20-Replace_CAC_NonElectricHeat_ER2_SF</v>
      </c>
      <c r="G1297" s="2176"/>
      <c r="H1297" s="2176"/>
      <c r="I1297" s="2176"/>
      <c r="J1297" s="986" t="str">
        <f>$C$765</f>
        <v>353410_2024_12_</v>
      </c>
      <c r="K1297" s="1589">
        <f t="shared" si="202"/>
        <v>35275.324675324671</v>
      </c>
      <c r="L1297" s="904">
        <f t="shared" si="201"/>
        <v>2.9396103896103893</v>
      </c>
      <c r="M1297" s="1593" t="s">
        <v>1025</v>
      </c>
      <c r="P1297" s="248"/>
      <c r="Q1297" s="196"/>
      <c r="R1297" s="248"/>
      <c r="T1297" s="169"/>
      <c r="U1297" s="50"/>
      <c r="V1297" s="2177"/>
      <c r="W1297" s="1326"/>
      <c r="X1297" s="1326"/>
      <c r="Y1297" s="1326"/>
      <c r="Z1297" s="1326"/>
      <c r="AA1297" s="1326"/>
      <c r="AB1297" s="1326"/>
      <c r="AC1297" s="790">
        <f>AC1296</f>
        <v>36000</v>
      </c>
      <c r="AD1297" s="790">
        <v>36754.666666666664</v>
      </c>
      <c r="AE1297" s="928">
        <v>38333.333333333336</v>
      </c>
      <c r="AF1297" s="258">
        <f t="shared" si="200"/>
        <v>35275.324675324671</v>
      </c>
      <c r="AG1297" s="1326"/>
      <c r="DG1297" s="555"/>
      <c r="DH1297" s="151"/>
      <c r="DI1297" s="1049"/>
      <c r="DJ1297" s="1127"/>
    </row>
    <row r="1298" spans="1:114" ht="15" hidden="1" customHeight="1" outlineLevel="1" x14ac:dyDescent="0.25">
      <c r="A1298" s="442"/>
      <c r="C1298" s="49"/>
      <c r="D1298" s="2177"/>
      <c r="E1298" s="2177"/>
      <c r="F1298" s="2176" t="str">
        <f>$E$767</f>
        <v>ASHP-SEER20-Replace_CAC_ElectricHeat_ROF_SF</v>
      </c>
      <c r="G1298" s="2176"/>
      <c r="H1298" s="2176"/>
      <c r="I1298" s="2176"/>
      <c r="J1298" s="986" t="str">
        <f>$C$767</f>
        <v>353450_2024_12_</v>
      </c>
      <c r="K1298" s="1589">
        <v>38142.857142857138</v>
      </c>
      <c r="L1298" s="904">
        <f t="shared" si="201"/>
        <v>3.1785714285714279</v>
      </c>
      <c r="M1298" s="1576" t="s">
        <v>1026</v>
      </c>
      <c r="P1298" s="248"/>
      <c r="Q1298" s="196"/>
      <c r="R1298" s="248"/>
      <c r="T1298" s="169"/>
      <c r="U1298" s="50"/>
      <c r="V1298" s="2177"/>
      <c r="W1298" s="1326">
        <v>38400</v>
      </c>
      <c r="X1298" s="1326">
        <v>38400</v>
      </c>
      <c r="Y1298" s="1326">
        <v>38400</v>
      </c>
      <c r="Z1298" s="1326">
        <v>38400</v>
      </c>
      <c r="AA1298" s="1326">
        <v>38400</v>
      </c>
      <c r="AB1298" s="1326">
        <v>38400</v>
      </c>
      <c r="AC1298" s="790">
        <v>30000</v>
      </c>
      <c r="AD1298" s="790">
        <v>38142.857142857138</v>
      </c>
      <c r="AE1298" s="990">
        <v>38142.857142857138</v>
      </c>
      <c r="AF1298" s="258">
        <f t="shared" si="200"/>
        <v>38142.857142857138</v>
      </c>
      <c r="AG1298" s="1326"/>
      <c r="DG1298" s="555"/>
      <c r="DH1298" s="151"/>
      <c r="DI1298" s="1049"/>
      <c r="DJ1298" s="1127"/>
    </row>
    <row r="1299" spans="1:114" ht="15" hidden="1" customHeight="1" outlineLevel="1" x14ac:dyDescent="0.25">
      <c r="A1299" s="442"/>
      <c r="C1299" s="49"/>
      <c r="D1299" s="2177"/>
      <c r="E1299" s="2177"/>
      <c r="F1299" s="2176" t="str">
        <f>$E$769</f>
        <v>ASHP-SEER20-Replace_CAC_NonElectricHeat_ROF_SF</v>
      </c>
      <c r="G1299" s="2176"/>
      <c r="H1299" s="2176"/>
      <c r="I1299" s="2176"/>
      <c r="J1299" s="986" t="str">
        <f>$C$769</f>
        <v>353460_2024_12_</v>
      </c>
      <c r="K1299" s="1589">
        <v>38142.857142857138</v>
      </c>
      <c r="L1299" s="904">
        <f t="shared" si="201"/>
        <v>3.1785714285714279</v>
      </c>
      <c r="M1299" s="1576" t="s">
        <v>1112</v>
      </c>
      <c r="P1299" s="248"/>
      <c r="Q1299" s="196"/>
      <c r="R1299" s="248"/>
      <c r="T1299" s="169"/>
      <c r="U1299" s="50"/>
      <c r="V1299" s="2177"/>
      <c r="W1299" s="1326"/>
      <c r="X1299" s="794"/>
      <c r="Y1299" s="794"/>
      <c r="Z1299" s="1326"/>
      <c r="AA1299" s="1326"/>
      <c r="AB1299" s="790"/>
      <c r="AC1299" s="790"/>
      <c r="AD1299" s="790">
        <v>38142.857142857138</v>
      </c>
      <c r="AE1299" s="990">
        <v>38142.857142857138</v>
      </c>
      <c r="AF1299" s="258">
        <f t="shared" si="200"/>
        <v>38142.857142857138</v>
      </c>
      <c r="AG1299" s="1326"/>
      <c r="DG1299" s="555"/>
      <c r="DH1299" s="151"/>
      <c r="DI1299" s="1049"/>
      <c r="DJ1299" s="1127"/>
    </row>
    <row r="1300" spans="1:114" ht="15" hidden="1" customHeight="1" outlineLevel="1" x14ac:dyDescent="0.25">
      <c r="A1300" s="442"/>
      <c r="C1300" s="49"/>
      <c r="D1300" s="2177"/>
      <c r="E1300" s="2177"/>
      <c r="F1300" s="2176" t="str">
        <f>$E$771</f>
        <v>ASHP-SEER21-Replace_CAC_ElectricHeat_ER1_SF</v>
      </c>
      <c r="G1300" s="2176"/>
      <c r="H1300" s="2176"/>
      <c r="I1300" s="2176"/>
      <c r="J1300" s="986" t="str">
        <f>$C$771</f>
        <v>353550_2024_12_</v>
      </c>
      <c r="K1300" s="1589">
        <v>39084.507042253521</v>
      </c>
      <c r="L1300" s="904">
        <f t="shared" si="201"/>
        <v>3.2570422535211265</v>
      </c>
      <c r="M1300" s="1593" t="s">
        <v>1025</v>
      </c>
      <c r="P1300" s="248"/>
      <c r="Q1300" s="196"/>
      <c r="R1300" s="248"/>
      <c r="T1300" s="169"/>
      <c r="U1300" s="50"/>
      <c r="V1300" s="2177"/>
      <c r="W1300" s="1326">
        <v>37200</v>
      </c>
      <c r="X1300" s="1326">
        <v>37200</v>
      </c>
      <c r="Y1300" s="1326">
        <v>37200</v>
      </c>
      <c r="Z1300" s="1326">
        <v>37200</v>
      </c>
      <c r="AA1300" s="1326">
        <v>37200</v>
      </c>
      <c r="AB1300" s="1326">
        <v>37200</v>
      </c>
      <c r="AC1300" s="790">
        <v>43090.909090909088</v>
      </c>
      <c r="AD1300" s="790">
        <v>40343.181818181816</v>
      </c>
      <c r="AE1300" s="928">
        <v>40812.765957446805</v>
      </c>
      <c r="AF1300" s="258">
        <f t="shared" si="200"/>
        <v>39084.507042253521</v>
      </c>
      <c r="AG1300" s="1326"/>
      <c r="DG1300" s="555"/>
      <c r="DH1300" s="151"/>
      <c r="DI1300" s="1049"/>
      <c r="DJ1300" s="1127"/>
    </row>
    <row r="1301" spans="1:114" ht="15" hidden="1" customHeight="1" outlineLevel="1" x14ac:dyDescent="0.25">
      <c r="A1301" s="442"/>
      <c r="C1301" s="49"/>
      <c r="D1301" s="2177"/>
      <c r="E1301" s="2177"/>
      <c r="F1301" s="2176" t="str">
        <f>$E$773</f>
        <v>ASHP-SEER21-Replace_CAC_ElectricHeat_ER2_SF</v>
      </c>
      <c r="G1301" s="2176"/>
      <c r="H1301" s="2176"/>
      <c r="I1301" s="2176"/>
      <c r="J1301" s="986" t="str">
        <f>$C$773</f>
        <v>353550_2024_12_</v>
      </c>
      <c r="K1301" s="1589">
        <f>$K$1300</f>
        <v>39084.507042253521</v>
      </c>
      <c r="L1301" s="904">
        <f t="shared" si="201"/>
        <v>3.2570422535211265</v>
      </c>
      <c r="M1301" s="1593" t="s">
        <v>1025</v>
      </c>
      <c r="P1301" s="248"/>
      <c r="Q1301" s="196"/>
      <c r="R1301" s="248"/>
      <c r="T1301" s="169"/>
      <c r="U1301" s="50"/>
      <c r="V1301" s="2177"/>
      <c r="W1301" s="1326">
        <v>37200</v>
      </c>
      <c r="X1301" s="1326">
        <v>37200</v>
      </c>
      <c r="Y1301" s="1326">
        <v>37200</v>
      </c>
      <c r="Z1301" s="1326">
        <v>37200</v>
      </c>
      <c r="AA1301" s="1326">
        <v>37200</v>
      </c>
      <c r="AB1301" s="1326">
        <v>37200</v>
      </c>
      <c r="AC1301" s="790">
        <f>AC1300</f>
        <v>43090.909090909088</v>
      </c>
      <c r="AD1301" s="790">
        <v>40343.181818181816</v>
      </c>
      <c r="AE1301" s="928">
        <v>40812.765957446805</v>
      </c>
      <c r="AF1301" s="258">
        <f t="shared" si="200"/>
        <v>39084.507042253521</v>
      </c>
      <c r="AG1301" s="1326"/>
      <c r="DG1301" s="555"/>
      <c r="DH1301" s="151"/>
      <c r="DI1301" s="1049"/>
      <c r="DJ1301" s="1127"/>
    </row>
    <row r="1302" spans="1:114" ht="15" hidden="1" customHeight="1" outlineLevel="1" x14ac:dyDescent="0.25">
      <c r="A1302" s="442"/>
      <c r="C1302" s="49"/>
      <c r="D1302" s="2177"/>
      <c r="E1302" s="2177"/>
      <c r="F1302" s="2176" t="str">
        <f>$E$775</f>
        <v>ASHP-SEER21-Replace_CAC_NonElectricHeat_ER1_SF</v>
      </c>
      <c r="G1302" s="2176"/>
      <c r="H1302" s="2176"/>
      <c r="I1302" s="2176"/>
      <c r="J1302" s="986" t="str">
        <f>$C$775</f>
        <v>353560_2024_12_</v>
      </c>
      <c r="K1302" s="1589">
        <f t="shared" ref="K1302:K1303" si="203">$K$1300</f>
        <v>39084.507042253521</v>
      </c>
      <c r="L1302" s="904">
        <f t="shared" si="201"/>
        <v>3.2570422535211265</v>
      </c>
      <c r="M1302" s="1593" t="s">
        <v>1025</v>
      </c>
      <c r="P1302" s="248"/>
      <c r="Q1302" s="196"/>
      <c r="R1302" s="248"/>
      <c r="T1302" s="169"/>
      <c r="U1302" s="50"/>
      <c r="V1302" s="2177"/>
      <c r="W1302" s="1326"/>
      <c r="X1302" s="1326"/>
      <c r="Y1302" s="1326"/>
      <c r="Z1302" s="1326"/>
      <c r="AA1302" s="1326"/>
      <c r="AB1302" s="1326"/>
      <c r="AC1302" s="790">
        <v>43090.909090909088</v>
      </c>
      <c r="AD1302" s="790">
        <v>40343.181818181816</v>
      </c>
      <c r="AE1302" s="928">
        <v>40812.765957446805</v>
      </c>
      <c r="AF1302" s="258">
        <f t="shared" si="200"/>
        <v>39084.507042253521</v>
      </c>
      <c r="AG1302" s="1326"/>
      <c r="DG1302" s="555"/>
      <c r="DH1302" s="151"/>
      <c r="DI1302" s="1049"/>
      <c r="DJ1302" s="1127"/>
    </row>
    <row r="1303" spans="1:114" ht="15" hidden="1" customHeight="1" outlineLevel="1" x14ac:dyDescent="0.25">
      <c r="A1303" s="442"/>
      <c r="C1303" s="49"/>
      <c r="D1303" s="2177"/>
      <c r="E1303" s="2177"/>
      <c r="F1303" s="2176" t="str">
        <f>$E$777</f>
        <v>ASHP-SEER21-Replace_CAC_NonElectricHeat_ER2_SF</v>
      </c>
      <c r="G1303" s="2176"/>
      <c r="H1303" s="2176"/>
      <c r="I1303" s="2176"/>
      <c r="J1303" s="986" t="str">
        <f>$C$777</f>
        <v>353560_2024_12_</v>
      </c>
      <c r="K1303" s="1589">
        <f t="shared" si="203"/>
        <v>39084.507042253521</v>
      </c>
      <c r="L1303" s="904">
        <f t="shared" si="201"/>
        <v>3.2570422535211265</v>
      </c>
      <c r="M1303" s="1593" t="s">
        <v>1025</v>
      </c>
      <c r="P1303" s="248"/>
      <c r="Q1303" s="196"/>
      <c r="R1303" s="248"/>
      <c r="T1303" s="169"/>
      <c r="U1303" s="50"/>
      <c r="V1303" s="2177"/>
      <c r="W1303" s="1326"/>
      <c r="X1303" s="1326"/>
      <c r="Y1303" s="1326"/>
      <c r="Z1303" s="1326"/>
      <c r="AA1303" s="1326"/>
      <c r="AB1303" s="1326"/>
      <c r="AC1303" s="790">
        <f>AC1302</f>
        <v>43090.909090909088</v>
      </c>
      <c r="AD1303" s="790">
        <v>40343.181818181816</v>
      </c>
      <c r="AE1303" s="928">
        <v>40812.765957446805</v>
      </c>
      <c r="AF1303" s="258">
        <f t="shared" si="200"/>
        <v>39084.507042253521</v>
      </c>
      <c r="AG1303" s="1326"/>
      <c r="DG1303" s="555"/>
      <c r="DH1303" s="151"/>
      <c r="DI1303" s="1049"/>
      <c r="DJ1303" s="1127"/>
    </row>
    <row r="1304" spans="1:114" ht="15" hidden="1" customHeight="1" outlineLevel="1" x14ac:dyDescent="0.25">
      <c r="A1304" s="442"/>
      <c r="C1304" s="49"/>
      <c r="D1304" s="2177"/>
      <c r="E1304" s="2177"/>
      <c r="F1304" s="2176" t="str">
        <f>$E$779</f>
        <v>ASHP-SEER21-Replace_CAC_ElectricHeat_ER1_MF</v>
      </c>
      <c r="G1304" s="2176"/>
      <c r="H1304" s="2176"/>
      <c r="I1304" s="2176"/>
      <c r="J1304" s="986" t="str">
        <f>$C$779</f>
        <v>353600_2024_12_</v>
      </c>
      <c r="K1304" s="1590">
        <v>37200</v>
      </c>
      <c r="L1304" s="904">
        <f t="shared" si="201"/>
        <v>3.1</v>
      </c>
      <c r="M1304" s="1577" t="s">
        <v>1361</v>
      </c>
      <c r="P1304" s="248"/>
      <c r="Q1304" s="196"/>
      <c r="R1304" s="248"/>
      <c r="T1304" s="169"/>
      <c r="U1304" s="50"/>
      <c r="V1304" s="2177"/>
      <c r="W1304" s="1326">
        <v>37200</v>
      </c>
      <c r="X1304" s="1326">
        <v>37200</v>
      </c>
      <c r="Y1304" s="1326">
        <v>37200</v>
      </c>
      <c r="Z1304" s="1326">
        <v>37200</v>
      </c>
      <c r="AA1304" s="1326">
        <v>37200</v>
      </c>
      <c r="AB1304" s="1326">
        <v>37200</v>
      </c>
      <c r="AC1304" s="766">
        <v>37200</v>
      </c>
      <c r="AD1304" s="766">
        <v>37200</v>
      </c>
      <c r="AE1304" s="929">
        <v>37200</v>
      </c>
      <c r="AF1304" s="258">
        <f t="shared" si="200"/>
        <v>37200</v>
      </c>
      <c r="AG1304" s="1326"/>
      <c r="DG1304" s="555"/>
      <c r="DH1304" s="151"/>
      <c r="DI1304" s="1049"/>
      <c r="DJ1304" s="1127"/>
    </row>
    <row r="1305" spans="1:114" ht="15" hidden="1" customHeight="1" outlineLevel="1" x14ac:dyDescent="0.25">
      <c r="A1305" s="442"/>
      <c r="C1305" s="49"/>
      <c r="D1305" s="2177"/>
      <c r="E1305" s="2177"/>
      <c r="F1305" s="2176" t="str">
        <f>$E$781</f>
        <v>ASHP-SEER21-Replace_CAC_ElectricHeat_ER2_MF</v>
      </c>
      <c r="G1305" s="2176"/>
      <c r="H1305" s="2176"/>
      <c r="I1305" s="2176"/>
      <c r="J1305" s="986" t="str">
        <f>$C$781</f>
        <v>353600_2024_12_</v>
      </c>
      <c r="K1305" s="1590">
        <v>37200</v>
      </c>
      <c r="L1305" s="904">
        <f t="shared" si="201"/>
        <v>3.1</v>
      </c>
      <c r="M1305" s="1577" t="s">
        <v>1361</v>
      </c>
      <c r="P1305" s="248"/>
      <c r="Q1305" s="196"/>
      <c r="R1305" s="248"/>
      <c r="T1305" s="169"/>
      <c r="U1305" s="50"/>
      <c r="V1305" s="2177"/>
      <c r="W1305" s="1326">
        <v>37200</v>
      </c>
      <c r="X1305" s="1326">
        <v>37200</v>
      </c>
      <c r="Y1305" s="1326">
        <v>37200</v>
      </c>
      <c r="Z1305" s="1326">
        <v>37200</v>
      </c>
      <c r="AA1305" s="1326">
        <v>37200</v>
      </c>
      <c r="AB1305" s="1326">
        <v>37200</v>
      </c>
      <c r="AC1305" s="766">
        <v>37200</v>
      </c>
      <c r="AD1305" s="766">
        <v>37200</v>
      </c>
      <c r="AE1305" s="929">
        <v>37200</v>
      </c>
      <c r="AF1305" s="258">
        <f t="shared" si="200"/>
        <v>37200</v>
      </c>
      <c r="AG1305" s="1326"/>
      <c r="DG1305" s="555"/>
      <c r="DH1305" s="151"/>
      <c r="DI1305" s="1049"/>
      <c r="DJ1305" s="1127"/>
    </row>
    <row r="1306" spans="1:114" ht="15" hidden="1" customHeight="1" outlineLevel="1" x14ac:dyDescent="0.25">
      <c r="A1306" s="442"/>
      <c r="C1306" s="49"/>
      <c r="D1306" s="2177"/>
      <c r="E1306" s="2177"/>
      <c r="F1306" s="2176" t="str">
        <f>$E$783</f>
        <v>ASHP-SEER21-Replace_CAC_ElectricHeat_ROF_SF</v>
      </c>
      <c r="G1306" s="2176"/>
      <c r="H1306" s="2176"/>
      <c r="I1306" s="2176"/>
      <c r="J1306" s="986" t="str">
        <f>$C$783</f>
        <v>353650_2024_12_</v>
      </c>
      <c r="K1306" s="1589">
        <v>39473.684210526313</v>
      </c>
      <c r="L1306" s="904">
        <f t="shared" si="201"/>
        <v>3.2894736842105261</v>
      </c>
      <c r="M1306" s="1593" t="s">
        <v>1025</v>
      </c>
      <c r="P1306" s="248"/>
      <c r="Q1306" s="196"/>
      <c r="R1306" s="248"/>
      <c r="T1306" s="169"/>
      <c r="U1306" s="50"/>
      <c r="V1306" s="2177"/>
      <c r="W1306" s="1326">
        <v>38400</v>
      </c>
      <c r="X1306" s="1326">
        <v>38400</v>
      </c>
      <c r="Y1306" s="1326">
        <v>38400</v>
      </c>
      <c r="Z1306" s="1326">
        <v>38400</v>
      </c>
      <c r="AA1306" s="1326">
        <v>38400</v>
      </c>
      <c r="AB1306" s="1326">
        <v>38400</v>
      </c>
      <c r="AC1306" s="790">
        <v>42000</v>
      </c>
      <c r="AD1306" s="790">
        <v>42375</v>
      </c>
      <c r="AE1306" s="928">
        <v>45272.727272727272</v>
      </c>
      <c r="AF1306" s="258">
        <f t="shared" si="200"/>
        <v>39473.684210526313</v>
      </c>
      <c r="AG1306" s="1326"/>
      <c r="DG1306" s="555"/>
      <c r="DH1306" s="151"/>
      <c r="DI1306" s="1049"/>
      <c r="DJ1306" s="1127"/>
    </row>
    <row r="1307" spans="1:114" ht="15" hidden="1" customHeight="1" outlineLevel="1" x14ac:dyDescent="0.25">
      <c r="A1307" s="442"/>
      <c r="C1307" s="49"/>
      <c r="D1307" s="2177"/>
      <c r="E1307" s="2177"/>
      <c r="F1307" s="2176" t="str">
        <f>$E$785</f>
        <v>ASHP-SEER21-Replace_CAC_NonElectricHeat_ROF_SF</v>
      </c>
      <c r="G1307" s="2176"/>
      <c r="H1307" s="2176"/>
      <c r="I1307" s="2176"/>
      <c r="J1307" s="986" t="str">
        <f>$C$785</f>
        <v>353660_2024_12_</v>
      </c>
      <c r="K1307" s="1589">
        <v>39473.684210526313</v>
      </c>
      <c r="L1307" s="904">
        <f t="shared" si="201"/>
        <v>3.2894736842105261</v>
      </c>
      <c r="M1307" s="1593" t="s">
        <v>1025</v>
      </c>
      <c r="P1307" s="248"/>
      <c r="Q1307" s="196"/>
      <c r="R1307" s="248"/>
      <c r="T1307" s="169"/>
      <c r="U1307" s="50"/>
      <c r="V1307" s="2177"/>
      <c r="W1307" s="1326"/>
      <c r="X1307" s="794"/>
      <c r="Y1307" s="794"/>
      <c r="Z1307" s="1326"/>
      <c r="AA1307" s="1326"/>
      <c r="AB1307" s="790"/>
      <c r="AC1307" s="790"/>
      <c r="AD1307" s="790">
        <v>42375</v>
      </c>
      <c r="AE1307" s="928">
        <v>45272.727272727272</v>
      </c>
      <c r="AF1307" s="258">
        <f t="shared" si="200"/>
        <v>39473.684210526313</v>
      </c>
      <c r="AG1307" s="1326"/>
      <c r="DG1307" s="555"/>
      <c r="DH1307" s="151"/>
      <c r="DI1307" s="1049"/>
      <c r="DJ1307" s="1127"/>
    </row>
    <row r="1308" spans="1:114" ht="15" hidden="1" customHeight="1" outlineLevel="1" x14ac:dyDescent="0.25">
      <c r="A1308" s="442"/>
      <c r="C1308" s="49"/>
      <c r="D1308" s="2177"/>
      <c r="E1308" s="2177"/>
      <c r="F1308" s="2176" t="str">
        <f>$E$787</f>
        <v>ASHP-SEER17_ER1_SF</v>
      </c>
      <c r="G1308" s="2176"/>
      <c r="H1308" s="2176"/>
      <c r="I1308" s="2176"/>
      <c r="J1308" s="986" t="str">
        <f>$C$787</f>
        <v>353750_2024_12_</v>
      </c>
      <c r="K1308" s="1589">
        <v>35271.966527196659</v>
      </c>
      <c r="L1308" s="904">
        <f t="shared" si="201"/>
        <v>2.939330543933055</v>
      </c>
      <c r="M1308" s="1593" t="s">
        <v>1025</v>
      </c>
      <c r="Q1308" s="196"/>
      <c r="R1308" s="248"/>
      <c r="T1308" s="50"/>
      <c r="U1308" s="50"/>
      <c r="V1308" s="2177"/>
      <c r="W1308" s="1326">
        <v>39600</v>
      </c>
      <c r="X1308" s="1326">
        <v>39600</v>
      </c>
      <c r="Y1308" s="1326">
        <v>39600</v>
      </c>
      <c r="Z1308" s="1326">
        <v>39600</v>
      </c>
      <c r="AA1308" s="1326">
        <v>39600</v>
      </c>
      <c r="AB1308" s="1326">
        <v>39600</v>
      </c>
      <c r="AC1308" s="790">
        <v>35142.857142857138</v>
      </c>
      <c r="AD1308" s="790">
        <v>37099.236641221374</v>
      </c>
      <c r="AE1308" s="928">
        <v>37411.764705882364</v>
      </c>
      <c r="AF1308" s="258">
        <f t="shared" si="200"/>
        <v>35271.966527196659</v>
      </c>
      <c r="AG1308" s="1326"/>
      <c r="DG1308" s="555"/>
      <c r="DH1308" s="151"/>
      <c r="DI1308" s="1049"/>
      <c r="DJ1308" s="1127"/>
    </row>
    <row r="1309" spans="1:114" ht="15" hidden="1" customHeight="1" outlineLevel="1" x14ac:dyDescent="0.25">
      <c r="A1309" s="442"/>
      <c r="C1309" s="49"/>
      <c r="D1309" s="2177"/>
      <c r="E1309" s="2177"/>
      <c r="F1309" s="2176" t="str">
        <f>$E$789</f>
        <v>ASHP-SEER17_ER2_SF</v>
      </c>
      <c r="G1309" s="2176"/>
      <c r="H1309" s="2176"/>
      <c r="I1309" s="2176"/>
      <c r="J1309" s="986" t="str">
        <f>$C$789</f>
        <v>353750_2024_12_</v>
      </c>
      <c r="K1309" s="1589">
        <v>35271.966527196659</v>
      </c>
      <c r="L1309" s="904">
        <f t="shared" si="201"/>
        <v>2.939330543933055</v>
      </c>
      <c r="M1309" s="1593" t="s">
        <v>1025</v>
      </c>
      <c r="P1309" s="248"/>
      <c r="Q1309" s="196"/>
      <c r="R1309" s="248"/>
      <c r="T1309" s="169"/>
      <c r="U1309" s="50"/>
      <c r="V1309" s="2177"/>
      <c r="W1309" s="1326">
        <v>39600</v>
      </c>
      <c r="X1309" s="1326">
        <v>39600</v>
      </c>
      <c r="Y1309" s="1326">
        <v>39600</v>
      </c>
      <c r="Z1309" s="1326">
        <v>39600</v>
      </c>
      <c r="AA1309" s="1326">
        <v>39600</v>
      </c>
      <c r="AB1309" s="1326">
        <v>39600</v>
      </c>
      <c r="AC1309" s="790">
        <f>AC1308</f>
        <v>35142.857142857138</v>
      </c>
      <c r="AD1309" s="790">
        <v>37099.236641221374</v>
      </c>
      <c r="AE1309" s="928">
        <v>37411.764705882364</v>
      </c>
      <c r="AF1309" s="258">
        <f t="shared" si="200"/>
        <v>35271.966527196659</v>
      </c>
      <c r="AG1309" s="1326"/>
      <c r="DG1309" s="555"/>
      <c r="DH1309" s="151"/>
      <c r="DI1309" s="1049"/>
      <c r="DJ1309" s="1127"/>
    </row>
    <row r="1310" spans="1:114" ht="15" hidden="1" customHeight="1" outlineLevel="1" x14ac:dyDescent="0.25">
      <c r="A1310" s="442"/>
      <c r="C1310" s="49"/>
      <c r="D1310" s="2177"/>
      <c r="E1310" s="2177"/>
      <c r="F1310" s="2176" t="str">
        <f>$E$791</f>
        <v>ASHP-SEER17_ROF_SF</v>
      </c>
      <c r="G1310" s="2176"/>
      <c r="H1310" s="2176"/>
      <c r="I1310" s="2176"/>
      <c r="J1310" s="986" t="str">
        <f>$C$791</f>
        <v>353800_2024_12_</v>
      </c>
      <c r="K1310" s="1589">
        <v>36000</v>
      </c>
      <c r="L1310" s="904">
        <f t="shared" si="201"/>
        <v>3</v>
      </c>
      <c r="M1310" s="1593" t="s">
        <v>1025</v>
      </c>
      <c r="Q1310" s="196"/>
      <c r="R1310" s="248"/>
      <c r="T1310" s="50"/>
      <c r="U1310" s="50"/>
      <c r="V1310" s="2177"/>
      <c r="W1310" s="1326">
        <v>39600</v>
      </c>
      <c r="X1310" s="1326">
        <v>39600</v>
      </c>
      <c r="Y1310" s="1326">
        <v>39600</v>
      </c>
      <c r="Z1310" s="1326">
        <v>39600</v>
      </c>
      <c r="AA1310" s="1326">
        <v>39600</v>
      </c>
      <c r="AB1310" s="1326">
        <v>39600</v>
      </c>
      <c r="AC1310" s="790">
        <v>46285.71428571429</v>
      </c>
      <c r="AD1310" s="790">
        <v>36857.142857142855</v>
      </c>
      <c r="AE1310" s="928">
        <v>37200</v>
      </c>
      <c r="AF1310" s="258">
        <f t="shared" si="200"/>
        <v>36000</v>
      </c>
      <c r="AG1310" s="1326"/>
      <c r="DG1310" s="555"/>
      <c r="DH1310" s="151"/>
      <c r="DI1310" s="1049"/>
      <c r="DJ1310" s="1127"/>
    </row>
    <row r="1311" spans="1:114" ht="15" hidden="1" customHeight="1" outlineLevel="1" x14ac:dyDescent="0.25">
      <c r="A1311" s="442"/>
      <c r="C1311" s="49"/>
      <c r="D1311" s="2177"/>
      <c r="E1311" s="2177"/>
      <c r="F1311" s="2176" t="str">
        <f>$E$793</f>
        <v>ASHP-SEER18_ER1_SF</v>
      </c>
      <c r="G1311" s="2176"/>
      <c r="H1311" s="2176"/>
      <c r="I1311" s="2176"/>
      <c r="J1311" s="986" t="str">
        <f>$C$793</f>
        <v>353850_2024_12_</v>
      </c>
      <c r="K1311" s="1589">
        <v>39921.182266049262</v>
      </c>
      <c r="L1311" s="904">
        <f t="shared" si="201"/>
        <v>3.3267651888374385</v>
      </c>
      <c r="M1311" s="1593" t="s">
        <v>1025</v>
      </c>
      <c r="P1311" s="248"/>
      <c r="Q1311" s="196"/>
      <c r="R1311" s="248"/>
      <c r="T1311" s="169"/>
      <c r="U1311" s="50"/>
      <c r="V1311" s="2177"/>
      <c r="W1311" s="1326">
        <v>39600</v>
      </c>
      <c r="X1311" s="1326">
        <v>39600</v>
      </c>
      <c r="Y1311" s="1326">
        <v>39600</v>
      </c>
      <c r="Z1311" s="1326">
        <v>39600</v>
      </c>
      <c r="AA1311" s="1326">
        <v>39600</v>
      </c>
      <c r="AB1311" s="794">
        <v>42600</v>
      </c>
      <c r="AC1311" s="790">
        <v>38521.739130434784</v>
      </c>
      <c r="AD1311" s="790">
        <v>38000</v>
      </c>
      <c r="AE1311" s="928">
        <v>38157.165354330711</v>
      </c>
      <c r="AF1311" s="258">
        <f t="shared" si="200"/>
        <v>39921.182266049262</v>
      </c>
      <c r="AG1311" s="1326"/>
      <c r="DG1311" s="555"/>
      <c r="DH1311" s="151"/>
      <c r="DI1311" s="1049"/>
      <c r="DJ1311" s="1127"/>
    </row>
    <row r="1312" spans="1:114" ht="15" hidden="1" customHeight="1" outlineLevel="1" x14ac:dyDescent="0.25">
      <c r="A1312" s="442"/>
      <c r="C1312" s="49"/>
      <c r="D1312" s="2177"/>
      <c r="E1312" s="2177"/>
      <c r="F1312" s="2178" t="str">
        <f>$E$795</f>
        <v>ASHP-SEER18_ER2_SF</v>
      </c>
      <c r="G1312" s="2178"/>
      <c r="H1312" s="2178"/>
      <c r="I1312" s="2178"/>
      <c r="J1312" s="1579" t="str">
        <f>$C$795</f>
        <v>353850_2024_12_</v>
      </c>
      <c r="K1312" s="1589">
        <v>39921.182266049262</v>
      </c>
      <c r="L1312" s="904">
        <f t="shared" si="201"/>
        <v>3.3267651888374385</v>
      </c>
      <c r="M1312" s="1593" t="s">
        <v>1025</v>
      </c>
      <c r="Q1312" s="196"/>
      <c r="R1312" s="248"/>
      <c r="T1312" s="50"/>
      <c r="U1312" s="50"/>
      <c r="V1312" s="2177"/>
      <c r="W1312" s="1334">
        <v>39600</v>
      </c>
      <c r="X1312" s="1334">
        <v>39600</v>
      </c>
      <c r="Y1312" s="1334">
        <v>39600</v>
      </c>
      <c r="Z1312" s="1334">
        <v>39600</v>
      </c>
      <c r="AA1312" s="1334">
        <v>39600</v>
      </c>
      <c r="AB1312" s="926">
        <v>42600</v>
      </c>
      <c r="AC1312" s="703">
        <f>AC1311</f>
        <v>38521.739130434784</v>
      </c>
      <c r="AD1312" s="703">
        <v>38000</v>
      </c>
      <c r="AE1312" s="1066">
        <v>38157.165354330711</v>
      </c>
      <c r="AF1312" s="258">
        <f t="shared" si="200"/>
        <v>39921.182266049262</v>
      </c>
      <c r="AG1312" s="1334"/>
      <c r="DG1312" s="1043"/>
      <c r="DI1312" s="1049"/>
      <c r="DJ1312" s="1127"/>
    </row>
    <row r="1313" spans="1:114" ht="15" hidden="1" customHeight="1" outlineLevel="1" x14ac:dyDescent="0.25">
      <c r="A1313" s="442"/>
      <c r="C1313" s="49"/>
      <c r="D1313" s="2177"/>
      <c r="E1313" s="2177"/>
      <c r="F1313" s="2176" t="str">
        <f>$E$797</f>
        <v>ASHP-SEER18_ROF_SF</v>
      </c>
      <c r="G1313" s="2176"/>
      <c r="H1313" s="2176"/>
      <c r="I1313" s="2176"/>
      <c r="J1313" s="986" t="str">
        <f>$C$797</f>
        <v>353950_2024_12_</v>
      </c>
      <c r="K1313" s="1589">
        <v>42078.431372470586</v>
      </c>
      <c r="L1313" s="904">
        <f t="shared" si="201"/>
        <v>3.5065359477058822</v>
      </c>
      <c r="M1313" s="1593" t="s">
        <v>1025</v>
      </c>
      <c r="P1313" s="248"/>
      <c r="Q1313" s="196"/>
      <c r="R1313" s="248"/>
      <c r="T1313" s="169"/>
      <c r="U1313" s="50"/>
      <c r="V1313" s="2177"/>
      <c r="W1313" s="1326">
        <v>39600</v>
      </c>
      <c r="X1313" s="1326">
        <v>39600</v>
      </c>
      <c r="Y1313" s="1326">
        <v>39600</v>
      </c>
      <c r="Z1313" s="1326">
        <v>39600</v>
      </c>
      <c r="AA1313" s="1326">
        <v>39600</v>
      </c>
      <c r="AB1313" s="1326">
        <v>39600</v>
      </c>
      <c r="AC1313" s="790">
        <v>41250</v>
      </c>
      <c r="AD1313" s="790">
        <v>38808.51063829787</v>
      </c>
      <c r="AE1313" s="928">
        <v>35780</v>
      </c>
      <c r="AF1313" s="258">
        <f t="shared" si="200"/>
        <v>42078.431372470586</v>
      </c>
      <c r="AG1313" s="1326"/>
      <c r="DG1313" s="555"/>
      <c r="DH1313" s="151"/>
      <c r="DI1313" s="1049"/>
      <c r="DJ1313" s="1127"/>
    </row>
    <row r="1314" spans="1:114" ht="15" hidden="1" customHeight="1" outlineLevel="1" x14ac:dyDescent="0.25">
      <c r="A1314" s="442"/>
      <c r="C1314" s="49"/>
      <c r="D1314" s="2177"/>
      <c r="E1314" s="2177"/>
      <c r="F1314" s="2176" t="str">
        <f>$E$799</f>
        <v>ASHP-SEER19_ER1_SF</v>
      </c>
      <c r="G1314" s="2176"/>
      <c r="H1314" s="2176"/>
      <c r="I1314" s="2176"/>
      <c r="J1314" s="986" t="str">
        <f>$C$799</f>
        <v>354000_2024_12_</v>
      </c>
      <c r="K1314" s="1589">
        <v>43047.619047619046</v>
      </c>
      <c r="L1314" s="904">
        <f t="shared" si="201"/>
        <v>3.587301587301587</v>
      </c>
      <c r="M1314" s="1593" t="s">
        <v>1025</v>
      </c>
      <c r="P1314" s="248"/>
      <c r="Q1314" s="196"/>
      <c r="R1314" s="248"/>
      <c r="T1314" s="169"/>
      <c r="U1314" s="50"/>
      <c r="V1314" s="2177"/>
      <c r="W1314" s="1326">
        <v>39600</v>
      </c>
      <c r="X1314" s="1326">
        <v>39600</v>
      </c>
      <c r="Y1314" s="1326">
        <v>39600</v>
      </c>
      <c r="Z1314" s="1326">
        <v>39600</v>
      </c>
      <c r="AA1314" s="1326">
        <v>39600</v>
      </c>
      <c r="AB1314" s="1326">
        <v>39600</v>
      </c>
      <c r="AC1314" s="790">
        <v>48000</v>
      </c>
      <c r="AD1314" s="790">
        <v>49058.823529411762</v>
      </c>
      <c r="AE1314" s="928">
        <v>43304.34782608696</v>
      </c>
      <c r="AF1314" s="258">
        <f t="shared" si="200"/>
        <v>43047.619047619046</v>
      </c>
      <c r="AG1314" s="1326"/>
      <c r="DG1314" s="555"/>
      <c r="DH1314" s="151"/>
      <c r="DI1314" s="1049"/>
      <c r="DJ1314" s="1127"/>
    </row>
    <row r="1315" spans="1:114" ht="15" hidden="1" customHeight="1" outlineLevel="1" x14ac:dyDescent="0.25">
      <c r="A1315" s="442"/>
      <c r="C1315" s="49"/>
      <c r="D1315" s="2177"/>
      <c r="E1315" s="2177"/>
      <c r="F1315" s="2176" t="str">
        <f>$E$801</f>
        <v>ASHP-SEER19_ER2_SF</v>
      </c>
      <c r="G1315" s="2176"/>
      <c r="H1315" s="2176"/>
      <c r="I1315" s="2176"/>
      <c r="J1315" s="986" t="str">
        <f>$C$801</f>
        <v>354000_2024_12_</v>
      </c>
      <c r="K1315" s="1589">
        <v>43047.619047619046</v>
      </c>
      <c r="L1315" s="904">
        <f t="shared" si="201"/>
        <v>3.587301587301587</v>
      </c>
      <c r="M1315" s="1593" t="s">
        <v>1025</v>
      </c>
      <c r="Q1315" s="196"/>
      <c r="R1315" s="248"/>
      <c r="T1315" s="50"/>
      <c r="U1315" s="50"/>
      <c r="V1315" s="2177"/>
      <c r="W1315" s="1326">
        <v>39600</v>
      </c>
      <c r="X1315" s="1326">
        <v>39600</v>
      </c>
      <c r="Y1315" s="1326">
        <v>39600</v>
      </c>
      <c r="Z1315" s="1326">
        <v>39600</v>
      </c>
      <c r="AA1315" s="1326">
        <v>39600</v>
      </c>
      <c r="AB1315" s="1326">
        <v>39600</v>
      </c>
      <c r="AC1315" s="790">
        <f>AC1314</f>
        <v>48000</v>
      </c>
      <c r="AD1315" s="790">
        <v>49058.823529411762</v>
      </c>
      <c r="AE1315" s="928">
        <v>43304.34782608696</v>
      </c>
      <c r="AF1315" s="258">
        <f t="shared" si="200"/>
        <v>43047.619047619046</v>
      </c>
      <c r="AG1315" s="1326"/>
      <c r="DG1315" s="555"/>
      <c r="DH1315" s="151"/>
      <c r="DI1315" s="1049"/>
      <c r="DJ1315" s="1127"/>
    </row>
    <row r="1316" spans="1:114" ht="15" hidden="1" customHeight="1" outlineLevel="1" x14ac:dyDescent="0.25">
      <c r="A1316" s="442"/>
      <c r="C1316" s="49"/>
      <c r="D1316" s="2177"/>
      <c r="E1316" s="2177"/>
      <c r="F1316" s="2176" t="str">
        <f>$E$803</f>
        <v>ASHP-SEER19_ROF_SF</v>
      </c>
      <c r="G1316" s="2176"/>
      <c r="H1316" s="2176"/>
      <c r="I1316" s="2176"/>
      <c r="J1316" s="986" t="str">
        <f>$C$803</f>
        <v>354050_2024_12_</v>
      </c>
      <c r="K1316" s="1589">
        <v>42333.333333333336</v>
      </c>
      <c r="L1316" s="904">
        <f t="shared" si="201"/>
        <v>3.5277777777777781</v>
      </c>
      <c r="M1316" s="1593" t="s">
        <v>1025</v>
      </c>
      <c r="Q1316" s="196"/>
      <c r="R1316" s="248"/>
      <c r="T1316" s="50"/>
      <c r="U1316" s="50"/>
      <c r="V1316" s="2177"/>
      <c r="W1316" s="1326">
        <v>39600</v>
      </c>
      <c r="X1316" s="1326">
        <v>39600</v>
      </c>
      <c r="Y1316" s="1326">
        <v>39600</v>
      </c>
      <c r="Z1316" s="1326">
        <v>39600</v>
      </c>
      <c r="AA1316" s="1326">
        <v>39600</v>
      </c>
      <c r="AB1316" s="1326">
        <v>39600</v>
      </c>
      <c r="AC1316" s="790">
        <v>26133.333333333332</v>
      </c>
      <c r="AD1316" s="790">
        <v>41076.923076923078</v>
      </c>
      <c r="AE1316" s="990">
        <v>41076.923076923078</v>
      </c>
      <c r="AF1316" s="258">
        <f t="shared" si="200"/>
        <v>42333.333333333336</v>
      </c>
      <c r="AG1316" s="1326"/>
      <c r="DG1316" s="555"/>
      <c r="DH1316" s="151"/>
      <c r="DI1316" s="1049"/>
      <c r="DJ1316" s="1127"/>
    </row>
    <row r="1317" spans="1:114" ht="15" hidden="1" customHeight="1" outlineLevel="1" x14ac:dyDescent="0.25">
      <c r="A1317" s="442"/>
      <c r="C1317" s="49"/>
      <c r="D1317" s="2177"/>
      <c r="E1317" s="2177"/>
      <c r="F1317" s="2176" t="str">
        <f>$E$805</f>
        <v>ASHP-SEER17-Replace_CAC_ElectricHeat_ER1_SF</v>
      </c>
      <c r="G1317" s="2176"/>
      <c r="H1317" s="2176"/>
      <c r="I1317" s="2176"/>
      <c r="J1317" s="986" t="str">
        <f>$C$805</f>
        <v>354100_2024_12_</v>
      </c>
      <c r="K1317" s="1589">
        <v>35271.966527196659</v>
      </c>
      <c r="L1317" s="904">
        <f t="shared" si="201"/>
        <v>2.939330543933055</v>
      </c>
      <c r="M1317" s="1593" t="s">
        <v>1025</v>
      </c>
      <c r="Q1317" s="196"/>
      <c r="R1317" s="248"/>
      <c r="T1317" s="50"/>
      <c r="U1317" s="50"/>
      <c r="V1317" s="2177"/>
      <c r="W1317" s="1326">
        <v>37200</v>
      </c>
      <c r="X1317" s="1326">
        <v>37200</v>
      </c>
      <c r="Y1317" s="1326">
        <v>37200</v>
      </c>
      <c r="Z1317" s="1326">
        <v>37200</v>
      </c>
      <c r="AA1317" s="1326">
        <v>37200</v>
      </c>
      <c r="AB1317" s="1326">
        <v>37200</v>
      </c>
      <c r="AC1317" s="790">
        <v>34090.909090909088</v>
      </c>
      <c r="AD1317" s="790">
        <v>37099.236641221374</v>
      </c>
      <c r="AE1317" s="928">
        <v>37411.764705882364</v>
      </c>
      <c r="AF1317" s="258">
        <f t="shared" si="200"/>
        <v>35271.966527196659</v>
      </c>
      <c r="AG1317" s="1326"/>
      <c r="DG1317" s="555"/>
      <c r="DH1317" s="151"/>
      <c r="DI1317" s="1049"/>
      <c r="DJ1317" s="1127"/>
    </row>
    <row r="1318" spans="1:114" ht="15" hidden="1" customHeight="1" outlineLevel="1" x14ac:dyDescent="0.25">
      <c r="A1318" s="442"/>
      <c r="C1318" s="49"/>
      <c r="D1318" s="2177"/>
      <c r="E1318" s="2177"/>
      <c r="F1318" s="2176" t="str">
        <f>$E$807</f>
        <v>ASHP-SEER17-Replace_CAC_ElectricHeat_ER2_SF</v>
      </c>
      <c r="G1318" s="2176"/>
      <c r="H1318" s="2176"/>
      <c r="I1318" s="2176"/>
      <c r="J1318" s="986" t="str">
        <f>$C$807</f>
        <v>354100_2024_12_</v>
      </c>
      <c r="K1318" s="1589">
        <f>$K$1317</f>
        <v>35271.966527196659</v>
      </c>
      <c r="L1318" s="904">
        <f t="shared" si="201"/>
        <v>2.939330543933055</v>
      </c>
      <c r="M1318" s="1593" t="s">
        <v>1025</v>
      </c>
      <c r="Q1318" s="196"/>
      <c r="R1318" s="248"/>
      <c r="T1318" s="50"/>
      <c r="U1318" s="50"/>
      <c r="V1318" s="2177"/>
      <c r="W1318" s="1326">
        <v>37200</v>
      </c>
      <c r="X1318" s="1326">
        <v>37200</v>
      </c>
      <c r="Y1318" s="1326">
        <v>37200</v>
      </c>
      <c r="Z1318" s="1326">
        <v>37200</v>
      </c>
      <c r="AA1318" s="1326">
        <v>37200</v>
      </c>
      <c r="AB1318" s="1326">
        <v>37200</v>
      </c>
      <c r="AC1318" s="790">
        <v>34090.909090909088</v>
      </c>
      <c r="AD1318" s="790">
        <v>37099.236641221374</v>
      </c>
      <c r="AE1318" s="928">
        <v>37411.764705882364</v>
      </c>
      <c r="AF1318" s="258">
        <f t="shared" si="200"/>
        <v>35271.966527196659</v>
      </c>
      <c r="AG1318" s="1326"/>
      <c r="DG1318" s="555"/>
      <c r="DH1318" s="151"/>
      <c r="DI1318" s="1049"/>
      <c r="DJ1318" s="1127"/>
    </row>
    <row r="1319" spans="1:114" ht="15" hidden="1" customHeight="1" outlineLevel="1" x14ac:dyDescent="0.25">
      <c r="A1319" s="442"/>
      <c r="C1319" s="49"/>
      <c r="D1319" s="2177"/>
      <c r="E1319" s="2177"/>
      <c r="F1319" s="2176" t="str">
        <f>$E$809</f>
        <v>ASHP-SEER17-Replace_CAC_NonElectricHeat_ER1_SF</v>
      </c>
      <c r="G1319" s="2176"/>
      <c r="H1319" s="2176"/>
      <c r="I1319" s="2176"/>
      <c r="J1319" s="986" t="str">
        <f>$C$809</f>
        <v>354110_2024_12_</v>
      </c>
      <c r="K1319" s="1589">
        <f t="shared" ref="K1319:K1320" si="204">$K$1317</f>
        <v>35271.966527196659</v>
      </c>
      <c r="L1319" s="904">
        <f t="shared" si="201"/>
        <v>2.939330543933055</v>
      </c>
      <c r="M1319" s="1593" t="s">
        <v>1025</v>
      </c>
      <c r="Q1319" s="196"/>
      <c r="R1319" s="248"/>
      <c r="T1319" s="50"/>
      <c r="U1319" s="50"/>
      <c r="V1319" s="2177"/>
      <c r="W1319" s="1326"/>
      <c r="X1319" s="1326"/>
      <c r="Y1319" s="1326"/>
      <c r="Z1319" s="1326"/>
      <c r="AA1319" s="1326"/>
      <c r="AB1319" s="1326"/>
      <c r="AC1319" s="790">
        <v>34090.909090909088</v>
      </c>
      <c r="AD1319" s="790">
        <v>37099.236641221374</v>
      </c>
      <c r="AE1319" s="928">
        <v>37411.764705882364</v>
      </c>
      <c r="AF1319" s="258">
        <f t="shared" si="200"/>
        <v>35271.966527196659</v>
      </c>
      <c r="AG1319" s="1326"/>
      <c r="DG1319" s="555"/>
      <c r="DH1319" s="151"/>
      <c r="DI1319" s="1049"/>
      <c r="DJ1319" s="1127"/>
    </row>
    <row r="1320" spans="1:114" ht="15" hidden="1" customHeight="1" outlineLevel="1" x14ac:dyDescent="0.25">
      <c r="A1320" s="442"/>
      <c r="C1320" s="49"/>
      <c r="D1320" s="2177"/>
      <c r="E1320" s="2177"/>
      <c r="F1320" s="2176" t="str">
        <f>$E$811</f>
        <v>ASHP-SEER17-Replace_CAC_NonElectricHeat_ER2_SF</v>
      </c>
      <c r="G1320" s="2176"/>
      <c r="H1320" s="2176"/>
      <c r="I1320" s="2176"/>
      <c r="J1320" s="986" t="str">
        <f>$C$811</f>
        <v>354110_2024_12_</v>
      </c>
      <c r="K1320" s="1589">
        <f t="shared" si="204"/>
        <v>35271.966527196659</v>
      </c>
      <c r="L1320" s="904">
        <f t="shared" si="201"/>
        <v>2.939330543933055</v>
      </c>
      <c r="M1320" s="1593" t="s">
        <v>1025</v>
      </c>
      <c r="Q1320" s="196"/>
      <c r="R1320" s="248"/>
      <c r="T1320" s="50"/>
      <c r="U1320" s="50"/>
      <c r="V1320" s="2177"/>
      <c r="W1320" s="1326"/>
      <c r="X1320" s="1326"/>
      <c r="Y1320" s="1326"/>
      <c r="Z1320" s="1326"/>
      <c r="AA1320" s="1326"/>
      <c r="AB1320" s="1326"/>
      <c r="AC1320" s="790">
        <v>34090.909090909088</v>
      </c>
      <c r="AD1320" s="790">
        <v>37099.236641221374</v>
      </c>
      <c r="AE1320" s="928">
        <v>37411.764705882364</v>
      </c>
      <c r="AF1320" s="258">
        <f t="shared" si="200"/>
        <v>35271.966527196659</v>
      </c>
      <c r="AG1320" s="1326"/>
      <c r="DG1320" s="555"/>
      <c r="DH1320" s="151"/>
      <c r="DI1320" s="1049"/>
      <c r="DJ1320" s="1127"/>
    </row>
    <row r="1321" spans="1:114" ht="15" hidden="1" customHeight="1" outlineLevel="1" x14ac:dyDescent="0.25">
      <c r="A1321" s="442"/>
      <c r="C1321" s="49"/>
      <c r="D1321" s="2177"/>
      <c r="E1321" s="2177"/>
      <c r="F1321" s="2176" t="str">
        <f>$E$813</f>
        <v>ASHP-SEER17-Replace_CAC_ElectricHeat_ER1_MF</v>
      </c>
      <c r="G1321" s="2176"/>
      <c r="H1321" s="2176"/>
      <c r="I1321" s="2176"/>
      <c r="J1321" s="986" t="str">
        <f>$C$813</f>
        <v>354150_2024_12_</v>
      </c>
      <c r="K1321" s="1590">
        <v>37200</v>
      </c>
      <c r="L1321" s="904">
        <f t="shared" si="201"/>
        <v>3.1</v>
      </c>
      <c r="M1321" s="1577" t="s">
        <v>1112</v>
      </c>
      <c r="Q1321" s="196"/>
      <c r="R1321" s="248"/>
      <c r="T1321" s="50"/>
      <c r="U1321" s="50"/>
      <c r="V1321" s="2177"/>
      <c r="W1321" s="1326">
        <v>37200</v>
      </c>
      <c r="X1321" s="1326">
        <v>37200</v>
      </c>
      <c r="Y1321" s="1326">
        <v>37200</v>
      </c>
      <c r="Z1321" s="1326">
        <v>37200</v>
      </c>
      <c r="AA1321" s="1326">
        <v>37200</v>
      </c>
      <c r="AB1321" s="1326">
        <v>37200</v>
      </c>
      <c r="AC1321" s="766">
        <v>37200</v>
      </c>
      <c r="AD1321" s="766">
        <v>37200</v>
      </c>
      <c r="AE1321" s="929">
        <v>37200</v>
      </c>
      <c r="AF1321" s="258">
        <f t="shared" si="200"/>
        <v>37200</v>
      </c>
      <c r="AG1321" s="1326"/>
      <c r="DG1321" s="555"/>
      <c r="DH1321" s="151"/>
      <c r="DI1321" s="1049"/>
      <c r="DJ1321" s="1127"/>
    </row>
    <row r="1322" spans="1:114" ht="15" hidden="1" customHeight="1" outlineLevel="1" x14ac:dyDescent="0.25">
      <c r="A1322" s="442"/>
      <c r="C1322" s="49"/>
      <c r="D1322" s="2177"/>
      <c r="E1322" s="2177"/>
      <c r="F1322" s="2176" t="str">
        <f>$E$815</f>
        <v>ASHP-SEER17-Replace_CAC_ElectricHeat_ER2_MF</v>
      </c>
      <c r="G1322" s="2176"/>
      <c r="H1322" s="2176"/>
      <c r="I1322" s="2176"/>
      <c r="J1322" s="986" t="str">
        <f>$C$815</f>
        <v>354150_2024_12_</v>
      </c>
      <c r="K1322" s="1590">
        <v>37200</v>
      </c>
      <c r="L1322" s="904">
        <f t="shared" si="201"/>
        <v>3.1</v>
      </c>
      <c r="M1322" s="1577" t="s">
        <v>1112</v>
      </c>
      <c r="Q1322" s="196"/>
      <c r="R1322" s="248"/>
      <c r="T1322" s="50"/>
      <c r="U1322" s="50"/>
      <c r="V1322" s="2177"/>
      <c r="W1322" s="1326">
        <v>37200</v>
      </c>
      <c r="X1322" s="1326">
        <v>37200</v>
      </c>
      <c r="Y1322" s="1326">
        <v>37200</v>
      </c>
      <c r="Z1322" s="1326">
        <v>37200</v>
      </c>
      <c r="AA1322" s="1326">
        <v>37200</v>
      </c>
      <c r="AB1322" s="1326">
        <v>37200</v>
      </c>
      <c r="AC1322" s="766">
        <v>37200</v>
      </c>
      <c r="AD1322" s="766">
        <v>37200</v>
      </c>
      <c r="AE1322" s="929">
        <v>37200</v>
      </c>
      <c r="AF1322" s="258">
        <f t="shared" si="200"/>
        <v>37200</v>
      </c>
      <c r="AG1322" s="1326"/>
      <c r="DG1322" s="555"/>
      <c r="DH1322" s="151"/>
      <c r="DI1322" s="1049"/>
      <c r="DJ1322" s="1127"/>
    </row>
    <row r="1323" spans="1:114" ht="15" hidden="1" customHeight="1" outlineLevel="1" x14ac:dyDescent="0.25">
      <c r="A1323" s="442"/>
      <c r="C1323" s="49"/>
      <c r="D1323" s="2177"/>
      <c r="E1323" s="2177"/>
      <c r="F1323" s="2176" t="str">
        <f>$E$817</f>
        <v>ASHP-SEER17_ER1_MF</v>
      </c>
      <c r="G1323" s="2176"/>
      <c r="H1323" s="2176"/>
      <c r="I1323" s="2176"/>
      <c r="J1323" s="986" t="str">
        <f>$C$817</f>
        <v>354200_2024_12_</v>
      </c>
      <c r="K1323" s="1590">
        <v>39600</v>
      </c>
      <c r="L1323" s="904">
        <f t="shared" si="201"/>
        <v>3.3</v>
      </c>
      <c r="M1323" s="1577" t="s">
        <v>1112</v>
      </c>
      <c r="Q1323" s="196"/>
      <c r="R1323" s="248"/>
      <c r="T1323" s="50"/>
      <c r="U1323" s="50"/>
      <c r="V1323" s="2177"/>
      <c r="W1323" s="1326">
        <v>39600</v>
      </c>
      <c r="X1323" s="1326">
        <v>39600</v>
      </c>
      <c r="Y1323" s="1326">
        <v>39600</v>
      </c>
      <c r="Z1323" s="1326">
        <v>39600</v>
      </c>
      <c r="AA1323" s="1326">
        <v>39600</v>
      </c>
      <c r="AB1323" s="1326">
        <v>39600</v>
      </c>
      <c r="AC1323" s="766">
        <v>39600</v>
      </c>
      <c r="AD1323" s="766">
        <v>39600</v>
      </c>
      <c r="AE1323" s="929">
        <v>39600</v>
      </c>
      <c r="AF1323" s="258">
        <f t="shared" si="200"/>
        <v>39600</v>
      </c>
      <c r="AG1323" s="1326"/>
      <c r="DG1323" s="555"/>
      <c r="DH1323" s="151"/>
      <c r="DI1323" s="1049"/>
      <c r="DJ1323" s="1127"/>
    </row>
    <row r="1324" spans="1:114" ht="15" hidden="1" customHeight="1" outlineLevel="1" x14ac:dyDescent="0.25">
      <c r="A1324" s="442"/>
      <c r="C1324" s="49"/>
      <c r="D1324" s="2177"/>
      <c r="E1324" s="2177"/>
      <c r="F1324" s="2176" t="str">
        <f>$E$819</f>
        <v>ASHP-SEER17_ER2_MF</v>
      </c>
      <c r="G1324" s="2176"/>
      <c r="H1324" s="2176"/>
      <c r="I1324" s="2176"/>
      <c r="J1324" s="986" t="str">
        <f>$C$819</f>
        <v>354200_2024_12_</v>
      </c>
      <c r="K1324" s="1590">
        <v>39600</v>
      </c>
      <c r="L1324" s="904">
        <f t="shared" si="201"/>
        <v>3.3</v>
      </c>
      <c r="M1324" s="1577" t="s">
        <v>1112</v>
      </c>
      <c r="Q1324" s="196"/>
      <c r="R1324" s="248"/>
      <c r="T1324" s="50"/>
      <c r="U1324" s="50"/>
      <c r="V1324" s="2177"/>
      <c r="W1324" s="1326">
        <v>39600</v>
      </c>
      <c r="X1324" s="1326">
        <v>39600</v>
      </c>
      <c r="Y1324" s="1326">
        <v>39600</v>
      </c>
      <c r="Z1324" s="1326">
        <v>39600</v>
      </c>
      <c r="AA1324" s="1326">
        <v>39600</v>
      </c>
      <c r="AB1324" s="1326">
        <v>39600</v>
      </c>
      <c r="AC1324" s="766">
        <v>39600</v>
      </c>
      <c r="AD1324" s="766">
        <v>39600</v>
      </c>
      <c r="AE1324" s="929">
        <v>39600</v>
      </c>
      <c r="AF1324" s="258">
        <f t="shared" si="200"/>
        <v>39600</v>
      </c>
      <c r="AG1324" s="1326"/>
      <c r="DG1324" s="555"/>
      <c r="DH1324" s="151"/>
      <c r="DI1324" s="1049"/>
      <c r="DJ1324" s="1127"/>
    </row>
    <row r="1325" spans="1:114" ht="15" hidden="1" customHeight="1" outlineLevel="1" x14ac:dyDescent="0.25">
      <c r="A1325" s="442"/>
      <c r="C1325" s="49"/>
      <c r="D1325" s="2177"/>
      <c r="E1325" s="2177"/>
      <c r="F1325" s="2176" t="str">
        <f>$E$821</f>
        <v>ASHP-SEER18-Replace_CAC_ElectricHeat_ER1_SF</v>
      </c>
      <c r="G1325" s="2176"/>
      <c r="H1325" s="2176"/>
      <c r="I1325" s="2176"/>
      <c r="J1325" s="986" t="str">
        <f>$C$821</f>
        <v>354250_2024_12_</v>
      </c>
      <c r="K1325" s="1589">
        <v>39921.182266049262</v>
      </c>
      <c r="L1325" s="904">
        <f t="shared" si="201"/>
        <v>3.3267651888374385</v>
      </c>
      <c r="M1325" s="1593" t="s">
        <v>1025</v>
      </c>
      <c r="Q1325" s="196"/>
      <c r="R1325" s="248"/>
      <c r="T1325" s="50"/>
      <c r="U1325" s="50"/>
      <c r="V1325" s="2177"/>
      <c r="W1325" s="1326">
        <v>37200</v>
      </c>
      <c r="X1325" s="1326">
        <v>37200</v>
      </c>
      <c r="Y1325" s="1326">
        <v>37200</v>
      </c>
      <c r="Z1325" s="1326">
        <v>37200</v>
      </c>
      <c r="AA1325" s="1326">
        <v>37200</v>
      </c>
      <c r="AB1325" s="790">
        <v>40965.517241379312</v>
      </c>
      <c r="AC1325" s="790">
        <v>37721.739130434784</v>
      </c>
      <c r="AD1325" s="790">
        <v>38000</v>
      </c>
      <c r="AE1325" s="928">
        <v>38157.165354330711</v>
      </c>
      <c r="AF1325" s="258">
        <f t="shared" ref="AF1325:AF1356" si="205">IF(K1325&lt;&gt;"",K1325,"")</f>
        <v>39921.182266049262</v>
      </c>
      <c r="AG1325" s="1326"/>
      <c r="DG1325" s="555"/>
      <c r="DH1325" s="151"/>
      <c r="DI1325" s="1049"/>
      <c r="DJ1325" s="1127"/>
    </row>
    <row r="1326" spans="1:114" ht="15" hidden="1" customHeight="1" outlineLevel="1" x14ac:dyDescent="0.25">
      <c r="A1326" s="442"/>
      <c r="C1326" s="49"/>
      <c r="D1326" s="2177"/>
      <c r="E1326" s="2177"/>
      <c r="F1326" s="2176" t="str">
        <f>$E$823</f>
        <v>ASHP-SEER18-Replace_CAC_ElectricHeat_ER2_SF</v>
      </c>
      <c r="G1326" s="2176"/>
      <c r="H1326" s="2176"/>
      <c r="I1326" s="2176"/>
      <c r="J1326" s="986" t="str">
        <f>$C$823</f>
        <v>354250_2024_12_</v>
      </c>
      <c r="K1326" s="1589">
        <f>$K$1325</f>
        <v>39921.182266049262</v>
      </c>
      <c r="L1326" s="904">
        <f t="shared" si="201"/>
        <v>3.3267651888374385</v>
      </c>
      <c r="M1326" s="1593" t="s">
        <v>1025</v>
      </c>
      <c r="Q1326" s="196"/>
      <c r="R1326" s="248"/>
      <c r="T1326" s="50"/>
      <c r="U1326" s="50"/>
      <c r="V1326" s="2177"/>
      <c r="W1326" s="1326">
        <v>37200</v>
      </c>
      <c r="X1326" s="1326">
        <v>37200</v>
      </c>
      <c r="Y1326" s="1326">
        <v>37200</v>
      </c>
      <c r="Z1326" s="1326">
        <v>37200</v>
      </c>
      <c r="AA1326" s="1326">
        <v>37200</v>
      </c>
      <c r="AB1326" s="790">
        <v>40965.517241379312</v>
      </c>
      <c r="AC1326" s="790">
        <f>AC1325</f>
        <v>37721.739130434784</v>
      </c>
      <c r="AD1326" s="790">
        <v>38000</v>
      </c>
      <c r="AE1326" s="928">
        <v>38157.165354330711</v>
      </c>
      <c r="AF1326" s="258">
        <f t="shared" si="205"/>
        <v>39921.182266049262</v>
      </c>
      <c r="AG1326" s="1326"/>
      <c r="DG1326" s="555"/>
      <c r="DH1326" s="151"/>
      <c r="DI1326" s="1049"/>
      <c r="DJ1326" s="1127"/>
    </row>
    <row r="1327" spans="1:114" ht="15" hidden="1" customHeight="1" outlineLevel="1" x14ac:dyDescent="0.25">
      <c r="A1327" s="442"/>
      <c r="C1327" s="49"/>
      <c r="D1327" s="2177"/>
      <c r="E1327" s="2177"/>
      <c r="F1327" s="2176" t="str">
        <f>$E$825</f>
        <v>ASHP-SEER18-Replace_CAC_NonElectricHeat_ER1_SF</v>
      </c>
      <c r="G1327" s="2176"/>
      <c r="H1327" s="2176"/>
      <c r="I1327" s="2176"/>
      <c r="J1327" s="986" t="str">
        <f>$C$825</f>
        <v>354260_2024_12_</v>
      </c>
      <c r="K1327" s="1589">
        <f t="shared" ref="K1327:K1328" si="206">$K$1325</f>
        <v>39921.182266049262</v>
      </c>
      <c r="L1327" s="904">
        <f t="shared" si="201"/>
        <v>3.3267651888374385</v>
      </c>
      <c r="M1327" s="1593" t="s">
        <v>1025</v>
      </c>
      <c r="Q1327" s="196"/>
      <c r="R1327" s="248"/>
      <c r="T1327" s="50"/>
      <c r="U1327" s="50"/>
      <c r="V1327" s="2177"/>
      <c r="W1327" s="1326"/>
      <c r="X1327" s="1326"/>
      <c r="Y1327" s="1326"/>
      <c r="Z1327" s="1326"/>
      <c r="AA1327" s="1326"/>
      <c r="AB1327" s="790"/>
      <c r="AC1327" s="790">
        <v>37721.739130434784</v>
      </c>
      <c r="AD1327" s="790">
        <v>38000</v>
      </c>
      <c r="AE1327" s="928">
        <v>38157.165354330711</v>
      </c>
      <c r="AF1327" s="258">
        <f t="shared" si="205"/>
        <v>39921.182266049262</v>
      </c>
      <c r="AG1327" s="1326"/>
      <c r="DG1327" s="555"/>
      <c r="DH1327" s="151"/>
      <c r="DI1327" s="1049"/>
      <c r="DJ1327" s="1127"/>
    </row>
    <row r="1328" spans="1:114" ht="15" hidden="1" customHeight="1" outlineLevel="1" x14ac:dyDescent="0.25">
      <c r="A1328" s="442"/>
      <c r="C1328" s="49"/>
      <c r="D1328" s="2177"/>
      <c r="E1328" s="2177"/>
      <c r="F1328" s="2176" t="str">
        <f>$E$827</f>
        <v>ASHP-SEER18-Replace_CAC_NonElectricHeat_ER2_SF</v>
      </c>
      <c r="G1328" s="2176"/>
      <c r="H1328" s="2176"/>
      <c r="I1328" s="2176"/>
      <c r="J1328" s="986" t="str">
        <f>$C$827</f>
        <v>354260_2024_12_</v>
      </c>
      <c r="K1328" s="1589">
        <f t="shared" si="206"/>
        <v>39921.182266049262</v>
      </c>
      <c r="L1328" s="904">
        <f t="shared" si="201"/>
        <v>3.3267651888374385</v>
      </c>
      <c r="M1328" s="1593" t="s">
        <v>1025</v>
      </c>
      <c r="Q1328" s="196"/>
      <c r="R1328" s="248"/>
      <c r="T1328" s="50"/>
      <c r="U1328" s="50"/>
      <c r="V1328" s="2177"/>
      <c r="W1328" s="1326"/>
      <c r="X1328" s="1326"/>
      <c r="Y1328" s="1326"/>
      <c r="Z1328" s="1326"/>
      <c r="AA1328" s="1326"/>
      <c r="AB1328" s="790"/>
      <c r="AC1328" s="790">
        <f>AC1327</f>
        <v>37721.739130434784</v>
      </c>
      <c r="AD1328" s="790">
        <v>38000</v>
      </c>
      <c r="AE1328" s="928">
        <v>38157.165354330711</v>
      </c>
      <c r="AF1328" s="258">
        <f t="shared" si="205"/>
        <v>39921.182266049262</v>
      </c>
      <c r="AG1328" s="1326"/>
      <c r="DG1328" s="555"/>
      <c r="DH1328" s="151"/>
      <c r="DI1328" s="1049"/>
      <c r="DJ1328" s="1127"/>
    </row>
    <row r="1329" spans="1:114" ht="15" hidden="1" customHeight="1" outlineLevel="1" x14ac:dyDescent="0.25">
      <c r="A1329" s="442"/>
      <c r="C1329" s="49"/>
      <c r="D1329" s="2177"/>
      <c r="E1329" s="2177"/>
      <c r="F1329" s="2176" t="str">
        <f>$E$829</f>
        <v>ASHP-SEER18-Replace_CAC_ElectricHeat_ER1_MF</v>
      </c>
      <c r="G1329" s="2176"/>
      <c r="H1329" s="2176"/>
      <c r="I1329" s="2176"/>
      <c r="J1329" s="986" t="str">
        <f>$C$829</f>
        <v>354300_2024_12_</v>
      </c>
      <c r="K1329" s="1590">
        <v>18000</v>
      </c>
      <c r="L1329" s="904">
        <f t="shared" si="201"/>
        <v>1.5</v>
      </c>
      <c r="M1329" s="1577" t="s">
        <v>1362</v>
      </c>
      <c r="Q1329" s="196"/>
      <c r="R1329" s="248"/>
      <c r="T1329" s="50"/>
      <c r="U1329" s="50"/>
      <c r="V1329" s="2177"/>
      <c r="W1329" s="1326">
        <v>37200</v>
      </c>
      <c r="X1329" s="1326">
        <v>37200</v>
      </c>
      <c r="Y1329" s="1326">
        <v>37200</v>
      </c>
      <c r="Z1329" s="1326">
        <v>37200</v>
      </c>
      <c r="AA1329" s="1326">
        <v>37200</v>
      </c>
      <c r="AB1329" s="790">
        <v>48000</v>
      </c>
      <c r="AC1329" s="790">
        <v>18000</v>
      </c>
      <c r="AD1329" s="766">
        <v>18000</v>
      </c>
      <c r="AE1329" s="929">
        <v>18000</v>
      </c>
      <c r="AF1329" s="258">
        <f t="shared" si="205"/>
        <v>18000</v>
      </c>
      <c r="AG1329" s="1326"/>
      <c r="DG1329" s="555"/>
      <c r="DH1329" s="151"/>
      <c r="DI1329" s="1049"/>
      <c r="DJ1329" s="1127"/>
    </row>
    <row r="1330" spans="1:114" ht="15" hidden="1" customHeight="1" outlineLevel="1" x14ac:dyDescent="0.25">
      <c r="A1330" s="442"/>
      <c r="C1330" s="49"/>
      <c r="D1330" s="2177"/>
      <c r="E1330" s="2177"/>
      <c r="F1330" s="2176" t="str">
        <f>$E$831</f>
        <v>ASHP-SEER18-Replace_CAC_ElectricHeat_ER2_MF</v>
      </c>
      <c r="G1330" s="2176"/>
      <c r="H1330" s="2176"/>
      <c r="I1330" s="2176"/>
      <c r="J1330" s="986" t="str">
        <f>$C$831</f>
        <v>354300_2024_12_</v>
      </c>
      <c r="K1330" s="1590">
        <v>18000</v>
      </c>
      <c r="L1330" s="904">
        <f t="shared" si="201"/>
        <v>1.5</v>
      </c>
      <c r="M1330" s="1577" t="s">
        <v>1362</v>
      </c>
      <c r="Q1330" s="196"/>
      <c r="R1330" s="248"/>
      <c r="T1330" s="50"/>
      <c r="U1330" s="50"/>
      <c r="V1330" s="2177"/>
      <c r="W1330" s="1326">
        <v>37200</v>
      </c>
      <c r="X1330" s="1326">
        <v>37200</v>
      </c>
      <c r="Y1330" s="1326">
        <v>37200</v>
      </c>
      <c r="Z1330" s="1326">
        <v>37200</v>
      </c>
      <c r="AA1330" s="1326">
        <v>37200</v>
      </c>
      <c r="AB1330" s="790">
        <v>48000</v>
      </c>
      <c r="AC1330" s="790">
        <f>AC1329</f>
        <v>18000</v>
      </c>
      <c r="AD1330" s="766">
        <v>18000</v>
      </c>
      <c r="AE1330" s="929">
        <v>18000</v>
      </c>
      <c r="AF1330" s="258">
        <f t="shared" si="205"/>
        <v>18000</v>
      </c>
      <c r="AG1330" s="1326"/>
      <c r="DG1330" s="555"/>
      <c r="DH1330" s="151"/>
      <c r="DI1330" s="1049"/>
      <c r="DJ1330" s="1127"/>
    </row>
    <row r="1331" spans="1:114" ht="15" hidden="1" customHeight="1" outlineLevel="1" x14ac:dyDescent="0.25">
      <c r="A1331" s="442"/>
      <c r="C1331" s="49"/>
      <c r="D1331" s="2177"/>
      <c r="E1331" s="2177"/>
      <c r="F1331" s="2176" t="str">
        <f>$E$833</f>
        <v>ASHP-SEER18_ER1_MF</v>
      </c>
      <c r="G1331" s="2176"/>
      <c r="H1331" s="2176"/>
      <c r="I1331" s="2176"/>
      <c r="J1331" s="986" t="str">
        <f>$C$833</f>
        <v>354350_2024_12_</v>
      </c>
      <c r="K1331" s="1589">
        <v>30000</v>
      </c>
      <c r="L1331" s="904">
        <f t="shared" ref="L1331:L1351" si="207">K1331/12000</f>
        <v>2.5</v>
      </c>
      <c r="M1331" s="1576" t="s">
        <v>1026</v>
      </c>
      <c r="Q1331" s="196"/>
      <c r="R1331" s="248"/>
      <c r="T1331" s="50"/>
      <c r="U1331" s="50"/>
      <c r="V1331" s="2177"/>
      <c r="W1331" s="1326">
        <v>39600</v>
      </c>
      <c r="X1331" s="1326">
        <v>39600</v>
      </c>
      <c r="Y1331" s="1326">
        <v>39600</v>
      </c>
      <c r="Z1331" s="1326">
        <v>39600</v>
      </c>
      <c r="AA1331" s="1326">
        <v>39600</v>
      </c>
      <c r="AB1331" s="1326">
        <v>39600</v>
      </c>
      <c r="AC1331" s="790">
        <v>60000</v>
      </c>
      <c r="AD1331" s="790">
        <v>30000</v>
      </c>
      <c r="AE1331" s="990">
        <v>30000</v>
      </c>
      <c r="AF1331" s="258">
        <f t="shared" si="205"/>
        <v>30000</v>
      </c>
      <c r="AG1331" s="1326"/>
      <c r="DG1331" s="555"/>
      <c r="DH1331" s="151"/>
      <c r="DI1331" s="1049"/>
      <c r="DJ1331" s="1127"/>
    </row>
    <row r="1332" spans="1:114" ht="15" hidden="1" customHeight="1" outlineLevel="1" x14ac:dyDescent="0.25">
      <c r="A1332" s="442"/>
      <c r="C1332" s="49"/>
      <c r="D1332" s="2177"/>
      <c r="E1332" s="2177"/>
      <c r="F1332" s="2176" t="str">
        <f>$E$835</f>
        <v>ASHP-SEER18_ER2_MF</v>
      </c>
      <c r="G1332" s="2176"/>
      <c r="H1332" s="2176"/>
      <c r="I1332" s="2176"/>
      <c r="J1332" s="986" t="str">
        <f>$C$835</f>
        <v>354350_2024_12_</v>
      </c>
      <c r="K1332" s="1589">
        <v>30000</v>
      </c>
      <c r="L1332" s="904">
        <f t="shared" si="207"/>
        <v>2.5</v>
      </c>
      <c r="M1332" s="1577" t="s">
        <v>1112</v>
      </c>
      <c r="Q1332" s="196"/>
      <c r="R1332" s="248"/>
      <c r="T1332" s="50"/>
      <c r="U1332" s="50"/>
      <c r="V1332" s="2177"/>
      <c r="W1332" s="1326">
        <v>39600</v>
      </c>
      <c r="X1332" s="1326">
        <v>39600</v>
      </c>
      <c r="Y1332" s="1326">
        <v>39600</v>
      </c>
      <c r="Z1332" s="1326">
        <v>39600</v>
      </c>
      <c r="AA1332" s="1326">
        <v>39600</v>
      </c>
      <c r="AB1332" s="1326">
        <v>39600</v>
      </c>
      <c r="AC1332" s="790">
        <f>AC1331</f>
        <v>60000</v>
      </c>
      <c r="AD1332" s="790">
        <v>30000</v>
      </c>
      <c r="AE1332" s="990">
        <v>30000</v>
      </c>
      <c r="AF1332" s="258">
        <f t="shared" si="205"/>
        <v>30000</v>
      </c>
      <c r="AG1332" s="1326"/>
      <c r="DG1332" s="555"/>
      <c r="DH1332" s="151"/>
      <c r="DI1332" s="1049"/>
      <c r="DJ1332" s="1127"/>
    </row>
    <row r="1333" spans="1:114" ht="15" hidden="1" customHeight="1" outlineLevel="1" x14ac:dyDescent="0.25">
      <c r="A1333" s="442"/>
      <c r="C1333" s="49"/>
      <c r="D1333" s="2177"/>
      <c r="E1333" s="2177"/>
      <c r="F1333" s="2176" t="str">
        <f>$E$837</f>
        <v>ASHP-SEER19-Replace_CAC_ElectricHeat_ER1_SF</v>
      </c>
      <c r="G1333" s="2176"/>
      <c r="H1333" s="2176"/>
      <c r="I1333" s="2176"/>
      <c r="J1333" s="986" t="str">
        <f>$C$837</f>
        <v>354400_2024_12_</v>
      </c>
      <c r="K1333" s="1589">
        <v>43047.619047619046</v>
      </c>
      <c r="L1333" s="904">
        <f t="shared" si="207"/>
        <v>3.587301587301587</v>
      </c>
      <c r="M1333" s="1593" t="s">
        <v>1025</v>
      </c>
      <c r="Q1333" s="196"/>
      <c r="R1333" s="248"/>
      <c r="T1333" s="50"/>
      <c r="U1333" s="50"/>
      <c r="V1333" s="2177"/>
      <c r="W1333" s="1326">
        <v>37200</v>
      </c>
      <c r="X1333" s="1326">
        <v>37200</v>
      </c>
      <c r="Y1333" s="1326">
        <v>37200</v>
      </c>
      <c r="Z1333" s="1326">
        <v>37200</v>
      </c>
      <c r="AA1333" s="1326">
        <v>37200</v>
      </c>
      <c r="AB1333" s="1326">
        <v>37200</v>
      </c>
      <c r="AC1333" s="790">
        <v>43200</v>
      </c>
      <c r="AD1333" s="790">
        <v>49058.823529411762</v>
      </c>
      <c r="AE1333" s="928">
        <v>43304.34782608696</v>
      </c>
      <c r="AF1333" s="258">
        <f t="shared" si="205"/>
        <v>43047.619047619046</v>
      </c>
      <c r="AG1333" s="1326"/>
      <c r="DG1333" s="555"/>
      <c r="DH1333" s="151"/>
      <c r="DI1333" s="1049"/>
      <c r="DJ1333" s="1127"/>
    </row>
    <row r="1334" spans="1:114" ht="15" hidden="1" customHeight="1" outlineLevel="1" x14ac:dyDescent="0.25">
      <c r="A1334" s="442"/>
      <c r="C1334" s="49"/>
      <c r="D1334" s="2177"/>
      <c r="E1334" s="2177"/>
      <c r="F1334" s="2176" t="str">
        <f>$E$839</f>
        <v>ASHP-SEER19-Replace_CAC_ElectricHeat_ER2_SF</v>
      </c>
      <c r="G1334" s="2176"/>
      <c r="H1334" s="2176"/>
      <c r="I1334" s="2176"/>
      <c r="J1334" s="986" t="str">
        <f>$C$839</f>
        <v>354400_2024_12_</v>
      </c>
      <c r="K1334" s="1589">
        <f>$K$1333</f>
        <v>43047.619047619046</v>
      </c>
      <c r="L1334" s="904">
        <f t="shared" si="207"/>
        <v>3.587301587301587</v>
      </c>
      <c r="M1334" s="1593" t="s">
        <v>1025</v>
      </c>
      <c r="Q1334" s="196"/>
      <c r="R1334" s="248"/>
      <c r="T1334" s="50"/>
      <c r="U1334" s="50"/>
      <c r="V1334" s="2177"/>
      <c r="W1334" s="1326">
        <v>37200</v>
      </c>
      <c r="X1334" s="1326">
        <v>37200</v>
      </c>
      <c r="Y1334" s="1326">
        <v>37200</v>
      </c>
      <c r="Z1334" s="1326">
        <v>37200</v>
      </c>
      <c r="AA1334" s="1326">
        <v>37200</v>
      </c>
      <c r="AB1334" s="1326">
        <v>37200</v>
      </c>
      <c r="AC1334" s="790">
        <f>AC1333</f>
        <v>43200</v>
      </c>
      <c r="AD1334" s="790">
        <v>49058.823529411762</v>
      </c>
      <c r="AE1334" s="928">
        <v>43304.34782608696</v>
      </c>
      <c r="AF1334" s="258">
        <f t="shared" si="205"/>
        <v>43047.619047619046</v>
      </c>
      <c r="AG1334" s="1326"/>
      <c r="DG1334" s="555"/>
      <c r="DH1334" s="151"/>
      <c r="DI1334" s="1049"/>
      <c r="DJ1334" s="1127"/>
    </row>
    <row r="1335" spans="1:114" ht="15" hidden="1" customHeight="1" outlineLevel="1" x14ac:dyDescent="0.25">
      <c r="A1335" s="442"/>
      <c r="C1335" s="49"/>
      <c r="D1335" s="2177"/>
      <c r="E1335" s="2177"/>
      <c r="F1335" s="2176" t="str">
        <f>$E$841</f>
        <v>ASHP-SEER19-Replace_CAC_NonElectricHeat_ER1_SF</v>
      </c>
      <c r="G1335" s="2176"/>
      <c r="H1335" s="2176"/>
      <c r="I1335" s="2176"/>
      <c r="J1335" s="986" t="str">
        <f>$C$841</f>
        <v>354410_2024_12_</v>
      </c>
      <c r="K1335" s="1589">
        <f t="shared" ref="K1335:K1336" si="208">$K$1333</f>
        <v>43047.619047619046</v>
      </c>
      <c r="L1335" s="904">
        <f t="shared" si="207"/>
        <v>3.587301587301587</v>
      </c>
      <c r="M1335" s="1593" t="s">
        <v>1025</v>
      </c>
      <c r="Q1335" s="196"/>
      <c r="R1335" s="248"/>
      <c r="T1335" s="50"/>
      <c r="U1335" s="50"/>
      <c r="V1335" s="2177"/>
      <c r="W1335" s="1326"/>
      <c r="X1335" s="1326"/>
      <c r="Y1335" s="1326"/>
      <c r="Z1335" s="1326"/>
      <c r="AA1335" s="1326"/>
      <c r="AB1335" s="1326"/>
      <c r="AC1335" s="790">
        <v>43200</v>
      </c>
      <c r="AD1335" s="766">
        <v>43200</v>
      </c>
      <c r="AE1335" s="1064">
        <v>43304.34782608696</v>
      </c>
      <c r="AF1335" s="258">
        <f t="shared" si="205"/>
        <v>43047.619047619046</v>
      </c>
      <c r="AG1335" s="1326"/>
      <c r="DG1335" s="555"/>
      <c r="DH1335" s="151"/>
      <c r="DI1335" s="1049"/>
      <c r="DJ1335" s="1127"/>
    </row>
    <row r="1336" spans="1:114" ht="15" hidden="1" customHeight="1" outlineLevel="1" x14ac:dyDescent="0.25">
      <c r="A1336" s="442"/>
      <c r="C1336" s="49"/>
      <c r="D1336" s="2177"/>
      <c r="E1336" s="2177"/>
      <c r="F1336" s="2176" t="str">
        <f>$E$843</f>
        <v>ASHP-SEER19-Replace_CAC_NonElectricHeat_ER2_SF</v>
      </c>
      <c r="G1336" s="2176"/>
      <c r="H1336" s="2176"/>
      <c r="I1336" s="2176"/>
      <c r="J1336" s="986" t="str">
        <f>$C$843</f>
        <v>354410_2024_12_</v>
      </c>
      <c r="K1336" s="1589">
        <f t="shared" si="208"/>
        <v>43047.619047619046</v>
      </c>
      <c r="L1336" s="904">
        <f t="shared" si="207"/>
        <v>3.587301587301587</v>
      </c>
      <c r="M1336" s="1593" t="s">
        <v>1025</v>
      </c>
      <c r="Q1336" s="196"/>
      <c r="R1336" s="248"/>
      <c r="T1336" s="50"/>
      <c r="U1336" s="50"/>
      <c r="V1336" s="2177"/>
      <c r="W1336" s="1326"/>
      <c r="X1336" s="1326"/>
      <c r="Y1336" s="1326"/>
      <c r="Z1336" s="1326"/>
      <c r="AA1336" s="1326"/>
      <c r="AB1336" s="1326"/>
      <c r="AC1336" s="790">
        <f>AC1335</f>
        <v>43200</v>
      </c>
      <c r="AD1336" s="766">
        <v>43200</v>
      </c>
      <c r="AE1336" s="1064">
        <v>43304.34782608696</v>
      </c>
      <c r="AF1336" s="258">
        <f t="shared" si="205"/>
        <v>43047.619047619046</v>
      </c>
      <c r="AG1336" s="1326"/>
      <c r="DG1336" s="555"/>
      <c r="DH1336" s="151"/>
      <c r="DI1336" s="1049"/>
      <c r="DJ1336" s="1127"/>
    </row>
    <row r="1337" spans="1:114" ht="15" hidden="1" customHeight="1" outlineLevel="1" x14ac:dyDescent="0.25">
      <c r="A1337" s="442"/>
      <c r="C1337" s="49"/>
      <c r="D1337" s="2177"/>
      <c r="E1337" s="2177"/>
      <c r="F1337" s="2176" t="str">
        <f>$E$845</f>
        <v>ASHP-SEER19-Replace_CAC_ElectricHeat_ER1_MF</v>
      </c>
      <c r="G1337" s="2176"/>
      <c r="H1337" s="2176"/>
      <c r="I1337" s="2176"/>
      <c r="J1337" s="986" t="str">
        <f>$C$845</f>
        <v>354450_2024_12_</v>
      </c>
      <c r="K1337" s="1590">
        <v>37200</v>
      </c>
      <c r="L1337" s="904">
        <f t="shared" si="207"/>
        <v>3.1</v>
      </c>
      <c r="M1337" s="1577" t="s">
        <v>1112</v>
      </c>
      <c r="Q1337" s="196"/>
      <c r="R1337" s="248"/>
      <c r="T1337" s="50"/>
      <c r="U1337" s="50"/>
      <c r="V1337" s="2177"/>
      <c r="W1337" s="1326">
        <v>37200</v>
      </c>
      <c r="X1337" s="1326">
        <v>37200</v>
      </c>
      <c r="Y1337" s="1326">
        <v>37200</v>
      </c>
      <c r="Z1337" s="1326">
        <v>37200</v>
      </c>
      <c r="AA1337" s="1326">
        <v>37200</v>
      </c>
      <c r="AB1337" s="1326">
        <v>37200</v>
      </c>
      <c r="AC1337" s="766">
        <v>37200</v>
      </c>
      <c r="AD1337" s="766">
        <v>37200</v>
      </c>
      <c r="AE1337" s="929">
        <v>37200</v>
      </c>
      <c r="AF1337" s="258">
        <f t="shared" si="205"/>
        <v>37200</v>
      </c>
      <c r="AG1337" s="1326"/>
      <c r="DG1337" s="555"/>
      <c r="DH1337" s="151"/>
      <c r="DI1337" s="1049"/>
      <c r="DJ1337" s="1127"/>
    </row>
    <row r="1338" spans="1:114" ht="15" hidden="1" customHeight="1" outlineLevel="1" x14ac:dyDescent="0.25">
      <c r="A1338" s="442"/>
      <c r="C1338" s="49"/>
      <c r="D1338" s="2177"/>
      <c r="E1338" s="2177"/>
      <c r="F1338" s="2176" t="str">
        <f>$E$847</f>
        <v>ASHP-SEER19-Replace_CAC_ElectricHeat_ER2_MF</v>
      </c>
      <c r="G1338" s="2176"/>
      <c r="H1338" s="2176"/>
      <c r="I1338" s="2176"/>
      <c r="J1338" s="986" t="str">
        <f>$C$847</f>
        <v>354450_2024_12_</v>
      </c>
      <c r="K1338" s="1590">
        <v>37200</v>
      </c>
      <c r="L1338" s="904">
        <f t="shared" si="207"/>
        <v>3.1</v>
      </c>
      <c r="M1338" s="1577" t="s">
        <v>1112</v>
      </c>
      <c r="Q1338" s="196"/>
      <c r="R1338" s="248"/>
      <c r="T1338" s="50"/>
      <c r="U1338" s="50"/>
      <c r="V1338" s="2177"/>
      <c r="W1338" s="1326">
        <v>37200</v>
      </c>
      <c r="X1338" s="1326">
        <v>37200</v>
      </c>
      <c r="Y1338" s="1326">
        <v>37200</v>
      </c>
      <c r="Z1338" s="1326">
        <v>37200</v>
      </c>
      <c r="AA1338" s="1326">
        <v>37200</v>
      </c>
      <c r="AB1338" s="1326">
        <v>37200</v>
      </c>
      <c r="AC1338" s="766">
        <v>37200</v>
      </c>
      <c r="AD1338" s="766">
        <v>37200</v>
      </c>
      <c r="AE1338" s="929">
        <v>37200</v>
      </c>
      <c r="AF1338" s="258">
        <f t="shared" si="205"/>
        <v>37200</v>
      </c>
      <c r="AG1338" s="1326"/>
      <c r="DG1338" s="555"/>
      <c r="DH1338" s="151"/>
      <c r="DI1338" s="1049"/>
      <c r="DJ1338" s="1127"/>
    </row>
    <row r="1339" spans="1:114" ht="15" hidden="1" customHeight="1" outlineLevel="1" x14ac:dyDescent="0.25">
      <c r="A1339" s="442"/>
      <c r="C1339" s="49"/>
      <c r="D1339" s="2177"/>
      <c r="E1339" s="2177"/>
      <c r="F1339" s="2176" t="str">
        <f>$E$849</f>
        <v>ASHP-SEER19_ER1_MF</v>
      </c>
      <c r="G1339" s="2176"/>
      <c r="H1339" s="2176"/>
      <c r="I1339" s="2176"/>
      <c r="J1339" s="986" t="str">
        <f>$C$849</f>
        <v>354500_2024_12_</v>
      </c>
      <c r="K1339" s="1590">
        <v>39600</v>
      </c>
      <c r="L1339" s="904">
        <f t="shared" si="207"/>
        <v>3.3</v>
      </c>
      <c r="M1339" s="1577" t="s">
        <v>1112</v>
      </c>
      <c r="Q1339" s="196"/>
      <c r="R1339" s="248"/>
      <c r="T1339" s="50"/>
      <c r="U1339" s="50"/>
      <c r="V1339" s="2177"/>
      <c r="W1339" s="1326">
        <v>39600</v>
      </c>
      <c r="X1339" s="1326">
        <v>39600</v>
      </c>
      <c r="Y1339" s="1326">
        <v>39600</v>
      </c>
      <c r="Z1339" s="1326">
        <v>39600</v>
      </c>
      <c r="AA1339" s="1326">
        <v>39600</v>
      </c>
      <c r="AB1339" s="1326">
        <v>39600</v>
      </c>
      <c r="AC1339" s="766">
        <v>39600</v>
      </c>
      <c r="AD1339" s="766">
        <v>39600</v>
      </c>
      <c r="AE1339" s="929">
        <v>39600</v>
      </c>
      <c r="AF1339" s="258">
        <f t="shared" si="205"/>
        <v>39600</v>
      </c>
      <c r="AG1339" s="1326"/>
      <c r="DG1339" s="555"/>
      <c r="DH1339" s="151"/>
      <c r="DI1339" s="1049"/>
      <c r="DJ1339" s="1127"/>
    </row>
    <row r="1340" spans="1:114" ht="15" hidden="1" customHeight="1" outlineLevel="1" x14ac:dyDescent="0.25">
      <c r="A1340" s="442"/>
      <c r="C1340" s="49"/>
      <c r="D1340" s="2177"/>
      <c r="E1340" s="2177"/>
      <c r="F1340" s="2176" t="str">
        <f>$E$851</f>
        <v>ASHP-SEER19_ER2_MF</v>
      </c>
      <c r="G1340" s="2176"/>
      <c r="H1340" s="2176"/>
      <c r="I1340" s="2176"/>
      <c r="J1340" s="986" t="str">
        <f>$C$851</f>
        <v>354500_2024_12_</v>
      </c>
      <c r="K1340" s="1590">
        <v>39600</v>
      </c>
      <c r="L1340" s="904">
        <f t="shared" si="207"/>
        <v>3.3</v>
      </c>
      <c r="M1340" s="1577" t="s">
        <v>1112</v>
      </c>
      <c r="Q1340" s="196"/>
      <c r="R1340" s="248"/>
      <c r="T1340" s="50"/>
      <c r="U1340" s="50"/>
      <c r="V1340" s="2177"/>
      <c r="W1340" s="1326">
        <v>39600</v>
      </c>
      <c r="X1340" s="1326">
        <v>39600</v>
      </c>
      <c r="Y1340" s="1326">
        <v>39600</v>
      </c>
      <c r="Z1340" s="1326">
        <v>39600</v>
      </c>
      <c r="AA1340" s="1326">
        <v>39600</v>
      </c>
      <c r="AB1340" s="1326">
        <v>39600</v>
      </c>
      <c r="AC1340" s="766">
        <v>39600</v>
      </c>
      <c r="AD1340" s="766">
        <v>39600</v>
      </c>
      <c r="AE1340" s="929">
        <v>39600</v>
      </c>
      <c r="AF1340" s="258">
        <f t="shared" si="205"/>
        <v>39600</v>
      </c>
      <c r="AG1340" s="1326"/>
      <c r="DG1340" s="555"/>
      <c r="DH1340" s="151"/>
      <c r="DI1340" s="1049"/>
      <c r="DJ1340" s="1127"/>
    </row>
    <row r="1341" spans="1:114" ht="15" hidden="1" customHeight="1" outlineLevel="1" x14ac:dyDescent="0.25">
      <c r="A1341" s="442"/>
      <c r="C1341" s="49"/>
      <c r="D1341" s="2177"/>
      <c r="E1341" s="2177"/>
      <c r="F1341" s="2176" t="str">
        <f>$E$853</f>
        <v>ASHP-SEER20_ER1_SF</v>
      </c>
      <c r="G1341" s="2176"/>
      <c r="H1341" s="2176"/>
      <c r="I1341" s="2176"/>
      <c r="J1341" s="986" t="str">
        <f>$C$853</f>
        <v>354550_2024_12_</v>
      </c>
      <c r="K1341" s="1589">
        <v>35275.324675324671</v>
      </c>
      <c r="L1341" s="904">
        <f t="shared" si="207"/>
        <v>2.9396103896103893</v>
      </c>
      <c r="M1341" s="1593" t="s">
        <v>1025</v>
      </c>
      <c r="Q1341" s="196"/>
      <c r="R1341" s="248"/>
      <c r="T1341" s="50"/>
      <c r="U1341" s="50"/>
      <c r="V1341" s="2177"/>
      <c r="W1341" s="1326">
        <v>39600</v>
      </c>
      <c r="X1341" s="1326">
        <v>39600</v>
      </c>
      <c r="Y1341" s="1326">
        <v>39600</v>
      </c>
      <c r="Z1341" s="1326">
        <v>39600</v>
      </c>
      <c r="AA1341" s="1326">
        <v>39600</v>
      </c>
      <c r="AB1341" s="1326">
        <v>39600</v>
      </c>
      <c r="AC1341" s="790">
        <v>60000</v>
      </c>
      <c r="AD1341" s="790">
        <v>36754.666666666664</v>
      </c>
      <c r="AE1341" s="928">
        <v>38333.333333333336</v>
      </c>
      <c r="AF1341" s="258">
        <f t="shared" si="205"/>
        <v>35275.324675324671</v>
      </c>
      <c r="AG1341" s="1326"/>
      <c r="DG1341" s="555"/>
      <c r="DH1341" s="151"/>
      <c r="DI1341" s="1049"/>
      <c r="DJ1341" s="1127"/>
    </row>
    <row r="1342" spans="1:114" ht="15" hidden="1" customHeight="1" outlineLevel="1" x14ac:dyDescent="0.25">
      <c r="A1342" s="442"/>
      <c r="C1342" s="49"/>
      <c r="D1342" s="2177"/>
      <c r="E1342" s="2177"/>
      <c r="F1342" s="2176" t="str">
        <f>$E$855</f>
        <v>ASHP-SEER20_ER2_SF</v>
      </c>
      <c r="G1342" s="2176"/>
      <c r="H1342" s="2176"/>
      <c r="I1342" s="2176"/>
      <c r="J1342" s="986" t="str">
        <f>$C$855</f>
        <v>354550_2024_12_</v>
      </c>
      <c r="K1342" s="1589">
        <v>35275.324675324671</v>
      </c>
      <c r="L1342" s="904">
        <f t="shared" si="207"/>
        <v>2.9396103896103893</v>
      </c>
      <c r="M1342" s="1593" t="s">
        <v>1025</v>
      </c>
      <c r="Q1342" s="196"/>
      <c r="R1342" s="248"/>
      <c r="T1342" s="50"/>
      <c r="U1342" s="50"/>
      <c r="V1342" s="2177"/>
      <c r="W1342" s="1326">
        <v>39600</v>
      </c>
      <c r="X1342" s="1326">
        <v>39600</v>
      </c>
      <c r="Y1342" s="1326">
        <v>39600</v>
      </c>
      <c r="Z1342" s="1326">
        <v>39600</v>
      </c>
      <c r="AA1342" s="1326">
        <v>39600</v>
      </c>
      <c r="AB1342" s="1326">
        <v>39600</v>
      </c>
      <c r="AC1342" s="790">
        <f>AC1341</f>
        <v>60000</v>
      </c>
      <c r="AD1342" s="790">
        <v>36754.666666666664</v>
      </c>
      <c r="AE1342" s="928">
        <v>38333.333333333336</v>
      </c>
      <c r="AF1342" s="258">
        <f t="shared" si="205"/>
        <v>35275.324675324671</v>
      </c>
      <c r="AG1342" s="1326"/>
      <c r="DG1342" s="555"/>
      <c r="DH1342" s="151"/>
      <c r="DI1342" s="1049"/>
      <c r="DJ1342" s="1127"/>
    </row>
    <row r="1343" spans="1:114" ht="15" hidden="1" customHeight="1" outlineLevel="1" x14ac:dyDescent="0.25">
      <c r="A1343" s="442"/>
      <c r="C1343" s="49"/>
      <c r="D1343" s="2177"/>
      <c r="E1343" s="2177"/>
      <c r="F1343" s="2176" t="str">
        <f>$E$857</f>
        <v>ASHP-SEER20_ROF_SF</v>
      </c>
      <c r="G1343" s="2176"/>
      <c r="H1343" s="2176"/>
      <c r="I1343" s="2176"/>
      <c r="J1343" s="986" t="str">
        <f>$C$857</f>
        <v>354600_2024_12_</v>
      </c>
      <c r="K1343" s="1589">
        <v>38142.857142857138</v>
      </c>
      <c r="L1343" s="904">
        <f t="shared" si="207"/>
        <v>3.1785714285714279</v>
      </c>
      <c r="M1343" s="1576" t="s">
        <v>1026</v>
      </c>
      <c r="Q1343" s="196"/>
      <c r="R1343" s="248"/>
      <c r="T1343" s="50"/>
      <c r="U1343" s="50"/>
      <c r="V1343" s="2177"/>
      <c r="W1343" s="1326">
        <v>39600</v>
      </c>
      <c r="X1343" s="1326">
        <v>39600</v>
      </c>
      <c r="Y1343" s="1326">
        <v>39600</v>
      </c>
      <c r="Z1343" s="1326">
        <v>39600</v>
      </c>
      <c r="AA1343" s="1326">
        <v>39600</v>
      </c>
      <c r="AB1343" s="1326">
        <v>39600</v>
      </c>
      <c r="AC1343" s="790">
        <v>36000</v>
      </c>
      <c r="AD1343" s="790">
        <v>38142.857142857138</v>
      </c>
      <c r="AE1343" s="990">
        <v>38142.857142857138</v>
      </c>
      <c r="AF1343" s="258">
        <f t="shared" si="205"/>
        <v>38142.857142857138</v>
      </c>
      <c r="AG1343" s="1326"/>
      <c r="DG1343" s="555"/>
      <c r="DH1343" s="151"/>
      <c r="DI1343" s="1049"/>
      <c r="DJ1343" s="1127"/>
    </row>
    <row r="1344" spans="1:114" ht="15" hidden="1" customHeight="1" outlineLevel="1" x14ac:dyDescent="0.25">
      <c r="A1344" s="442"/>
      <c r="C1344" s="49"/>
      <c r="D1344" s="2177"/>
      <c r="E1344" s="2177"/>
      <c r="F1344" s="2176" t="str">
        <f>$E$859</f>
        <v>ASHP-SEER20-Replace_CAC_ElectricHeat_ER1_MF</v>
      </c>
      <c r="G1344" s="2176"/>
      <c r="H1344" s="2176"/>
      <c r="I1344" s="2176"/>
      <c r="J1344" s="986" t="str">
        <f>$C$859</f>
        <v>354650_2024_12_</v>
      </c>
      <c r="K1344" s="1590">
        <v>37200</v>
      </c>
      <c r="L1344" s="904">
        <f t="shared" si="207"/>
        <v>3.1</v>
      </c>
      <c r="M1344" s="1577" t="s">
        <v>1112</v>
      </c>
      <c r="Q1344" s="196"/>
      <c r="R1344" s="248"/>
      <c r="T1344" s="50"/>
      <c r="U1344" s="50"/>
      <c r="V1344" s="2177"/>
      <c r="W1344" s="1326">
        <v>37200</v>
      </c>
      <c r="X1344" s="1326">
        <v>37200</v>
      </c>
      <c r="Y1344" s="1326">
        <v>37200</v>
      </c>
      <c r="Z1344" s="1326">
        <v>37200</v>
      </c>
      <c r="AA1344" s="1326">
        <v>37200</v>
      </c>
      <c r="AB1344" s="1326">
        <v>37200</v>
      </c>
      <c r="AC1344" s="766">
        <v>37200</v>
      </c>
      <c r="AD1344" s="766">
        <v>37200</v>
      </c>
      <c r="AE1344" s="929">
        <v>37200</v>
      </c>
      <c r="AF1344" s="258">
        <f t="shared" si="205"/>
        <v>37200</v>
      </c>
      <c r="AG1344" s="1326"/>
      <c r="DG1344" s="555"/>
      <c r="DH1344" s="151"/>
      <c r="DI1344" s="1049"/>
      <c r="DJ1344" s="1127"/>
    </row>
    <row r="1345" spans="1:114" ht="15" hidden="1" customHeight="1" outlineLevel="1" x14ac:dyDescent="0.25">
      <c r="A1345" s="442"/>
      <c r="C1345" s="49"/>
      <c r="D1345" s="2177"/>
      <c r="E1345" s="2177"/>
      <c r="F1345" s="2176" t="str">
        <f>$E$861</f>
        <v>ASHP-SEER20-Replace_CAC_ElectricHeat_ER2_MF</v>
      </c>
      <c r="G1345" s="2176"/>
      <c r="H1345" s="2176"/>
      <c r="I1345" s="2176"/>
      <c r="J1345" s="986" t="str">
        <f>$C$861</f>
        <v>354650_2024_12_</v>
      </c>
      <c r="K1345" s="1590">
        <v>37200</v>
      </c>
      <c r="L1345" s="904">
        <f t="shared" si="207"/>
        <v>3.1</v>
      </c>
      <c r="M1345" s="1577" t="s">
        <v>1112</v>
      </c>
      <c r="Q1345" s="196"/>
      <c r="R1345" s="248"/>
      <c r="T1345" s="50"/>
      <c r="U1345" s="50"/>
      <c r="V1345" s="2177"/>
      <c r="W1345" s="1326">
        <v>37200</v>
      </c>
      <c r="X1345" s="1326">
        <v>37200</v>
      </c>
      <c r="Y1345" s="1326">
        <v>37200</v>
      </c>
      <c r="Z1345" s="1326">
        <v>37200</v>
      </c>
      <c r="AA1345" s="1326">
        <v>37200</v>
      </c>
      <c r="AB1345" s="1326">
        <v>37200</v>
      </c>
      <c r="AC1345" s="766">
        <v>37200</v>
      </c>
      <c r="AD1345" s="766">
        <v>37200</v>
      </c>
      <c r="AE1345" s="929">
        <v>37200</v>
      </c>
      <c r="AF1345" s="258">
        <f t="shared" si="205"/>
        <v>37200</v>
      </c>
      <c r="AG1345" s="1326"/>
      <c r="DG1345" s="555"/>
      <c r="DH1345" s="151"/>
      <c r="DI1345" s="1049"/>
      <c r="DJ1345" s="1127"/>
    </row>
    <row r="1346" spans="1:114" ht="15" hidden="1" customHeight="1" outlineLevel="1" x14ac:dyDescent="0.25">
      <c r="A1346" s="442"/>
      <c r="C1346" s="49"/>
      <c r="D1346" s="2177"/>
      <c r="E1346" s="2177"/>
      <c r="F1346" s="2176" t="str">
        <f>$E$863</f>
        <v>ASHP-SEER20_ER1_MF</v>
      </c>
      <c r="G1346" s="2176"/>
      <c r="H1346" s="2176"/>
      <c r="I1346" s="2176"/>
      <c r="J1346" s="986" t="str">
        <f>$C$863</f>
        <v>354700_2024_12_</v>
      </c>
      <c r="K1346" s="1590">
        <v>39600</v>
      </c>
      <c r="L1346" s="904">
        <f t="shared" si="207"/>
        <v>3.3</v>
      </c>
      <c r="M1346" s="1577" t="s">
        <v>1112</v>
      </c>
      <c r="Q1346" s="196"/>
      <c r="R1346" s="248"/>
      <c r="T1346" s="50"/>
      <c r="U1346" s="50"/>
      <c r="V1346" s="2177"/>
      <c r="W1346" s="1326">
        <v>39600</v>
      </c>
      <c r="X1346" s="1326">
        <v>39600</v>
      </c>
      <c r="Y1346" s="1326">
        <v>39600</v>
      </c>
      <c r="Z1346" s="1326">
        <v>39600</v>
      </c>
      <c r="AA1346" s="1326">
        <v>39600</v>
      </c>
      <c r="AB1346" s="1326">
        <v>39600</v>
      </c>
      <c r="AC1346" s="766">
        <v>39600</v>
      </c>
      <c r="AD1346" s="766">
        <v>39600</v>
      </c>
      <c r="AE1346" s="929">
        <v>39600</v>
      </c>
      <c r="AF1346" s="258">
        <f t="shared" si="205"/>
        <v>39600</v>
      </c>
      <c r="AG1346" s="1326"/>
      <c r="DG1346" s="555"/>
      <c r="DH1346" s="151"/>
      <c r="DI1346" s="1049"/>
      <c r="DJ1346" s="1127"/>
    </row>
    <row r="1347" spans="1:114" ht="15" hidden="1" customHeight="1" outlineLevel="1" x14ac:dyDescent="0.25">
      <c r="A1347" s="442"/>
      <c r="C1347" s="49"/>
      <c r="D1347" s="2177"/>
      <c r="E1347" s="2177"/>
      <c r="F1347" s="2176" t="str">
        <f>$E$865</f>
        <v>ASHP-SEER20_ER2_MF</v>
      </c>
      <c r="G1347" s="2176"/>
      <c r="H1347" s="2176"/>
      <c r="I1347" s="2176"/>
      <c r="J1347" s="986" t="str">
        <f>$C$865</f>
        <v>354700_2024_12_</v>
      </c>
      <c r="K1347" s="1590">
        <v>39600</v>
      </c>
      <c r="L1347" s="904">
        <f t="shared" si="207"/>
        <v>3.3</v>
      </c>
      <c r="M1347" s="1577" t="s">
        <v>1112</v>
      </c>
      <c r="Q1347" s="196"/>
      <c r="R1347" s="248"/>
      <c r="T1347" s="50"/>
      <c r="U1347" s="50"/>
      <c r="V1347" s="2177"/>
      <c r="W1347" s="1326">
        <v>39600</v>
      </c>
      <c r="X1347" s="1326">
        <v>39600</v>
      </c>
      <c r="Y1347" s="1326">
        <v>39600</v>
      </c>
      <c r="Z1347" s="1326">
        <v>39600</v>
      </c>
      <c r="AA1347" s="1326">
        <v>39600</v>
      </c>
      <c r="AB1347" s="1326">
        <v>39600</v>
      </c>
      <c r="AC1347" s="766">
        <v>39600</v>
      </c>
      <c r="AD1347" s="766">
        <v>39600</v>
      </c>
      <c r="AE1347" s="929">
        <v>39600</v>
      </c>
      <c r="AF1347" s="258">
        <f t="shared" si="205"/>
        <v>39600</v>
      </c>
      <c r="AG1347" s="1326"/>
      <c r="DG1347" s="555"/>
      <c r="DH1347" s="151"/>
      <c r="DI1347" s="1049"/>
      <c r="DJ1347" s="1127"/>
    </row>
    <row r="1348" spans="1:114" ht="15" hidden="1" customHeight="1" outlineLevel="1" x14ac:dyDescent="0.25">
      <c r="A1348" s="442"/>
      <c r="C1348" s="49"/>
      <c r="D1348" s="2177"/>
      <c r="E1348" s="2177"/>
      <c r="F1348" s="2176" t="str">
        <f>$E$867</f>
        <v>ASHP-SEER21_ER1_SF</v>
      </c>
      <c r="G1348" s="2176"/>
      <c r="H1348" s="2176"/>
      <c r="I1348" s="2176"/>
      <c r="J1348" s="986" t="str">
        <f>$C$867</f>
        <v>354750_2024_12_</v>
      </c>
      <c r="K1348" s="1589">
        <v>39084.507042253521</v>
      </c>
      <c r="L1348" s="904">
        <f t="shared" si="207"/>
        <v>3.2570422535211265</v>
      </c>
      <c r="M1348" s="1593" t="s">
        <v>1025</v>
      </c>
      <c r="Q1348" s="196"/>
      <c r="R1348" s="248"/>
      <c r="T1348" s="50"/>
      <c r="U1348" s="50"/>
      <c r="V1348" s="2177"/>
      <c r="W1348" s="1326">
        <v>39600</v>
      </c>
      <c r="X1348" s="1326">
        <v>39600</v>
      </c>
      <c r="Y1348" s="1326">
        <v>39600</v>
      </c>
      <c r="Z1348" s="1326">
        <v>39600</v>
      </c>
      <c r="AA1348" s="1326">
        <v>39600</v>
      </c>
      <c r="AB1348" s="1326">
        <v>39600</v>
      </c>
      <c r="AC1348" s="790">
        <v>40615.384615384617</v>
      </c>
      <c r="AD1348" s="790">
        <v>40343.181818181816</v>
      </c>
      <c r="AE1348" s="928">
        <v>40812.765957446805</v>
      </c>
      <c r="AF1348" s="258">
        <f t="shared" si="205"/>
        <v>39084.507042253521</v>
      </c>
      <c r="AG1348" s="1326"/>
      <c r="DG1348" s="555"/>
      <c r="DH1348" s="151"/>
      <c r="DI1348" s="1049"/>
      <c r="DJ1348" s="1127"/>
    </row>
    <row r="1349" spans="1:114" ht="15" hidden="1" customHeight="1" outlineLevel="1" x14ac:dyDescent="0.25">
      <c r="A1349" s="442"/>
      <c r="C1349" s="49"/>
      <c r="D1349" s="2177"/>
      <c r="E1349" s="2177"/>
      <c r="F1349" s="2176" t="str">
        <f>$E$869</f>
        <v>ASHP-SEER21_ER2_SF</v>
      </c>
      <c r="G1349" s="2176"/>
      <c r="H1349" s="2176"/>
      <c r="I1349" s="2176"/>
      <c r="J1349" s="986" t="str">
        <f>$C$869</f>
        <v>354750_2024_12_</v>
      </c>
      <c r="K1349" s="1589">
        <v>39084.507042253521</v>
      </c>
      <c r="L1349" s="904">
        <f t="shared" si="207"/>
        <v>3.2570422535211265</v>
      </c>
      <c r="M1349" s="1593" t="s">
        <v>1025</v>
      </c>
      <c r="Q1349" s="196"/>
      <c r="R1349" s="248"/>
      <c r="T1349" s="50"/>
      <c r="U1349" s="50"/>
      <c r="V1349" s="2177"/>
      <c r="W1349" s="1326">
        <v>39600</v>
      </c>
      <c r="X1349" s="1326">
        <v>39600</v>
      </c>
      <c r="Y1349" s="1326">
        <v>39600</v>
      </c>
      <c r="Z1349" s="1326">
        <v>39600</v>
      </c>
      <c r="AA1349" s="1326">
        <v>39600</v>
      </c>
      <c r="AB1349" s="1326">
        <v>39600</v>
      </c>
      <c r="AC1349" s="790">
        <f>AC1348</f>
        <v>40615.384615384617</v>
      </c>
      <c r="AD1349" s="790">
        <v>40343.181818181816</v>
      </c>
      <c r="AE1349" s="928">
        <v>40812.765957446805</v>
      </c>
      <c r="AF1349" s="258">
        <f t="shared" si="205"/>
        <v>39084.507042253521</v>
      </c>
      <c r="AG1349" s="1326"/>
      <c r="DG1349" s="555"/>
      <c r="DH1349" s="151"/>
      <c r="DI1349" s="1049"/>
      <c r="DJ1349" s="1127"/>
    </row>
    <row r="1350" spans="1:114" ht="15" hidden="1" customHeight="1" outlineLevel="1" x14ac:dyDescent="0.25">
      <c r="A1350" s="442"/>
      <c r="C1350" s="49"/>
      <c r="D1350" s="2177"/>
      <c r="E1350" s="2177"/>
      <c r="F1350" s="2176" t="str">
        <f>$E$871</f>
        <v>ASHP-SEER21_ROF_SF</v>
      </c>
      <c r="G1350" s="2176"/>
      <c r="H1350" s="2176"/>
      <c r="I1350" s="2176"/>
      <c r="J1350" s="986" t="str">
        <f>$C$871</f>
        <v>354800_2024_12_</v>
      </c>
      <c r="K1350" s="1589">
        <v>39473.684210526313</v>
      </c>
      <c r="L1350" s="904">
        <f t="shared" si="207"/>
        <v>3.2894736842105261</v>
      </c>
      <c r="M1350" s="1593" t="s">
        <v>1025</v>
      </c>
      <c r="Q1350" s="196"/>
      <c r="R1350" s="248"/>
      <c r="T1350" s="50"/>
      <c r="U1350" s="50"/>
      <c r="V1350" s="2177"/>
      <c r="W1350" s="1326">
        <v>39600</v>
      </c>
      <c r="X1350" s="1326">
        <v>39600</v>
      </c>
      <c r="Y1350" s="1326">
        <v>39600</v>
      </c>
      <c r="Z1350" s="1326">
        <v>39600</v>
      </c>
      <c r="AA1350" s="1326">
        <v>39600</v>
      </c>
      <c r="AB1350" s="1326">
        <v>39600</v>
      </c>
      <c r="AC1350" s="790">
        <v>46500</v>
      </c>
      <c r="AD1350" s="790">
        <v>42375</v>
      </c>
      <c r="AE1350" s="928">
        <v>45272.727272727272</v>
      </c>
      <c r="AF1350" s="258">
        <f t="shared" si="205"/>
        <v>39473.684210526313</v>
      </c>
      <c r="AG1350" s="1326"/>
      <c r="DG1350" s="555"/>
      <c r="DH1350" s="151"/>
      <c r="DI1350" s="1049"/>
      <c r="DJ1350" s="1127"/>
    </row>
    <row r="1351" spans="1:114" ht="15" hidden="1" customHeight="1" outlineLevel="1" x14ac:dyDescent="0.25">
      <c r="A1351" s="442"/>
      <c r="C1351" s="49"/>
      <c r="D1351" s="2177"/>
      <c r="E1351" s="2177"/>
      <c r="F1351" s="2176" t="str">
        <f>$E$873</f>
        <v>ASHP-SEER21-Replace_CAC_ElectricHeat_ROF_MF</v>
      </c>
      <c r="G1351" s="2176"/>
      <c r="H1351" s="2176"/>
      <c r="I1351" s="2176"/>
      <c r="J1351" s="986" t="str">
        <f>$C$873</f>
        <v>354850_2024_12_</v>
      </c>
      <c r="K1351" s="1590">
        <v>33600</v>
      </c>
      <c r="L1351" s="904">
        <f t="shared" si="207"/>
        <v>2.8</v>
      </c>
      <c r="M1351" s="1577" t="s">
        <v>1112</v>
      </c>
      <c r="Q1351" s="196"/>
      <c r="R1351" s="248"/>
      <c r="T1351" s="50"/>
      <c r="U1351" s="50"/>
      <c r="V1351" s="2177"/>
      <c r="W1351" s="1326">
        <v>33600</v>
      </c>
      <c r="X1351" s="1326">
        <v>33600</v>
      </c>
      <c r="Y1351" s="1326">
        <v>33600</v>
      </c>
      <c r="Z1351" s="1326">
        <v>33600</v>
      </c>
      <c r="AA1351" s="1326">
        <v>33600</v>
      </c>
      <c r="AB1351" s="1326">
        <v>33600</v>
      </c>
      <c r="AC1351" s="766">
        <v>33600</v>
      </c>
      <c r="AD1351" s="766">
        <v>33600</v>
      </c>
      <c r="AE1351" s="929">
        <v>33600</v>
      </c>
      <c r="AF1351" s="258">
        <f t="shared" si="205"/>
        <v>33600</v>
      </c>
      <c r="AG1351" s="1326"/>
      <c r="DG1351" s="555"/>
      <c r="DH1351" s="151"/>
      <c r="DI1351" s="1049"/>
      <c r="DJ1351" s="1127"/>
    </row>
    <row r="1352" spans="1:114" ht="15" hidden="1" customHeight="1" outlineLevel="1" x14ac:dyDescent="0.25">
      <c r="A1352" s="442"/>
      <c r="C1352" s="49"/>
      <c r="D1352" s="2177"/>
      <c r="E1352" s="2177"/>
      <c r="F1352" s="2176" t="str">
        <f>$E$875</f>
        <v>ASHP-SEER21_ER1_MF</v>
      </c>
      <c r="G1352" s="2176"/>
      <c r="H1352" s="2176"/>
      <c r="I1352" s="2176"/>
      <c r="J1352" s="986" t="str">
        <f>$C$875</f>
        <v>354900_2024_12_</v>
      </c>
      <c r="K1352" s="1590">
        <v>39600</v>
      </c>
      <c r="L1352" s="904">
        <f t="shared" ref="L1352:L1358" si="209">K1352/12000</f>
        <v>3.3</v>
      </c>
      <c r="M1352" s="1577" t="s">
        <v>1112</v>
      </c>
      <c r="Q1352" s="196"/>
      <c r="R1352" s="248"/>
      <c r="T1352" s="50"/>
      <c r="U1352" s="50"/>
      <c r="V1352" s="2177"/>
      <c r="W1352" s="1326">
        <v>39600</v>
      </c>
      <c r="X1352" s="1326">
        <v>39600</v>
      </c>
      <c r="Y1352" s="1326">
        <v>39600</v>
      </c>
      <c r="Z1352" s="1326">
        <v>39600</v>
      </c>
      <c r="AA1352" s="1326">
        <v>39600</v>
      </c>
      <c r="AB1352" s="1326">
        <v>39600</v>
      </c>
      <c r="AC1352" s="766">
        <v>39600</v>
      </c>
      <c r="AD1352" s="766">
        <v>39600</v>
      </c>
      <c r="AE1352" s="929">
        <v>39600</v>
      </c>
      <c r="AF1352" s="258">
        <f t="shared" si="205"/>
        <v>39600</v>
      </c>
      <c r="AG1352" s="1326"/>
      <c r="DG1352" s="555"/>
      <c r="DH1352" s="151"/>
      <c r="DI1352" s="1049"/>
      <c r="DJ1352" s="1127"/>
    </row>
    <row r="1353" spans="1:114" ht="15" hidden="1" customHeight="1" outlineLevel="1" x14ac:dyDescent="0.25">
      <c r="A1353" s="442"/>
      <c r="C1353" s="49"/>
      <c r="D1353" s="2177"/>
      <c r="E1353" s="2177"/>
      <c r="F1353" s="2176" t="str">
        <f>$E$877</f>
        <v>ASHP-SEER21_ER2_MF</v>
      </c>
      <c r="G1353" s="2176"/>
      <c r="H1353" s="2176"/>
      <c r="I1353" s="2176"/>
      <c r="J1353" s="986" t="str">
        <f>$C$877</f>
        <v>354900_2024_12_</v>
      </c>
      <c r="K1353" s="1590">
        <v>39600</v>
      </c>
      <c r="L1353" s="904">
        <f t="shared" si="209"/>
        <v>3.3</v>
      </c>
      <c r="M1353" s="1577" t="s">
        <v>1112</v>
      </c>
      <c r="Q1353" s="196"/>
      <c r="R1353" s="248"/>
      <c r="T1353" s="50"/>
      <c r="U1353" s="50"/>
      <c r="V1353" s="2177"/>
      <c r="W1353" s="1326">
        <v>39600</v>
      </c>
      <c r="X1353" s="1326">
        <v>39600</v>
      </c>
      <c r="Y1353" s="1326">
        <v>39600</v>
      </c>
      <c r="Z1353" s="1326">
        <v>39600</v>
      </c>
      <c r="AA1353" s="1326">
        <v>39600</v>
      </c>
      <c r="AB1353" s="1326">
        <v>39600</v>
      </c>
      <c r="AC1353" s="766">
        <v>39600</v>
      </c>
      <c r="AD1353" s="766">
        <v>39600</v>
      </c>
      <c r="AE1353" s="929">
        <v>39600</v>
      </c>
      <c r="AF1353" s="258">
        <f t="shared" si="205"/>
        <v>39600</v>
      </c>
      <c r="AG1353" s="1326"/>
      <c r="DG1353" s="555"/>
      <c r="DH1353" s="151"/>
      <c r="DI1353" s="1049"/>
      <c r="DJ1353" s="1127"/>
    </row>
    <row r="1354" spans="1:114" ht="15" hidden="1" customHeight="1" outlineLevel="1" x14ac:dyDescent="0.25">
      <c r="A1354" s="442"/>
      <c r="C1354" s="49"/>
      <c r="D1354" s="2177"/>
      <c r="E1354" s="2177"/>
      <c r="F1354" s="2176" t="str">
        <f>$E$879</f>
        <v>ASHP-SEER17_ROF_MF</v>
      </c>
      <c r="G1354" s="2176"/>
      <c r="H1354" s="2176"/>
      <c r="I1354" s="2176"/>
      <c r="J1354" s="986" t="str">
        <f>$C$879</f>
        <v>354950_2024_12_</v>
      </c>
      <c r="K1354" s="1590">
        <v>39600</v>
      </c>
      <c r="L1354" s="904">
        <f t="shared" si="209"/>
        <v>3.3</v>
      </c>
      <c r="M1354" s="1577" t="s">
        <v>1361</v>
      </c>
      <c r="P1354" s="248"/>
      <c r="Q1354" s="196"/>
      <c r="R1354" s="248"/>
      <c r="T1354" s="169"/>
      <c r="U1354" s="50"/>
      <c r="V1354" s="2177"/>
      <c r="W1354" s="1326">
        <v>39600</v>
      </c>
      <c r="X1354" s="1326">
        <v>39600</v>
      </c>
      <c r="Y1354" s="1326">
        <v>39600</v>
      </c>
      <c r="Z1354" s="1326">
        <v>39600</v>
      </c>
      <c r="AA1354" s="1326">
        <v>39600</v>
      </c>
      <c r="AB1354" s="1326">
        <v>39600</v>
      </c>
      <c r="AC1354" s="766">
        <v>39600</v>
      </c>
      <c r="AD1354" s="766">
        <v>39600</v>
      </c>
      <c r="AE1354" s="929">
        <v>39600</v>
      </c>
      <c r="AF1354" s="258">
        <f t="shared" si="205"/>
        <v>39600</v>
      </c>
      <c r="AG1354" s="1326"/>
      <c r="DG1354" s="555"/>
      <c r="DH1354" s="151"/>
      <c r="DI1354" s="1049"/>
      <c r="DJ1354" s="1127"/>
    </row>
    <row r="1355" spans="1:114" ht="15" hidden="1" customHeight="1" outlineLevel="1" x14ac:dyDescent="0.25">
      <c r="A1355" s="442"/>
      <c r="C1355" s="49"/>
      <c r="D1355" s="2177"/>
      <c r="E1355" s="2177"/>
      <c r="F1355" s="2176" t="str">
        <f>$E$881</f>
        <v>ASHP-SEER18_ROF_MF</v>
      </c>
      <c r="G1355" s="2176"/>
      <c r="H1355" s="2176"/>
      <c r="I1355" s="2176"/>
      <c r="J1355" s="986" t="str">
        <f>$C$881</f>
        <v>355000_2024_12_</v>
      </c>
      <c r="K1355" s="1590">
        <v>39600</v>
      </c>
      <c r="L1355" s="904">
        <f t="shared" si="209"/>
        <v>3.3</v>
      </c>
      <c r="M1355" s="1577" t="s">
        <v>1361</v>
      </c>
      <c r="P1355" s="248"/>
      <c r="Q1355" s="196"/>
      <c r="R1355" s="248"/>
      <c r="T1355" s="169"/>
      <c r="U1355" s="50"/>
      <c r="V1355" s="2177"/>
      <c r="W1355" s="1326">
        <v>39600</v>
      </c>
      <c r="X1355" s="1326">
        <v>39600</v>
      </c>
      <c r="Y1355" s="1326">
        <v>39600</v>
      </c>
      <c r="Z1355" s="1326">
        <v>39600</v>
      </c>
      <c r="AA1355" s="1326">
        <v>39600</v>
      </c>
      <c r="AB1355" s="1326">
        <v>39600</v>
      </c>
      <c r="AC1355" s="766">
        <v>39600</v>
      </c>
      <c r="AD1355" s="766">
        <v>39600</v>
      </c>
      <c r="AE1355" s="929">
        <v>39600</v>
      </c>
      <c r="AF1355" s="258">
        <f t="shared" si="205"/>
        <v>39600</v>
      </c>
      <c r="AG1355" s="1326"/>
      <c r="DG1355" s="555"/>
      <c r="DH1355" s="151"/>
      <c r="DI1355" s="1049"/>
      <c r="DJ1355" s="1127"/>
    </row>
    <row r="1356" spans="1:114" ht="15" hidden="1" customHeight="1" outlineLevel="1" x14ac:dyDescent="0.25">
      <c r="A1356" s="442"/>
      <c r="C1356" s="49"/>
      <c r="D1356" s="2177"/>
      <c r="E1356" s="2177"/>
      <c r="F1356" s="2176" t="str">
        <f>$E$883</f>
        <v>ASHP-SEER19_ROF_MF</v>
      </c>
      <c r="G1356" s="2176"/>
      <c r="H1356" s="2176"/>
      <c r="I1356" s="2176"/>
      <c r="J1356" s="986" t="str">
        <f>$C$883</f>
        <v>355050_2024_12_</v>
      </c>
      <c r="K1356" s="1590">
        <v>39600</v>
      </c>
      <c r="L1356" s="904">
        <f t="shared" si="209"/>
        <v>3.3</v>
      </c>
      <c r="M1356" s="1577" t="s">
        <v>1361</v>
      </c>
      <c r="Q1356" s="196"/>
      <c r="R1356" s="248"/>
      <c r="T1356" s="50"/>
      <c r="U1356" s="50"/>
      <c r="V1356" s="2177"/>
      <c r="W1356" s="1326">
        <v>39600</v>
      </c>
      <c r="X1356" s="1326">
        <v>39600</v>
      </c>
      <c r="Y1356" s="1326">
        <v>39600</v>
      </c>
      <c r="Z1356" s="1326">
        <v>39600</v>
      </c>
      <c r="AA1356" s="1326">
        <v>39600</v>
      </c>
      <c r="AB1356" s="1326">
        <v>39600</v>
      </c>
      <c r="AC1356" s="766">
        <v>39600</v>
      </c>
      <c r="AD1356" s="766">
        <v>39600</v>
      </c>
      <c r="AE1356" s="929">
        <v>39600</v>
      </c>
      <c r="AF1356" s="258">
        <f t="shared" si="205"/>
        <v>39600</v>
      </c>
      <c r="AG1356" s="1326"/>
      <c r="DG1356" s="555"/>
      <c r="DH1356" s="151"/>
      <c r="DI1356" s="1049"/>
      <c r="DJ1356" s="1127"/>
    </row>
    <row r="1357" spans="1:114" ht="15" hidden="1" customHeight="1" outlineLevel="1" x14ac:dyDescent="0.25">
      <c r="A1357" s="442"/>
      <c r="C1357" s="49"/>
      <c r="D1357" s="2177"/>
      <c r="E1357" s="2177"/>
      <c r="F1357" s="2176" t="str">
        <f>$E$885</f>
        <v>ASHP-SEER20_ROF_MF</v>
      </c>
      <c r="G1357" s="2176"/>
      <c r="H1357" s="2176"/>
      <c r="I1357" s="2176"/>
      <c r="J1357" s="986" t="str">
        <f>$C$885</f>
        <v>355100_2024_12_</v>
      </c>
      <c r="K1357" s="1590">
        <v>39600</v>
      </c>
      <c r="L1357" s="904">
        <f t="shared" si="209"/>
        <v>3.3</v>
      </c>
      <c r="M1357" s="1577" t="s">
        <v>1361</v>
      </c>
      <c r="Q1357" s="196"/>
      <c r="R1357" s="248"/>
      <c r="T1357" s="50"/>
      <c r="U1357" s="50"/>
      <c r="V1357" s="2177"/>
      <c r="W1357" s="1326">
        <v>39600</v>
      </c>
      <c r="X1357" s="1326">
        <v>39600</v>
      </c>
      <c r="Y1357" s="1326">
        <v>39600</v>
      </c>
      <c r="Z1357" s="1326">
        <v>39600</v>
      </c>
      <c r="AA1357" s="1326">
        <v>39600</v>
      </c>
      <c r="AB1357" s="1326">
        <v>39600</v>
      </c>
      <c r="AC1357" s="766">
        <v>39600</v>
      </c>
      <c r="AD1357" s="766">
        <v>39600</v>
      </c>
      <c r="AE1357" s="929">
        <v>39600</v>
      </c>
      <c r="AF1357" s="258">
        <f t="shared" ref="AF1357:AF1379" si="210">IF(K1357&lt;&gt;"",K1357,"")</f>
        <v>39600</v>
      </c>
      <c r="AG1357" s="1326"/>
      <c r="DG1357" s="555"/>
      <c r="DH1357" s="151"/>
      <c r="DI1357" s="1049"/>
      <c r="DJ1357" s="1127"/>
    </row>
    <row r="1358" spans="1:114" ht="15.75" hidden="1" customHeight="1" outlineLevel="1" x14ac:dyDescent="0.25">
      <c r="A1358" s="442"/>
      <c r="C1358" s="49"/>
      <c r="D1358" s="2177"/>
      <c r="E1358" s="2177"/>
      <c r="F1358" s="2176" t="str">
        <f>$E$887</f>
        <v>ASHP-SEER21_ROF_MF</v>
      </c>
      <c r="G1358" s="2176"/>
      <c r="H1358" s="2176"/>
      <c r="I1358" s="2176"/>
      <c r="J1358" s="986" t="str">
        <f>$C$887</f>
        <v>355150_2024_12_</v>
      </c>
      <c r="K1358" s="1590">
        <v>39600</v>
      </c>
      <c r="L1358" s="904">
        <f t="shared" si="209"/>
        <v>3.3</v>
      </c>
      <c r="M1358" s="1577" t="s">
        <v>1361</v>
      </c>
      <c r="P1358" s="248"/>
      <c r="Q1358" s="196"/>
      <c r="R1358" s="248"/>
      <c r="T1358" s="169"/>
      <c r="U1358" s="50"/>
      <c r="V1358" s="2177"/>
      <c r="W1358" s="1326">
        <v>39600</v>
      </c>
      <c r="X1358" s="1326">
        <v>39600</v>
      </c>
      <c r="Y1358" s="1326">
        <v>39600</v>
      </c>
      <c r="Z1358" s="1326">
        <v>39600</v>
      </c>
      <c r="AA1358" s="1326">
        <v>39600</v>
      </c>
      <c r="AB1358" s="1326">
        <v>39600</v>
      </c>
      <c r="AC1358" s="766">
        <v>39600</v>
      </c>
      <c r="AD1358" s="766">
        <v>39600</v>
      </c>
      <c r="AE1358" s="929">
        <v>39600</v>
      </c>
      <c r="AF1358" s="258">
        <f t="shared" si="210"/>
        <v>39600</v>
      </c>
      <c r="AG1358" s="1326"/>
      <c r="DG1358" s="555"/>
      <c r="DH1358" s="151"/>
      <c r="DI1358" s="1049"/>
      <c r="DJ1358" s="1127"/>
    </row>
    <row r="1359" spans="1:114" ht="15" hidden="1" customHeight="1" outlineLevel="1" x14ac:dyDescent="0.25">
      <c r="A1359" s="442"/>
      <c r="C1359" s="49"/>
      <c r="D1359" s="2177" t="s">
        <v>1160</v>
      </c>
      <c r="E1359" s="2177" t="s">
        <v>1161</v>
      </c>
      <c r="F1359" s="2176" t="str">
        <f>$E$709</f>
        <v>ASHP-SEER15-Replace_CAC_ElectricHeat_ER1_SF</v>
      </c>
      <c r="G1359" s="2176"/>
      <c r="H1359" s="2176"/>
      <c r="I1359" s="2176"/>
      <c r="J1359" s="986" t="str">
        <f>$C$709</f>
        <v>352300_2024_12_</v>
      </c>
      <c r="K1359" s="1616">
        <v>869</v>
      </c>
      <c r="L1359" s="12"/>
      <c r="M1359" s="2210" t="s">
        <v>1369</v>
      </c>
      <c r="P1359" s="248"/>
      <c r="Q1359" s="196"/>
      <c r="R1359" s="248"/>
      <c r="T1359" s="169"/>
      <c r="U1359" s="50"/>
      <c r="V1359" s="2177" t="s">
        <v>1160</v>
      </c>
      <c r="W1359" s="1326">
        <v>869</v>
      </c>
      <c r="X1359" s="1326">
        <v>869</v>
      </c>
      <c r="Y1359" s="1326">
        <v>869</v>
      </c>
      <c r="Z1359" s="1326">
        <v>869</v>
      </c>
      <c r="AA1359" s="1326">
        <v>869</v>
      </c>
      <c r="AB1359" s="1326">
        <v>869</v>
      </c>
      <c r="AC1359" s="1326">
        <v>869</v>
      </c>
      <c r="AD1359" s="1326">
        <v>869</v>
      </c>
      <c r="AE1359" s="1326">
        <v>869</v>
      </c>
      <c r="AF1359" s="258">
        <f t="shared" si="210"/>
        <v>869</v>
      </c>
      <c r="AG1359" s="1326"/>
      <c r="DG1359" s="555"/>
      <c r="DH1359" s="151"/>
      <c r="DI1359" s="1049"/>
      <c r="DJ1359" s="1127"/>
    </row>
    <row r="1360" spans="1:114" ht="15" hidden="1" customHeight="1" outlineLevel="1" x14ac:dyDescent="0.25">
      <c r="A1360" s="442"/>
      <c r="C1360" s="49"/>
      <c r="D1360" s="2177"/>
      <c r="E1360" s="2177"/>
      <c r="F1360" s="2176" t="str">
        <f>$E$711</f>
        <v>ASHP-SEER15-Replace_CAC_ElectricHeat_ER2_SF</v>
      </c>
      <c r="G1360" s="2176"/>
      <c r="H1360" s="2176"/>
      <c r="I1360" s="2176"/>
      <c r="J1360" s="986" t="str">
        <f>$C$711</f>
        <v>352300_2024_12_</v>
      </c>
      <c r="K1360" s="1616">
        <v>869</v>
      </c>
      <c r="L1360" s="12"/>
      <c r="M1360" s="2211"/>
      <c r="P1360" s="248"/>
      <c r="Q1360" s="196"/>
      <c r="R1360" s="248"/>
      <c r="T1360" s="169"/>
      <c r="U1360" s="50"/>
      <c r="V1360" s="2177"/>
      <c r="W1360" s="1326">
        <v>869</v>
      </c>
      <c r="X1360" s="1326">
        <v>869</v>
      </c>
      <c r="Y1360" s="1326">
        <v>869</v>
      </c>
      <c r="Z1360" s="1326">
        <v>869</v>
      </c>
      <c r="AA1360" s="1326">
        <v>869</v>
      </c>
      <c r="AB1360" s="1326">
        <v>869</v>
      </c>
      <c r="AC1360" s="1326">
        <v>869</v>
      </c>
      <c r="AD1360" s="1326">
        <v>869</v>
      </c>
      <c r="AE1360" s="1326">
        <v>869</v>
      </c>
      <c r="AF1360" s="258">
        <f t="shared" si="210"/>
        <v>869</v>
      </c>
      <c r="AG1360" s="1326"/>
      <c r="DG1360" s="555"/>
      <c r="DH1360" s="151"/>
      <c r="DI1360" s="1049"/>
      <c r="DJ1360" s="1127"/>
    </row>
    <row r="1361" spans="1:114" ht="15" hidden="1" customHeight="1" outlineLevel="1" x14ac:dyDescent="0.25">
      <c r="A1361" s="442"/>
      <c r="C1361" s="49"/>
      <c r="D1361" s="2177"/>
      <c r="E1361" s="2177"/>
      <c r="F1361" s="2176" t="str">
        <f>$E$713</f>
        <v>ASHP-SEER15-Replace_CAC_NonElectricHeat_ER1_SF</v>
      </c>
      <c r="G1361" s="2176"/>
      <c r="H1361" s="2176"/>
      <c r="I1361" s="2176"/>
      <c r="J1361" s="986" t="str">
        <f>$C$713</f>
        <v>352310_2024_12_</v>
      </c>
      <c r="K1361" s="1616">
        <v>869</v>
      </c>
      <c r="L1361" s="12"/>
      <c r="M1361" s="2211"/>
      <c r="P1361" s="248"/>
      <c r="Q1361" s="196"/>
      <c r="R1361" s="248"/>
      <c r="T1361" s="169"/>
      <c r="U1361" s="50"/>
      <c r="V1361" s="2177"/>
      <c r="W1361" s="1326"/>
      <c r="X1361" s="1326"/>
      <c r="Y1361" s="1326"/>
      <c r="Z1361" s="1326"/>
      <c r="AA1361" s="1326"/>
      <c r="AB1361" s="1326"/>
      <c r="AC1361" s="794">
        <v>869</v>
      </c>
      <c r="AD1361" s="1326">
        <v>869</v>
      </c>
      <c r="AE1361" s="1326">
        <v>869</v>
      </c>
      <c r="AF1361" s="258">
        <f t="shared" si="210"/>
        <v>869</v>
      </c>
      <c r="AG1361" s="1326"/>
      <c r="DG1361" s="555"/>
      <c r="DH1361" s="151"/>
      <c r="DI1361" s="1049"/>
      <c r="DJ1361" s="1127"/>
    </row>
    <row r="1362" spans="1:114" ht="15" hidden="1" customHeight="1" outlineLevel="1" x14ac:dyDescent="0.25">
      <c r="A1362" s="442"/>
      <c r="C1362" s="49"/>
      <c r="D1362" s="2177"/>
      <c r="E1362" s="2177"/>
      <c r="F1362" s="2176" t="str">
        <f>$E$715</f>
        <v>ASHP-SEER15-Replace_CAC_NonElectricHeat_ER2_SF</v>
      </c>
      <c r="G1362" s="2176"/>
      <c r="H1362" s="2176"/>
      <c r="I1362" s="2176"/>
      <c r="J1362" s="986" t="str">
        <f>$C$715</f>
        <v>352310_2024_12_</v>
      </c>
      <c r="K1362" s="1616">
        <v>869</v>
      </c>
      <c r="L1362" s="12"/>
      <c r="M1362" s="2211"/>
      <c r="P1362" s="248"/>
      <c r="Q1362" s="196"/>
      <c r="R1362" s="248"/>
      <c r="T1362" s="169"/>
      <c r="U1362" s="50"/>
      <c r="V1362" s="2177"/>
      <c r="W1362" s="1326"/>
      <c r="X1362" s="1326"/>
      <c r="Y1362" s="1326"/>
      <c r="Z1362" s="1326"/>
      <c r="AA1362" s="1326"/>
      <c r="AB1362" s="1326"/>
      <c r="AC1362" s="794">
        <v>869</v>
      </c>
      <c r="AD1362" s="1326">
        <v>869</v>
      </c>
      <c r="AE1362" s="1326">
        <v>869</v>
      </c>
      <c r="AF1362" s="258">
        <f t="shared" si="210"/>
        <v>869</v>
      </c>
      <c r="AG1362" s="1326"/>
      <c r="DG1362" s="555"/>
      <c r="DH1362" s="151"/>
      <c r="DI1362" s="1049"/>
      <c r="DJ1362" s="1127"/>
    </row>
    <row r="1363" spans="1:114" ht="15" hidden="1" customHeight="1" outlineLevel="1" x14ac:dyDescent="0.25">
      <c r="A1363" s="442"/>
      <c r="C1363" s="49"/>
      <c r="D1363" s="2177"/>
      <c r="E1363" s="2177"/>
      <c r="F1363" s="2176" t="str">
        <f>$E$717</f>
        <v>ASHP-SEER15_ER1_SF</v>
      </c>
      <c r="G1363" s="2176"/>
      <c r="H1363" s="2176"/>
      <c r="I1363" s="2176"/>
      <c r="J1363" s="986" t="str">
        <f>$C$717</f>
        <v>352350_2024_12_</v>
      </c>
      <c r="K1363" s="1616">
        <v>869</v>
      </c>
      <c r="L1363" s="12"/>
      <c r="M1363" s="2211"/>
      <c r="P1363" s="248"/>
      <c r="Q1363" s="196"/>
      <c r="R1363" s="248"/>
      <c r="T1363" s="169"/>
      <c r="U1363" s="50"/>
      <c r="V1363" s="2177"/>
      <c r="W1363" s="1326">
        <v>869</v>
      </c>
      <c r="X1363" s="1326">
        <v>869</v>
      </c>
      <c r="Y1363" s="1326">
        <v>869</v>
      </c>
      <c r="Z1363" s="1326">
        <v>869</v>
      </c>
      <c r="AA1363" s="1326">
        <v>869</v>
      </c>
      <c r="AB1363" s="1326">
        <v>869</v>
      </c>
      <c r="AC1363" s="1326">
        <v>869</v>
      </c>
      <c r="AD1363" s="1326">
        <v>869</v>
      </c>
      <c r="AE1363" s="1326">
        <v>869</v>
      </c>
      <c r="AF1363" s="258">
        <f t="shared" si="210"/>
        <v>869</v>
      </c>
      <c r="AG1363" s="1326"/>
      <c r="DG1363" s="555"/>
      <c r="DH1363" s="151"/>
      <c r="DI1363" s="1049"/>
      <c r="DJ1363" s="1127"/>
    </row>
    <row r="1364" spans="1:114" ht="15" hidden="1" customHeight="1" outlineLevel="1" x14ac:dyDescent="0.25">
      <c r="A1364" s="442"/>
      <c r="C1364" s="49"/>
      <c r="D1364" s="2177"/>
      <c r="E1364" s="2177"/>
      <c r="F1364" s="2176" t="str">
        <f>$E$719</f>
        <v>ASHP-SEER15_ER2_SF</v>
      </c>
      <c r="G1364" s="2176"/>
      <c r="H1364" s="2176"/>
      <c r="I1364" s="2176"/>
      <c r="J1364" s="986" t="str">
        <f>$C$719</f>
        <v>352350_2024_12_</v>
      </c>
      <c r="K1364" s="1616">
        <v>869</v>
      </c>
      <c r="L1364" s="12"/>
      <c r="M1364" s="2211"/>
      <c r="P1364" s="248"/>
      <c r="Q1364" s="196"/>
      <c r="R1364" s="248"/>
      <c r="T1364" s="169"/>
      <c r="U1364" s="50"/>
      <c r="V1364" s="2177"/>
      <c r="W1364" s="1326">
        <v>869</v>
      </c>
      <c r="X1364" s="1326">
        <v>869</v>
      </c>
      <c r="Y1364" s="1326">
        <v>869</v>
      </c>
      <c r="Z1364" s="1326">
        <v>869</v>
      </c>
      <c r="AA1364" s="1326">
        <v>869</v>
      </c>
      <c r="AB1364" s="1326">
        <v>869</v>
      </c>
      <c r="AC1364" s="1326">
        <v>869</v>
      </c>
      <c r="AD1364" s="1326">
        <v>869</v>
      </c>
      <c r="AE1364" s="1326">
        <v>869</v>
      </c>
      <c r="AF1364" s="258">
        <f t="shared" si="210"/>
        <v>869</v>
      </c>
      <c r="AG1364" s="1326"/>
      <c r="DG1364" s="555"/>
      <c r="DH1364" s="151"/>
      <c r="DI1364" s="1049"/>
      <c r="DJ1364" s="1127"/>
    </row>
    <row r="1365" spans="1:114" ht="15" hidden="1" customHeight="1" outlineLevel="1" x14ac:dyDescent="0.25">
      <c r="A1365" s="442"/>
      <c r="C1365" s="49"/>
      <c r="D1365" s="2177"/>
      <c r="E1365" s="2177"/>
      <c r="F1365" s="2176" t="str">
        <f>$E$721</f>
        <v>ASHP-SEER15-Replace_CAC_ElectricHeat_ROF_SF</v>
      </c>
      <c r="G1365" s="2176"/>
      <c r="H1365" s="2176"/>
      <c r="I1365" s="2176"/>
      <c r="J1365" s="986" t="str">
        <f>$C$721</f>
        <v>352400_2024_12_</v>
      </c>
      <c r="K1365" s="1616">
        <v>869</v>
      </c>
      <c r="L1365" s="12"/>
      <c r="M1365" s="2211"/>
      <c r="P1365" s="248"/>
      <c r="Q1365" s="248"/>
      <c r="R1365" s="248"/>
      <c r="T1365" s="169"/>
      <c r="U1365" s="50"/>
      <c r="V1365" s="2177"/>
      <c r="W1365" s="1326">
        <v>869</v>
      </c>
      <c r="X1365" s="1326">
        <v>869</v>
      </c>
      <c r="Y1365" s="1326">
        <v>869</v>
      </c>
      <c r="Z1365" s="1326">
        <v>869</v>
      </c>
      <c r="AA1365" s="1326">
        <v>869</v>
      </c>
      <c r="AB1365" s="1326">
        <v>869</v>
      </c>
      <c r="AC1365" s="1326">
        <v>869</v>
      </c>
      <c r="AD1365" s="1326">
        <v>869</v>
      </c>
      <c r="AE1365" s="1326">
        <v>869</v>
      </c>
      <c r="AF1365" s="258">
        <f t="shared" si="210"/>
        <v>869</v>
      </c>
      <c r="AG1365" s="1326"/>
      <c r="DG1365" s="555"/>
      <c r="DH1365" s="151"/>
      <c r="DI1365" s="1049"/>
      <c r="DJ1365" s="1127"/>
    </row>
    <row r="1366" spans="1:114" ht="15" hidden="1" customHeight="1" outlineLevel="1" x14ac:dyDescent="0.25">
      <c r="A1366" s="442"/>
      <c r="C1366" s="49"/>
      <c r="D1366" s="2177"/>
      <c r="E1366" s="2177"/>
      <c r="F1366" s="2176" t="str">
        <f>$E$723</f>
        <v>ASHP-SEER15-Replace_CAC_NonElectricHeat_ROF_SF</v>
      </c>
      <c r="G1366" s="2176"/>
      <c r="H1366" s="2176"/>
      <c r="I1366" s="2176"/>
      <c r="J1366" s="986" t="str">
        <f>$C$723</f>
        <v>352410_2024_12_</v>
      </c>
      <c r="K1366" s="1616">
        <v>869</v>
      </c>
      <c r="L1366" s="12"/>
      <c r="M1366" s="2211"/>
      <c r="P1366" s="248"/>
      <c r="Q1366" s="248"/>
      <c r="R1366" s="248"/>
      <c r="T1366" s="169"/>
      <c r="U1366" s="50"/>
      <c r="V1366" s="2177"/>
      <c r="W1366" s="1326"/>
      <c r="X1366" s="1326"/>
      <c r="Y1366" s="1326"/>
      <c r="Z1366" s="1326"/>
      <c r="AA1366" s="1326"/>
      <c r="AB1366" s="1326"/>
      <c r="AC1366" s="794">
        <v>869</v>
      </c>
      <c r="AD1366" s="1326">
        <v>869</v>
      </c>
      <c r="AE1366" s="1326">
        <v>869</v>
      </c>
      <c r="AF1366" s="258">
        <f t="shared" si="210"/>
        <v>869</v>
      </c>
      <c r="AG1366" s="1326"/>
      <c r="DG1366" s="555"/>
      <c r="DH1366" s="151"/>
      <c r="DI1366" s="1049"/>
      <c r="DJ1366" s="1127"/>
    </row>
    <row r="1367" spans="1:114" ht="15" hidden="1" customHeight="1" outlineLevel="1" x14ac:dyDescent="0.25">
      <c r="A1367" s="442"/>
      <c r="C1367" s="49"/>
      <c r="D1367" s="2177"/>
      <c r="E1367" s="2177"/>
      <c r="F1367" s="2176" t="str">
        <f>$E$725</f>
        <v>ASHP-SEER16-Replace_CAC_ElectricHeat_ER1_SF</v>
      </c>
      <c r="G1367" s="2176"/>
      <c r="H1367" s="2176"/>
      <c r="I1367" s="2176"/>
      <c r="J1367" s="986" t="str">
        <f>$C$725</f>
        <v>352500_2024_12_</v>
      </c>
      <c r="K1367" s="1616">
        <v>869</v>
      </c>
      <c r="L1367" s="12"/>
      <c r="M1367" s="2211"/>
      <c r="P1367" s="248"/>
      <c r="Q1367" s="248"/>
      <c r="R1367" s="248"/>
      <c r="T1367" s="169"/>
      <c r="U1367" s="50"/>
      <c r="V1367" s="2177"/>
      <c r="W1367" s="1326">
        <v>869</v>
      </c>
      <c r="X1367" s="1326">
        <v>869</v>
      </c>
      <c r="Y1367" s="1326">
        <v>869</v>
      </c>
      <c r="Z1367" s="1326">
        <v>869</v>
      </c>
      <c r="AA1367" s="1326">
        <v>869</v>
      </c>
      <c r="AB1367" s="1326">
        <v>869</v>
      </c>
      <c r="AC1367" s="1326">
        <v>869</v>
      </c>
      <c r="AD1367" s="1326">
        <v>869</v>
      </c>
      <c r="AE1367" s="1326">
        <v>869</v>
      </c>
      <c r="AF1367" s="258">
        <f t="shared" si="210"/>
        <v>869</v>
      </c>
      <c r="AG1367" s="1326"/>
      <c r="DG1367" s="555"/>
      <c r="DH1367" s="151"/>
      <c r="DI1367" s="1049"/>
      <c r="DJ1367" s="1127"/>
    </row>
    <row r="1368" spans="1:114" ht="15" hidden="1" customHeight="1" outlineLevel="1" x14ac:dyDescent="0.25">
      <c r="A1368" s="442"/>
      <c r="C1368" s="49"/>
      <c r="D1368" s="2177"/>
      <c r="E1368" s="2177"/>
      <c r="F1368" s="2176" t="str">
        <f>$E$727</f>
        <v>ASHP-SEER16-Replace_CAC_ElectricHeat_ER2_SF</v>
      </c>
      <c r="G1368" s="2176"/>
      <c r="H1368" s="2176"/>
      <c r="I1368" s="2176"/>
      <c r="J1368" s="986" t="str">
        <f>$C$727</f>
        <v>352500_2024_12_</v>
      </c>
      <c r="K1368" s="1616">
        <v>869</v>
      </c>
      <c r="L1368" s="12"/>
      <c r="M1368" s="2211"/>
      <c r="P1368" s="248"/>
      <c r="Q1368" s="248"/>
      <c r="R1368" s="248"/>
      <c r="T1368" s="169"/>
      <c r="U1368" s="50"/>
      <c r="V1368" s="2177"/>
      <c r="W1368" s="1326">
        <v>869</v>
      </c>
      <c r="X1368" s="1326">
        <v>869</v>
      </c>
      <c r="Y1368" s="1326">
        <v>869</v>
      </c>
      <c r="Z1368" s="1326">
        <v>869</v>
      </c>
      <c r="AA1368" s="1326">
        <v>869</v>
      </c>
      <c r="AB1368" s="1326">
        <v>869</v>
      </c>
      <c r="AC1368" s="1326">
        <v>869</v>
      </c>
      <c r="AD1368" s="1326">
        <v>869</v>
      </c>
      <c r="AE1368" s="1326">
        <v>869</v>
      </c>
      <c r="AF1368" s="258">
        <f t="shared" si="210"/>
        <v>869</v>
      </c>
      <c r="AG1368" s="1326"/>
      <c r="DG1368" s="555"/>
      <c r="DH1368" s="151"/>
      <c r="DI1368" s="1049"/>
      <c r="DJ1368" s="1127"/>
    </row>
    <row r="1369" spans="1:114" ht="15" hidden="1" customHeight="1" outlineLevel="1" x14ac:dyDescent="0.25">
      <c r="A1369" s="442"/>
      <c r="C1369" s="49"/>
      <c r="D1369" s="2177"/>
      <c r="E1369" s="2177"/>
      <c r="F1369" s="2176" t="str">
        <f>$E$729</f>
        <v>ASHP-SEER16-Replace_CAC_NonElectricHeat_ER1_SF</v>
      </c>
      <c r="G1369" s="2176"/>
      <c r="H1369" s="2176"/>
      <c r="I1369" s="2176"/>
      <c r="J1369" s="986" t="str">
        <f>$C$729</f>
        <v>352510_2024_12_</v>
      </c>
      <c r="K1369" s="1616">
        <v>869</v>
      </c>
      <c r="L1369" s="12"/>
      <c r="M1369" s="2211"/>
      <c r="P1369" s="248"/>
      <c r="Q1369" s="248"/>
      <c r="R1369" s="248"/>
      <c r="T1369" s="169"/>
      <c r="U1369" s="50"/>
      <c r="V1369" s="2177"/>
      <c r="W1369" s="1326"/>
      <c r="X1369" s="1326"/>
      <c r="Y1369" s="1326"/>
      <c r="Z1369" s="1326"/>
      <c r="AA1369" s="1326"/>
      <c r="AB1369" s="1326"/>
      <c r="AC1369" s="794">
        <v>869</v>
      </c>
      <c r="AD1369" s="1326">
        <v>869</v>
      </c>
      <c r="AE1369" s="1326">
        <v>869</v>
      </c>
      <c r="AF1369" s="258">
        <f t="shared" si="210"/>
        <v>869</v>
      </c>
      <c r="AG1369" s="1326"/>
      <c r="DG1369" s="555"/>
      <c r="DH1369" s="151"/>
      <c r="DI1369" s="1049"/>
      <c r="DJ1369" s="1127"/>
    </row>
    <row r="1370" spans="1:114" ht="15" hidden="1" customHeight="1" outlineLevel="1" x14ac:dyDescent="0.25">
      <c r="A1370" s="442"/>
      <c r="C1370" s="49"/>
      <c r="D1370" s="2177"/>
      <c r="E1370" s="2177"/>
      <c r="F1370" s="2176" t="str">
        <f>$E$731</f>
        <v>ASHP-SEER16-Replace_CAC_NonElectricHeat_ER2_SF</v>
      </c>
      <c r="G1370" s="2176"/>
      <c r="H1370" s="2176"/>
      <c r="I1370" s="2176"/>
      <c r="J1370" s="986" t="str">
        <f>$C$731</f>
        <v>352510_2024_12_</v>
      </c>
      <c r="K1370" s="1616">
        <v>869</v>
      </c>
      <c r="L1370" s="12"/>
      <c r="M1370" s="2211"/>
      <c r="P1370" s="248"/>
      <c r="Q1370" s="248"/>
      <c r="R1370" s="248"/>
      <c r="T1370" s="169"/>
      <c r="U1370" s="50"/>
      <c r="V1370" s="2177"/>
      <c r="W1370" s="1326"/>
      <c r="X1370" s="1326"/>
      <c r="Y1370" s="1326"/>
      <c r="Z1370" s="1326"/>
      <c r="AA1370" s="1326"/>
      <c r="AB1370" s="1326"/>
      <c r="AC1370" s="794">
        <v>869</v>
      </c>
      <c r="AD1370" s="1326">
        <v>869</v>
      </c>
      <c r="AE1370" s="1326">
        <v>869</v>
      </c>
      <c r="AF1370" s="258">
        <f t="shared" si="210"/>
        <v>869</v>
      </c>
      <c r="AG1370" s="1326"/>
      <c r="DG1370" s="555"/>
      <c r="DH1370" s="151"/>
      <c r="DI1370" s="1049"/>
      <c r="DJ1370" s="1127"/>
    </row>
    <row r="1371" spans="1:114" ht="15" hidden="1" customHeight="1" outlineLevel="1" x14ac:dyDescent="0.25">
      <c r="A1371" s="442"/>
      <c r="C1371" s="49"/>
      <c r="D1371" s="2177"/>
      <c r="E1371" s="2177"/>
      <c r="F1371" s="2176" t="str">
        <f>$E$733</f>
        <v>ASHP-SEER16_ER1_SF</v>
      </c>
      <c r="G1371" s="2176"/>
      <c r="H1371" s="2176"/>
      <c r="I1371" s="2176"/>
      <c r="J1371" s="986" t="str">
        <f>$C$733</f>
        <v>352550_2024_12_</v>
      </c>
      <c r="K1371" s="1616">
        <v>869</v>
      </c>
      <c r="L1371" s="12"/>
      <c r="M1371" s="2211"/>
      <c r="P1371" s="248"/>
      <c r="Q1371" s="248"/>
      <c r="R1371" s="248"/>
      <c r="T1371" s="169"/>
      <c r="U1371" s="50"/>
      <c r="V1371" s="2177"/>
      <c r="W1371" s="1326">
        <v>869</v>
      </c>
      <c r="X1371" s="1326">
        <v>869</v>
      </c>
      <c r="Y1371" s="1326">
        <v>869</v>
      </c>
      <c r="Z1371" s="1326">
        <v>869</v>
      </c>
      <c r="AA1371" s="1326">
        <v>869</v>
      </c>
      <c r="AB1371" s="1326">
        <v>869</v>
      </c>
      <c r="AC1371" s="1326">
        <v>869</v>
      </c>
      <c r="AD1371" s="1326">
        <v>869</v>
      </c>
      <c r="AE1371" s="1326">
        <v>869</v>
      </c>
      <c r="AF1371" s="258">
        <f t="shared" si="210"/>
        <v>869</v>
      </c>
      <c r="AG1371" s="1326"/>
      <c r="DG1371" s="555"/>
      <c r="DH1371" s="151"/>
      <c r="DI1371" s="1049"/>
      <c r="DJ1371" s="1127"/>
    </row>
    <row r="1372" spans="1:114" ht="15" hidden="1" customHeight="1" outlineLevel="1" x14ac:dyDescent="0.25">
      <c r="A1372" s="442"/>
      <c r="C1372" s="49"/>
      <c r="D1372" s="2177"/>
      <c r="E1372" s="2177"/>
      <c r="F1372" s="2176" t="str">
        <f>$E$735</f>
        <v>ASHP-SEER16_ER2_SF</v>
      </c>
      <c r="G1372" s="2176"/>
      <c r="H1372" s="2176"/>
      <c r="I1372" s="2176"/>
      <c r="J1372" s="986" t="str">
        <f>$C$735</f>
        <v>352550_2024_12_</v>
      </c>
      <c r="K1372" s="1616">
        <v>869</v>
      </c>
      <c r="L1372" s="249"/>
      <c r="M1372" s="2211"/>
      <c r="P1372" s="248"/>
      <c r="Q1372" s="248"/>
      <c r="R1372" s="248"/>
      <c r="T1372" s="169"/>
      <c r="U1372" s="50"/>
      <c r="V1372" s="2177"/>
      <c r="W1372" s="1326">
        <v>869</v>
      </c>
      <c r="X1372" s="1326">
        <v>869</v>
      </c>
      <c r="Y1372" s="1326">
        <v>869</v>
      </c>
      <c r="Z1372" s="1326">
        <v>869</v>
      </c>
      <c r="AA1372" s="1326">
        <v>869</v>
      </c>
      <c r="AB1372" s="1326">
        <v>869</v>
      </c>
      <c r="AC1372" s="1326">
        <v>869</v>
      </c>
      <c r="AD1372" s="1326">
        <v>869</v>
      </c>
      <c r="AE1372" s="1326">
        <v>869</v>
      </c>
      <c r="AF1372" s="258">
        <f t="shared" si="210"/>
        <v>869</v>
      </c>
      <c r="AG1372" s="1326"/>
      <c r="DG1372" s="555"/>
      <c r="DH1372" s="151"/>
      <c r="DI1372" s="1049"/>
      <c r="DJ1372" s="1127"/>
    </row>
    <row r="1373" spans="1:114" ht="15" hidden="1" customHeight="1" outlineLevel="1" x14ac:dyDescent="0.25">
      <c r="A1373" s="442"/>
      <c r="C1373" s="49"/>
      <c r="D1373" s="2177"/>
      <c r="E1373" s="2177"/>
      <c r="F1373" s="2176" t="str">
        <f>$E$737</f>
        <v>ASHP-SEER16-Replace_CAC_ElectricHeat_ROF_SF</v>
      </c>
      <c r="G1373" s="2176"/>
      <c r="H1373" s="2176"/>
      <c r="I1373" s="2176"/>
      <c r="J1373" s="986" t="str">
        <f>$C$737</f>
        <v>352600_2024_12_</v>
      </c>
      <c r="K1373" s="1616">
        <v>869</v>
      </c>
      <c r="L1373" s="249"/>
      <c r="M1373" s="2211"/>
      <c r="P1373" s="248"/>
      <c r="Q1373" s="248"/>
      <c r="R1373" s="248"/>
      <c r="T1373" s="169"/>
      <c r="U1373" s="50"/>
      <c r="V1373" s="2177"/>
      <c r="W1373" s="1326">
        <v>869</v>
      </c>
      <c r="X1373" s="1326">
        <v>869</v>
      </c>
      <c r="Y1373" s="1326">
        <v>869</v>
      </c>
      <c r="Z1373" s="1326">
        <v>869</v>
      </c>
      <c r="AA1373" s="1326">
        <v>869</v>
      </c>
      <c r="AB1373" s="1326">
        <v>869</v>
      </c>
      <c r="AC1373" s="1326">
        <v>869</v>
      </c>
      <c r="AD1373" s="1326">
        <v>869</v>
      </c>
      <c r="AE1373" s="1326">
        <v>869</v>
      </c>
      <c r="AF1373" s="258">
        <f t="shared" si="210"/>
        <v>869</v>
      </c>
      <c r="AG1373" s="1326"/>
      <c r="DG1373" s="555"/>
      <c r="DH1373" s="151"/>
      <c r="DI1373" s="1049"/>
      <c r="DJ1373" s="1127"/>
    </row>
    <row r="1374" spans="1:114" ht="15" hidden="1" customHeight="1" outlineLevel="1" x14ac:dyDescent="0.25">
      <c r="A1374" s="442"/>
      <c r="C1374" s="49"/>
      <c r="D1374" s="2177"/>
      <c r="E1374" s="2177"/>
      <c r="F1374" s="2176" t="str">
        <f>$E$739</f>
        <v>ASHP-SEER16-Replace_CAC_NonElectricHeat_ROF_SF</v>
      </c>
      <c r="G1374" s="2176"/>
      <c r="H1374" s="2176"/>
      <c r="I1374" s="2176"/>
      <c r="J1374" s="986" t="str">
        <f>$C$739</f>
        <v>352610_2024_12_</v>
      </c>
      <c r="K1374" s="1616">
        <v>869</v>
      </c>
      <c r="L1374" s="249"/>
      <c r="M1374" s="2211"/>
      <c r="P1374" s="248"/>
      <c r="Q1374" s="248"/>
      <c r="R1374" s="248"/>
      <c r="T1374" s="169"/>
      <c r="U1374" s="50"/>
      <c r="V1374" s="2177"/>
      <c r="W1374" s="1326"/>
      <c r="X1374" s="1326"/>
      <c r="Y1374" s="1326"/>
      <c r="Z1374" s="1326"/>
      <c r="AA1374" s="1326"/>
      <c r="AB1374" s="1326"/>
      <c r="AC1374" s="1326"/>
      <c r="AD1374" s="794">
        <v>869</v>
      </c>
      <c r="AE1374" s="1326">
        <v>869</v>
      </c>
      <c r="AF1374" s="258">
        <f t="shared" si="210"/>
        <v>869</v>
      </c>
      <c r="AG1374" s="1326"/>
      <c r="DG1374" s="555"/>
      <c r="DH1374" s="151"/>
      <c r="DI1374" s="1049"/>
      <c r="DJ1374" s="1127"/>
    </row>
    <row r="1375" spans="1:114" ht="15" hidden="1" customHeight="1" outlineLevel="1" x14ac:dyDescent="0.25">
      <c r="A1375" s="442"/>
      <c r="C1375" s="49"/>
      <c r="D1375" s="2177"/>
      <c r="E1375" s="2177"/>
      <c r="F1375" s="2176" t="str">
        <f>$E$741</f>
        <v>ASHP-SEER16_ROF_SF</v>
      </c>
      <c r="G1375" s="2176"/>
      <c r="H1375" s="2176"/>
      <c r="I1375" s="2176"/>
      <c r="J1375" s="986" t="str">
        <f>$C$741</f>
        <v>352650_2024_12_</v>
      </c>
      <c r="K1375" s="1616">
        <v>869</v>
      </c>
      <c r="L1375" s="249"/>
      <c r="M1375" s="2211"/>
      <c r="P1375" s="248"/>
      <c r="Q1375" s="248"/>
      <c r="R1375" s="248"/>
      <c r="T1375" s="169"/>
      <c r="U1375" s="50"/>
      <c r="V1375" s="2177"/>
      <c r="W1375" s="1326">
        <v>869</v>
      </c>
      <c r="X1375" s="1326">
        <v>869</v>
      </c>
      <c r="Y1375" s="1326">
        <v>869</v>
      </c>
      <c r="Z1375" s="1326">
        <v>869</v>
      </c>
      <c r="AA1375" s="1326">
        <v>869</v>
      </c>
      <c r="AB1375" s="1326">
        <v>869</v>
      </c>
      <c r="AC1375" s="1326">
        <v>869</v>
      </c>
      <c r="AD1375" s="1326">
        <v>869</v>
      </c>
      <c r="AE1375" s="1326">
        <v>869</v>
      </c>
      <c r="AF1375" s="258">
        <f t="shared" si="210"/>
        <v>869</v>
      </c>
      <c r="AG1375" s="1326"/>
      <c r="DG1375" s="555"/>
      <c r="DH1375" s="151"/>
      <c r="DI1375" s="1049"/>
      <c r="DJ1375" s="1127"/>
    </row>
    <row r="1376" spans="1:114" ht="15" hidden="1" customHeight="1" outlineLevel="1" x14ac:dyDescent="0.25">
      <c r="A1376" s="442"/>
      <c r="C1376" s="49"/>
      <c r="D1376" s="2177"/>
      <c r="E1376" s="2177"/>
      <c r="F1376" s="2176" t="str">
        <f>$E$743</f>
        <v>ASHP-SEER16-Replace_CAC_ElectricHeat_ER1_MF</v>
      </c>
      <c r="G1376" s="2176"/>
      <c r="H1376" s="2176"/>
      <c r="I1376" s="2176"/>
      <c r="J1376" s="986" t="str">
        <f>$C$743</f>
        <v>353000_2024_12_</v>
      </c>
      <c r="K1376" s="1616">
        <v>869</v>
      </c>
      <c r="L1376" s="249"/>
      <c r="M1376" s="2211"/>
      <c r="P1376" s="248"/>
      <c r="Q1376" s="248"/>
      <c r="R1376" s="248"/>
      <c r="T1376" s="169"/>
      <c r="U1376" s="50"/>
      <c r="V1376" s="2177"/>
      <c r="W1376" s="1326">
        <v>869</v>
      </c>
      <c r="X1376" s="1326">
        <v>869</v>
      </c>
      <c r="Y1376" s="1326">
        <v>869</v>
      </c>
      <c r="Z1376" s="1326">
        <v>869</v>
      </c>
      <c r="AA1376" s="1326">
        <v>869</v>
      </c>
      <c r="AB1376" s="1326">
        <v>869</v>
      </c>
      <c r="AC1376" s="1326">
        <v>869</v>
      </c>
      <c r="AD1376" s="1326">
        <v>869</v>
      </c>
      <c r="AE1376" s="1326">
        <v>869</v>
      </c>
      <c r="AF1376" s="258">
        <f t="shared" si="210"/>
        <v>869</v>
      </c>
      <c r="AG1376" s="1326"/>
      <c r="DG1376" s="555"/>
      <c r="DH1376" s="151"/>
      <c r="DI1376" s="1049"/>
      <c r="DJ1376" s="1127"/>
    </row>
    <row r="1377" spans="1:114" ht="15" hidden="1" customHeight="1" outlineLevel="1" x14ac:dyDescent="0.25">
      <c r="A1377" s="442"/>
      <c r="C1377" s="49"/>
      <c r="D1377" s="2177"/>
      <c r="E1377" s="2177"/>
      <c r="F1377" s="2176" t="str">
        <f>$E$745</f>
        <v>ASHP-SEER16-Replace_CAC_ElectricHeat_ER2_MF</v>
      </c>
      <c r="G1377" s="2176"/>
      <c r="H1377" s="2176"/>
      <c r="I1377" s="2176"/>
      <c r="J1377" s="986" t="str">
        <f>$C$745</f>
        <v>353000_2024_12_</v>
      </c>
      <c r="K1377" s="1616">
        <v>869</v>
      </c>
      <c r="L1377" s="249"/>
      <c r="M1377" s="2211"/>
      <c r="P1377" s="248"/>
      <c r="Q1377" s="248"/>
      <c r="R1377" s="248"/>
      <c r="T1377" s="169"/>
      <c r="U1377" s="50"/>
      <c r="V1377" s="2177"/>
      <c r="W1377" s="1326">
        <v>869</v>
      </c>
      <c r="X1377" s="1326">
        <v>869</v>
      </c>
      <c r="Y1377" s="1326">
        <v>869</v>
      </c>
      <c r="Z1377" s="1326">
        <v>869</v>
      </c>
      <c r="AA1377" s="1326">
        <v>869</v>
      </c>
      <c r="AB1377" s="1326">
        <v>869</v>
      </c>
      <c r="AC1377" s="1326">
        <v>869</v>
      </c>
      <c r="AD1377" s="1326">
        <v>869</v>
      </c>
      <c r="AE1377" s="1326">
        <v>869</v>
      </c>
      <c r="AF1377" s="258">
        <f t="shared" si="210"/>
        <v>869</v>
      </c>
      <c r="AG1377" s="1326"/>
      <c r="DG1377" s="555"/>
      <c r="DH1377" s="151"/>
      <c r="DI1377" s="1049"/>
      <c r="DJ1377" s="1127"/>
    </row>
    <row r="1378" spans="1:114" ht="15" hidden="1" customHeight="1" outlineLevel="1" x14ac:dyDescent="0.25">
      <c r="A1378" s="442"/>
      <c r="C1378" s="49"/>
      <c r="D1378" s="2177"/>
      <c r="E1378" s="2177"/>
      <c r="F1378" s="2176" t="str">
        <f>$E$747</f>
        <v>ASHP-SEER17-Replace_CAC_ElectricHeat_ROF_SF</v>
      </c>
      <c r="G1378" s="2176"/>
      <c r="H1378" s="2176"/>
      <c r="I1378" s="2176"/>
      <c r="J1378" s="986" t="str">
        <f>$C$747</f>
        <v>353100_2024_12_</v>
      </c>
      <c r="K1378" s="1616">
        <v>869</v>
      </c>
      <c r="L1378" s="249"/>
      <c r="M1378" s="2211"/>
      <c r="P1378" s="248"/>
      <c r="Q1378" s="248"/>
      <c r="R1378" s="248"/>
      <c r="T1378" s="169"/>
      <c r="U1378" s="50"/>
      <c r="V1378" s="2177"/>
      <c r="W1378" s="1326">
        <v>869</v>
      </c>
      <c r="X1378" s="1326">
        <v>869</v>
      </c>
      <c r="Y1378" s="1326">
        <v>869</v>
      </c>
      <c r="Z1378" s="1326">
        <v>869</v>
      </c>
      <c r="AA1378" s="1326">
        <v>869</v>
      </c>
      <c r="AB1378" s="1326">
        <v>869</v>
      </c>
      <c r="AC1378" s="1326">
        <v>869</v>
      </c>
      <c r="AD1378" s="1326">
        <v>869</v>
      </c>
      <c r="AE1378" s="1326">
        <v>869</v>
      </c>
      <c r="AF1378" s="258">
        <f t="shared" si="210"/>
        <v>869</v>
      </c>
      <c r="AG1378" s="1326"/>
      <c r="DG1378" s="555"/>
      <c r="DH1378" s="151"/>
      <c r="DI1378" s="1049"/>
      <c r="DJ1378" s="1127"/>
    </row>
    <row r="1379" spans="1:114" ht="15" hidden="1" customHeight="1" outlineLevel="1" x14ac:dyDescent="0.25">
      <c r="A1379" s="442"/>
      <c r="C1379" s="49"/>
      <c r="D1379" s="2177"/>
      <c r="E1379" s="2177"/>
      <c r="F1379" s="2176" t="str">
        <f>$E$749</f>
        <v>ASHP-SEER17-Replace_CAC_NonElectricHeat_ROF_SF</v>
      </c>
      <c r="G1379" s="2176"/>
      <c r="H1379" s="2176"/>
      <c r="I1379" s="2176"/>
      <c r="J1379" s="986" t="str">
        <f>$C$749</f>
        <v>353110_2024_12_</v>
      </c>
      <c r="K1379" s="1616">
        <v>869</v>
      </c>
      <c r="L1379" s="249"/>
      <c r="M1379" s="2211"/>
      <c r="P1379" s="248"/>
      <c r="Q1379" s="248"/>
      <c r="R1379" s="248"/>
      <c r="T1379" s="169"/>
      <c r="U1379" s="50"/>
      <c r="V1379" s="2177"/>
      <c r="W1379" s="1326"/>
      <c r="X1379" s="1326"/>
      <c r="Y1379" s="1326"/>
      <c r="Z1379" s="1326"/>
      <c r="AA1379" s="1326"/>
      <c r="AB1379" s="1326"/>
      <c r="AC1379" s="1326"/>
      <c r="AD1379" s="794">
        <v>869</v>
      </c>
      <c r="AE1379" s="1326">
        <v>869</v>
      </c>
      <c r="AF1379" s="258">
        <f t="shared" si="210"/>
        <v>869</v>
      </c>
      <c r="AG1379" s="1326"/>
      <c r="DG1379" s="555"/>
      <c r="DH1379" s="151"/>
      <c r="DI1379" s="1049"/>
      <c r="DJ1379" s="1127"/>
    </row>
    <row r="1380" spans="1:114" ht="15" hidden="1" customHeight="1" outlineLevel="1" x14ac:dyDescent="0.25">
      <c r="A1380" s="442"/>
      <c r="C1380" s="49"/>
      <c r="D1380" s="2177"/>
      <c r="E1380" s="2177"/>
      <c r="F1380" s="2176" t="str">
        <f>$E$751</f>
        <v>ASHP-SEER18-Replace_CAC_ElectricHeat_ROF_SF</v>
      </c>
      <c r="G1380" s="2176"/>
      <c r="H1380" s="2176"/>
      <c r="I1380" s="2176"/>
      <c r="J1380" s="986" t="str">
        <f>$C$751</f>
        <v>353200_2024_12_</v>
      </c>
      <c r="K1380" s="1616">
        <v>869</v>
      </c>
      <c r="L1380" s="249"/>
      <c r="M1380" s="2211"/>
      <c r="P1380" s="248"/>
      <c r="Q1380" s="248"/>
      <c r="R1380" s="248"/>
      <c r="T1380" s="169"/>
      <c r="U1380" s="50"/>
      <c r="V1380" s="2177"/>
      <c r="W1380" s="1326">
        <v>869</v>
      </c>
      <c r="X1380" s="1326">
        <v>869</v>
      </c>
      <c r="Y1380" s="1326">
        <v>869</v>
      </c>
      <c r="Z1380" s="1326">
        <v>869</v>
      </c>
      <c r="AA1380" s="1326">
        <v>869</v>
      </c>
      <c r="AB1380" s="1326">
        <v>869</v>
      </c>
      <c r="AC1380" s="1326">
        <v>869</v>
      </c>
      <c r="AD1380" s="1326">
        <v>869</v>
      </c>
      <c r="AE1380" s="1326">
        <v>869</v>
      </c>
      <c r="AF1380" s="258">
        <f t="shared" ref="AF1380:AF1414" si="211">IF(K1380&lt;&gt;"",K1380,"")</f>
        <v>869</v>
      </c>
      <c r="AG1380" s="1326"/>
      <c r="DG1380" s="555"/>
      <c r="DH1380" s="151"/>
      <c r="DI1380" s="1049"/>
      <c r="DJ1380" s="1127"/>
    </row>
    <row r="1381" spans="1:114" ht="15" hidden="1" customHeight="1" outlineLevel="1" x14ac:dyDescent="0.25">
      <c r="A1381" s="442"/>
      <c r="C1381" s="49"/>
      <c r="D1381" s="2177"/>
      <c r="E1381" s="2177"/>
      <c r="F1381" s="2176" t="str">
        <f>$E$753</f>
        <v>ASHP-SEER18-Replace_CAC_NonElectricHeat_ROF_SF</v>
      </c>
      <c r="G1381" s="2176"/>
      <c r="H1381" s="2176"/>
      <c r="I1381" s="2176"/>
      <c r="J1381" s="986" t="str">
        <f>$C$753</f>
        <v>353210_2024_12_</v>
      </c>
      <c r="K1381" s="1616">
        <v>869</v>
      </c>
      <c r="L1381" s="249"/>
      <c r="M1381" s="2211"/>
      <c r="P1381" s="248"/>
      <c r="Q1381" s="248"/>
      <c r="R1381" s="248"/>
      <c r="T1381" s="169"/>
      <c r="U1381" s="50"/>
      <c r="V1381" s="2177"/>
      <c r="W1381" s="1326"/>
      <c r="X1381" s="1326"/>
      <c r="Y1381" s="1326"/>
      <c r="Z1381" s="1326"/>
      <c r="AA1381" s="1326"/>
      <c r="AB1381" s="1326"/>
      <c r="AC1381" s="1326"/>
      <c r="AD1381" s="794">
        <v>869</v>
      </c>
      <c r="AE1381" s="1326">
        <v>869</v>
      </c>
      <c r="AF1381" s="258">
        <f t="shared" si="211"/>
        <v>869</v>
      </c>
      <c r="AG1381" s="1326"/>
      <c r="DG1381" s="555"/>
      <c r="DH1381" s="151"/>
      <c r="DI1381" s="1049"/>
      <c r="DJ1381" s="1127"/>
    </row>
    <row r="1382" spans="1:114" ht="15" hidden="1" customHeight="1" outlineLevel="1" x14ac:dyDescent="0.25">
      <c r="A1382" s="442"/>
      <c r="C1382" s="49"/>
      <c r="D1382" s="2177"/>
      <c r="E1382" s="2177"/>
      <c r="F1382" s="2176" t="str">
        <f>$E$755</f>
        <v>ASHP-SEER19-Replace_CAC_ElectricHeat_ROF_SF</v>
      </c>
      <c r="G1382" s="2176"/>
      <c r="H1382" s="2176"/>
      <c r="I1382" s="2176"/>
      <c r="J1382" s="986" t="str">
        <f>$C$755</f>
        <v>353300_2024_12_</v>
      </c>
      <c r="K1382" s="1616">
        <v>869</v>
      </c>
      <c r="L1382" s="249"/>
      <c r="M1382" s="2211"/>
      <c r="P1382" s="248"/>
      <c r="Q1382" s="248"/>
      <c r="R1382" s="248"/>
      <c r="T1382" s="169"/>
      <c r="U1382" s="50"/>
      <c r="V1382" s="2177"/>
      <c r="W1382" s="1326">
        <v>869</v>
      </c>
      <c r="X1382" s="1326">
        <v>869</v>
      </c>
      <c r="Y1382" s="1326">
        <v>869</v>
      </c>
      <c r="Z1382" s="1326">
        <v>869</v>
      </c>
      <c r="AA1382" s="1326">
        <v>869</v>
      </c>
      <c r="AB1382" s="1326">
        <v>869</v>
      </c>
      <c r="AC1382" s="1326">
        <v>869</v>
      </c>
      <c r="AD1382" s="1326">
        <v>869</v>
      </c>
      <c r="AE1382" s="1326">
        <v>869</v>
      </c>
      <c r="AF1382" s="258">
        <f t="shared" si="211"/>
        <v>869</v>
      </c>
      <c r="AG1382" s="1326"/>
      <c r="DG1382" s="555"/>
      <c r="DH1382" s="151"/>
      <c r="DI1382" s="1049"/>
      <c r="DJ1382" s="1127"/>
    </row>
    <row r="1383" spans="1:114" ht="15" hidden="1" customHeight="1" outlineLevel="1" x14ac:dyDescent="0.25">
      <c r="A1383" s="442"/>
      <c r="C1383" s="49"/>
      <c r="D1383" s="2177"/>
      <c r="E1383" s="2177"/>
      <c r="F1383" s="2176" t="str">
        <f>$E$757</f>
        <v>ASHP-SEER19-Replace_CAC_NonElectricHeat_ROF_SF</v>
      </c>
      <c r="G1383" s="2176"/>
      <c r="H1383" s="2176"/>
      <c r="I1383" s="2176"/>
      <c r="J1383" s="986" t="str">
        <f>$C$757</f>
        <v>353310_2024_12_</v>
      </c>
      <c r="K1383" s="1616">
        <v>869</v>
      </c>
      <c r="L1383" s="249"/>
      <c r="M1383" s="2211"/>
      <c r="P1383" s="248"/>
      <c r="Q1383" s="248"/>
      <c r="R1383" s="248"/>
      <c r="T1383" s="169"/>
      <c r="U1383" s="50"/>
      <c r="V1383" s="2177"/>
      <c r="W1383" s="1326"/>
      <c r="X1383" s="1326"/>
      <c r="Y1383" s="1326"/>
      <c r="Z1383" s="1326"/>
      <c r="AA1383" s="1326"/>
      <c r="AB1383" s="1326"/>
      <c r="AC1383" s="1326"/>
      <c r="AD1383" s="794">
        <v>869</v>
      </c>
      <c r="AE1383" s="1326">
        <v>869</v>
      </c>
      <c r="AF1383" s="258">
        <f t="shared" si="211"/>
        <v>869</v>
      </c>
      <c r="AG1383" s="1326"/>
      <c r="DG1383" s="555"/>
      <c r="DH1383" s="151"/>
      <c r="DI1383" s="1049"/>
      <c r="DJ1383" s="1127"/>
    </row>
    <row r="1384" spans="1:114" ht="15" hidden="1" customHeight="1" outlineLevel="1" x14ac:dyDescent="0.25">
      <c r="A1384" s="442"/>
      <c r="C1384" s="49"/>
      <c r="D1384" s="2177"/>
      <c r="E1384" s="2177"/>
      <c r="F1384" s="2176" t="str">
        <f>$E$759</f>
        <v>ASHP-SEER20-Replace_CAC_ElectricHeat_ER1_SF</v>
      </c>
      <c r="G1384" s="2176"/>
      <c r="H1384" s="2176"/>
      <c r="I1384" s="2176"/>
      <c r="J1384" s="986" t="str">
        <f>$C$759</f>
        <v>353400_2024_12_</v>
      </c>
      <c r="K1384" s="1616">
        <v>869</v>
      </c>
      <c r="L1384" s="249"/>
      <c r="M1384" s="2211"/>
      <c r="P1384" s="248"/>
      <c r="Q1384" s="248"/>
      <c r="R1384" s="248"/>
      <c r="T1384" s="169"/>
      <c r="U1384" s="50"/>
      <c r="V1384" s="2177"/>
      <c r="W1384" s="1326">
        <v>869</v>
      </c>
      <c r="X1384" s="1326">
        <v>869</v>
      </c>
      <c r="Y1384" s="1326">
        <v>869</v>
      </c>
      <c r="Z1384" s="1326">
        <v>869</v>
      </c>
      <c r="AA1384" s="1326">
        <v>869</v>
      </c>
      <c r="AB1384" s="1326">
        <v>869</v>
      </c>
      <c r="AC1384" s="1326">
        <v>869</v>
      </c>
      <c r="AD1384" s="1326">
        <v>869</v>
      </c>
      <c r="AE1384" s="1326">
        <v>869</v>
      </c>
      <c r="AF1384" s="258">
        <f t="shared" si="211"/>
        <v>869</v>
      </c>
      <c r="AG1384" s="1326"/>
      <c r="DG1384" s="555"/>
      <c r="DH1384" s="151"/>
      <c r="DI1384" s="1049"/>
      <c r="DJ1384" s="1127"/>
    </row>
    <row r="1385" spans="1:114" ht="15" hidden="1" customHeight="1" outlineLevel="1" x14ac:dyDescent="0.25">
      <c r="A1385" s="442"/>
      <c r="C1385" s="49"/>
      <c r="D1385" s="2177"/>
      <c r="E1385" s="2177"/>
      <c r="F1385" s="2176" t="str">
        <f>$E$761</f>
        <v>ASHP-SEER20-Replace_CAC_ElectricHeat_ER2_SF</v>
      </c>
      <c r="G1385" s="2176"/>
      <c r="H1385" s="2176"/>
      <c r="I1385" s="2176"/>
      <c r="J1385" s="986" t="str">
        <f>$C$761</f>
        <v>353400_2024_12_</v>
      </c>
      <c r="K1385" s="1616">
        <v>869</v>
      </c>
      <c r="L1385" s="249"/>
      <c r="M1385" s="2211"/>
      <c r="P1385" s="248"/>
      <c r="Q1385" s="248"/>
      <c r="R1385" s="248"/>
      <c r="T1385" s="169"/>
      <c r="U1385" s="50"/>
      <c r="V1385" s="2177"/>
      <c r="W1385" s="1326">
        <v>869</v>
      </c>
      <c r="X1385" s="1326">
        <v>869</v>
      </c>
      <c r="Y1385" s="1326">
        <v>869</v>
      </c>
      <c r="Z1385" s="1326">
        <v>869</v>
      </c>
      <c r="AA1385" s="1326">
        <v>869</v>
      </c>
      <c r="AB1385" s="1326">
        <v>869</v>
      </c>
      <c r="AC1385" s="1326">
        <v>869</v>
      </c>
      <c r="AD1385" s="1326">
        <v>869</v>
      </c>
      <c r="AE1385" s="1326">
        <v>869</v>
      </c>
      <c r="AF1385" s="258">
        <f t="shared" si="211"/>
        <v>869</v>
      </c>
      <c r="AG1385" s="1326"/>
      <c r="DG1385" s="555"/>
      <c r="DH1385" s="151"/>
      <c r="DI1385" s="1049"/>
      <c r="DJ1385" s="1127"/>
    </row>
    <row r="1386" spans="1:114" ht="15" hidden="1" customHeight="1" outlineLevel="1" x14ac:dyDescent="0.25">
      <c r="A1386" s="442"/>
      <c r="C1386" s="49"/>
      <c r="D1386" s="2177"/>
      <c r="E1386" s="2177"/>
      <c r="F1386" s="2176" t="str">
        <f>$E$763</f>
        <v>ASHP-SEER20-Replace_CAC_NonElectricHeat_ER1_SF</v>
      </c>
      <c r="G1386" s="2176"/>
      <c r="H1386" s="2176"/>
      <c r="I1386" s="2176"/>
      <c r="J1386" s="986" t="str">
        <f>$C$763</f>
        <v>353410_2024_12_</v>
      </c>
      <c r="K1386" s="1616">
        <v>869</v>
      </c>
      <c r="L1386" s="249"/>
      <c r="M1386" s="2211"/>
      <c r="P1386" s="248"/>
      <c r="Q1386" s="248"/>
      <c r="R1386" s="248"/>
      <c r="T1386" s="169"/>
      <c r="U1386" s="50"/>
      <c r="V1386" s="2177"/>
      <c r="W1386" s="1326"/>
      <c r="X1386" s="1326"/>
      <c r="Y1386" s="1326"/>
      <c r="Z1386" s="1326"/>
      <c r="AA1386" s="1326"/>
      <c r="AB1386" s="1326"/>
      <c r="AC1386" s="794">
        <v>869</v>
      </c>
      <c r="AD1386" s="1326">
        <v>869</v>
      </c>
      <c r="AE1386" s="1326">
        <v>869</v>
      </c>
      <c r="AF1386" s="258">
        <f t="shared" si="211"/>
        <v>869</v>
      </c>
      <c r="AG1386" s="1326"/>
      <c r="DG1386" s="555"/>
      <c r="DH1386" s="151"/>
      <c r="DI1386" s="1049"/>
      <c r="DJ1386" s="1127"/>
    </row>
    <row r="1387" spans="1:114" ht="15" hidden="1" customHeight="1" outlineLevel="1" x14ac:dyDescent="0.25">
      <c r="A1387" s="442"/>
      <c r="C1387" s="49"/>
      <c r="D1387" s="2177"/>
      <c r="E1387" s="2177"/>
      <c r="F1387" s="2176" t="str">
        <f>$E$765</f>
        <v>ASHP-SEER20-Replace_CAC_NonElectricHeat_ER2_SF</v>
      </c>
      <c r="G1387" s="2176"/>
      <c r="H1387" s="2176"/>
      <c r="I1387" s="2176"/>
      <c r="J1387" s="986" t="str">
        <f>$C$765</f>
        <v>353410_2024_12_</v>
      </c>
      <c r="K1387" s="1616">
        <v>869</v>
      </c>
      <c r="L1387" s="249"/>
      <c r="M1387" s="2211"/>
      <c r="P1387" s="248"/>
      <c r="Q1387" s="248"/>
      <c r="R1387" s="248"/>
      <c r="T1387" s="169"/>
      <c r="U1387" s="50"/>
      <c r="V1387" s="2177"/>
      <c r="W1387" s="1326"/>
      <c r="X1387" s="1326"/>
      <c r="Y1387" s="1326"/>
      <c r="Z1387" s="1326"/>
      <c r="AA1387" s="1326"/>
      <c r="AB1387" s="1326"/>
      <c r="AC1387" s="794">
        <v>869</v>
      </c>
      <c r="AD1387" s="1326">
        <v>869</v>
      </c>
      <c r="AE1387" s="1326">
        <v>869</v>
      </c>
      <c r="AF1387" s="258">
        <f t="shared" si="211"/>
        <v>869</v>
      </c>
      <c r="AG1387" s="1326"/>
      <c r="DG1387" s="555"/>
      <c r="DH1387" s="151"/>
      <c r="DI1387" s="1049"/>
      <c r="DJ1387" s="1127"/>
    </row>
    <row r="1388" spans="1:114" ht="15" hidden="1" customHeight="1" outlineLevel="1" x14ac:dyDescent="0.25">
      <c r="A1388" s="442"/>
      <c r="C1388" s="49"/>
      <c r="D1388" s="2177"/>
      <c r="E1388" s="2177"/>
      <c r="F1388" s="2176" t="str">
        <f>$E$767</f>
        <v>ASHP-SEER20-Replace_CAC_ElectricHeat_ROF_SF</v>
      </c>
      <c r="G1388" s="2176"/>
      <c r="H1388" s="2176"/>
      <c r="I1388" s="2176"/>
      <c r="J1388" s="986" t="str">
        <f>$C$767</f>
        <v>353450_2024_12_</v>
      </c>
      <c r="K1388" s="1616">
        <v>869</v>
      </c>
      <c r="L1388" s="249"/>
      <c r="M1388" s="2211"/>
      <c r="P1388" s="248"/>
      <c r="Q1388" s="248"/>
      <c r="R1388" s="248"/>
      <c r="T1388" s="169"/>
      <c r="U1388" s="50"/>
      <c r="V1388" s="2177"/>
      <c r="W1388" s="1326">
        <v>869</v>
      </c>
      <c r="X1388" s="1326">
        <v>869</v>
      </c>
      <c r="Y1388" s="1326">
        <v>869</v>
      </c>
      <c r="Z1388" s="1326">
        <v>869</v>
      </c>
      <c r="AA1388" s="1326">
        <v>869</v>
      </c>
      <c r="AB1388" s="1326">
        <v>869</v>
      </c>
      <c r="AC1388" s="1326">
        <v>869</v>
      </c>
      <c r="AD1388" s="1326">
        <v>869</v>
      </c>
      <c r="AE1388" s="1326">
        <v>869</v>
      </c>
      <c r="AF1388" s="258">
        <f t="shared" si="211"/>
        <v>869</v>
      </c>
      <c r="AG1388" s="1326"/>
      <c r="DG1388" s="555"/>
      <c r="DH1388" s="151"/>
      <c r="DI1388" s="1049"/>
      <c r="DJ1388" s="1127"/>
    </row>
    <row r="1389" spans="1:114" ht="15" hidden="1" customHeight="1" outlineLevel="1" x14ac:dyDescent="0.25">
      <c r="A1389" s="442"/>
      <c r="C1389" s="49"/>
      <c r="D1389" s="2177"/>
      <c r="E1389" s="2177"/>
      <c r="F1389" s="2176" t="str">
        <f>$E$769</f>
        <v>ASHP-SEER20-Replace_CAC_NonElectricHeat_ROF_SF</v>
      </c>
      <c r="G1389" s="2176"/>
      <c r="H1389" s="2176"/>
      <c r="I1389" s="2176"/>
      <c r="J1389" s="986" t="str">
        <f>$C$769</f>
        <v>353460_2024_12_</v>
      </c>
      <c r="K1389" s="1616">
        <v>869</v>
      </c>
      <c r="L1389" s="249"/>
      <c r="M1389" s="2211"/>
      <c r="P1389" s="248"/>
      <c r="Q1389" s="248"/>
      <c r="R1389" s="248"/>
      <c r="T1389" s="169"/>
      <c r="U1389" s="50"/>
      <c r="V1389" s="2177"/>
      <c r="W1389" s="1326"/>
      <c r="X1389" s="1326"/>
      <c r="Y1389" s="1326"/>
      <c r="Z1389" s="1326"/>
      <c r="AA1389" s="1326"/>
      <c r="AB1389" s="1326"/>
      <c r="AC1389" s="1326"/>
      <c r="AD1389" s="794">
        <v>869</v>
      </c>
      <c r="AE1389" s="1326">
        <v>869</v>
      </c>
      <c r="AF1389" s="258">
        <f t="shared" si="211"/>
        <v>869</v>
      </c>
      <c r="AG1389" s="1326"/>
      <c r="DG1389" s="555"/>
      <c r="DH1389" s="151"/>
      <c r="DI1389" s="1049"/>
      <c r="DJ1389" s="1127"/>
    </row>
    <row r="1390" spans="1:114" ht="15" hidden="1" customHeight="1" outlineLevel="1" x14ac:dyDescent="0.25">
      <c r="A1390" s="442"/>
      <c r="C1390" s="49"/>
      <c r="D1390" s="2177"/>
      <c r="E1390" s="2177"/>
      <c r="F1390" s="2176" t="str">
        <f>$E$771</f>
        <v>ASHP-SEER21-Replace_CAC_ElectricHeat_ER1_SF</v>
      </c>
      <c r="G1390" s="2176"/>
      <c r="H1390" s="2176"/>
      <c r="I1390" s="2176"/>
      <c r="J1390" s="986" t="str">
        <f>$C$771</f>
        <v>353550_2024_12_</v>
      </c>
      <c r="K1390" s="1616">
        <v>869</v>
      </c>
      <c r="L1390" s="249"/>
      <c r="M1390" s="2211"/>
      <c r="P1390" s="248"/>
      <c r="Q1390" s="196"/>
      <c r="R1390" s="248"/>
      <c r="T1390" s="169"/>
      <c r="U1390" s="50"/>
      <c r="V1390" s="2177"/>
      <c r="W1390" s="1326">
        <v>869</v>
      </c>
      <c r="X1390" s="1326">
        <v>869</v>
      </c>
      <c r="Y1390" s="1326">
        <v>869</v>
      </c>
      <c r="Z1390" s="1326">
        <v>869</v>
      </c>
      <c r="AA1390" s="1326">
        <v>869</v>
      </c>
      <c r="AB1390" s="1326">
        <v>869</v>
      </c>
      <c r="AC1390" s="1326">
        <v>869</v>
      </c>
      <c r="AD1390" s="1326">
        <v>869</v>
      </c>
      <c r="AE1390" s="1326">
        <v>869</v>
      </c>
      <c r="AF1390" s="258">
        <f t="shared" si="211"/>
        <v>869</v>
      </c>
      <c r="AG1390" s="1326"/>
      <c r="DG1390" s="555"/>
      <c r="DH1390" s="151"/>
      <c r="DI1390" s="1049"/>
      <c r="DJ1390" s="1127"/>
    </row>
    <row r="1391" spans="1:114" ht="15" hidden="1" customHeight="1" outlineLevel="1" x14ac:dyDescent="0.25">
      <c r="A1391" s="442"/>
      <c r="C1391" s="49"/>
      <c r="D1391" s="2177"/>
      <c r="E1391" s="2177"/>
      <c r="F1391" s="2176" t="str">
        <f>$E$773</f>
        <v>ASHP-SEER21-Replace_CAC_ElectricHeat_ER2_SF</v>
      </c>
      <c r="G1391" s="2176"/>
      <c r="H1391" s="2176"/>
      <c r="I1391" s="2176"/>
      <c r="J1391" s="986" t="str">
        <f>$C$773</f>
        <v>353550_2024_12_</v>
      </c>
      <c r="K1391" s="1616">
        <v>869</v>
      </c>
      <c r="L1391" s="249"/>
      <c r="M1391" s="2211"/>
      <c r="P1391" s="248"/>
      <c r="Q1391" s="196"/>
      <c r="R1391" s="248"/>
      <c r="T1391" s="169"/>
      <c r="U1391" s="50"/>
      <c r="V1391" s="2177"/>
      <c r="W1391" s="1326">
        <v>869</v>
      </c>
      <c r="X1391" s="1326">
        <v>869</v>
      </c>
      <c r="Y1391" s="1326">
        <v>869</v>
      </c>
      <c r="Z1391" s="1326">
        <v>869</v>
      </c>
      <c r="AA1391" s="1326">
        <v>869</v>
      </c>
      <c r="AB1391" s="1326">
        <v>869</v>
      </c>
      <c r="AC1391" s="1326">
        <v>869</v>
      </c>
      <c r="AD1391" s="1326">
        <v>869</v>
      </c>
      <c r="AE1391" s="1326">
        <v>869</v>
      </c>
      <c r="AF1391" s="258">
        <f t="shared" si="211"/>
        <v>869</v>
      </c>
      <c r="AG1391" s="1326"/>
      <c r="DG1391" s="555"/>
      <c r="DH1391" s="151"/>
      <c r="DI1391" s="1049"/>
      <c r="DJ1391" s="1127"/>
    </row>
    <row r="1392" spans="1:114" ht="15" hidden="1" customHeight="1" outlineLevel="1" x14ac:dyDescent="0.25">
      <c r="A1392" s="442"/>
      <c r="C1392" s="49"/>
      <c r="D1392" s="2177"/>
      <c r="E1392" s="2177"/>
      <c r="F1392" s="2176" t="str">
        <f>$E$775</f>
        <v>ASHP-SEER21-Replace_CAC_NonElectricHeat_ER1_SF</v>
      </c>
      <c r="G1392" s="2176"/>
      <c r="H1392" s="2176"/>
      <c r="I1392" s="2176"/>
      <c r="J1392" s="986" t="str">
        <f>$C$775</f>
        <v>353560_2024_12_</v>
      </c>
      <c r="K1392" s="1616">
        <v>869</v>
      </c>
      <c r="L1392" s="249"/>
      <c r="M1392" s="2211"/>
      <c r="P1392" s="248"/>
      <c r="Q1392" s="196"/>
      <c r="R1392" s="248"/>
      <c r="T1392" s="169"/>
      <c r="U1392" s="50"/>
      <c r="V1392" s="2177"/>
      <c r="W1392" s="1326"/>
      <c r="X1392" s="1326"/>
      <c r="Y1392" s="1326"/>
      <c r="Z1392" s="1326"/>
      <c r="AA1392" s="1326"/>
      <c r="AB1392" s="1326"/>
      <c r="AC1392" s="794">
        <v>869</v>
      </c>
      <c r="AD1392" s="1326">
        <v>869</v>
      </c>
      <c r="AE1392" s="1326">
        <v>869</v>
      </c>
      <c r="AF1392" s="258">
        <f t="shared" si="211"/>
        <v>869</v>
      </c>
      <c r="AG1392" s="1326"/>
      <c r="DG1392" s="555"/>
      <c r="DH1392" s="151"/>
      <c r="DI1392" s="1049"/>
      <c r="DJ1392" s="1127"/>
    </row>
    <row r="1393" spans="1:114" ht="15" hidden="1" customHeight="1" outlineLevel="1" x14ac:dyDescent="0.25">
      <c r="A1393" s="442"/>
      <c r="C1393" s="49"/>
      <c r="D1393" s="2177"/>
      <c r="E1393" s="2177"/>
      <c r="F1393" s="2176" t="str">
        <f>$E$777</f>
        <v>ASHP-SEER21-Replace_CAC_NonElectricHeat_ER2_SF</v>
      </c>
      <c r="G1393" s="2176"/>
      <c r="H1393" s="2176"/>
      <c r="I1393" s="2176"/>
      <c r="J1393" s="986" t="str">
        <f>$C$777</f>
        <v>353560_2024_12_</v>
      </c>
      <c r="K1393" s="1616">
        <v>869</v>
      </c>
      <c r="L1393" s="249"/>
      <c r="M1393" s="2211"/>
      <c r="P1393" s="248"/>
      <c r="Q1393" s="196"/>
      <c r="R1393" s="248"/>
      <c r="T1393" s="169"/>
      <c r="U1393" s="50"/>
      <c r="V1393" s="2177"/>
      <c r="W1393" s="1326"/>
      <c r="X1393" s="1326"/>
      <c r="Y1393" s="1326"/>
      <c r="Z1393" s="1326"/>
      <c r="AA1393" s="1326"/>
      <c r="AB1393" s="1326"/>
      <c r="AC1393" s="794">
        <v>869</v>
      </c>
      <c r="AD1393" s="1326">
        <v>869</v>
      </c>
      <c r="AE1393" s="1326">
        <v>869</v>
      </c>
      <c r="AF1393" s="258">
        <f t="shared" si="211"/>
        <v>869</v>
      </c>
      <c r="AG1393" s="1326"/>
      <c r="DG1393" s="555"/>
      <c r="DH1393" s="151"/>
      <c r="DI1393" s="1049"/>
      <c r="DJ1393" s="1127"/>
    </row>
    <row r="1394" spans="1:114" ht="15" hidden="1" customHeight="1" outlineLevel="1" x14ac:dyDescent="0.25">
      <c r="A1394" s="442"/>
      <c r="C1394" s="49"/>
      <c r="D1394" s="2177"/>
      <c r="E1394" s="2177"/>
      <c r="F1394" s="2176" t="str">
        <f>$E$779</f>
        <v>ASHP-SEER21-Replace_CAC_ElectricHeat_ER1_MF</v>
      </c>
      <c r="G1394" s="2176"/>
      <c r="H1394" s="2176"/>
      <c r="I1394" s="2176"/>
      <c r="J1394" s="986" t="str">
        <f>$C$779</f>
        <v>353600_2024_12_</v>
      </c>
      <c r="K1394" s="1616">
        <v>869</v>
      </c>
      <c r="L1394" s="249"/>
      <c r="M1394" s="2211"/>
      <c r="P1394" s="248"/>
      <c r="Q1394" s="196"/>
      <c r="R1394" s="248"/>
      <c r="T1394" s="169"/>
      <c r="U1394" s="50"/>
      <c r="V1394" s="2177"/>
      <c r="W1394" s="1326">
        <v>869</v>
      </c>
      <c r="X1394" s="1326">
        <v>869</v>
      </c>
      <c r="Y1394" s="1326">
        <v>869</v>
      </c>
      <c r="Z1394" s="1326">
        <v>869</v>
      </c>
      <c r="AA1394" s="1326">
        <v>869</v>
      </c>
      <c r="AB1394" s="1326">
        <v>869</v>
      </c>
      <c r="AC1394" s="1326">
        <v>869</v>
      </c>
      <c r="AD1394" s="1326">
        <v>869</v>
      </c>
      <c r="AE1394" s="1326">
        <v>869</v>
      </c>
      <c r="AF1394" s="258">
        <f t="shared" si="211"/>
        <v>869</v>
      </c>
      <c r="AG1394" s="1326"/>
      <c r="DG1394" s="555"/>
      <c r="DH1394" s="151"/>
      <c r="DI1394" s="1049"/>
      <c r="DJ1394" s="1127"/>
    </row>
    <row r="1395" spans="1:114" ht="15" hidden="1" customHeight="1" outlineLevel="1" x14ac:dyDescent="0.25">
      <c r="A1395" s="442"/>
      <c r="C1395" s="49"/>
      <c r="D1395" s="2177"/>
      <c r="E1395" s="2177"/>
      <c r="F1395" s="2176" t="str">
        <f>$E$781</f>
        <v>ASHP-SEER21-Replace_CAC_ElectricHeat_ER2_MF</v>
      </c>
      <c r="G1395" s="2176"/>
      <c r="H1395" s="2176"/>
      <c r="I1395" s="2176"/>
      <c r="J1395" s="986" t="str">
        <f>$C$781</f>
        <v>353600_2024_12_</v>
      </c>
      <c r="K1395" s="1616">
        <v>869</v>
      </c>
      <c r="L1395" s="249"/>
      <c r="M1395" s="2211"/>
      <c r="P1395" s="248"/>
      <c r="Q1395" s="196"/>
      <c r="R1395" s="248"/>
      <c r="T1395" s="169"/>
      <c r="U1395" s="50"/>
      <c r="V1395" s="2177"/>
      <c r="W1395" s="1326">
        <v>869</v>
      </c>
      <c r="X1395" s="1326">
        <v>869</v>
      </c>
      <c r="Y1395" s="1326">
        <v>869</v>
      </c>
      <c r="Z1395" s="1326">
        <v>869</v>
      </c>
      <c r="AA1395" s="1326">
        <v>869</v>
      </c>
      <c r="AB1395" s="1326">
        <v>869</v>
      </c>
      <c r="AC1395" s="1326">
        <v>869</v>
      </c>
      <c r="AD1395" s="1326">
        <v>869</v>
      </c>
      <c r="AE1395" s="1326">
        <v>869</v>
      </c>
      <c r="AF1395" s="258">
        <f t="shared" si="211"/>
        <v>869</v>
      </c>
      <c r="AG1395" s="1326"/>
      <c r="DG1395" s="555"/>
      <c r="DH1395" s="151"/>
      <c r="DI1395" s="1049"/>
      <c r="DJ1395" s="1127"/>
    </row>
    <row r="1396" spans="1:114" ht="15" hidden="1" customHeight="1" outlineLevel="1" x14ac:dyDescent="0.25">
      <c r="A1396" s="442"/>
      <c r="C1396" s="49"/>
      <c r="D1396" s="2177"/>
      <c r="E1396" s="2177"/>
      <c r="F1396" s="2176" t="str">
        <f>$E$783</f>
        <v>ASHP-SEER21-Replace_CAC_ElectricHeat_ROF_SF</v>
      </c>
      <c r="G1396" s="2176"/>
      <c r="H1396" s="2176"/>
      <c r="I1396" s="2176"/>
      <c r="J1396" s="986" t="str">
        <f>$C$783</f>
        <v>353650_2024_12_</v>
      </c>
      <c r="K1396" s="1616">
        <v>869</v>
      </c>
      <c r="L1396" s="249"/>
      <c r="M1396" s="2211"/>
      <c r="P1396" s="248"/>
      <c r="Q1396" s="196"/>
      <c r="R1396" s="248"/>
      <c r="T1396" s="169"/>
      <c r="U1396" s="50"/>
      <c r="V1396" s="2177"/>
      <c r="W1396" s="1326">
        <v>869</v>
      </c>
      <c r="X1396" s="1326">
        <v>869</v>
      </c>
      <c r="Y1396" s="1326">
        <v>869</v>
      </c>
      <c r="Z1396" s="1326">
        <v>869</v>
      </c>
      <c r="AA1396" s="1326">
        <v>869</v>
      </c>
      <c r="AB1396" s="1326">
        <v>869</v>
      </c>
      <c r="AC1396" s="1326">
        <v>869</v>
      </c>
      <c r="AD1396" s="1326">
        <v>869</v>
      </c>
      <c r="AE1396" s="1326">
        <v>869</v>
      </c>
      <c r="AF1396" s="258">
        <f t="shared" si="211"/>
        <v>869</v>
      </c>
      <c r="AG1396" s="1326"/>
      <c r="DG1396" s="555"/>
      <c r="DH1396" s="151"/>
      <c r="DI1396" s="1049"/>
      <c r="DJ1396" s="1127"/>
    </row>
    <row r="1397" spans="1:114" ht="15" hidden="1" customHeight="1" outlineLevel="1" x14ac:dyDescent="0.25">
      <c r="A1397" s="442"/>
      <c r="C1397" s="49"/>
      <c r="D1397" s="2177"/>
      <c r="E1397" s="2177"/>
      <c r="F1397" s="2176" t="str">
        <f>$E$785</f>
        <v>ASHP-SEER21-Replace_CAC_NonElectricHeat_ROF_SF</v>
      </c>
      <c r="G1397" s="2176"/>
      <c r="H1397" s="2176"/>
      <c r="I1397" s="2176"/>
      <c r="J1397" s="986" t="str">
        <f>$C$785</f>
        <v>353660_2024_12_</v>
      </c>
      <c r="K1397" s="1616">
        <v>869</v>
      </c>
      <c r="L1397" s="249"/>
      <c r="M1397" s="2211"/>
      <c r="P1397" s="248"/>
      <c r="Q1397" s="196"/>
      <c r="R1397" s="248"/>
      <c r="T1397" s="169"/>
      <c r="U1397" s="50"/>
      <c r="V1397" s="2177"/>
      <c r="W1397" s="1326"/>
      <c r="X1397" s="1326"/>
      <c r="Y1397" s="1326"/>
      <c r="Z1397" s="1326"/>
      <c r="AA1397" s="1326"/>
      <c r="AB1397" s="1326"/>
      <c r="AC1397" s="1326"/>
      <c r="AD1397" s="794">
        <v>869</v>
      </c>
      <c r="AE1397" s="1326">
        <v>869</v>
      </c>
      <c r="AF1397" s="258">
        <f t="shared" si="211"/>
        <v>869</v>
      </c>
      <c r="AG1397" s="1326"/>
      <c r="DG1397" s="555"/>
      <c r="DH1397" s="151"/>
      <c r="DI1397" s="1049"/>
      <c r="DJ1397" s="1127"/>
    </row>
    <row r="1398" spans="1:114" ht="15" hidden="1" customHeight="1" outlineLevel="1" x14ac:dyDescent="0.25">
      <c r="A1398" s="442"/>
      <c r="C1398" s="49"/>
      <c r="D1398" s="2177"/>
      <c r="E1398" s="2177"/>
      <c r="F1398" s="2176" t="str">
        <f>$E$787</f>
        <v>ASHP-SEER17_ER1_SF</v>
      </c>
      <c r="G1398" s="2176"/>
      <c r="H1398" s="2176"/>
      <c r="I1398" s="2176"/>
      <c r="J1398" s="986" t="str">
        <f>$C$787</f>
        <v>353750_2024_12_</v>
      </c>
      <c r="K1398" s="1616">
        <v>869</v>
      </c>
      <c r="L1398" s="249"/>
      <c r="M1398" s="2211"/>
      <c r="P1398" s="248"/>
      <c r="Q1398" s="196"/>
      <c r="R1398" s="248"/>
      <c r="T1398" s="169"/>
      <c r="U1398" s="50"/>
      <c r="V1398" s="2177"/>
      <c r="W1398" s="1326">
        <v>869</v>
      </c>
      <c r="X1398" s="1326">
        <v>869</v>
      </c>
      <c r="Y1398" s="1326">
        <v>869</v>
      </c>
      <c r="Z1398" s="1326">
        <v>869</v>
      </c>
      <c r="AA1398" s="1326">
        <v>869</v>
      </c>
      <c r="AB1398" s="1326">
        <v>869</v>
      </c>
      <c r="AC1398" s="1326">
        <v>869</v>
      </c>
      <c r="AD1398" s="1326">
        <v>869</v>
      </c>
      <c r="AE1398" s="1326">
        <v>869</v>
      </c>
      <c r="AF1398" s="258">
        <f t="shared" si="211"/>
        <v>869</v>
      </c>
      <c r="AG1398" s="1326"/>
      <c r="DG1398" s="555"/>
      <c r="DH1398" s="151"/>
      <c r="DI1398" s="1049"/>
      <c r="DJ1398" s="1127"/>
    </row>
    <row r="1399" spans="1:114" ht="15" hidden="1" customHeight="1" outlineLevel="1" x14ac:dyDescent="0.25">
      <c r="A1399" s="442"/>
      <c r="C1399" s="49"/>
      <c r="D1399" s="2177"/>
      <c r="E1399" s="2177"/>
      <c r="F1399" s="2176" t="str">
        <f>$E$789</f>
        <v>ASHP-SEER17_ER2_SF</v>
      </c>
      <c r="G1399" s="2176"/>
      <c r="H1399" s="2176"/>
      <c r="I1399" s="2176"/>
      <c r="J1399" s="986" t="str">
        <f>$C$789</f>
        <v>353750_2024_12_</v>
      </c>
      <c r="K1399" s="1616">
        <v>869</v>
      </c>
      <c r="L1399" s="249"/>
      <c r="M1399" s="2211"/>
      <c r="T1399" s="50"/>
      <c r="U1399" s="50"/>
      <c r="V1399" s="2177"/>
      <c r="W1399" s="1326">
        <v>869</v>
      </c>
      <c r="X1399" s="1326">
        <v>869</v>
      </c>
      <c r="Y1399" s="1326">
        <v>869</v>
      </c>
      <c r="Z1399" s="1326">
        <v>869</v>
      </c>
      <c r="AA1399" s="1326">
        <v>869</v>
      </c>
      <c r="AB1399" s="1326">
        <v>869</v>
      </c>
      <c r="AC1399" s="1326">
        <v>869</v>
      </c>
      <c r="AD1399" s="1326">
        <v>869</v>
      </c>
      <c r="AE1399" s="1326">
        <v>869</v>
      </c>
      <c r="AF1399" s="258">
        <f t="shared" si="211"/>
        <v>869</v>
      </c>
      <c r="AG1399" s="1326"/>
      <c r="DG1399" s="555"/>
      <c r="DH1399" s="151"/>
      <c r="DI1399" s="1049"/>
      <c r="DJ1399" s="1127"/>
    </row>
    <row r="1400" spans="1:114" ht="15" hidden="1" customHeight="1" outlineLevel="1" x14ac:dyDescent="0.25">
      <c r="A1400" s="442"/>
      <c r="C1400" s="49"/>
      <c r="D1400" s="2177"/>
      <c r="E1400" s="2177"/>
      <c r="F1400" s="2176" t="str">
        <f>$E$791</f>
        <v>ASHP-SEER17_ROF_SF</v>
      </c>
      <c r="G1400" s="2176"/>
      <c r="H1400" s="2176"/>
      <c r="I1400" s="2176"/>
      <c r="J1400" s="986" t="str">
        <f>$C$791</f>
        <v>353800_2024_12_</v>
      </c>
      <c r="K1400" s="1616">
        <v>869</v>
      </c>
      <c r="L1400" s="249"/>
      <c r="M1400" s="2211"/>
      <c r="P1400" s="248"/>
      <c r="Q1400" s="196"/>
      <c r="R1400" s="248"/>
      <c r="T1400" s="169"/>
      <c r="U1400" s="50"/>
      <c r="V1400" s="2177"/>
      <c r="W1400" s="1326">
        <v>869</v>
      </c>
      <c r="X1400" s="1326">
        <v>869</v>
      </c>
      <c r="Y1400" s="1326">
        <v>869</v>
      </c>
      <c r="Z1400" s="1326">
        <v>869</v>
      </c>
      <c r="AA1400" s="1326">
        <v>869</v>
      </c>
      <c r="AB1400" s="1326">
        <v>869</v>
      </c>
      <c r="AC1400" s="1326">
        <v>869</v>
      </c>
      <c r="AD1400" s="1326">
        <v>869</v>
      </c>
      <c r="AE1400" s="1326">
        <v>869</v>
      </c>
      <c r="AF1400" s="258">
        <f t="shared" si="211"/>
        <v>869</v>
      </c>
      <c r="AG1400" s="1326"/>
      <c r="DG1400" s="555"/>
      <c r="DH1400" s="151"/>
      <c r="DI1400" s="1049"/>
      <c r="DJ1400" s="1127"/>
    </row>
    <row r="1401" spans="1:114" ht="15" hidden="1" customHeight="1" outlineLevel="1" x14ac:dyDescent="0.25">
      <c r="A1401" s="442"/>
      <c r="C1401" s="49"/>
      <c r="D1401" s="2177"/>
      <c r="E1401" s="2177"/>
      <c r="F1401" s="2176" t="str">
        <f>$E$793</f>
        <v>ASHP-SEER18_ER1_SF</v>
      </c>
      <c r="G1401" s="2176"/>
      <c r="H1401" s="2176"/>
      <c r="I1401" s="2176"/>
      <c r="J1401" s="986" t="str">
        <f>$C$793</f>
        <v>353850_2024_12_</v>
      </c>
      <c r="K1401" s="1616">
        <v>869</v>
      </c>
      <c r="L1401" s="249"/>
      <c r="M1401" s="2211"/>
      <c r="T1401" s="50"/>
      <c r="U1401" s="50"/>
      <c r="V1401" s="2177"/>
      <c r="W1401" s="1326">
        <v>869</v>
      </c>
      <c r="X1401" s="1326">
        <v>869</v>
      </c>
      <c r="Y1401" s="1326">
        <v>869</v>
      </c>
      <c r="Z1401" s="1326">
        <v>869</v>
      </c>
      <c r="AA1401" s="1326">
        <v>869</v>
      </c>
      <c r="AB1401" s="1326">
        <v>869</v>
      </c>
      <c r="AC1401" s="1326">
        <v>869</v>
      </c>
      <c r="AD1401" s="1326">
        <v>869</v>
      </c>
      <c r="AE1401" s="1326">
        <v>869</v>
      </c>
      <c r="AF1401" s="258">
        <f t="shared" si="211"/>
        <v>869</v>
      </c>
      <c r="AG1401" s="1326"/>
      <c r="DG1401" s="555"/>
      <c r="DH1401" s="151"/>
      <c r="DI1401" s="1049"/>
      <c r="DJ1401" s="1127"/>
    </row>
    <row r="1402" spans="1:114" ht="15" hidden="1" customHeight="1" outlineLevel="1" x14ac:dyDescent="0.25">
      <c r="A1402" s="442"/>
      <c r="C1402" s="49"/>
      <c r="D1402" s="2177"/>
      <c r="E1402" s="2177"/>
      <c r="F1402" s="2176" t="str">
        <f>$E$795</f>
        <v>ASHP-SEER18_ER2_SF</v>
      </c>
      <c r="G1402" s="2176"/>
      <c r="H1402" s="2176"/>
      <c r="I1402" s="2176"/>
      <c r="J1402" s="986" t="str">
        <f>$C$795</f>
        <v>353850_2024_12_</v>
      </c>
      <c r="K1402" s="1616">
        <v>869</v>
      </c>
      <c r="L1402" s="249"/>
      <c r="M1402" s="2211"/>
      <c r="T1402" s="50"/>
      <c r="U1402" s="50"/>
      <c r="V1402" s="2177"/>
      <c r="W1402" s="1326">
        <v>869</v>
      </c>
      <c r="X1402" s="1326">
        <v>869</v>
      </c>
      <c r="Y1402" s="1326">
        <v>869</v>
      </c>
      <c r="Z1402" s="1326">
        <v>869</v>
      </c>
      <c r="AA1402" s="1326">
        <v>869</v>
      </c>
      <c r="AB1402" s="1326">
        <v>869</v>
      </c>
      <c r="AC1402" s="1326">
        <v>869</v>
      </c>
      <c r="AD1402" s="1326">
        <v>869</v>
      </c>
      <c r="AE1402" s="1326">
        <v>869</v>
      </c>
      <c r="AF1402" s="258">
        <f t="shared" si="211"/>
        <v>869</v>
      </c>
      <c r="AG1402" s="1326"/>
      <c r="DG1402" s="555"/>
      <c r="DH1402" s="151"/>
      <c r="DI1402" s="1049"/>
      <c r="DJ1402" s="1127"/>
    </row>
    <row r="1403" spans="1:114" ht="15" hidden="1" customHeight="1" outlineLevel="1" x14ac:dyDescent="0.25">
      <c r="A1403" s="442"/>
      <c r="C1403" s="49"/>
      <c r="D1403" s="2177"/>
      <c r="E1403" s="2177"/>
      <c r="F1403" s="2176" t="str">
        <f>$E$797</f>
        <v>ASHP-SEER18_ROF_SF</v>
      </c>
      <c r="G1403" s="2176"/>
      <c r="H1403" s="2176"/>
      <c r="I1403" s="2176"/>
      <c r="J1403" s="986" t="str">
        <f>$C$797</f>
        <v>353950_2024_12_</v>
      </c>
      <c r="K1403" s="1616">
        <v>869</v>
      </c>
      <c r="L1403" s="249"/>
      <c r="M1403" s="2211"/>
      <c r="P1403" s="248"/>
      <c r="Q1403" s="196"/>
      <c r="R1403" s="248"/>
      <c r="T1403" s="169"/>
      <c r="U1403" s="50"/>
      <c r="V1403" s="2177"/>
      <c r="W1403" s="1326">
        <v>869</v>
      </c>
      <c r="X1403" s="1326">
        <v>869</v>
      </c>
      <c r="Y1403" s="1326">
        <v>869</v>
      </c>
      <c r="Z1403" s="1326">
        <v>869</v>
      </c>
      <c r="AA1403" s="1326">
        <v>869</v>
      </c>
      <c r="AB1403" s="1326">
        <v>869</v>
      </c>
      <c r="AC1403" s="1326">
        <v>869</v>
      </c>
      <c r="AD1403" s="1326">
        <v>869</v>
      </c>
      <c r="AE1403" s="1326">
        <v>869</v>
      </c>
      <c r="AF1403" s="258">
        <f t="shared" si="211"/>
        <v>869</v>
      </c>
      <c r="AG1403" s="1326"/>
      <c r="DG1403" s="555"/>
      <c r="DH1403" s="151"/>
      <c r="DI1403" s="1049"/>
      <c r="DJ1403" s="1127"/>
    </row>
    <row r="1404" spans="1:114" ht="15" hidden="1" customHeight="1" outlineLevel="1" x14ac:dyDescent="0.25">
      <c r="A1404" s="442"/>
      <c r="C1404" s="49"/>
      <c r="D1404" s="2177"/>
      <c r="E1404" s="2177"/>
      <c r="F1404" s="2176" t="str">
        <f>$E$799</f>
        <v>ASHP-SEER19_ER1_SF</v>
      </c>
      <c r="G1404" s="2176"/>
      <c r="H1404" s="2176"/>
      <c r="I1404" s="2176"/>
      <c r="J1404" s="986" t="str">
        <f>$C$799</f>
        <v>354000_2024_12_</v>
      </c>
      <c r="K1404" s="1616">
        <v>869</v>
      </c>
      <c r="L1404" s="249"/>
      <c r="M1404" s="2211"/>
      <c r="T1404" s="50"/>
      <c r="U1404" s="50"/>
      <c r="V1404" s="2177"/>
      <c r="W1404" s="1326">
        <v>869</v>
      </c>
      <c r="X1404" s="1326">
        <v>869</v>
      </c>
      <c r="Y1404" s="1326">
        <v>869</v>
      </c>
      <c r="Z1404" s="1326">
        <v>869</v>
      </c>
      <c r="AA1404" s="1326">
        <v>869</v>
      </c>
      <c r="AB1404" s="1326">
        <v>869</v>
      </c>
      <c r="AC1404" s="1326">
        <v>869</v>
      </c>
      <c r="AD1404" s="1326">
        <v>869</v>
      </c>
      <c r="AE1404" s="1326">
        <v>869</v>
      </c>
      <c r="AF1404" s="258">
        <f t="shared" si="211"/>
        <v>869</v>
      </c>
      <c r="AG1404" s="1326"/>
      <c r="DG1404" s="555"/>
      <c r="DH1404" s="151"/>
      <c r="DI1404" s="1049"/>
      <c r="DJ1404" s="1127"/>
    </row>
    <row r="1405" spans="1:114" ht="15" hidden="1" customHeight="1" outlineLevel="1" x14ac:dyDescent="0.25">
      <c r="A1405" s="442"/>
      <c r="C1405" s="49"/>
      <c r="D1405" s="2177"/>
      <c r="E1405" s="2177"/>
      <c r="F1405" s="2176" t="str">
        <f>$E$801</f>
        <v>ASHP-SEER19_ER2_SF</v>
      </c>
      <c r="G1405" s="2176"/>
      <c r="H1405" s="2176"/>
      <c r="I1405" s="2176"/>
      <c r="J1405" s="986" t="str">
        <f>$C$801</f>
        <v>354000_2024_12_</v>
      </c>
      <c r="K1405" s="1616">
        <v>869</v>
      </c>
      <c r="L1405" s="249"/>
      <c r="M1405" s="2211"/>
      <c r="T1405" s="50"/>
      <c r="U1405" s="50"/>
      <c r="V1405" s="2177"/>
      <c r="W1405" s="1326">
        <v>869</v>
      </c>
      <c r="X1405" s="1326">
        <v>869</v>
      </c>
      <c r="Y1405" s="1326">
        <v>869</v>
      </c>
      <c r="Z1405" s="1326">
        <v>869</v>
      </c>
      <c r="AA1405" s="1326">
        <v>869</v>
      </c>
      <c r="AB1405" s="1326">
        <v>869</v>
      </c>
      <c r="AC1405" s="1326">
        <v>869</v>
      </c>
      <c r="AD1405" s="1326">
        <v>869</v>
      </c>
      <c r="AE1405" s="1326">
        <v>869</v>
      </c>
      <c r="AF1405" s="258">
        <f t="shared" si="211"/>
        <v>869</v>
      </c>
      <c r="AG1405" s="1326"/>
      <c r="DG1405" s="555"/>
      <c r="DH1405" s="151"/>
      <c r="DI1405" s="1049"/>
      <c r="DJ1405" s="1127"/>
    </row>
    <row r="1406" spans="1:114" ht="15" hidden="1" customHeight="1" outlineLevel="1" x14ac:dyDescent="0.25">
      <c r="A1406" s="442"/>
      <c r="C1406" s="49"/>
      <c r="D1406" s="2177"/>
      <c r="E1406" s="2177"/>
      <c r="F1406" s="2176" t="str">
        <f>$E$803</f>
        <v>ASHP-SEER19_ROF_SF</v>
      </c>
      <c r="G1406" s="2176"/>
      <c r="H1406" s="2176"/>
      <c r="I1406" s="2176"/>
      <c r="J1406" s="986" t="str">
        <f>$C$803</f>
        <v>354050_2024_12_</v>
      </c>
      <c r="K1406" s="1616">
        <v>869</v>
      </c>
      <c r="L1406" s="249"/>
      <c r="M1406" s="2211"/>
      <c r="P1406" s="248"/>
      <c r="Q1406" s="196"/>
      <c r="R1406" s="248"/>
      <c r="T1406" s="169"/>
      <c r="U1406" s="50"/>
      <c r="V1406" s="2177"/>
      <c r="W1406" s="1326">
        <v>869</v>
      </c>
      <c r="X1406" s="1326">
        <v>869</v>
      </c>
      <c r="Y1406" s="1326">
        <v>869</v>
      </c>
      <c r="Z1406" s="1326">
        <v>869</v>
      </c>
      <c r="AA1406" s="1326">
        <v>869</v>
      </c>
      <c r="AB1406" s="1326">
        <v>869</v>
      </c>
      <c r="AC1406" s="1326">
        <v>869</v>
      </c>
      <c r="AD1406" s="1326">
        <v>869</v>
      </c>
      <c r="AE1406" s="1326">
        <v>869</v>
      </c>
      <c r="AF1406" s="258">
        <f t="shared" si="211"/>
        <v>869</v>
      </c>
      <c r="AG1406" s="1326"/>
      <c r="DG1406" s="555"/>
      <c r="DH1406" s="151"/>
      <c r="DI1406" s="1049"/>
      <c r="DJ1406" s="1127"/>
    </row>
    <row r="1407" spans="1:114" ht="15" hidden="1" customHeight="1" outlineLevel="1" x14ac:dyDescent="0.25">
      <c r="A1407" s="442"/>
      <c r="C1407" s="49"/>
      <c r="D1407" s="2177"/>
      <c r="E1407" s="2177"/>
      <c r="F1407" s="2176" t="str">
        <f>$E$805</f>
        <v>ASHP-SEER17-Replace_CAC_ElectricHeat_ER1_SF</v>
      </c>
      <c r="G1407" s="2176"/>
      <c r="H1407" s="2176"/>
      <c r="I1407" s="2176"/>
      <c r="J1407" s="986" t="str">
        <f>$C$805</f>
        <v>354100_2024_12_</v>
      </c>
      <c r="K1407" s="1616">
        <v>869</v>
      </c>
      <c r="L1407" s="249"/>
      <c r="M1407" s="2211"/>
      <c r="P1407" s="248"/>
      <c r="Q1407" s="196"/>
      <c r="R1407" s="248"/>
      <c r="T1407" s="169"/>
      <c r="U1407" s="50"/>
      <c r="V1407" s="2177"/>
      <c r="W1407" s="1326">
        <v>869</v>
      </c>
      <c r="X1407" s="1326">
        <v>869</v>
      </c>
      <c r="Y1407" s="1326">
        <v>869</v>
      </c>
      <c r="Z1407" s="1326">
        <v>869</v>
      </c>
      <c r="AA1407" s="1326">
        <v>869</v>
      </c>
      <c r="AB1407" s="1326">
        <v>869</v>
      </c>
      <c r="AC1407" s="1326">
        <v>869</v>
      </c>
      <c r="AD1407" s="1326">
        <v>869</v>
      </c>
      <c r="AE1407" s="1326">
        <v>869</v>
      </c>
      <c r="AF1407" s="258">
        <f t="shared" si="211"/>
        <v>869</v>
      </c>
      <c r="AG1407" s="1326"/>
      <c r="DG1407" s="555"/>
      <c r="DH1407" s="151"/>
      <c r="DI1407" s="1049"/>
      <c r="DJ1407" s="1127"/>
    </row>
    <row r="1408" spans="1:114" ht="15" hidden="1" customHeight="1" outlineLevel="1" x14ac:dyDescent="0.25">
      <c r="A1408" s="442"/>
      <c r="C1408" s="49"/>
      <c r="D1408" s="2177"/>
      <c r="E1408" s="2177"/>
      <c r="F1408" s="2176" t="str">
        <f>$E$807</f>
        <v>ASHP-SEER17-Replace_CAC_ElectricHeat_ER2_SF</v>
      </c>
      <c r="G1408" s="2176"/>
      <c r="H1408" s="2176"/>
      <c r="I1408" s="2176"/>
      <c r="J1408" s="986" t="str">
        <f>$C$807</f>
        <v>354100_2024_12_</v>
      </c>
      <c r="K1408" s="1616">
        <v>869</v>
      </c>
      <c r="L1408" s="249"/>
      <c r="M1408" s="2211"/>
      <c r="P1408" s="248"/>
      <c r="Q1408" s="196"/>
      <c r="R1408" s="248"/>
      <c r="T1408" s="169"/>
      <c r="U1408" s="50"/>
      <c r="V1408" s="2177"/>
      <c r="W1408" s="1326">
        <v>869</v>
      </c>
      <c r="X1408" s="1326">
        <v>869</v>
      </c>
      <c r="Y1408" s="1326">
        <v>869</v>
      </c>
      <c r="Z1408" s="1326">
        <v>869</v>
      </c>
      <c r="AA1408" s="1326">
        <v>869</v>
      </c>
      <c r="AB1408" s="1326">
        <v>869</v>
      </c>
      <c r="AC1408" s="1326">
        <v>869</v>
      </c>
      <c r="AD1408" s="1326">
        <v>869</v>
      </c>
      <c r="AE1408" s="1326">
        <v>869</v>
      </c>
      <c r="AF1408" s="258">
        <f t="shared" si="211"/>
        <v>869</v>
      </c>
      <c r="AG1408" s="1326"/>
      <c r="DG1408" s="555"/>
      <c r="DH1408" s="151"/>
      <c r="DI1408" s="1049"/>
      <c r="DJ1408" s="1127"/>
    </row>
    <row r="1409" spans="1:114" ht="15" hidden="1" customHeight="1" outlineLevel="1" x14ac:dyDescent="0.25">
      <c r="A1409" s="442"/>
      <c r="C1409" s="49"/>
      <c r="D1409" s="2177"/>
      <c r="E1409" s="2177"/>
      <c r="F1409" s="2176" t="str">
        <f>$E$809</f>
        <v>ASHP-SEER17-Replace_CAC_NonElectricHeat_ER1_SF</v>
      </c>
      <c r="G1409" s="2176"/>
      <c r="H1409" s="2176"/>
      <c r="I1409" s="2176"/>
      <c r="J1409" s="986" t="str">
        <f>$C$809</f>
        <v>354110_2024_12_</v>
      </c>
      <c r="K1409" s="1616">
        <v>869</v>
      </c>
      <c r="L1409" s="249"/>
      <c r="M1409" s="2211"/>
      <c r="P1409" s="248"/>
      <c r="Q1409" s="196"/>
      <c r="R1409" s="248"/>
      <c r="T1409" s="169"/>
      <c r="U1409" s="50"/>
      <c r="V1409" s="2177"/>
      <c r="W1409" s="1326"/>
      <c r="X1409" s="1326"/>
      <c r="Y1409" s="1326"/>
      <c r="Z1409" s="1326"/>
      <c r="AA1409" s="1326"/>
      <c r="AB1409" s="1326"/>
      <c r="AC1409" s="794">
        <v>869</v>
      </c>
      <c r="AD1409" s="1326">
        <v>869</v>
      </c>
      <c r="AE1409" s="1326">
        <v>869</v>
      </c>
      <c r="AF1409" s="258">
        <f t="shared" si="211"/>
        <v>869</v>
      </c>
      <c r="AG1409" s="1326"/>
      <c r="DG1409" s="555"/>
      <c r="DH1409" s="151"/>
      <c r="DI1409" s="1049"/>
      <c r="DJ1409" s="1127"/>
    </row>
    <row r="1410" spans="1:114" ht="15" hidden="1" customHeight="1" outlineLevel="1" x14ac:dyDescent="0.25">
      <c r="A1410" s="442"/>
      <c r="C1410" s="49"/>
      <c r="D1410" s="2177"/>
      <c r="E1410" s="2177"/>
      <c r="F1410" s="2176" t="str">
        <f>$E$811</f>
        <v>ASHP-SEER17-Replace_CAC_NonElectricHeat_ER2_SF</v>
      </c>
      <c r="G1410" s="2176"/>
      <c r="H1410" s="2176"/>
      <c r="I1410" s="2176"/>
      <c r="J1410" s="986" t="str">
        <f>$C$811</f>
        <v>354110_2024_12_</v>
      </c>
      <c r="K1410" s="1616">
        <v>869</v>
      </c>
      <c r="L1410" s="249"/>
      <c r="M1410" s="2211"/>
      <c r="P1410" s="248"/>
      <c r="Q1410" s="196"/>
      <c r="R1410" s="248"/>
      <c r="T1410" s="169"/>
      <c r="U1410" s="50"/>
      <c r="V1410" s="2177"/>
      <c r="W1410" s="1326"/>
      <c r="X1410" s="1326"/>
      <c r="Y1410" s="1326"/>
      <c r="Z1410" s="1326"/>
      <c r="AA1410" s="1326"/>
      <c r="AB1410" s="1326"/>
      <c r="AC1410" s="794">
        <v>869</v>
      </c>
      <c r="AD1410" s="1326">
        <v>869</v>
      </c>
      <c r="AE1410" s="1326">
        <v>869</v>
      </c>
      <c r="AF1410" s="258">
        <f t="shared" si="211"/>
        <v>869</v>
      </c>
      <c r="AG1410" s="1326"/>
      <c r="DG1410" s="555"/>
      <c r="DH1410" s="151"/>
      <c r="DI1410" s="1049"/>
      <c r="DJ1410" s="1127"/>
    </row>
    <row r="1411" spans="1:114" ht="15" hidden="1" customHeight="1" outlineLevel="1" x14ac:dyDescent="0.25">
      <c r="A1411" s="442"/>
      <c r="C1411" s="49"/>
      <c r="D1411" s="2177"/>
      <c r="E1411" s="2177"/>
      <c r="F1411" s="2176" t="str">
        <f>$E$813</f>
        <v>ASHP-SEER17-Replace_CAC_ElectricHeat_ER1_MF</v>
      </c>
      <c r="G1411" s="2176"/>
      <c r="H1411" s="2176"/>
      <c r="I1411" s="2176"/>
      <c r="J1411" s="986" t="str">
        <f>$C$813</f>
        <v>354150_2024_12_</v>
      </c>
      <c r="K1411" s="1616">
        <v>869</v>
      </c>
      <c r="L1411" s="249"/>
      <c r="M1411" s="2211"/>
      <c r="P1411" s="248"/>
      <c r="Q1411" s="196"/>
      <c r="R1411" s="248"/>
      <c r="T1411" s="169"/>
      <c r="U1411" s="50"/>
      <c r="V1411" s="2177"/>
      <c r="W1411" s="1326">
        <v>869</v>
      </c>
      <c r="X1411" s="1326">
        <v>869</v>
      </c>
      <c r="Y1411" s="1326">
        <v>869</v>
      </c>
      <c r="Z1411" s="1326">
        <v>869</v>
      </c>
      <c r="AA1411" s="1326">
        <v>869</v>
      </c>
      <c r="AB1411" s="1326">
        <v>869</v>
      </c>
      <c r="AC1411" s="1326">
        <v>869</v>
      </c>
      <c r="AD1411" s="1326">
        <v>869</v>
      </c>
      <c r="AE1411" s="1326">
        <v>869</v>
      </c>
      <c r="AF1411" s="258">
        <f t="shared" si="211"/>
        <v>869</v>
      </c>
      <c r="AG1411" s="1326"/>
      <c r="DG1411" s="555"/>
      <c r="DH1411" s="151"/>
      <c r="DI1411" s="1049"/>
      <c r="DJ1411" s="1127"/>
    </row>
    <row r="1412" spans="1:114" ht="15" hidden="1" customHeight="1" outlineLevel="1" x14ac:dyDescent="0.25">
      <c r="A1412" s="442"/>
      <c r="C1412" s="49"/>
      <c r="D1412" s="2177"/>
      <c r="E1412" s="2177"/>
      <c r="F1412" s="2176" t="str">
        <f>$E$815</f>
        <v>ASHP-SEER17-Replace_CAC_ElectricHeat_ER2_MF</v>
      </c>
      <c r="G1412" s="2176"/>
      <c r="H1412" s="2176"/>
      <c r="I1412" s="2176"/>
      <c r="J1412" s="986" t="str">
        <f>$C$815</f>
        <v>354150_2024_12_</v>
      </c>
      <c r="K1412" s="1616">
        <v>869</v>
      </c>
      <c r="L1412" s="249"/>
      <c r="M1412" s="2217"/>
      <c r="P1412" s="248"/>
      <c r="Q1412" s="196"/>
      <c r="R1412" s="248"/>
      <c r="T1412" s="169"/>
      <c r="U1412" s="50"/>
      <c r="V1412" s="2177"/>
      <c r="W1412" s="1326">
        <v>869</v>
      </c>
      <c r="X1412" s="1326">
        <v>869</v>
      </c>
      <c r="Y1412" s="1326">
        <v>869</v>
      </c>
      <c r="Z1412" s="1326">
        <v>869</v>
      </c>
      <c r="AA1412" s="1326">
        <v>869</v>
      </c>
      <c r="AB1412" s="1326">
        <v>869</v>
      </c>
      <c r="AC1412" s="1326">
        <v>869</v>
      </c>
      <c r="AD1412" s="1326">
        <v>869</v>
      </c>
      <c r="AE1412" s="1326">
        <v>869</v>
      </c>
      <c r="AF1412" s="258">
        <f t="shared" si="211"/>
        <v>869</v>
      </c>
      <c r="AG1412" s="1326"/>
      <c r="DG1412" s="555"/>
      <c r="DH1412" s="151"/>
      <c r="DI1412" s="1049"/>
      <c r="DJ1412" s="1127"/>
    </row>
    <row r="1413" spans="1:114" ht="15" hidden="1" customHeight="1" outlineLevel="1" x14ac:dyDescent="0.25">
      <c r="A1413" s="442"/>
      <c r="C1413" s="49"/>
      <c r="D1413" s="2177"/>
      <c r="E1413" s="2177"/>
      <c r="F1413" s="2176" t="str">
        <f>$E$817</f>
        <v>ASHP-SEER17_ER1_MF</v>
      </c>
      <c r="G1413" s="2176"/>
      <c r="H1413" s="2176"/>
      <c r="I1413" s="2176"/>
      <c r="J1413" s="986" t="str">
        <f>$C$817</f>
        <v>354200_2024_12_</v>
      </c>
      <c r="K1413" s="1616">
        <v>869</v>
      </c>
      <c r="L1413" s="249"/>
      <c r="M1413" s="1371" t="s">
        <v>1369</v>
      </c>
      <c r="P1413" s="248"/>
      <c r="Q1413" s="196"/>
      <c r="R1413" s="248"/>
      <c r="T1413" s="169"/>
      <c r="U1413" s="50"/>
      <c r="V1413" s="2177"/>
      <c r="W1413" s="1326">
        <v>869</v>
      </c>
      <c r="X1413" s="1326">
        <v>869</v>
      </c>
      <c r="Y1413" s="1326">
        <v>869</v>
      </c>
      <c r="Z1413" s="1326">
        <v>869</v>
      </c>
      <c r="AA1413" s="1326">
        <v>869</v>
      </c>
      <c r="AB1413" s="1326">
        <v>869</v>
      </c>
      <c r="AC1413" s="1326">
        <v>869</v>
      </c>
      <c r="AD1413" s="1326">
        <v>869</v>
      </c>
      <c r="AE1413" s="1326">
        <v>869</v>
      </c>
      <c r="AF1413" s="258">
        <f t="shared" si="211"/>
        <v>869</v>
      </c>
      <c r="AG1413" s="1326"/>
      <c r="DG1413" s="555"/>
      <c r="DH1413" s="151"/>
      <c r="DI1413" s="1049"/>
      <c r="DJ1413" s="1127"/>
    </row>
    <row r="1414" spans="1:114" ht="15" hidden="1" customHeight="1" outlineLevel="1" x14ac:dyDescent="0.25">
      <c r="A1414" s="442"/>
      <c r="C1414" s="49"/>
      <c r="D1414" s="2177"/>
      <c r="E1414" s="2177"/>
      <c r="F1414" s="2176" t="str">
        <f>$E$819</f>
        <v>ASHP-SEER17_ER2_MF</v>
      </c>
      <c r="G1414" s="2176"/>
      <c r="H1414" s="2176"/>
      <c r="I1414" s="2176"/>
      <c r="J1414" s="986" t="str">
        <f>$C$819</f>
        <v>354200_2024_12_</v>
      </c>
      <c r="K1414" s="1616">
        <v>869</v>
      </c>
      <c r="L1414" s="249"/>
      <c r="M1414" s="1371" t="s">
        <v>1369</v>
      </c>
      <c r="P1414" s="248"/>
      <c r="Q1414" s="196"/>
      <c r="R1414" s="248"/>
      <c r="T1414" s="169"/>
      <c r="U1414" s="50"/>
      <c r="V1414" s="2177"/>
      <c r="W1414" s="1326">
        <v>869</v>
      </c>
      <c r="X1414" s="1326">
        <v>869</v>
      </c>
      <c r="Y1414" s="1326">
        <v>869</v>
      </c>
      <c r="Z1414" s="1326">
        <v>869</v>
      </c>
      <c r="AA1414" s="1326">
        <v>869</v>
      </c>
      <c r="AB1414" s="1326">
        <v>869</v>
      </c>
      <c r="AC1414" s="1326">
        <v>869</v>
      </c>
      <c r="AD1414" s="1326">
        <v>869</v>
      </c>
      <c r="AE1414" s="1326">
        <v>869</v>
      </c>
      <c r="AF1414" s="258">
        <f t="shared" si="211"/>
        <v>869</v>
      </c>
      <c r="AG1414" s="1326"/>
      <c r="DG1414" s="555"/>
      <c r="DH1414" s="151"/>
      <c r="DI1414" s="1049"/>
      <c r="DJ1414" s="1127"/>
    </row>
    <row r="1415" spans="1:114" ht="15" hidden="1" customHeight="1" outlineLevel="1" x14ac:dyDescent="0.25">
      <c r="A1415" s="442"/>
      <c r="C1415" s="49"/>
      <c r="D1415" s="2177"/>
      <c r="E1415" s="2177"/>
      <c r="F1415" s="2176" t="str">
        <f>$E$821</f>
        <v>ASHP-SEER18-Replace_CAC_ElectricHeat_ER1_SF</v>
      </c>
      <c r="G1415" s="2176"/>
      <c r="H1415" s="2176"/>
      <c r="I1415" s="2176"/>
      <c r="J1415" s="986" t="str">
        <f>$C$821</f>
        <v>354250_2024_12_</v>
      </c>
      <c r="K1415" s="1616">
        <v>869</v>
      </c>
      <c r="L1415" s="249"/>
      <c r="M1415" s="1371" t="s">
        <v>1369</v>
      </c>
      <c r="P1415" s="248"/>
      <c r="Q1415" s="196"/>
      <c r="R1415" s="248"/>
      <c r="T1415" s="169"/>
      <c r="U1415" s="50"/>
      <c r="V1415" s="2177"/>
      <c r="W1415" s="1326">
        <v>869</v>
      </c>
      <c r="X1415" s="1326">
        <v>869</v>
      </c>
      <c r="Y1415" s="1326">
        <v>869</v>
      </c>
      <c r="Z1415" s="1326">
        <v>869</v>
      </c>
      <c r="AA1415" s="1326">
        <v>869</v>
      </c>
      <c r="AB1415" s="1326">
        <v>869</v>
      </c>
      <c r="AC1415" s="1326">
        <v>869</v>
      </c>
      <c r="AD1415" s="1326">
        <v>869</v>
      </c>
      <c r="AE1415" s="1326">
        <v>869</v>
      </c>
      <c r="AF1415" s="258">
        <f t="shared" ref="AF1415:AF1445" si="212">IF(K1415&lt;&gt;"",K1415,"")</f>
        <v>869</v>
      </c>
      <c r="AG1415" s="1326"/>
      <c r="DG1415" s="555"/>
      <c r="DH1415" s="151"/>
      <c r="DI1415" s="1049"/>
      <c r="DJ1415" s="1127"/>
    </row>
    <row r="1416" spans="1:114" ht="15" hidden="1" customHeight="1" outlineLevel="1" x14ac:dyDescent="0.25">
      <c r="A1416" s="442"/>
      <c r="C1416" s="49"/>
      <c r="D1416" s="2177"/>
      <c r="E1416" s="2177"/>
      <c r="F1416" s="2176" t="str">
        <f>$E$823</f>
        <v>ASHP-SEER18-Replace_CAC_ElectricHeat_ER2_SF</v>
      </c>
      <c r="G1416" s="2176"/>
      <c r="H1416" s="2176"/>
      <c r="I1416" s="2176"/>
      <c r="J1416" s="986" t="str">
        <f>$C$823</f>
        <v>354250_2024_12_</v>
      </c>
      <c r="K1416" s="1616">
        <v>869</v>
      </c>
      <c r="L1416" s="249"/>
      <c r="M1416" s="1371" t="s">
        <v>1369</v>
      </c>
      <c r="P1416" s="248"/>
      <c r="Q1416" s="196"/>
      <c r="R1416" s="248"/>
      <c r="T1416" s="169"/>
      <c r="U1416" s="50"/>
      <c r="V1416" s="2177"/>
      <c r="W1416" s="1326">
        <v>869</v>
      </c>
      <c r="X1416" s="1326">
        <v>869</v>
      </c>
      <c r="Y1416" s="1326">
        <v>869</v>
      </c>
      <c r="Z1416" s="1326">
        <v>869</v>
      </c>
      <c r="AA1416" s="1326">
        <v>869</v>
      </c>
      <c r="AB1416" s="1326">
        <v>869</v>
      </c>
      <c r="AC1416" s="1326">
        <v>869</v>
      </c>
      <c r="AD1416" s="1326">
        <v>869</v>
      </c>
      <c r="AE1416" s="1326">
        <v>869</v>
      </c>
      <c r="AF1416" s="258">
        <f t="shared" si="212"/>
        <v>869</v>
      </c>
      <c r="AG1416" s="1326"/>
      <c r="DG1416" s="555"/>
      <c r="DH1416" s="151"/>
      <c r="DI1416" s="1049"/>
      <c r="DJ1416" s="1127"/>
    </row>
    <row r="1417" spans="1:114" ht="15" hidden="1" customHeight="1" outlineLevel="1" x14ac:dyDescent="0.25">
      <c r="A1417" s="442"/>
      <c r="C1417" s="49"/>
      <c r="D1417" s="2177"/>
      <c r="E1417" s="2177"/>
      <c r="F1417" s="2176" t="str">
        <f>$E$825</f>
        <v>ASHP-SEER18-Replace_CAC_NonElectricHeat_ER1_SF</v>
      </c>
      <c r="G1417" s="2176"/>
      <c r="H1417" s="2176"/>
      <c r="I1417" s="2176"/>
      <c r="J1417" s="986" t="str">
        <f>$C$825</f>
        <v>354260_2024_12_</v>
      </c>
      <c r="K1417" s="1616">
        <v>869</v>
      </c>
      <c r="L1417" s="249"/>
      <c r="M1417" s="1371" t="s">
        <v>1369</v>
      </c>
      <c r="P1417" s="248"/>
      <c r="Q1417" s="196"/>
      <c r="R1417" s="248"/>
      <c r="T1417" s="169"/>
      <c r="U1417" s="50"/>
      <c r="V1417" s="2177"/>
      <c r="W1417" s="1326"/>
      <c r="X1417" s="1326"/>
      <c r="Y1417" s="1326"/>
      <c r="Z1417" s="1326"/>
      <c r="AA1417" s="1326"/>
      <c r="AB1417" s="1326"/>
      <c r="AC1417" s="794">
        <v>869</v>
      </c>
      <c r="AD1417" s="1326">
        <v>869</v>
      </c>
      <c r="AE1417" s="1326">
        <v>869</v>
      </c>
      <c r="AF1417" s="258">
        <f t="shared" si="212"/>
        <v>869</v>
      </c>
      <c r="AG1417" s="1326"/>
      <c r="DG1417" s="555"/>
      <c r="DH1417" s="151"/>
      <c r="DI1417" s="1049"/>
      <c r="DJ1417" s="1127"/>
    </row>
    <row r="1418" spans="1:114" ht="15" hidden="1" customHeight="1" outlineLevel="1" x14ac:dyDescent="0.25">
      <c r="A1418" s="442"/>
      <c r="C1418" s="49"/>
      <c r="D1418" s="2177"/>
      <c r="E1418" s="2177"/>
      <c r="F1418" s="2176" t="str">
        <f>$E$827</f>
        <v>ASHP-SEER18-Replace_CAC_NonElectricHeat_ER2_SF</v>
      </c>
      <c r="G1418" s="2176"/>
      <c r="H1418" s="2176"/>
      <c r="I1418" s="2176"/>
      <c r="J1418" s="986" t="str">
        <f>$C$827</f>
        <v>354260_2024_12_</v>
      </c>
      <c r="K1418" s="1616">
        <v>869</v>
      </c>
      <c r="L1418" s="249"/>
      <c r="M1418" s="1371" t="s">
        <v>1369</v>
      </c>
      <c r="P1418" s="248"/>
      <c r="Q1418" s="196"/>
      <c r="R1418" s="248"/>
      <c r="T1418" s="169"/>
      <c r="U1418" s="50"/>
      <c r="V1418" s="2177"/>
      <c r="W1418" s="1326"/>
      <c r="X1418" s="1326"/>
      <c r="Y1418" s="1326"/>
      <c r="Z1418" s="1326"/>
      <c r="AA1418" s="1326"/>
      <c r="AB1418" s="1326"/>
      <c r="AC1418" s="794">
        <v>869</v>
      </c>
      <c r="AD1418" s="1326">
        <v>869</v>
      </c>
      <c r="AE1418" s="1326">
        <v>869</v>
      </c>
      <c r="AF1418" s="258">
        <f t="shared" si="212"/>
        <v>869</v>
      </c>
      <c r="AG1418" s="1326"/>
      <c r="DG1418" s="555"/>
      <c r="DH1418" s="151"/>
      <c r="DI1418" s="1049"/>
      <c r="DJ1418" s="1127"/>
    </row>
    <row r="1419" spans="1:114" ht="15" hidden="1" customHeight="1" outlineLevel="1" x14ac:dyDescent="0.25">
      <c r="A1419" s="442"/>
      <c r="C1419" s="49"/>
      <c r="D1419" s="2177"/>
      <c r="E1419" s="2177"/>
      <c r="F1419" s="2176" t="str">
        <f>$E$829</f>
        <v>ASHP-SEER18-Replace_CAC_ElectricHeat_ER1_MF</v>
      </c>
      <c r="G1419" s="2176"/>
      <c r="H1419" s="2176"/>
      <c r="I1419" s="2176"/>
      <c r="J1419" s="986" t="str">
        <f>$C$829</f>
        <v>354300_2024_12_</v>
      </c>
      <c r="K1419" s="1616">
        <v>869</v>
      </c>
      <c r="L1419" s="249"/>
      <c r="M1419" s="1371" t="s">
        <v>1369</v>
      </c>
      <c r="P1419" s="248"/>
      <c r="Q1419" s="196"/>
      <c r="R1419" s="248"/>
      <c r="T1419" s="169"/>
      <c r="U1419" s="50"/>
      <c r="V1419" s="2177"/>
      <c r="W1419" s="1326">
        <v>869</v>
      </c>
      <c r="X1419" s="1326">
        <v>869</v>
      </c>
      <c r="Y1419" s="1326">
        <v>869</v>
      </c>
      <c r="Z1419" s="1326">
        <v>869</v>
      </c>
      <c r="AA1419" s="1326">
        <v>869</v>
      </c>
      <c r="AB1419" s="1326">
        <v>869</v>
      </c>
      <c r="AC1419" s="1326">
        <v>869</v>
      </c>
      <c r="AD1419" s="1326">
        <v>869</v>
      </c>
      <c r="AE1419" s="1326">
        <v>869</v>
      </c>
      <c r="AF1419" s="258">
        <f t="shared" si="212"/>
        <v>869</v>
      </c>
      <c r="AG1419" s="1326"/>
      <c r="DG1419" s="555"/>
      <c r="DH1419" s="151"/>
      <c r="DI1419" s="1049"/>
      <c r="DJ1419" s="1127"/>
    </row>
    <row r="1420" spans="1:114" ht="15" hidden="1" customHeight="1" outlineLevel="1" x14ac:dyDescent="0.25">
      <c r="A1420" s="442"/>
      <c r="C1420" s="49"/>
      <c r="D1420" s="2177"/>
      <c r="E1420" s="2177"/>
      <c r="F1420" s="2176" t="str">
        <f>$E$831</f>
        <v>ASHP-SEER18-Replace_CAC_ElectricHeat_ER2_MF</v>
      </c>
      <c r="G1420" s="2176"/>
      <c r="H1420" s="2176"/>
      <c r="I1420" s="2176"/>
      <c r="J1420" s="986" t="str">
        <f>$C$831</f>
        <v>354300_2024_12_</v>
      </c>
      <c r="K1420" s="1616">
        <v>869</v>
      </c>
      <c r="L1420" s="249"/>
      <c r="M1420" s="1371" t="s">
        <v>1369</v>
      </c>
      <c r="P1420" s="248"/>
      <c r="Q1420" s="196"/>
      <c r="R1420" s="248"/>
      <c r="T1420" s="169"/>
      <c r="U1420" s="50"/>
      <c r="V1420" s="2177"/>
      <c r="W1420" s="1326">
        <v>869</v>
      </c>
      <c r="X1420" s="1326">
        <v>869</v>
      </c>
      <c r="Y1420" s="1326">
        <v>869</v>
      </c>
      <c r="Z1420" s="1326">
        <v>869</v>
      </c>
      <c r="AA1420" s="1326">
        <v>869</v>
      </c>
      <c r="AB1420" s="1326">
        <v>869</v>
      </c>
      <c r="AC1420" s="1326">
        <v>869</v>
      </c>
      <c r="AD1420" s="1326">
        <v>869</v>
      </c>
      <c r="AE1420" s="1326">
        <v>869</v>
      </c>
      <c r="AF1420" s="258">
        <f t="shared" si="212"/>
        <v>869</v>
      </c>
      <c r="AG1420" s="1326"/>
      <c r="DG1420" s="555"/>
      <c r="DH1420" s="151"/>
      <c r="DI1420" s="1049"/>
      <c r="DJ1420" s="1127"/>
    </row>
    <row r="1421" spans="1:114" ht="15" hidden="1" customHeight="1" outlineLevel="1" x14ac:dyDescent="0.25">
      <c r="A1421" s="442"/>
      <c r="C1421" s="49"/>
      <c r="D1421" s="2177"/>
      <c r="E1421" s="2177"/>
      <c r="F1421" s="2176" t="str">
        <f>$E$833</f>
        <v>ASHP-SEER18_ER1_MF</v>
      </c>
      <c r="G1421" s="2176"/>
      <c r="H1421" s="2176"/>
      <c r="I1421" s="2176"/>
      <c r="J1421" s="986" t="str">
        <f>$C$833</f>
        <v>354350_2024_12_</v>
      </c>
      <c r="K1421" s="1616">
        <v>869</v>
      </c>
      <c r="L1421" s="249"/>
      <c r="M1421" s="1371" t="s">
        <v>1369</v>
      </c>
      <c r="P1421" s="248"/>
      <c r="Q1421" s="196"/>
      <c r="R1421" s="248"/>
      <c r="T1421" s="169"/>
      <c r="U1421" s="50"/>
      <c r="V1421" s="2177"/>
      <c r="W1421" s="1326">
        <v>869</v>
      </c>
      <c r="X1421" s="1326">
        <v>869</v>
      </c>
      <c r="Y1421" s="1326">
        <v>869</v>
      </c>
      <c r="Z1421" s="1326">
        <v>869</v>
      </c>
      <c r="AA1421" s="1326">
        <v>869</v>
      </c>
      <c r="AB1421" s="1326">
        <v>869</v>
      </c>
      <c r="AC1421" s="1326">
        <v>869</v>
      </c>
      <c r="AD1421" s="1326">
        <v>869</v>
      </c>
      <c r="AE1421" s="1326">
        <v>869</v>
      </c>
      <c r="AF1421" s="258">
        <f t="shared" si="212"/>
        <v>869</v>
      </c>
      <c r="AG1421" s="1326"/>
      <c r="DG1421" s="555"/>
      <c r="DH1421" s="151"/>
      <c r="DI1421" s="1049"/>
      <c r="DJ1421" s="1127"/>
    </row>
    <row r="1422" spans="1:114" ht="15" hidden="1" customHeight="1" outlineLevel="1" x14ac:dyDescent="0.25">
      <c r="A1422" s="442"/>
      <c r="C1422" s="49"/>
      <c r="D1422" s="2177"/>
      <c r="E1422" s="2177"/>
      <c r="F1422" s="2176" t="str">
        <f>$E$835</f>
        <v>ASHP-SEER18_ER2_MF</v>
      </c>
      <c r="G1422" s="2176"/>
      <c r="H1422" s="2176"/>
      <c r="I1422" s="2176"/>
      <c r="J1422" s="986" t="str">
        <f>$C$835</f>
        <v>354350_2024_12_</v>
      </c>
      <c r="K1422" s="1616">
        <v>869</v>
      </c>
      <c r="L1422" s="249"/>
      <c r="M1422" s="1371" t="s">
        <v>1369</v>
      </c>
      <c r="P1422" s="248"/>
      <c r="Q1422" s="196"/>
      <c r="R1422" s="248"/>
      <c r="T1422" s="169"/>
      <c r="U1422" s="50"/>
      <c r="V1422" s="2177"/>
      <c r="W1422" s="1326">
        <v>869</v>
      </c>
      <c r="X1422" s="1326">
        <v>869</v>
      </c>
      <c r="Y1422" s="1326">
        <v>869</v>
      </c>
      <c r="Z1422" s="1326">
        <v>869</v>
      </c>
      <c r="AA1422" s="1326">
        <v>869</v>
      </c>
      <c r="AB1422" s="1326">
        <v>869</v>
      </c>
      <c r="AC1422" s="1326">
        <v>869</v>
      </c>
      <c r="AD1422" s="1326">
        <v>869</v>
      </c>
      <c r="AE1422" s="1326">
        <v>869</v>
      </c>
      <c r="AF1422" s="258">
        <f t="shared" si="212"/>
        <v>869</v>
      </c>
      <c r="AG1422" s="1326"/>
      <c r="DG1422" s="555"/>
      <c r="DH1422" s="151"/>
      <c r="DI1422" s="1049"/>
      <c r="DJ1422" s="1127"/>
    </row>
    <row r="1423" spans="1:114" ht="15" hidden="1" customHeight="1" outlineLevel="1" x14ac:dyDescent="0.25">
      <c r="A1423" s="442"/>
      <c r="C1423" s="49"/>
      <c r="D1423" s="2177"/>
      <c r="E1423" s="2177"/>
      <c r="F1423" s="2176" t="str">
        <f>$E$837</f>
        <v>ASHP-SEER19-Replace_CAC_ElectricHeat_ER1_SF</v>
      </c>
      <c r="G1423" s="2176"/>
      <c r="H1423" s="2176"/>
      <c r="I1423" s="2176"/>
      <c r="J1423" s="986" t="str">
        <f>$C$837</f>
        <v>354400_2024_12_</v>
      </c>
      <c r="K1423" s="1616">
        <v>869</v>
      </c>
      <c r="L1423" s="249"/>
      <c r="M1423" s="1371" t="s">
        <v>1369</v>
      </c>
      <c r="P1423" s="248"/>
      <c r="Q1423" s="196"/>
      <c r="R1423" s="248"/>
      <c r="T1423" s="169"/>
      <c r="U1423" s="50"/>
      <c r="V1423" s="2177"/>
      <c r="W1423" s="1326">
        <v>869</v>
      </c>
      <c r="X1423" s="1326">
        <v>869</v>
      </c>
      <c r="Y1423" s="1326">
        <v>869</v>
      </c>
      <c r="Z1423" s="1326">
        <v>869</v>
      </c>
      <c r="AA1423" s="1326">
        <v>869</v>
      </c>
      <c r="AB1423" s="1326">
        <v>869</v>
      </c>
      <c r="AC1423" s="1326">
        <v>869</v>
      </c>
      <c r="AD1423" s="1326">
        <v>869</v>
      </c>
      <c r="AE1423" s="1326">
        <v>869</v>
      </c>
      <c r="AF1423" s="258">
        <f t="shared" si="212"/>
        <v>869</v>
      </c>
      <c r="AG1423" s="1326"/>
      <c r="DG1423" s="555"/>
      <c r="DH1423" s="151"/>
      <c r="DI1423" s="1049"/>
      <c r="DJ1423" s="1127"/>
    </row>
    <row r="1424" spans="1:114" ht="15" hidden="1" customHeight="1" outlineLevel="1" x14ac:dyDescent="0.25">
      <c r="A1424" s="442"/>
      <c r="C1424" s="49"/>
      <c r="D1424" s="2177"/>
      <c r="E1424" s="2177"/>
      <c r="F1424" s="2176" t="str">
        <f>$E$839</f>
        <v>ASHP-SEER19-Replace_CAC_ElectricHeat_ER2_SF</v>
      </c>
      <c r="G1424" s="2176"/>
      <c r="H1424" s="2176"/>
      <c r="I1424" s="2176"/>
      <c r="J1424" s="986" t="str">
        <f>$C$839</f>
        <v>354400_2024_12_</v>
      </c>
      <c r="K1424" s="1616">
        <v>869</v>
      </c>
      <c r="L1424" s="249"/>
      <c r="M1424" s="1371" t="s">
        <v>1369</v>
      </c>
      <c r="P1424" s="248"/>
      <c r="Q1424" s="196"/>
      <c r="R1424" s="248"/>
      <c r="T1424" s="169"/>
      <c r="U1424" s="50"/>
      <c r="V1424" s="2177"/>
      <c r="W1424" s="1326">
        <v>869</v>
      </c>
      <c r="X1424" s="1326">
        <v>869</v>
      </c>
      <c r="Y1424" s="1326">
        <v>869</v>
      </c>
      <c r="Z1424" s="1326">
        <v>869</v>
      </c>
      <c r="AA1424" s="1326">
        <v>869</v>
      </c>
      <c r="AB1424" s="1326">
        <v>869</v>
      </c>
      <c r="AC1424" s="1326">
        <v>869</v>
      </c>
      <c r="AD1424" s="1326">
        <v>869</v>
      </c>
      <c r="AE1424" s="1326">
        <v>869</v>
      </c>
      <c r="AF1424" s="258">
        <f t="shared" si="212"/>
        <v>869</v>
      </c>
      <c r="AG1424" s="1326"/>
      <c r="DG1424" s="555"/>
      <c r="DH1424" s="151"/>
      <c r="DI1424" s="1049"/>
      <c r="DJ1424" s="1127"/>
    </row>
    <row r="1425" spans="1:114" ht="15" hidden="1" customHeight="1" outlineLevel="1" x14ac:dyDescent="0.25">
      <c r="A1425" s="442"/>
      <c r="C1425" s="49"/>
      <c r="D1425" s="2177"/>
      <c r="E1425" s="2177"/>
      <c r="F1425" s="2176" t="str">
        <f>$E$841</f>
        <v>ASHP-SEER19-Replace_CAC_NonElectricHeat_ER1_SF</v>
      </c>
      <c r="G1425" s="2176"/>
      <c r="H1425" s="2176"/>
      <c r="I1425" s="2176"/>
      <c r="J1425" s="986" t="str">
        <f>$C$841</f>
        <v>354410_2024_12_</v>
      </c>
      <c r="K1425" s="1616">
        <v>869</v>
      </c>
      <c r="L1425" s="249"/>
      <c r="M1425" s="1371" t="s">
        <v>1369</v>
      </c>
      <c r="P1425" s="248"/>
      <c r="Q1425" s="196"/>
      <c r="R1425" s="248"/>
      <c r="T1425" s="169"/>
      <c r="U1425" s="50"/>
      <c r="V1425" s="2177"/>
      <c r="W1425" s="1326"/>
      <c r="X1425" s="1326"/>
      <c r="Y1425" s="1326"/>
      <c r="Z1425" s="1326"/>
      <c r="AA1425" s="1326"/>
      <c r="AB1425" s="1326"/>
      <c r="AC1425" s="794">
        <v>869</v>
      </c>
      <c r="AD1425" s="1326">
        <v>869</v>
      </c>
      <c r="AE1425" s="1326">
        <v>869</v>
      </c>
      <c r="AF1425" s="258">
        <f t="shared" si="212"/>
        <v>869</v>
      </c>
      <c r="AG1425" s="1326"/>
      <c r="DG1425" s="555"/>
      <c r="DH1425" s="151"/>
      <c r="DI1425" s="1049"/>
      <c r="DJ1425" s="1127"/>
    </row>
    <row r="1426" spans="1:114" ht="15" hidden="1" customHeight="1" outlineLevel="1" x14ac:dyDescent="0.25">
      <c r="A1426" s="442"/>
      <c r="C1426" s="49"/>
      <c r="D1426" s="2177"/>
      <c r="E1426" s="2177"/>
      <c r="F1426" s="2176" t="str">
        <f>$E$843</f>
        <v>ASHP-SEER19-Replace_CAC_NonElectricHeat_ER2_SF</v>
      </c>
      <c r="G1426" s="2176"/>
      <c r="H1426" s="2176"/>
      <c r="I1426" s="2176"/>
      <c r="J1426" s="986" t="str">
        <f>$C$843</f>
        <v>354410_2024_12_</v>
      </c>
      <c r="K1426" s="1616">
        <v>869</v>
      </c>
      <c r="L1426" s="249"/>
      <c r="M1426" s="1371" t="s">
        <v>1369</v>
      </c>
      <c r="P1426" s="248"/>
      <c r="Q1426" s="196"/>
      <c r="R1426" s="248"/>
      <c r="T1426" s="169"/>
      <c r="U1426" s="50"/>
      <c r="V1426" s="2177"/>
      <c r="W1426" s="1326"/>
      <c r="X1426" s="1326"/>
      <c r="Y1426" s="1326"/>
      <c r="Z1426" s="1326"/>
      <c r="AA1426" s="1326"/>
      <c r="AB1426" s="1326"/>
      <c r="AC1426" s="794">
        <v>869</v>
      </c>
      <c r="AD1426" s="1326">
        <v>869</v>
      </c>
      <c r="AE1426" s="1326">
        <v>869</v>
      </c>
      <c r="AF1426" s="258">
        <f t="shared" si="212"/>
        <v>869</v>
      </c>
      <c r="AG1426" s="1326"/>
      <c r="DG1426" s="555"/>
      <c r="DH1426" s="151"/>
      <c r="DI1426" s="1049"/>
      <c r="DJ1426" s="1127"/>
    </row>
    <row r="1427" spans="1:114" ht="15" hidden="1" customHeight="1" outlineLevel="1" x14ac:dyDescent="0.25">
      <c r="A1427" s="442"/>
      <c r="C1427" s="49"/>
      <c r="D1427" s="2177"/>
      <c r="E1427" s="2177"/>
      <c r="F1427" s="2176" t="str">
        <f>$E$845</f>
        <v>ASHP-SEER19-Replace_CAC_ElectricHeat_ER1_MF</v>
      </c>
      <c r="G1427" s="2176"/>
      <c r="H1427" s="2176"/>
      <c r="I1427" s="2176"/>
      <c r="J1427" s="986" t="str">
        <f>$C$845</f>
        <v>354450_2024_12_</v>
      </c>
      <c r="K1427" s="1616">
        <v>869</v>
      </c>
      <c r="L1427" s="249"/>
      <c r="M1427" s="1371" t="s">
        <v>1369</v>
      </c>
      <c r="P1427" s="248"/>
      <c r="Q1427" s="196"/>
      <c r="R1427" s="248"/>
      <c r="T1427" s="169"/>
      <c r="U1427" s="50"/>
      <c r="V1427" s="2177"/>
      <c r="W1427" s="1326">
        <v>869</v>
      </c>
      <c r="X1427" s="1326">
        <v>869</v>
      </c>
      <c r="Y1427" s="1326">
        <v>869</v>
      </c>
      <c r="Z1427" s="1326">
        <v>869</v>
      </c>
      <c r="AA1427" s="1326">
        <v>869</v>
      </c>
      <c r="AB1427" s="1326">
        <v>869</v>
      </c>
      <c r="AC1427" s="1326">
        <v>869</v>
      </c>
      <c r="AD1427" s="1326">
        <v>869</v>
      </c>
      <c r="AE1427" s="1326">
        <v>869</v>
      </c>
      <c r="AF1427" s="258">
        <f t="shared" si="212"/>
        <v>869</v>
      </c>
      <c r="AG1427" s="1326"/>
      <c r="DG1427" s="555"/>
      <c r="DH1427" s="151"/>
      <c r="DI1427" s="1049"/>
      <c r="DJ1427" s="1127"/>
    </row>
    <row r="1428" spans="1:114" ht="15" hidden="1" customHeight="1" outlineLevel="1" x14ac:dyDescent="0.25">
      <c r="A1428" s="442"/>
      <c r="C1428" s="49"/>
      <c r="D1428" s="2177"/>
      <c r="E1428" s="2177"/>
      <c r="F1428" s="2176" t="str">
        <f>$E$847</f>
        <v>ASHP-SEER19-Replace_CAC_ElectricHeat_ER2_MF</v>
      </c>
      <c r="G1428" s="2176"/>
      <c r="H1428" s="2176"/>
      <c r="I1428" s="2176"/>
      <c r="J1428" s="986" t="str">
        <f>$C$847</f>
        <v>354450_2024_12_</v>
      </c>
      <c r="K1428" s="1616">
        <v>869</v>
      </c>
      <c r="L1428" s="249"/>
      <c r="M1428" s="1371" t="s">
        <v>1369</v>
      </c>
      <c r="P1428" s="248"/>
      <c r="Q1428" s="196"/>
      <c r="R1428" s="248"/>
      <c r="T1428" s="169"/>
      <c r="U1428" s="50"/>
      <c r="V1428" s="2177"/>
      <c r="W1428" s="1326">
        <v>869</v>
      </c>
      <c r="X1428" s="1326">
        <v>869</v>
      </c>
      <c r="Y1428" s="1326">
        <v>869</v>
      </c>
      <c r="Z1428" s="1326">
        <v>869</v>
      </c>
      <c r="AA1428" s="1326">
        <v>869</v>
      </c>
      <c r="AB1428" s="1326">
        <v>869</v>
      </c>
      <c r="AC1428" s="1326">
        <v>869</v>
      </c>
      <c r="AD1428" s="1326">
        <v>869</v>
      </c>
      <c r="AE1428" s="1326">
        <v>869</v>
      </c>
      <c r="AF1428" s="258">
        <f t="shared" si="212"/>
        <v>869</v>
      </c>
      <c r="AG1428" s="1326"/>
      <c r="DG1428" s="555"/>
      <c r="DH1428" s="151"/>
      <c r="DI1428" s="1049"/>
      <c r="DJ1428" s="1127"/>
    </row>
    <row r="1429" spans="1:114" ht="15" hidden="1" customHeight="1" outlineLevel="1" x14ac:dyDescent="0.25">
      <c r="A1429" s="442"/>
      <c r="C1429" s="49"/>
      <c r="D1429" s="2177"/>
      <c r="E1429" s="2177"/>
      <c r="F1429" s="2176" t="str">
        <f>$E$849</f>
        <v>ASHP-SEER19_ER1_MF</v>
      </c>
      <c r="G1429" s="2176"/>
      <c r="H1429" s="2176"/>
      <c r="I1429" s="2176"/>
      <c r="J1429" s="986" t="str">
        <f>$C$849</f>
        <v>354500_2024_12_</v>
      </c>
      <c r="K1429" s="1616">
        <v>869</v>
      </c>
      <c r="L1429" s="249"/>
      <c r="M1429" s="1371" t="s">
        <v>1369</v>
      </c>
      <c r="P1429" s="248"/>
      <c r="Q1429" s="196"/>
      <c r="R1429" s="248"/>
      <c r="T1429" s="169"/>
      <c r="U1429" s="50"/>
      <c r="V1429" s="2177"/>
      <c r="W1429" s="1326">
        <v>869</v>
      </c>
      <c r="X1429" s="1326">
        <v>869</v>
      </c>
      <c r="Y1429" s="1326">
        <v>869</v>
      </c>
      <c r="Z1429" s="1326">
        <v>869</v>
      </c>
      <c r="AA1429" s="1326">
        <v>869</v>
      </c>
      <c r="AB1429" s="1326">
        <v>869</v>
      </c>
      <c r="AC1429" s="1326">
        <v>869</v>
      </c>
      <c r="AD1429" s="1326">
        <v>869</v>
      </c>
      <c r="AE1429" s="1326">
        <v>869</v>
      </c>
      <c r="AF1429" s="258">
        <f t="shared" si="212"/>
        <v>869</v>
      </c>
      <c r="AG1429" s="1326"/>
      <c r="DG1429" s="555"/>
      <c r="DH1429" s="151"/>
      <c r="DI1429" s="1049"/>
      <c r="DJ1429" s="1127"/>
    </row>
    <row r="1430" spans="1:114" ht="15" hidden="1" customHeight="1" outlineLevel="1" x14ac:dyDescent="0.25">
      <c r="A1430" s="442"/>
      <c r="C1430" s="49"/>
      <c r="D1430" s="2177"/>
      <c r="E1430" s="2177"/>
      <c r="F1430" s="2176" t="str">
        <f>$E$851</f>
        <v>ASHP-SEER19_ER2_MF</v>
      </c>
      <c r="G1430" s="2176"/>
      <c r="H1430" s="2176"/>
      <c r="I1430" s="2176"/>
      <c r="J1430" s="986" t="str">
        <f>$C$851</f>
        <v>354500_2024_12_</v>
      </c>
      <c r="K1430" s="1616">
        <v>869</v>
      </c>
      <c r="L1430" s="249"/>
      <c r="M1430" s="1371" t="s">
        <v>1369</v>
      </c>
      <c r="P1430" s="248"/>
      <c r="Q1430" s="196"/>
      <c r="R1430" s="248"/>
      <c r="T1430" s="169"/>
      <c r="U1430" s="50"/>
      <c r="V1430" s="2177"/>
      <c r="W1430" s="1326">
        <v>869</v>
      </c>
      <c r="X1430" s="1326">
        <v>869</v>
      </c>
      <c r="Y1430" s="1326">
        <v>869</v>
      </c>
      <c r="Z1430" s="1326">
        <v>869</v>
      </c>
      <c r="AA1430" s="1326">
        <v>869</v>
      </c>
      <c r="AB1430" s="1326">
        <v>869</v>
      </c>
      <c r="AC1430" s="1326">
        <v>869</v>
      </c>
      <c r="AD1430" s="1326">
        <v>869</v>
      </c>
      <c r="AE1430" s="1326">
        <v>869</v>
      </c>
      <c r="AF1430" s="258">
        <f t="shared" si="212"/>
        <v>869</v>
      </c>
      <c r="AG1430" s="1326"/>
      <c r="DG1430" s="555"/>
      <c r="DH1430" s="151"/>
      <c r="DI1430" s="1049"/>
      <c r="DJ1430" s="1127"/>
    </row>
    <row r="1431" spans="1:114" ht="15" hidden="1" customHeight="1" outlineLevel="1" x14ac:dyDescent="0.25">
      <c r="A1431" s="442"/>
      <c r="C1431" s="49"/>
      <c r="D1431" s="2177"/>
      <c r="E1431" s="2177"/>
      <c r="F1431" s="2176" t="str">
        <f>$E$853</f>
        <v>ASHP-SEER20_ER1_SF</v>
      </c>
      <c r="G1431" s="2176"/>
      <c r="H1431" s="2176"/>
      <c r="I1431" s="2176"/>
      <c r="J1431" s="986" t="str">
        <f>$C$853</f>
        <v>354550_2024_12_</v>
      </c>
      <c r="K1431" s="1616">
        <v>869</v>
      </c>
      <c r="L1431" s="249"/>
      <c r="M1431" s="1371" t="s">
        <v>1369</v>
      </c>
      <c r="P1431" s="248"/>
      <c r="Q1431" s="196"/>
      <c r="R1431" s="248"/>
      <c r="T1431" s="169"/>
      <c r="U1431" s="50"/>
      <c r="V1431" s="2177"/>
      <c r="W1431" s="1326">
        <v>869</v>
      </c>
      <c r="X1431" s="1326">
        <v>869</v>
      </c>
      <c r="Y1431" s="1326">
        <v>869</v>
      </c>
      <c r="Z1431" s="1326">
        <v>869</v>
      </c>
      <c r="AA1431" s="1326">
        <v>869</v>
      </c>
      <c r="AB1431" s="1326">
        <v>869</v>
      </c>
      <c r="AC1431" s="1326">
        <v>869</v>
      </c>
      <c r="AD1431" s="1326">
        <v>869</v>
      </c>
      <c r="AE1431" s="1326">
        <v>869</v>
      </c>
      <c r="AF1431" s="258">
        <f t="shared" si="212"/>
        <v>869</v>
      </c>
      <c r="AG1431" s="1326"/>
      <c r="DG1431" s="555"/>
      <c r="DH1431" s="151"/>
      <c r="DI1431" s="1049"/>
      <c r="DJ1431" s="1127"/>
    </row>
    <row r="1432" spans="1:114" ht="15" hidden="1" customHeight="1" outlineLevel="1" x14ac:dyDescent="0.25">
      <c r="A1432" s="442"/>
      <c r="C1432" s="49"/>
      <c r="D1432" s="2177"/>
      <c r="E1432" s="2177"/>
      <c r="F1432" s="2176" t="str">
        <f>$E$855</f>
        <v>ASHP-SEER20_ER2_SF</v>
      </c>
      <c r="G1432" s="2176"/>
      <c r="H1432" s="2176"/>
      <c r="I1432" s="2176"/>
      <c r="J1432" s="986" t="str">
        <f>$C$855</f>
        <v>354550_2024_12_</v>
      </c>
      <c r="K1432" s="1616">
        <v>869</v>
      </c>
      <c r="L1432" s="249"/>
      <c r="M1432" s="1371" t="s">
        <v>1369</v>
      </c>
      <c r="P1432" s="248"/>
      <c r="Q1432" s="196"/>
      <c r="R1432" s="248"/>
      <c r="T1432" s="169"/>
      <c r="U1432" s="50"/>
      <c r="V1432" s="2177"/>
      <c r="W1432" s="1326">
        <v>869</v>
      </c>
      <c r="X1432" s="1326">
        <v>869</v>
      </c>
      <c r="Y1432" s="1326">
        <v>869</v>
      </c>
      <c r="Z1432" s="1326">
        <v>869</v>
      </c>
      <c r="AA1432" s="1326">
        <v>869</v>
      </c>
      <c r="AB1432" s="1326">
        <v>869</v>
      </c>
      <c r="AC1432" s="1326">
        <v>869</v>
      </c>
      <c r="AD1432" s="1326">
        <v>869</v>
      </c>
      <c r="AE1432" s="1326">
        <v>869</v>
      </c>
      <c r="AF1432" s="258">
        <f t="shared" si="212"/>
        <v>869</v>
      </c>
      <c r="AG1432" s="1326"/>
      <c r="DG1432" s="555"/>
      <c r="DH1432" s="151"/>
      <c r="DI1432" s="1049"/>
      <c r="DJ1432" s="1127"/>
    </row>
    <row r="1433" spans="1:114" ht="15" hidden="1" customHeight="1" outlineLevel="1" x14ac:dyDescent="0.25">
      <c r="A1433" s="442"/>
      <c r="C1433" s="49"/>
      <c r="D1433" s="2177"/>
      <c r="E1433" s="2177"/>
      <c r="F1433" s="2176" t="str">
        <f>$E$857</f>
        <v>ASHP-SEER20_ROF_SF</v>
      </c>
      <c r="G1433" s="2176"/>
      <c r="H1433" s="2176"/>
      <c r="I1433" s="2176"/>
      <c r="J1433" s="986" t="str">
        <f>$C$857</f>
        <v>354600_2024_12_</v>
      </c>
      <c r="K1433" s="1616">
        <v>869</v>
      </c>
      <c r="L1433" s="249"/>
      <c r="M1433" s="1371" t="s">
        <v>1369</v>
      </c>
      <c r="P1433" s="248"/>
      <c r="Q1433" s="196"/>
      <c r="R1433" s="248"/>
      <c r="T1433" s="169"/>
      <c r="U1433" s="50"/>
      <c r="V1433" s="2177"/>
      <c r="W1433" s="1326">
        <v>869</v>
      </c>
      <c r="X1433" s="1326">
        <v>869</v>
      </c>
      <c r="Y1433" s="1326">
        <v>869</v>
      </c>
      <c r="Z1433" s="1326">
        <v>869</v>
      </c>
      <c r="AA1433" s="1326">
        <v>869</v>
      </c>
      <c r="AB1433" s="1326">
        <v>869</v>
      </c>
      <c r="AC1433" s="1326">
        <v>869</v>
      </c>
      <c r="AD1433" s="1326">
        <v>869</v>
      </c>
      <c r="AE1433" s="1326">
        <v>869</v>
      </c>
      <c r="AF1433" s="258">
        <f t="shared" si="212"/>
        <v>869</v>
      </c>
      <c r="AG1433" s="1326"/>
      <c r="DG1433" s="555"/>
      <c r="DH1433" s="151"/>
      <c r="DI1433" s="1049"/>
      <c r="DJ1433" s="1127"/>
    </row>
    <row r="1434" spans="1:114" ht="15" hidden="1" customHeight="1" outlineLevel="1" x14ac:dyDescent="0.25">
      <c r="A1434" s="442"/>
      <c r="C1434" s="49"/>
      <c r="D1434" s="2177"/>
      <c r="E1434" s="2177"/>
      <c r="F1434" s="2176" t="str">
        <f>$E$859</f>
        <v>ASHP-SEER20-Replace_CAC_ElectricHeat_ER1_MF</v>
      </c>
      <c r="G1434" s="2176"/>
      <c r="H1434" s="2176"/>
      <c r="I1434" s="2176"/>
      <c r="J1434" s="986" t="str">
        <f>$C$859</f>
        <v>354650_2024_12_</v>
      </c>
      <c r="K1434" s="1616">
        <v>869</v>
      </c>
      <c r="L1434" s="249"/>
      <c r="M1434" s="1371" t="s">
        <v>1369</v>
      </c>
      <c r="P1434" s="248"/>
      <c r="Q1434" s="196"/>
      <c r="R1434" s="248"/>
      <c r="T1434" s="169"/>
      <c r="U1434" s="50"/>
      <c r="V1434" s="2177"/>
      <c r="W1434" s="1326">
        <v>869</v>
      </c>
      <c r="X1434" s="1326">
        <v>869</v>
      </c>
      <c r="Y1434" s="1326">
        <v>869</v>
      </c>
      <c r="Z1434" s="1326">
        <v>869</v>
      </c>
      <c r="AA1434" s="1326">
        <v>869</v>
      </c>
      <c r="AB1434" s="1326">
        <v>869</v>
      </c>
      <c r="AC1434" s="1326">
        <v>869</v>
      </c>
      <c r="AD1434" s="1326">
        <v>869</v>
      </c>
      <c r="AE1434" s="1326">
        <v>869</v>
      </c>
      <c r="AF1434" s="258">
        <f t="shared" si="212"/>
        <v>869</v>
      </c>
      <c r="AG1434" s="1326"/>
      <c r="DG1434" s="555"/>
      <c r="DH1434" s="151"/>
      <c r="DI1434" s="1049"/>
      <c r="DJ1434" s="1127"/>
    </row>
    <row r="1435" spans="1:114" ht="15" hidden="1" customHeight="1" outlineLevel="1" x14ac:dyDescent="0.25">
      <c r="A1435" s="442"/>
      <c r="C1435" s="49"/>
      <c r="D1435" s="2177"/>
      <c r="E1435" s="2177"/>
      <c r="F1435" s="2176" t="str">
        <f>$E$861</f>
        <v>ASHP-SEER20-Replace_CAC_ElectricHeat_ER2_MF</v>
      </c>
      <c r="G1435" s="2176"/>
      <c r="H1435" s="2176"/>
      <c r="I1435" s="2176"/>
      <c r="J1435" s="986" t="str">
        <f>$C$861</f>
        <v>354650_2024_12_</v>
      </c>
      <c r="K1435" s="1616">
        <v>869</v>
      </c>
      <c r="L1435" s="249"/>
      <c r="M1435" s="1371" t="s">
        <v>1369</v>
      </c>
      <c r="P1435" s="248"/>
      <c r="Q1435" s="196"/>
      <c r="R1435" s="248"/>
      <c r="T1435" s="169"/>
      <c r="U1435" s="50"/>
      <c r="V1435" s="2177"/>
      <c r="W1435" s="1326">
        <v>869</v>
      </c>
      <c r="X1435" s="1326">
        <v>869</v>
      </c>
      <c r="Y1435" s="1326">
        <v>869</v>
      </c>
      <c r="Z1435" s="1326">
        <v>869</v>
      </c>
      <c r="AA1435" s="1326">
        <v>869</v>
      </c>
      <c r="AB1435" s="1326">
        <v>869</v>
      </c>
      <c r="AC1435" s="1326">
        <v>869</v>
      </c>
      <c r="AD1435" s="1326">
        <v>869</v>
      </c>
      <c r="AE1435" s="1326">
        <v>869</v>
      </c>
      <c r="AF1435" s="258">
        <f t="shared" si="212"/>
        <v>869</v>
      </c>
      <c r="AG1435" s="1326"/>
      <c r="DG1435" s="555"/>
      <c r="DH1435" s="151"/>
      <c r="DI1435" s="1049"/>
      <c r="DJ1435" s="1127"/>
    </row>
    <row r="1436" spans="1:114" ht="15" hidden="1" customHeight="1" outlineLevel="1" x14ac:dyDescent="0.25">
      <c r="A1436" s="442"/>
      <c r="C1436" s="49"/>
      <c r="D1436" s="2177"/>
      <c r="E1436" s="2177"/>
      <c r="F1436" s="2176" t="str">
        <f>$E$863</f>
        <v>ASHP-SEER20_ER1_MF</v>
      </c>
      <c r="G1436" s="2176"/>
      <c r="H1436" s="2176"/>
      <c r="I1436" s="2176"/>
      <c r="J1436" s="986" t="str">
        <f>$C$863</f>
        <v>354700_2024_12_</v>
      </c>
      <c r="K1436" s="1616">
        <v>869</v>
      </c>
      <c r="L1436" s="249"/>
      <c r="M1436" s="1371" t="s">
        <v>1369</v>
      </c>
      <c r="P1436" s="248"/>
      <c r="Q1436" s="196"/>
      <c r="R1436" s="248"/>
      <c r="T1436" s="169"/>
      <c r="U1436" s="50"/>
      <c r="V1436" s="2177"/>
      <c r="W1436" s="1326">
        <v>869</v>
      </c>
      <c r="X1436" s="1326">
        <v>869</v>
      </c>
      <c r="Y1436" s="1326">
        <v>869</v>
      </c>
      <c r="Z1436" s="1326">
        <v>869</v>
      </c>
      <c r="AA1436" s="1326">
        <v>869</v>
      </c>
      <c r="AB1436" s="1326">
        <v>869</v>
      </c>
      <c r="AC1436" s="1326">
        <v>869</v>
      </c>
      <c r="AD1436" s="1326">
        <v>869</v>
      </c>
      <c r="AE1436" s="1326">
        <v>869</v>
      </c>
      <c r="AF1436" s="258">
        <f t="shared" si="212"/>
        <v>869</v>
      </c>
      <c r="AG1436" s="1326"/>
      <c r="DG1436" s="555"/>
      <c r="DH1436" s="151"/>
      <c r="DI1436" s="1049"/>
      <c r="DJ1436" s="1127"/>
    </row>
    <row r="1437" spans="1:114" ht="15" hidden="1" customHeight="1" outlineLevel="1" x14ac:dyDescent="0.25">
      <c r="A1437" s="442"/>
      <c r="C1437" s="49"/>
      <c r="D1437" s="2177"/>
      <c r="E1437" s="2177"/>
      <c r="F1437" s="2176" t="str">
        <f>$E$865</f>
        <v>ASHP-SEER20_ER2_MF</v>
      </c>
      <c r="G1437" s="2176"/>
      <c r="H1437" s="2176"/>
      <c r="I1437" s="2176"/>
      <c r="J1437" s="986" t="str">
        <f>$C$865</f>
        <v>354700_2024_12_</v>
      </c>
      <c r="K1437" s="1616">
        <v>869</v>
      </c>
      <c r="L1437" s="249"/>
      <c r="M1437" s="1371" t="s">
        <v>1369</v>
      </c>
      <c r="P1437" s="248"/>
      <c r="Q1437" s="196"/>
      <c r="R1437" s="248"/>
      <c r="T1437" s="169"/>
      <c r="U1437" s="50"/>
      <c r="V1437" s="2177"/>
      <c r="W1437" s="1326">
        <v>869</v>
      </c>
      <c r="X1437" s="1326">
        <v>869</v>
      </c>
      <c r="Y1437" s="1326">
        <v>869</v>
      </c>
      <c r="Z1437" s="1326">
        <v>869</v>
      </c>
      <c r="AA1437" s="1326">
        <v>869</v>
      </c>
      <c r="AB1437" s="1326">
        <v>869</v>
      </c>
      <c r="AC1437" s="1326">
        <v>869</v>
      </c>
      <c r="AD1437" s="1326">
        <v>869</v>
      </c>
      <c r="AE1437" s="1326">
        <v>869</v>
      </c>
      <c r="AF1437" s="258">
        <f t="shared" si="212"/>
        <v>869</v>
      </c>
      <c r="AG1437" s="1326"/>
      <c r="DG1437" s="555"/>
      <c r="DH1437" s="151"/>
      <c r="DI1437" s="1049"/>
      <c r="DJ1437" s="1127"/>
    </row>
    <row r="1438" spans="1:114" ht="15" hidden="1" customHeight="1" outlineLevel="1" x14ac:dyDescent="0.25">
      <c r="A1438" s="442"/>
      <c r="C1438" s="49"/>
      <c r="D1438" s="2177"/>
      <c r="E1438" s="2177"/>
      <c r="F1438" s="2176" t="str">
        <f>$E$867</f>
        <v>ASHP-SEER21_ER1_SF</v>
      </c>
      <c r="G1438" s="2176"/>
      <c r="H1438" s="2176"/>
      <c r="I1438" s="2176"/>
      <c r="J1438" s="986" t="str">
        <f>$C$867</f>
        <v>354750_2024_12_</v>
      </c>
      <c r="K1438" s="1616">
        <v>869</v>
      </c>
      <c r="L1438" s="249"/>
      <c r="M1438" s="1371" t="s">
        <v>1369</v>
      </c>
      <c r="P1438" s="248"/>
      <c r="Q1438" s="196"/>
      <c r="R1438" s="248"/>
      <c r="T1438" s="169"/>
      <c r="U1438" s="50"/>
      <c r="V1438" s="2177"/>
      <c r="W1438" s="1326">
        <v>869</v>
      </c>
      <c r="X1438" s="1326">
        <v>869</v>
      </c>
      <c r="Y1438" s="1326">
        <v>869</v>
      </c>
      <c r="Z1438" s="1326">
        <v>869</v>
      </c>
      <c r="AA1438" s="1326">
        <v>869</v>
      </c>
      <c r="AB1438" s="1326">
        <v>869</v>
      </c>
      <c r="AC1438" s="1326">
        <v>869</v>
      </c>
      <c r="AD1438" s="1326">
        <v>869</v>
      </c>
      <c r="AE1438" s="1326">
        <v>869</v>
      </c>
      <c r="AF1438" s="258">
        <f t="shared" si="212"/>
        <v>869</v>
      </c>
      <c r="AG1438" s="1326"/>
      <c r="DG1438" s="555"/>
      <c r="DH1438" s="151"/>
      <c r="DI1438" s="1049"/>
      <c r="DJ1438" s="1127"/>
    </row>
    <row r="1439" spans="1:114" ht="15" hidden="1" customHeight="1" outlineLevel="1" x14ac:dyDescent="0.25">
      <c r="A1439" s="442"/>
      <c r="C1439" s="49"/>
      <c r="D1439" s="2177"/>
      <c r="E1439" s="2177"/>
      <c r="F1439" s="2176" t="str">
        <f>$E$869</f>
        <v>ASHP-SEER21_ER2_SF</v>
      </c>
      <c r="G1439" s="2176"/>
      <c r="H1439" s="2176"/>
      <c r="I1439" s="2176"/>
      <c r="J1439" s="986" t="str">
        <f>$C$869</f>
        <v>354750_2024_12_</v>
      </c>
      <c r="K1439" s="1616">
        <v>869</v>
      </c>
      <c r="L1439" s="249"/>
      <c r="M1439" s="1371" t="s">
        <v>1369</v>
      </c>
      <c r="P1439" s="248"/>
      <c r="Q1439" s="196"/>
      <c r="R1439" s="248"/>
      <c r="T1439" s="169"/>
      <c r="U1439" s="50"/>
      <c r="V1439" s="2177"/>
      <c r="W1439" s="1326">
        <v>869</v>
      </c>
      <c r="X1439" s="1326">
        <v>869</v>
      </c>
      <c r="Y1439" s="1326">
        <v>869</v>
      </c>
      <c r="Z1439" s="1326">
        <v>869</v>
      </c>
      <c r="AA1439" s="1326">
        <v>869</v>
      </c>
      <c r="AB1439" s="1326">
        <v>869</v>
      </c>
      <c r="AC1439" s="1326">
        <v>869</v>
      </c>
      <c r="AD1439" s="1326">
        <v>869</v>
      </c>
      <c r="AE1439" s="1326">
        <v>869</v>
      </c>
      <c r="AF1439" s="258">
        <f t="shared" si="212"/>
        <v>869</v>
      </c>
      <c r="AG1439" s="1326"/>
      <c r="DG1439" s="555"/>
      <c r="DH1439" s="151"/>
      <c r="DI1439" s="1049"/>
      <c r="DJ1439" s="1127"/>
    </row>
    <row r="1440" spans="1:114" ht="15" hidden="1" customHeight="1" outlineLevel="1" x14ac:dyDescent="0.25">
      <c r="A1440" s="442"/>
      <c r="C1440" s="49"/>
      <c r="D1440" s="2177"/>
      <c r="E1440" s="2177"/>
      <c r="F1440" s="2176" t="str">
        <f>$E$871</f>
        <v>ASHP-SEER21_ROF_SF</v>
      </c>
      <c r="G1440" s="2176"/>
      <c r="H1440" s="2176"/>
      <c r="I1440" s="2176"/>
      <c r="J1440" s="986" t="str">
        <f>$C$871</f>
        <v>354800_2024_12_</v>
      </c>
      <c r="K1440" s="1616">
        <v>869</v>
      </c>
      <c r="L1440" s="249"/>
      <c r="M1440" s="1371" t="s">
        <v>1369</v>
      </c>
      <c r="P1440" s="248"/>
      <c r="Q1440" s="196"/>
      <c r="R1440" s="248"/>
      <c r="T1440" s="169"/>
      <c r="U1440" s="50"/>
      <c r="V1440" s="2177"/>
      <c r="W1440" s="1326">
        <v>869</v>
      </c>
      <c r="X1440" s="1326">
        <v>869</v>
      </c>
      <c r="Y1440" s="1326">
        <v>869</v>
      </c>
      <c r="Z1440" s="1326">
        <v>869</v>
      </c>
      <c r="AA1440" s="1326">
        <v>869</v>
      </c>
      <c r="AB1440" s="1326">
        <v>869</v>
      </c>
      <c r="AC1440" s="1326">
        <v>869</v>
      </c>
      <c r="AD1440" s="1326">
        <v>869</v>
      </c>
      <c r="AE1440" s="1326">
        <v>869</v>
      </c>
      <c r="AF1440" s="258">
        <f t="shared" si="212"/>
        <v>869</v>
      </c>
      <c r="AG1440" s="1326"/>
      <c r="DG1440" s="555"/>
      <c r="DH1440" s="151"/>
      <c r="DI1440" s="1049"/>
      <c r="DJ1440" s="1127"/>
    </row>
    <row r="1441" spans="1:114" ht="15" hidden="1" customHeight="1" outlineLevel="1" x14ac:dyDescent="0.25">
      <c r="A1441" s="442"/>
      <c r="C1441" s="49"/>
      <c r="D1441" s="2177"/>
      <c r="E1441" s="2177"/>
      <c r="F1441" s="2176" t="str">
        <f>$E$873</f>
        <v>ASHP-SEER21-Replace_CAC_ElectricHeat_ROF_MF</v>
      </c>
      <c r="G1441" s="2176"/>
      <c r="H1441" s="2176"/>
      <c r="I1441" s="2176"/>
      <c r="J1441" s="986" t="str">
        <f>$C$873</f>
        <v>354850_2024_12_</v>
      </c>
      <c r="K1441" s="1616">
        <v>869</v>
      </c>
      <c r="L1441" s="249"/>
      <c r="M1441" s="1580" t="s">
        <v>1088</v>
      </c>
      <c r="P1441" s="248"/>
      <c r="Q1441" s="196"/>
      <c r="R1441" s="248"/>
      <c r="T1441" s="169"/>
      <c r="U1441" s="50"/>
      <c r="V1441" s="2177"/>
      <c r="W1441" s="1326">
        <v>869</v>
      </c>
      <c r="X1441" s="1326">
        <v>869</v>
      </c>
      <c r="Y1441" s="1326">
        <v>869</v>
      </c>
      <c r="Z1441" s="1326">
        <v>869</v>
      </c>
      <c r="AA1441" s="1326">
        <v>869</v>
      </c>
      <c r="AB1441" s="1326">
        <v>869</v>
      </c>
      <c r="AC1441" s="1326">
        <v>869</v>
      </c>
      <c r="AD1441" s="1326">
        <v>869</v>
      </c>
      <c r="AE1441" s="1326">
        <v>869</v>
      </c>
      <c r="AF1441" s="258">
        <f t="shared" si="212"/>
        <v>869</v>
      </c>
      <c r="AG1441" s="1326"/>
      <c r="DG1441" s="555"/>
      <c r="DH1441" s="151"/>
      <c r="DI1441" s="1049"/>
      <c r="DJ1441" s="1127"/>
    </row>
    <row r="1442" spans="1:114" ht="15" hidden="1" customHeight="1" outlineLevel="1" x14ac:dyDescent="0.25">
      <c r="A1442" s="442"/>
      <c r="C1442" s="49"/>
      <c r="D1442" s="2177"/>
      <c r="E1442" s="2177"/>
      <c r="F1442" s="2176" t="str">
        <f>$E$875</f>
        <v>ASHP-SEER21_ER1_MF</v>
      </c>
      <c r="G1442" s="2176"/>
      <c r="H1442" s="2176"/>
      <c r="I1442" s="2176"/>
      <c r="J1442" s="986" t="str">
        <f>$C$875</f>
        <v>354900_2024_12_</v>
      </c>
      <c r="K1442" s="1616">
        <v>869</v>
      </c>
      <c r="L1442" s="249"/>
      <c r="M1442" s="1580" t="s">
        <v>1088</v>
      </c>
      <c r="P1442" s="248"/>
      <c r="Q1442" s="196"/>
      <c r="R1442" s="248"/>
      <c r="T1442" s="169"/>
      <c r="U1442" s="50"/>
      <c r="V1442" s="2177"/>
      <c r="W1442" s="1326">
        <v>869</v>
      </c>
      <c r="X1442" s="1326">
        <v>869</v>
      </c>
      <c r="Y1442" s="1326">
        <v>869</v>
      </c>
      <c r="Z1442" s="1326">
        <v>869</v>
      </c>
      <c r="AA1442" s="1326">
        <v>869</v>
      </c>
      <c r="AB1442" s="1326">
        <v>869</v>
      </c>
      <c r="AC1442" s="1326">
        <v>869</v>
      </c>
      <c r="AD1442" s="1326">
        <v>869</v>
      </c>
      <c r="AE1442" s="1326">
        <v>869</v>
      </c>
      <c r="AF1442" s="258">
        <f t="shared" si="212"/>
        <v>869</v>
      </c>
      <c r="AG1442" s="1326"/>
      <c r="DG1442" s="555"/>
      <c r="DH1442" s="151"/>
      <c r="DI1442" s="1049"/>
      <c r="DJ1442" s="1127"/>
    </row>
    <row r="1443" spans="1:114" ht="15" hidden="1" customHeight="1" outlineLevel="1" x14ac:dyDescent="0.25">
      <c r="A1443" s="442"/>
      <c r="C1443" s="49"/>
      <c r="D1443" s="2177"/>
      <c r="E1443" s="2177"/>
      <c r="F1443" s="2176" t="str">
        <f>$E$877</f>
        <v>ASHP-SEER21_ER2_MF</v>
      </c>
      <c r="G1443" s="2176"/>
      <c r="H1443" s="2176"/>
      <c r="I1443" s="2176"/>
      <c r="J1443" s="986" t="str">
        <f>$C$877</f>
        <v>354900_2024_12_</v>
      </c>
      <c r="K1443" s="1616">
        <v>869</v>
      </c>
      <c r="L1443" s="249"/>
      <c r="M1443" s="1371" t="s">
        <v>1369</v>
      </c>
      <c r="P1443" s="248"/>
      <c r="Q1443" s="196"/>
      <c r="R1443" s="248"/>
      <c r="T1443" s="169"/>
      <c r="U1443" s="50"/>
      <c r="V1443" s="2177"/>
      <c r="W1443" s="1326">
        <v>869</v>
      </c>
      <c r="X1443" s="1326">
        <v>869</v>
      </c>
      <c r="Y1443" s="1326">
        <v>869</v>
      </c>
      <c r="Z1443" s="1326">
        <v>869</v>
      </c>
      <c r="AA1443" s="1326">
        <v>869</v>
      </c>
      <c r="AB1443" s="1326">
        <v>869</v>
      </c>
      <c r="AC1443" s="1326">
        <v>869</v>
      </c>
      <c r="AD1443" s="1326">
        <v>869</v>
      </c>
      <c r="AE1443" s="1326">
        <v>869</v>
      </c>
      <c r="AF1443" s="258">
        <f t="shared" si="212"/>
        <v>869</v>
      </c>
      <c r="AG1443" s="1326"/>
      <c r="DG1443" s="555"/>
      <c r="DH1443" s="151"/>
      <c r="DI1443" s="1049"/>
      <c r="DJ1443" s="1127"/>
    </row>
    <row r="1444" spans="1:114" ht="15" hidden="1" customHeight="1" outlineLevel="1" x14ac:dyDescent="0.25">
      <c r="A1444" s="442"/>
      <c r="C1444" s="49"/>
      <c r="D1444" s="2177"/>
      <c r="E1444" s="2177"/>
      <c r="F1444" s="2176" t="str">
        <f>$E$879</f>
        <v>ASHP-SEER17_ROF_MF</v>
      </c>
      <c r="G1444" s="2176"/>
      <c r="H1444" s="2176"/>
      <c r="I1444" s="2176"/>
      <c r="J1444" s="986" t="str">
        <f>$C$879</f>
        <v>354950_2024_12_</v>
      </c>
      <c r="K1444" s="1616">
        <v>869</v>
      </c>
      <c r="L1444" s="249"/>
      <c r="M1444" s="1371" t="s">
        <v>1369</v>
      </c>
      <c r="P1444" s="248"/>
      <c r="Q1444" s="196"/>
      <c r="R1444" s="248"/>
      <c r="T1444" s="169"/>
      <c r="U1444" s="50"/>
      <c r="V1444" s="2177"/>
      <c r="W1444" s="1326">
        <v>869</v>
      </c>
      <c r="X1444" s="1326">
        <v>869</v>
      </c>
      <c r="Y1444" s="1326">
        <v>869</v>
      </c>
      <c r="Z1444" s="1326">
        <v>869</v>
      </c>
      <c r="AA1444" s="1326">
        <v>869</v>
      </c>
      <c r="AB1444" s="1326">
        <v>869</v>
      </c>
      <c r="AC1444" s="1326">
        <v>869</v>
      </c>
      <c r="AD1444" s="1326">
        <v>869</v>
      </c>
      <c r="AE1444" s="1326">
        <v>869</v>
      </c>
      <c r="AF1444" s="258">
        <f t="shared" si="212"/>
        <v>869</v>
      </c>
      <c r="AG1444" s="1326"/>
      <c r="DG1444" s="555"/>
      <c r="DH1444" s="151"/>
      <c r="DI1444" s="1049"/>
      <c r="DJ1444" s="1127"/>
    </row>
    <row r="1445" spans="1:114" ht="15" hidden="1" customHeight="1" outlineLevel="1" x14ac:dyDescent="0.25">
      <c r="A1445" s="442"/>
      <c r="C1445" s="49"/>
      <c r="D1445" s="2177"/>
      <c r="E1445" s="2177"/>
      <c r="F1445" s="2176" t="str">
        <f>$E$881</f>
        <v>ASHP-SEER18_ROF_MF</v>
      </c>
      <c r="G1445" s="2176"/>
      <c r="H1445" s="2176"/>
      <c r="I1445" s="2176"/>
      <c r="J1445" s="986" t="str">
        <f>$C$881</f>
        <v>355000_2024_12_</v>
      </c>
      <c r="K1445" s="1616">
        <v>869</v>
      </c>
      <c r="L1445" s="249"/>
      <c r="M1445" s="1371" t="s">
        <v>1369</v>
      </c>
      <c r="T1445" s="50"/>
      <c r="U1445" s="50"/>
      <c r="V1445" s="2177"/>
      <c r="W1445" s="1326">
        <v>869</v>
      </c>
      <c r="X1445" s="1326">
        <v>869</v>
      </c>
      <c r="Y1445" s="1326">
        <v>869</v>
      </c>
      <c r="Z1445" s="1326">
        <v>869</v>
      </c>
      <c r="AA1445" s="1326">
        <v>869</v>
      </c>
      <c r="AB1445" s="1326">
        <v>869</v>
      </c>
      <c r="AC1445" s="1326">
        <v>869</v>
      </c>
      <c r="AD1445" s="1326">
        <v>869</v>
      </c>
      <c r="AE1445" s="1326">
        <v>869</v>
      </c>
      <c r="AF1445" s="258">
        <f t="shared" si="212"/>
        <v>869</v>
      </c>
      <c r="AG1445" s="1326"/>
      <c r="DG1445" s="555"/>
      <c r="DH1445" s="151"/>
      <c r="DI1445" s="1049"/>
      <c r="DJ1445" s="1127"/>
    </row>
    <row r="1446" spans="1:114" ht="15" hidden="1" customHeight="1" outlineLevel="1" x14ac:dyDescent="0.25">
      <c r="A1446" s="442"/>
      <c r="C1446" s="49"/>
      <c r="D1446" s="2177"/>
      <c r="E1446" s="2177"/>
      <c r="F1446" s="2176" t="str">
        <f>$E$883</f>
        <v>ASHP-SEER19_ROF_MF</v>
      </c>
      <c r="G1446" s="2176"/>
      <c r="H1446" s="2176"/>
      <c r="I1446" s="2176"/>
      <c r="J1446" s="986" t="str">
        <f>$C$883</f>
        <v>355050_2024_12_</v>
      </c>
      <c r="K1446" s="1616">
        <v>869</v>
      </c>
      <c r="L1446" s="249"/>
      <c r="M1446" s="1371" t="s">
        <v>1369</v>
      </c>
      <c r="T1446" s="50"/>
      <c r="U1446" s="50"/>
      <c r="V1446" s="2177"/>
      <c r="W1446" s="1326">
        <v>869</v>
      </c>
      <c r="X1446" s="1326">
        <v>869</v>
      </c>
      <c r="Y1446" s="1326">
        <v>869</v>
      </c>
      <c r="Z1446" s="1326">
        <v>869</v>
      </c>
      <c r="AA1446" s="1326">
        <v>869</v>
      </c>
      <c r="AB1446" s="1326">
        <v>869</v>
      </c>
      <c r="AC1446" s="1326">
        <v>869</v>
      </c>
      <c r="AD1446" s="1326">
        <v>869</v>
      </c>
      <c r="AE1446" s="1326">
        <v>869</v>
      </c>
      <c r="AF1446" s="258">
        <f t="shared" ref="AF1446:AF1469" si="213">IF(K1446&lt;&gt;"",K1446,"")</f>
        <v>869</v>
      </c>
      <c r="AG1446" s="1326"/>
      <c r="DG1446" s="555"/>
      <c r="DH1446" s="151"/>
      <c r="DI1446" s="1049"/>
      <c r="DJ1446" s="1127"/>
    </row>
    <row r="1447" spans="1:114" ht="15" hidden="1" customHeight="1" outlineLevel="1" x14ac:dyDescent="0.25">
      <c r="A1447" s="442"/>
      <c r="C1447" s="49"/>
      <c r="D1447" s="2177"/>
      <c r="E1447" s="2177"/>
      <c r="F1447" s="2176" t="str">
        <f>$E$885</f>
        <v>ASHP-SEER20_ROF_MF</v>
      </c>
      <c r="G1447" s="2176"/>
      <c r="H1447" s="2176"/>
      <c r="I1447" s="2176"/>
      <c r="J1447" s="986" t="str">
        <f>$C$885</f>
        <v>355100_2024_12_</v>
      </c>
      <c r="K1447" s="1616">
        <v>869</v>
      </c>
      <c r="L1447" s="249"/>
      <c r="M1447" s="1371" t="s">
        <v>1369</v>
      </c>
      <c r="P1447" s="248"/>
      <c r="Q1447" s="196"/>
      <c r="R1447" s="248"/>
      <c r="T1447" s="169"/>
      <c r="U1447" s="50"/>
      <c r="V1447" s="2177"/>
      <c r="W1447" s="1326">
        <v>869</v>
      </c>
      <c r="X1447" s="1326">
        <v>869</v>
      </c>
      <c r="Y1447" s="1326">
        <v>869</v>
      </c>
      <c r="Z1447" s="1326">
        <v>869</v>
      </c>
      <c r="AA1447" s="1326">
        <v>869</v>
      </c>
      <c r="AB1447" s="1326">
        <v>869</v>
      </c>
      <c r="AC1447" s="1326">
        <v>869</v>
      </c>
      <c r="AD1447" s="1326">
        <v>869</v>
      </c>
      <c r="AE1447" s="1326">
        <v>869</v>
      </c>
      <c r="AF1447" s="258">
        <f t="shared" si="213"/>
        <v>869</v>
      </c>
      <c r="AG1447" s="1326"/>
      <c r="DG1447" s="555"/>
      <c r="DH1447" s="151"/>
      <c r="DI1447" s="1049"/>
      <c r="DJ1447" s="1127"/>
    </row>
    <row r="1448" spans="1:114" ht="15.75" hidden="1" customHeight="1" outlineLevel="1" x14ac:dyDescent="0.25">
      <c r="A1448" s="442"/>
      <c r="C1448" s="49"/>
      <c r="D1448" s="2177"/>
      <c r="E1448" s="2177"/>
      <c r="F1448" s="2176" t="str">
        <f>$E$887</f>
        <v>ASHP-SEER21_ROF_MF</v>
      </c>
      <c r="G1448" s="2176"/>
      <c r="H1448" s="2176"/>
      <c r="I1448" s="2176"/>
      <c r="J1448" s="986" t="str">
        <f>$C$887</f>
        <v>355150_2024_12_</v>
      </c>
      <c r="K1448" s="1616">
        <v>869</v>
      </c>
      <c r="L1448" s="249"/>
      <c r="M1448" s="1371" t="s">
        <v>1369</v>
      </c>
      <c r="P1448" s="248"/>
      <c r="Q1448" s="196"/>
      <c r="R1448" s="248"/>
      <c r="T1448" s="169"/>
      <c r="U1448" s="50"/>
      <c r="V1448" s="2177"/>
      <c r="W1448" s="1326">
        <v>869</v>
      </c>
      <c r="X1448" s="1326">
        <v>869</v>
      </c>
      <c r="Y1448" s="1326">
        <v>869</v>
      </c>
      <c r="Z1448" s="1326">
        <v>869</v>
      </c>
      <c r="AA1448" s="1326">
        <v>869</v>
      </c>
      <c r="AB1448" s="1326">
        <v>869</v>
      </c>
      <c r="AC1448" s="1326">
        <v>869</v>
      </c>
      <c r="AD1448" s="1326">
        <v>869</v>
      </c>
      <c r="AE1448" s="1326">
        <v>869</v>
      </c>
      <c r="AF1448" s="258">
        <f t="shared" si="213"/>
        <v>869</v>
      </c>
      <c r="AG1448" s="1326"/>
      <c r="DG1448" s="555"/>
      <c r="DH1448" s="151"/>
      <c r="DI1448" s="1049"/>
      <c r="DJ1448" s="1127"/>
    </row>
    <row r="1449" spans="1:114" ht="15" hidden="1" customHeight="1" outlineLevel="1" x14ac:dyDescent="0.25">
      <c r="A1449" s="442"/>
      <c r="C1449" s="49"/>
      <c r="D1449" s="2177" t="s">
        <v>1162</v>
      </c>
      <c r="E1449" s="2177" t="s">
        <v>1163</v>
      </c>
      <c r="F1449" s="2176" t="str">
        <f>$E$709</f>
        <v>ASHP-SEER15-Replace_CAC_ElectricHeat_ER1_SF</v>
      </c>
      <c r="G1449" s="2176"/>
      <c r="H1449" s="2176"/>
      <c r="I1449" s="2176"/>
      <c r="J1449" s="986" t="str">
        <f>$C$709</f>
        <v>352300_2024_12_</v>
      </c>
      <c r="K1449" s="875">
        <v>7.6796044292718904</v>
      </c>
      <c r="L1449" s="12"/>
      <c r="M1449" s="1577" t="s">
        <v>1024</v>
      </c>
      <c r="P1449" s="248"/>
      <c r="Q1449" s="248"/>
      <c r="R1449" s="248"/>
      <c r="T1449" s="169"/>
      <c r="U1449" s="50"/>
      <c r="V1449" s="2177" t="s">
        <v>1164</v>
      </c>
      <c r="W1449" s="1326">
        <v>6.8</v>
      </c>
      <c r="X1449" s="794">
        <v>8.33</v>
      </c>
      <c r="Y1449" s="1326">
        <v>8.33</v>
      </c>
      <c r="Z1449" s="1326">
        <v>8.33</v>
      </c>
      <c r="AA1449" s="1326">
        <v>8.33</v>
      </c>
      <c r="AB1449" s="199">
        <v>7.2250895092808101</v>
      </c>
      <c r="AC1449" s="199">
        <v>8.1543772216897246</v>
      </c>
      <c r="AD1449" s="930">
        <v>7.4467291759226644</v>
      </c>
      <c r="AE1449" s="930">
        <v>7.6796044292718904</v>
      </c>
      <c r="AF1449" s="258">
        <f t="shared" si="213"/>
        <v>7.6796044292718904</v>
      </c>
      <c r="AG1449" s="1326"/>
      <c r="DG1449" s="555"/>
      <c r="DH1449" s="151"/>
      <c r="DI1449" s="1049"/>
      <c r="DJ1449" s="1127"/>
    </row>
    <row r="1450" spans="1:114" ht="15" hidden="1" customHeight="1" outlineLevel="1" x14ac:dyDescent="0.25">
      <c r="A1450" s="442"/>
      <c r="C1450" s="49"/>
      <c r="D1450" s="2177"/>
      <c r="E1450" s="2177"/>
      <c r="F1450" s="2176" t="str">
        <f>$E$711</f>
        <v>ASHP-SEER15-Replace_CAC_ElectricHeat_ER2_SF</v>
      </c>
      <c r="G1450" s="2176"/>
      <c r="H1450" s="2176"/>
      <c r="I1450" s="2176"/>
      <c r="J1450" s="986" t="str">
        <f>$C$711</f>
        <v>352300_2024_12_</v>
      </c>
      <c r="K1450" s="1649">
        <v>13.4</v>
      </c>
      <c r="L1450" s="12"/>
      <c r="M1450" s="1307" t="s">
        <v>1029</v>
      </c>
      <c r="P1450" s="248"/>
      <c r="Q1450" s="248"/>
      <c r="R1450" s="248"/>
      <c r="T1450" s="169"/>
      <c r="U1450" s="50"/>
      <c r="V1450" s="2177"/>
      <c r="W1450" s="1326">
        <v>13</v>
      </c>
      <c r="X1450" s="1326">
        <v>13</v>
      </c>
      <c r="Y1450" s="1326">
        <v>13</v>
      </c>
      <c r="Z1450" s="1326">
        <v>13</v>
      </c>
      <c r="AA1450" s="1326">
        <v>13</v>
      </c>
      <c r="AB1450" s="198">
        <v>13</v>
      </c>
      <c r="AC1450" s="198">
        <v>13</v>
      </c>
      <c r="AD1450" s="931">
        <v>13</v>
      </c>
      <c r="AE1450" s="1058">
        <v>14</v>
      </c>
      <c r="AF1450" s="258">
        <f t="shared" si="213"/>
        <v>13.4</v>
      </c>
      <c r="AG1450" s="1326"/>
      <c r="DG1450" s="555"/>
      <c r="DH1450" s="151"/>
      <c r="DI1450" s="1049"/>
      <c r="DJ1450" s="1127"/>
    </row>
    <row r="1451" spans="1:114" ht="15" hidden="1" customHeight="1" outlineLevel="1" x14ac:dyDescent="0.25">
      <c r="A1451" s="442"/>
      <c r="C1451" s="49"/>
      <c r="D1451" s="2177"/>
      <c r="E1451" s="2177"/>
      <c r="F1451" s="2176" t="str">
        <f>$E$713</f>
        <v>ASHP-SEER15-Replace_CAC_NonElectricHeat_ER1_SF</v>
      </c>
      <c r="G1451" s="2176"/>
      <c r="H1451" s="2176"/>
      <c r="I1451" s="2176"/>
      <c r="J1451" s="986" t="str">
        <f>$C$713</f>
        <v>352310_2024_12_</v>
      </c>
      <c r="K1451" s="875">
        <v>7.6796044292718904</v>
      </c>
      <c r="L1451" s="12"/>
      <c r="M1451" s="1307" t="s">
        <v>1112</v>
      </c>
      <c r="P1451" s="248"/>
      <c r="Q1451" s="248"/>
      <c r="R1451" s="248"/>
      <c r="T1451" s="169"/>
      <c r="U1451" s="50"/>
      <c r="V1451" s="2177"/>
      <c r="W1451" s="1326"/>
      <c r="X1451" s="1326"/>
      <c r="Y1451" s="1326"/>
      <c r="Z1451" s="1326"/>
      <c r="AA1451" s="1326"/>
      <c r="AB1451" s="198"/>
      <c r="AC1451" s="199">
        <v>8.1543772216897246</v>
      </c>
      <c r="AD1451" s="930">
        <v>7.4467291759226644</v>
      </c>
      <c r="AE1451" s="1058">
        <v>7.6796044292718904</v>
      </c>
      <c r="AF1451" s="258">
        <f t="shared" si="213"/>
        <v>7.6796044292718904</v>
      </c>
      <c r="AG1451" s="1326"/>
      <c r="DG1451" s="555"/>
      <c r="DH1451" s="151"/>
      <c r="DI1451" s="1049"/>
      <c r="DJ1451" s="1127"/>
    </row>
    <row r="1452" spans="1:114" ht="15" hidden="1" customHeight="1" outlineLevel="1" x14ac:dyDescent="0.25">
      <c r="A1452" s="442"/>
      <c r="C1452" s="49"/>
      <c r="D1452" s="2177"/>
      <c r="E1452" s="2177"/>
      <c r="F1452" s="2176" t="str">
        <f>$E$715</f>
        <v>ASHP-SEER15-Replace_CAC_NonElectricHeat_ER2_SF</v>
      </c>
      <c r="G1452" s="2176"/>
      <c r="H1452" s="2176"/>
      <c r="I1452" s="2176"/>
      <c r="J1452" s="986" t="str">
        <f>$C$715</f>
        <v>352310_2024_12_</v>
      </c>
      <c r="K1452" s="1649">
        <v>13.4</v>
      </c>
      <c r="L1452" s="12"/>
      <c r="M1452" s="1307" t="s">
        <v>1029</v>
      </c>
      <c r="P1452" s="248"/>
      <c r="Q1452" s="248"/>
      <c r="R1452" s="248"/>
      <c r="T1452" s="169"/>
      <c r="U1452" s="50"/>
      <c r="V1452" s="2177"/>
      <c r="W1452" s="1326"/>
      <c r="X1452" s="1326"/>
      <c r="Y1452" s="1326"/>
      <c r="Z1452" s="1326"/>
      <c r="AA1452" s="1326"/>
      <c r="AB1452" s="198"/>
      <c r="AC1452" s="199">
        <v>13</v>
      </c>
      <c r="AD1452" s="931">
        <v>13</v>
      </c>
      <c r="AE1452" s="1058">
        <v>14</v>
      </c>
      <c r="AF1452" s="258">
        <f t="shared" si="213"/>
        <v>13.4</v>
      </c>
      <c r="AG1452" s="1326"/>
      <c r="DG1452" s="555"/>
      <c r="DH1452" s="151"/>
      <c r="DI1452" s="1049"/>
      <c r="DJ1452" s="1127"/>
    </row>
    <row r="1453" spans="1:114" ht="15" hidden="1" customHeight="1" outlineLevel="1" x14ac:dyDescent="0.25">
      <c r="A1453" s="442"/>
      <c r="C1453" s="49"/>
      <c r="D1453" s="2177"/>
      <c r="E1453" s="2177"/>
      <c r="F1453" s="2176" t="str">
        <f>$E$717</f>
        <v>ASHP-SEER15_ER1_SF</v>
      </c>
      <c r="G1453" s="2176"/>
      <c r="H1453" s="2176"/>
      <c r="I1453" s="2176"/>
      <c r="J1453" s="986" t="str">
        <f>$C$717</f>
        <v>352350_2024_12_</v>
      </c>
      <c r="K1453" s="875">
        <v>7.6796044292718904</v>
      </c>
      <c r="L1453" s="12"/>
      <c r="M1453" s="1577" t="s">
        <v>1112</v>
      </c>
      <c r="P1453" s="248"/>
      <c r="Q1453" s="248"/>
      <c r="R1453" s="248"/>
      <c r="T1453" s="169"/>
      <c r="U1453" s="50"/>
      <c r="V1453" s="2177"/>
      <c r="W1453" s="1326">
        <v>7.2</v>
      </c>
      <c r="X1453" s="794">
        <v>8.33</v>
      </c>
      <c r="Y1453" s="1326">
        <v>8.33</v>
      </c>
      <c r="Z1453" s="1326">
        <v>8.33</v>
      </c>
      <c r="AA1453" s="1326">
        <v>8.33</v>
      </c>
      <c r="AB1453" s="199">
        <v>7.4709062755842588</v>
      </c>
      <c r="AC1453" s="199">
        <v>8.380670139147373</v>
      </c>
      <c r="AD1453" s="930">
        <v>7.4467291759226644</v>
      </c>
      <c r="AE1453" s="1058">
        <v>7.6796044292718904</v>
      </c>
      <c r="AF1453" s="258">
        <f t="shared" si="213"/>
        <v>7.6796044292718904</v>
      </c>
      <c r="AG1453" s="1326"/>
      <c r="DG1453" s="555"/>
      <c r="DH1453" s="151"/>
      <c r="DI1453" s="1049"/>
      <c r="DJ1453" s="1127"/>
    </row>
    <row r="1454" spans="1:114" ht="15" hidden="1" customHeight="1" outlineLevel="1" x14ac:dyDescent="0.25">
      <c r="A1454" s="442"/>
      <c r="C1454" s="49"/>
      <c r="D1454" s="2177"/>
      <c r="E1454" s="2177"/>
      <c r="F1454" s="2176" t="str">
        <f>$E$719</f>
        <v>ASHP-SEER15_ER2_SF</v>
      </c>
      <c r="G1454" s="2176"/>
      <c r="H1454" s="2176"/>
      <c r="I1454" s="2176"/>
      <c r="J1454" s="986" t="str">
        <f>$C$719</f>
        <v>352350_2024_12_</v>
      </c>
      <c r="K1454" s="1649">
        <v>14.3</v>
      </c>
      <c r="L1454" s="12"/>
      <c r="M1454" s="1307" t="s">
        <v>1029</v>
      </c>
      <c r="P1454" s="248"/>
      <c r="Q1454" s="248"/>
      <c r="R1454" s="248"/>
      <c r="T1454" s="169"/>
      <c r="U1454" s="50"/>
      <c r="V1454" s="2177"/>
      <c r="W1454" s="1326">
        <v>14</v>
      </c>
      <c r="X1454" s="1326">
        <v>14</v>
      </c>
      <c r="Y1454" s="1326">
        <v>14</v>
      </c>
      <c r="Z1454" s="1326">
        <v>14</v>
      </c>
      <c r="AA1454" s="1326">
        <v>14</v>
      </c>
      <c r="AB1454" s="198">
        <v>14</v>
      </c>
      <c r="AC1454" s="198">
        <v>14</v>
      </c>
      <c r="AD1454" s="931">
        <v>14</v>
      </c>
      <c r="AE1454" s="1058">
        <v>15</v>
      </c>
      <c r="AF1454" s="258">
        <f t="shared" si="213"/>
        <v>14.3</v>
      </c>
      <c r="AG1454" s="1326"/>
      <c r="DG1454" s="555"/>
      <c r="DH1454" s="151"/>
      <c r="DI1454" s="1049"/>
      <c r="DJ1454" s="1127"/>
    </row>
    <row r="1455" spans="1:114" ht="15" hidden="1" customHeight="1" outlineLevel="1" x14ac:dyDescent="0.25">
      <c r="A1455" s="442"/>
      <c r="C1455" s="49"/>
      <c r="D1455" s="2177"/>
      <c r="E1455" s="2177"/>
      <c r="F1455" s="2176" t="str">
        <f>$E$721</f>
        <v>ASHP-SEER15-Replace_CAC_ElectricHeat_ROF_SF</v>
      </c>
      <c r="G1455" s="2176"/>
      <c r="H1455" s="2176"/>
      <c r="I1455" s="2176"/>
      <c r="J1455" s="986" t="str">
        <f>$C$721</f>
        <v>352400_2024_12_</v>
      </c>
      <c r="K1455" s="1649">
        <v>13.4</v>
      </c>
      <c r="L1455" s="12"/>
      <c r="M1455" s="1307" t="s">
        <v>1029</v>
      </c>
      <c r="P1455" s="248"/>
      <c r="Q1455" s="248"/>
      <c r="R1455" s="248"/>
      <c r="T1455" s="169"/>
      <c r="U1455" s="50"/>
      <c r="V1455" s="2177"/>
      <c r="W1455" s="1326">
        <v>13</v>
      </c>
      <c r="X1455" s="1326">
        <v>13</v>
      </c>
      <c r="Y1455" s="1326">
        <v>13</v>
      </c>
      <c r="Z1455" s="1326">
        <v>13</v>
      </c>
      <c r="AA1455" s="1326">
        <v>13</v>
      </c>
      <c r="AB1455" s="198">
        <v>13</v>
      </c>
      <c r="AC1455" s="198">
        <v>13</v>
      </c>
      <c r="AD1455" s="931">
        <v>13</v>
      </c>
      <c r="AE1455" s="1058">
        <v>14</v>
      </c>
      <c r="AF1455" s="258">
        <f t="shared" si="213"/>
        <v>13.4</v>
      </c>
      <c r="AG1455" s="1326"/>
      <c r="DG1455" s="555"/>
      <c r="DH1455" s="151"/>
      <c r="DI1455" s="1049"/>
      <c r="DJ1455" s="1127"/>
    </row>
    <row r="1456" spans="1:114" ht="15" hidden="1" customHeight="1" outlineLevel="1" x14ac:dyDescent="0.25">
      <c r="A1456" s="442"/>
      <c r="C1456" s="49"/>
      <c r="D1456" s="2177"/>
      <c r="E1456" s="2177"/>
      <c r="F1456" s="2176" t="str">
        <f>$E$723</f>
        <v>ASHP-SEER15-Replace_CAC_NonElectricHeat_ROF_SF</v>
      </c>
      <c r="G1456" s="2176"/>
      <c r="H1456" s="2176"/>
      <c r="I1456" s="2176"/>
      <c r="J1456" s="986" t="str">
        <f>$C$723</f>
        <v>352410_2024_12_</v>
      </c>
      <c r="K1456" s="1649">
        <v>13.4</v>
      </c>
      <c r="L1456" s="12"/>
      <c r="M1456" s="1307" t="s">
        <v>1029</v>
      </c>
      <c r="P1456" s="248"/>
      <c r="Q1456" s="248"/>
      <c r="R1456" s="248"/>
      <c r="T1456" s="169"/>
      <c r="U1456" s="50"/>
      <c r="V1456" s="2177"/>
      <c r="W1456" s="1326"/>
      <c r="X1456" s="1326"/>
      <c r="Y1456" s="1326"/>
      <c r="Z1456" s="1326"/>
      <c r="AA1456" s="1326"/>
      <c r="AB1456" s="198"/>
      <c r="AC1456" s="199">
        <v>13</v>
      </c>
      <c r="AD1456" s="931">
        <v>13</v>
      </c>
      <c r="AE1456" s="1058">
        <v>14</v>
      </c>
      <c r="AF1456" s="258">
        <f t="shared" si="213"/>
        <v>13.4</v>
      </c>
      <c r="AG1456" s="1326"/>
      <c r="DG1456" s="555"/>
      <c r="DH1456" s="151"/>
      <c r="DI1456" s="1049"/>
      <c r="DJ1456" s="1127"/>
    </row>
    <row r="1457" spans="1:114" ht="15" hidden="1" customHeight="1" outlineLevel="1" x14ac:dyDescent="0.25">
      <c r="A1457" s="442"/>
      <c r="C1457" s="49"/>
      <c r="D1457" s="2177"/>
      <c r="E1457" s="2177"/>
      <c r="F1457" s="2176" t="str">
        <f>$E$725</f>
        <v>ASHP-SEER16-Replace_CAC_ElectricHeat_ER1_SF</v>
      </c>
      <c r="G1457" s="2176"/>
      <c r="H1457" s="2176"/>
      <c r="I1457" s="2176"/>
      <c r="J1457" s="986" t="str">
        <f>$C$725</f>
        <v>352500_2024_12_</v>
      </c>
      <c r="K1457" s="875">
        <v>7.6515995433604935</v>
      </c>
      <c r="L1457" s="12"/>
      <c r="M1457" s="1593" t="s">
        <v>1035</v>
      </c>
      <c r="P1457" s="248"/>
      <c r="Q1457" s="248"/>
      <c r="R1457" s="248"/>
      <c r="T1457" s="169"/>
      <c r="U1457" s="50"/>
      <c r="V1457" s="2177"/>
      <c r="W1457" s="1326">
        <v>6.8</v>
      </c>
      <c r="X1457" s="794">
        <v>8.33</v>
      </c>
      <c r="Y1457" s="1326">
        <v>8.33</v>
      </c>
      <c r="Z1457" s="1326">
        <v>8.33</v>
      </c>
      <c r="AA1457" s="1326">
        <v>8.33</v>
      </c>
      <c r="AB1457" s="199">
        <v>7.3736145314130352</v>
      </c>
      <c r="AC1457" s="199">
        <v>8.1664591605461361</v>
      </c>
      <c r="AD1457" s="930">
        <v>7.4938049011994181</v>
      </c>
      <c r="AE1457" s="930">
        <v>7.7836347406448336</v>
      </c>
      <c r="AF1457" s="258">
        <f t="shared" si="213"/>
        <v>7.6515995433604935</v>
      </c>
      <c r="AG1457" s="1326"/>
      <c r="DG1457" s="555"/>
      <c r="DH1457" s="151"/>
      <c r="DI1457" s="1049"/>
      <c r="DJ1457" s="1127"/>
    </row>
    <row r="1458" spans="1:114" ht="15" hidden="1" customHeight="1" outlineLevel="1" x14ac:dyDescent="0.25">
      <c r="A1458" s="442"/>
      <c r="C1458" s="49"/>
      <c r="D1458" s="2177"/>
      <c r="E1458" s="2177"/>
      <c r="F1458" s="2176" t="str">
        <f>$E$727</f>
        <v>ASHP-SEER16-Replace_CAC_ElectricHeat_ER2_SF</v>
      </c>
      <c r="G1458" s="2176"/>
      <c r="H1458" s="2176"/>
      <c r="I1458" s="2176"/>
      <c r="J1458" s="986" t="str">
        <f>$C$727</f>
        <v>352500_2024_12_</v>
      </c>
      <c r="K1458" s="1649">
        <v>13.4</v>
      </c>
      <c r="L1458" s="12"/>
      <c r="M1458" s="1307" t="s">
        <v>1029</v>
      </c>
      <c r="P1458" s="248"/>
      <c r="Q1458" s="248"/>
      <c r="R1458" s="248"/>
      <c r="T1458" s="169"/>
      <c r="U1458" s="50"/>
      <c r="V1458" s="2177"/>
      <c r="W1458" s="1326">
        <v>13</v>
      </c>
      <c r="X1458" s="1326">
        <v>13</v>
      </c>
      <c r="Y1458" s="1326">
        <v>13</v>
      </c>
      <c r="Z1458" s="1326">
        <v>13</v>
      </c>
      <c r="AA1458" s="1326">
        <v>13</v>
      </c>
      <c r="AB1458" s="198">
        <v>13</v>
      </c>
      <c r="AC1458" s="198">
        <v>13</v>
      </c>
      <c r="AD1458" s="931">
        <v>13</v>
      </c>
      <c r="AE1458" s="1058">
        <v>14</v>
      </c>
      <c r="AF1458" s="258">
        <f t="shared" si="213"/>
        <v>13.4</v>
      </c>
      <c r="AG1458" s="1326"/>
      <c r="DG1458" s="555"/>
      <c r="DH1458" s="151"/>
      <c r="DI1458" s="1049"/>
      <c r="DJ1458" s="1127"/>
    </row>
    <row r="1459" spans="1:114" ht="15" hidden="1" customHeight="1" outlineLevel="1" x14ac:dyDescent="0.25">
      <c r="A1459" s="442"/>
      <c r="C1459" s="49"/>
      <c r="D1459" s="2177"/>
      <c r="E1459" s="2177"/>
      <c r="F1459" s="2176" t="str">
        <f>$E$729</f>
        <v>ASHP-SEER16-Replace_CAC_NonElectricHeat_ER1_SF</v>
      </c>
      <c r="G1459" s="2176"/>
      <c r="H1459" s="2176"/>
      <c r="I1459" s="2176"/>
      <c r="J1459" s="986" t="str">
        <f>$C$729</f>
        <v>352510_2024_12_</v>
      </c>
      <c r="K1459" s="875">
        <v>7.6515995433604935</v>
      </c>
      <c r="L1459" s="12"/>
      <c r="M1459" s="1593" t="s">
        <v>1035</v>
      </c>
      <c r="P1459" s="248"/>
      <c r="Q1459" s="248"/>
      <c r="R1459" s="248"/>
      <c r="T1459" s="169"/>
      <c r="U1459" s="50"/>
      <c r="V1459" s="2177"/>
      <c r="W1459" s="1326"/>
      <c r="X1459" s="1326"/>
      <c r="Y1459" s="1326"/>
      <c r="Z1459" s="1326"/>
      <c r="AA1459" s="1326"/>
      <c r="AB1459" s="198"/>
      <c r="AC1459" s="199">
        <v>8.1664591605461361</v>
      </c>
      <c r="AD1459" s="930">
        <v>7.4938049011994181</v>
      </c>
      <c r="AE1459" s="930">
        <v>7.7836347406448336</v>
      </c>
      <c r="AF1459" s="258">
        <f t="shared" si="213"/>
        <v>7.6515995433604935</v>
      </c>
      <c r="AG1459" s="1326"/>
      <c r="DG1459" s="555"/>
      <c r="DH1459" s="151"/>
      <c r="DI1459" s="1049"/>
      <c r="DJ1459" s="1127"/>
    </row>
    <row r="1460" spans="1:114" ht="15" hidden="1" customHeight="1" outlineLevel="1" x14ac:dyDescent="0.25">
      <c r="A1460" s="442"/>
      <c r="C1460" s="49"/>
      <c r="D1460" s="2177"/>
      <c r="E1460" s="2177"/>
      <c r="F1460" s="2176" t="str">
        <f>$E$731</f>
        <v>ASHP-SEER16-Replace_CAC_NonElectricHeat_ER2_SF</v>
      </c>
      <c r="G1460" s="2176"/>
      <c r="H1460" s="2176"/>
      <c r="I1460" s="2176"/>
      <c r="J1460" s="986" t="str">
        <f>$C$731</f>
        <v>352510_2024_12_</v>
      </c>
      <c r="K1460" s="1649">
        <v>13.4</v>
      </c>
      <c r="L1460" s="12"/>
      <c r="M1460" s="1307" t="s">
        <v>1029</v>
      </c>
      <c r="P1460" s="248"/>
      <c r="Q1460" s="248"/>
      <c r="R1460" s="248"/>
      <c r="T1460" s="169"/>
      <c r="U1460" s="50"/>
      <c r="V1460" s="2177"/>
      <c r="W1460" s="1326"/>
      <c r="X1460" s="1326"/>
      <c r="Y1460" s="1326"/>
      <c r="Z1460" s="1326"/>
      <c r="AA1460" s="1326"/>
      <c r="AB1460" s="198"/>
      <c r="AC1460" s="199">
        <v>13</v>
      </c>
      <c r="AD1460" s="931">
        <v>13</v>
      </c>
      <c r="AE1460" s="1058">
        <v>14</v>
      </c>
      <c r="AF1460" s="258">
        <f t="shared" si="213"/>
        <v>13.4</v>
      </c>
      <c r="AG1460" s="1326"/>
      <c r="DG1460" s="555"/>
      <c r="DH1460" s="151"/>
      <c r="DI1460" s="1049"/>
      <c r="DJ1460" s="1127"/>
    </row>
    <row r="1461" spans="1:114" ht="15" hidden="1" customHeight="1" outlineLevel="1" x14ac:dyDescent="0.25">
      <c r="A1461" s="442"/>
      <c r="C1461" s="49"/>
      <c r="D1461" s="2177"/>
      <c r="E1461" s="2177"/>
      <c r="F1461" s="2176" t="str">
        <f>$E$733</f>
        <v>ASHP-SEER16_ER1_SF</v>
      </c>
      <c r="G1461" s="2176"/>
      <c r="H1461" s="2176"/>
      <c r="I1461" s="2176"/>
      <c r="J1461" s="986" t="str">
        <f>$C$733</f>
        <v>352550_2024_12_</v>
      </c>
      <c r="K1461" s="875">
        <v>7.6515995433604935</v>
      </c>
      <c r="L1461" s="12"/>
      <c r="M1461" s="1593" t="s">
        <v>1035</v>
      </c>
      <c r="P1461" s="248"/>
      <c r="Q1461" s="248"/>
      <c r="R1461" s="248"/>
      <c r="T1461" s="169"/>
      <c r="U1461" s="50"/>
      <c r="V1461" s="2177"/>
      <c r="W1461" s="1326">
        <v>7.2</v>
      </c>
      <c r="X1461" s="794">
        <v>8.33</v>
      </c>
      <c r="Y1461" s="1326">
        <v>8.33</v>
      </c>
      <c r="Z1461" s="1326">
        <v>8.33</v>
      </c>
      <c r="AA1461" s="1326">
        <v>8.33</v>
      </c>
      <c r="AB1461" s="199">
        <v>7.7898582649437182</v>
      </c>
      <c r="AC1461" s="199">
        <v>8.4255600602484932</v>
      </c>
      <c r="AD1461" s="930">
        <v>7.4938049011994181</v>
      </c>
      <c r="AE1461" s="930">
        <v>7.7836347406448336</v>
      </c>
      <c r="AF1461" s="258">
        <f t="shared" si="213"/>
        <v>7.6515995433604935</v>
      </c>
      <c r="AG1461" s="1326"/>
      <c r="DG1461" s="555"/>
      <c r="DH1461" s="151"/>
      <c r="DI1461" s="1049"/>
      <c r="DJ1461" s="1127"/>
    </row>
    <row r="1462" spans="1:114" ht="15" hidden="1" customHeight="1" outlineLevel="1" x14ac:dyDescent="0.25">
      <c r="A1462" s="442"/>
      <c r="C1462" s="49"/>
      <c r="D1462" s="2177"/>
      <c r="E1462" s="2177"/>
      <c r="F1462" s="2176" t="str">
        <f>$E$735</f>
        <v>ASHP-SEER16_ER2_SF</v>
      </c>
      <c r="G1462" s="2176"/>
      <c r="H1462" s="2176"/>
      <c r="I1462" s="2176"/>
      <c r="J1462" s="986" t="str">
        <f>$C$735</f>
        <v>352550_2024_12_</v>
      </c>
      <c r="K1462" s="1649">
        <v>14.3</v>
      </c>
      <c r="L1462" s="12"/>
      <c r="M1462" s="1307" t="s">
        <v>1029</v>
      </c>
      <c r="P1462" s="248"/>
      <c r="Q1462" s="248"/>
      <c r="R1462" s="248"/>
      <c r="T1462" s="169"/>
      <c r="U1462" s="50"/>
      <c r="V1462" s="2177"/>
      <c r="W1462" s="1326">
        <v>14</v>
      </c>
      <c r="X1462" s="1326">
        <v>14</v>
      </c>
      <c r="Y1462" s="1326">
        <v>14</v>
      </c>
      <c r="Z1462" s="1326">
        <v>14</v>
      </c>
      <c r="AA1462" s="1326">
        <v>14</v>
      </c>
      <c r="AB1462" s="198">
        <v>14</v>
      </c>
      <c r="AC1462" s="198">
        <v>14</v>
      </c>
      <c r="AD1462" s="931">
        <v>14</v>
      </c>
      <c r="AE1462" s="1058">
        <v>15</v>
      </c>
      <c r="AF1462" s="258">
        <f t="shared" si="213"/>
        <v>14.3</v>
      </c>
      <c r="AG1462" s="1326"/>
      <c r="DG1462" s="555"/>
      <c r="DH1462" s="151"/>
      <c r="DI1462" s="1049"/>
      <c r="DJ1462" s="1127"/>
    </row>
    <row r="1463" spans="1:114" ht="15" hidden="1" customHeight="1" outlineLevel="1" x14ac:dyDescent="0.25">
      <c r="A1463" s="442"/>
      <c r="C1463" s="49"/>
      <c r="D1463" s="2177"/>
      <c r="E1463" s="2177"/>
      <c r="F1463" s="2176" t="str">
        <f>$E$737</f>
        <v>ASHP-SEER16-Replace_CAC_ElectricHeat_ROF_SF</v>
      </c>
      <c r="G1463" s="2176"/>
      <c r="H1463" s="2176"/>
      <c r="I1463" s="2176"/>
      <c r="J1463" s="986" t="str">
        <f>$C$737</f>
        <v>352600_2024_12_</v>
      </c>
      <c r="K1463" s="1649">
        <v>13.4</v>
      </c>
      <c r="L1463" s="12"/>
      <c r="M1463" s="1307" t="s">
        <v>1029</v>
      </c>
      <c r="P1463" s="248"/>
      <c r="Q1463" s="248"/>
      <c r="R1463" s="248"/>
      <c r="T1463" s="169"/>
      <c r="U1463" s="50"/>
      <c r="V1463" s="2177"/>
      <c r="W1463" s="1326">
        <v>13</v>
      </c>
      <c r="X1463" s="1326">
        <v>13</v>
      </c>
      <c r="Y1463" s="1326">
        <v>13</v>
      </c>
      <c r="Z1463" s="1326">
        <v>13</v>
      </c>
      <c r="AA1463" s="1326">
        <v>13</v>
      </c>
      <c r="AB1463" s="198">
        <v>13</v>
      </c>
      <c r="AC1463" s="198">
        <v>13</v>
      </c>
      <c r="AD1463" s="931">
        <v>13</v>
      </c>
      <c r="AE1463" s="1058">
        <v>14</v>
      </c>
      <c r="AF1463" s="258">
        <f t="shared" si="213"/>
        <v>13.4</v>
      </c>
      <c r="AG1463" s="1326"/>
      <c r="DG1463" s="555"/>
      <c r="DH1463" s="151"/>
      <c r="DI1463" s="1049"/>
      <c r="DJ1463" s="1127"/>
    </row>
    <row r="1464" spans="1:114" ht="15" hidden="1" customHeight="1" outlineLevel="1" x14ac:dyDescent="0.25">
      <c r="A1464" s="442"/>
      <c r="C1464" s="49"/>
      <c r="D1464" s="2177"/>
      <c r="E1464" s="2177"/>
      <c r="F1464" s="2176" t="str">
        <f>$E$739</f>
        <v>ASHP-SEER16-Replace_CAC_NonElectricHeat_ROF_SF</v>
      </c>
      <c r="G1464" s="2176"/>
      <c r="H1464" s="2176"/>
      <c r="I1464" s="2176"/>
      <c r="J1464" s="986" t="str">
        <f>$C$739</f>
        <v>352610_2024_12_</v>
      </c>
      <c r="K1464" s="1649">
        <v>13.4</v>
      </c>
      <c r="L1464" s="12"/>
      <c r="M1464" s="1307" t="s">
        <v>1029</v>
      </c>
      <c r="P1464" s="248"/>
      <c r="Q1464" s="248"/>
      <c r="R1464" s="248"/>
      <c r="T1464" s="169"/>
      <c r="U1464" s="50"/>
      <c r="V1464" s="2177"/>
      <c r="W1464" s="1326"/>
      <c r="X1464" s="1326"/>
      <c r="Y1464" s="1326"/>
      <c r="Z1464" s="1326"/>
      <c r="AA1464" s="1326"/>
      <c r="AB1464" s="198"/>
      <c r="AC1464" s="198"/>
      <c r="AD1464" s="930">
        <v>13</v>
      </c>
      <c r="AE1464" s="1058">
        <v>14</v>
      </c>
      <c r="AF1464" s="258">
        <f t="shared" si="213"/>
        <v>13.4</v>
      </c>
      <c r="AG1464" s="1326"/>
      <c r="DG1464" s="555"/>
      <c r="DH1464" s="151"/>
      <c r="DI1464" s="1049"/>
      <c r="DJ1464" s="1127"/>
    </row>
    <row r="1465" spans="1:114" ht="15" hidden="1" customHeight="1" outlineLevel="1" x14ac:dyDescent="0.25">
      <c r="A1465" s="442"/>
      <c r="C1465" s="49"/>
      <c r="D1465" s="2177"/>
      <c r="E1465" s="2177"/>
      <c r="F1465" s="2176" t="str">
        <f>$E$741</f>
        <v>ASHP-SEER16_ROF_SF</v>
      </c>
      <c r="G1465" s="2176"/>
      <c r="H1465" s="2176"/>
      <c r="I1465" s="2176"/>
      <c r="J1465" s="986" t="str">
        <f>$C$741</f>
        <v>352650_2024_12_</v>
      </c>
      <c r="K1465" s="1649">
        <v>14.3</v>
      </c>
      <c r="L1465" s="12"/>
      <c r="M1465" s="1307" t="s">
        <v>1029</v>
      </c>
      <c r="P1465" s="248"/>
      <c r="Q1465" s="248"/>
      <c r="R1465" s="248"/>
      <c r="T1465" s="169"/>
      <c r="U1465" s="50"/>
      <c r="V1465" s="2177"/>
      <c r="W1465" s="1326">
        <v>14</v>
      </c>
      <c r="X1465" s="1326">
        <v>14</v>
      </c>
      <c r="Y1465" s="1326">
        <v>14</v>
      </c>
      <c r="Z1465" s="1326">
        <v>14</v>
      </c>
      <c r="AA1465" s="1326">
        <v>14</v>
      </c>
      <c r="AB1465" s="198">
        <v>14</v>
      </c>
      <c r="AC1465" s="198">
        <v>14</v>
      </c>
      <c r="AD1465" s="931">
        <v>14</v>
      </c>
      <c r="AE1465" s="1058">
        <v>15</v>
      </c>
      <c r="AF1465" s="258">
        <f t="shared" si="213"/>
        <v>14.3</v>
      </c>
      <c r="AG1465" s="1326"/>
      <c r="DG1465" s="555"/>
      <c r="DH1465" s="151"/>
      <c r="DI1465" s="1049"/>
      <c r="DJ1465" s="1127"/>
    </row>
    <row r="1466" spans="1:114" ht="15" hidden="1" customHeight="1" outlineLevel="1" x14ac:dyDescent="0.25">
      <c r="A1466" s="442"/>
      <c r="C1466" s="49"/>
      <c r="D1466" s="2177"/>
      <c r="E1466" s="2177"/>
      <c r="F1466" s="2176" t="str">
        <f>$E$743</f>
        <v>ASHP-SEER16-Replace_CAC_ElectricHeat_ER1_MF</v>
      </c>
      <c r="G1466" s="2176"/>
      <c r="H1466" s="2176"/>
      <c r="I1466" s="2176"/>
      <c r="J1466" s="986" t="str">
        <f>$C$743</f>
        <v>353000_2024_12_</v>
      </c>
      <c r="K1466" s="875">
        <v>7.9529639856088918</v>
      </c>
      <c r="L1466" s="249"/>
      <c r="M1466" s="1577" t="s">
        <v>1026</v>
      </c>
      <c r="P1466" s="248"/>
      <c r="Q1466" s="248"/>
      <c r="R1466" s="248"/>
      <c r="T1466" s="169"/>
      <c r="U1466" s="50"/>
      <c r="V1466" s="2177"/>
      <c r="W1466" s="1326">
        <v>6.8</v>
      </c>
      <c r="X1466" s="794">
        <v>8.33</v>
      </c>
      <c r="Y1466" s="1326">
        <v>8.33</v>
      </c>
      <c r="Z1466" s="1326">
        <v>8.33</v>
      </c>
      <c r="AA1466" s="1326">
        <v>8.33</v>
      </c>
      <c r="AB1466" s="198">
        <v>8.33</v>
      </c>
      <c r="AC1466" s="199">
        <v>6.7219971629290205</v>
      </c>
      <c r="AD1466" s="930">
        <v>7.9529639856088918</v>
      </c>
      <c r="AE1466" s="931">
        <v>7.9529639856088918</v>
      </c>
      <c r="AF1466" s="258">
        <f t="shared" si="213"/>
        <v>7.9529639856088918</v>
      </c>
      <c r="AG1466" s="1326"/>
      <c r="DG1466" s="555"/>
      <c r="DH1466" s="151"/>
      <c r="DI1466" s="1049"/>
      <c r="DJ1466" s="1127"/>
    </row>
    <row r="1467" spans="1:114" ht="15" hidden="1" customHeight="1" outlineLevel="1" x14ac:dyDescent="0.25">
      <c r="A1467" s="442"/>
      <c r="C1467" s="49"/>
      <c r="D1467" s="2177"/>
      <c r="E1467" s="2177"/>
      <c r="F1467" s="2176" t="str">
        <f>$E$745</f>
        <v>ASHP-SEER16-Replace_CAC_ElectricHeat_ER2_MF</v>
      </c>
      <c r="G1467" s="2176"/>
      <c r="H1467" s="2176"/>
      <c r="I1467" s="2176"/>
      <c r="J1467" s="986" t="str">
        <f>$C$745</f>
        <v>353000_2024_12_</v>
      </c>
      <c r="K1467" s="1649">
        <v>13.4</v>
      </c>
      <c r="L1467" s="12"/>
      <c r="M1467" s="1307" t="s">
        <v>1029</v>
      </c>
      <c r="P1467" s="248"/>
      <c r="Q1467" s="248"/>
      <c r="R1467" s="248"/>
      <c r="T1467" s="169"/>
      <c r="U1467" s="50"/>
      <c r="V1467" s="2177"/>
      <c r="W1467" s="1326">
        <v>13</v>
      </c>
      <c r="X1467" s="1326">
        <v>13</v>
      </c>
      <c r="Y1467" s="1326">
        <v>13</v>
      </c>
      <c r="Z1467" s="1326">
        <v>13</v>
      </c>
      <c r="AA1467" s="1326">
        <v>13</v>
      </c>
      <c r="AB1467" s="198">
        <v>13</v>
      </c>
      <c r="AC1467" s="198">
        <v>13</v>
      </c>
      <c r="AD1467" s="931">
        <v>13</v>
      </c>
      <c r="AE1467" s="1058">
        <v>14</v>
      </c>
      <c r="AF1467" s="258">
        <f t="shared" si="213"/>
        <v>13.4</v>
      </c>
      <c r="AG1467" s="1326"/>
      <c r="DG1467" s="555"/>
      <c r="DH1467" s="151"/>
      <c r="DI1467" s="1049"/>
      <c r="DJ1467" s="1127"/>
    </row>
    <row r="1468" spans="1:114" ht="15" hidden="1" customHeight="1" outlineLevel="1" x14ac:dyDescent="0.25">
      <c r="A1468" s="442"/>
      <c r="C1468" s="49"/>
      <c r="D1468" s="2177"/>
      <c r="E1468" s="2177"/>
      <c r="F1468" s="2176" t="str">
        <f>$E$747</f>
        <v>ASHP-SEER17-Replace_CAC_ElectricHeat_ROF_SF</v>
      </c>
      <c r="G1468" s="2176"/>
      <c r="H1468" s="2176"/>
      <c r="I1468" s="2176"/>
      <c r="J1468" s="986" t="str">
        <f>$C$747</f>
        <v>353100_2024_12_</v>
      </c>
      <c r="K1468" s="1649">
        <v>13.4</v>
      </c>
      <c r="L1468" s="12"/>
      <c r="M1468" s="1307" t="s">
        <v>1029</v>
      </c>
      <c r="P1468" s="248"/>
      <c r="Q1468" s="248"/>
      <c r="R1468" s="248"/>
      <c r="T1468" s="169"/>
      <c r="U1468" s="50"/>
      <c r="V1468" s="2177"/>
      <c r="W1468" s="1326">
        <v>6.8</v>
      </c>
      <c r="X1468" s="794">
        <v>8.33</v>
      </c>
      <c r="Y1468" s="794">
        <v>13</v>
      </c>
      <c r="Z1468" s="1326">
        <v>13</v>
      </c>
      <c r="AA1468" s="1326">
        <v>13</v>
      </c>
      <c r="AB1468" s="198">
        <v>13</v>
      </c>
      <c r="AC1468" s="198">
        <v>13</v>
      </c>
      <c r="AD1468" s="931">
        <v>13</v>
      </c>
      <c r="AE1468" s="1058">
        <v>14</v>
      </c>
      <c r="AF1468" s="258">
        <f t="shared" si="213"/>
        <v>13.4</v>
      </c>
      <c r="AG1468" s="1326"/>
      <c r="DG1468" s="555"/>
      <c r="DH1468" s="151"/>
      <c r="DI1468" s="1049"/>
      <c r="DJ1468" s="1127"/>
    </row>
    <row r="1469" spans="1:114" ht="15" hidden="1" customHeight="1" outlineLevel="1" x14ac:dyDescent="0.25">
      <c r="A1469" s="442"/>
      <c r="C1469" s="49"/>
      <c r="D1469" s="2177"/>
      <c r="E1469" s="2177"/>
      <c r="F1469" s="2176" t="str">
        <f>$E$749</f>
        <v>ASHP-SEER17-Replace_CAC_NonElectricHeat_ROF_SF</v>
      </c>
      <c r="G1469" s="2176"/>
      <c r="H1469" s="2176"/>
      <c r="I1469" s="2176"/>
      <c r="J1469" s="986" t="str">
        <f>$C$749</f>
        <v>353110_2024_12_</v>
      </c>
      <c r="K1469" s="1649">
        <v>13.4</v>
      </c>
      <c r="L1469" s="12"/>
      <c r="M1469" s="1307" t="s">
        <v>1029</v>
      </c>
      <c r="P1469" s="248"/>
      <c r="Q1469" s="248"/>
      <c r="R1469" s="248"/>
      <c r="T1469" s="169"/>
      <c r="U1469" s="50"/>
      <c r="V1469" s="2177"/>
      <c r="W1469" s="1326"/>
      <c r="X1469" s="1326"/>
      <c r="Y1469" s="1326"/>
      <c r="Z1469" s="1326"/>
      <c r="AA1469" s="1326"/>
      <c r="AB1469" s="198"/>
      <c r="AC1469" s="198"/>
      <c r="AD1469" s="930">
        <v>13</v>
      </c>
      <c r="AE1469" s="1058">
        <v>14</v>
      </c>
      <c r="AF1469" s="258">
        <f t="shared" si="213"/>
        <v>13.4</v>
      </c>
      <c r="AG1469" s="1326"/>
      <c r="DG1469" s="555"/>
      <c r="DH1469" s="151"/>
      <c r="DI1469" s="1049"/>
      <c r="DJ1469" s="1127"/>
    </row>
    <row r="1470" spans="1:114" ht="15" hidden="1" customHeight="1" outlineLevel="1" x14ac:dyDescent="0.25">
      <c r="A1470" s="442"/>
      <c r="C1470" s="49"/>
      <c r="D1470" s="2177"/>
      <c r="E1470" s="2177"/>
      <c r="F1470" s="2176" t="str">
        <f>$E$751</f>
        <v>ASHP-SEER18-Replace_CAC_ElectricHeat_ROF_SF</v>
      </c>
      <c r="G1470" s="2176"/>
      <c r="H1470" s="2176"/>
      <c r="I1470" s="2176"/>
      <c r="J1470" s="986" t="str">
        <f>$C$751</f>
        <v>353200_2024_12_</v>
      </c>
      <c r="K1470" s="1649">
        <v>13.4</v>
      </c>
      <c r="L1470" s="12"/>
      <c r="M1470" s="1307" t="s">
        <v>1029</v>
      </c>
      <c r="P1470" s="248"/>
      <c r="Q1470" s="248"/>
      <c r="R1470" s="248"/>
      <c r="T1470" s="169"/>
      <c r="U1470" s="50"/>
      <c r="V1470" s="2177"/>
      <c r="W1470" s="1326">
        <v>6.8</v>
      </c>
      <c r="X1470" s="794">
        <v>8.33</v>
      </c>
      <c r="Y1470" s="794">
        <v>13</v>
      </c>
      <c r="Z1470" s="1326">
        <v>13</v>
      </c>
      <c r="AA1470" s="1326">
        <v>13</v>
      </c>
      <c r="AB1470" s="198">
        <v>13</v>
      </c>
      <c r="AC1470" s="198">
        <v>13</v>
      </c>
      <c r="AD1470" s="931">
        <v>13</v>
      </c>
      <c r="AE1470" s="1058">
        <v>14</v>
      </c>
      <c r="AF1470" s="258">
        <f t="shared" ref="AF1470:AF1503" si="214">IF(K1470&lt;&gt;"",K1470,"")</f>
        <v>13.4</v>
      </c>
      <c r="AG1470" s="1326"/>
      <c r="DG1470" s="555"/>
      <c r="DH1470" s="151"/>
      <c r="DI1470" s="1049"/>
      <c r="DJ1470" s="1127"/>
    </row>
    <row r="1471" spans="1:114" ht="15" hidden="1" customHeight="1" outlineLevel="1" x14ac:dyDescent="0.25">
      <c r="A1471" s="442"/>
      <c r="C1471" s="49"/>
      <c r="D1471" s="2177"/>
      <c r="E1471" s="2177"/>
      <c r="F1471" s="2176" t="str">
        <f>$E$753</f>
        <v>ASHP-SEER18-Replace_CAC_NonElectricHeat_ROF_SF</v>
      </c>
      <c r="G1471" s="2176"/>
      <c r="H1471" s="2176"/>
      <c r="I1471" s="2176"/>
      <c r="J1471" s="986" t="str">
        <f>$C$753</f>
        <v>353210_2024_12_</v>
      </c>
      <c r="K1471" s="1649">
        <v>13.4</v>
      </c>
      <c r="L1471" s="12"/>
      <c r="M1471" s="1307" t="s">
        <v>1029</v>
      </c>
      <c r="P1471" s="248"/>
      <c r="Q1471" s="248"/>
      <c r="R1471" s="248"/>
      <c r="T1471" s="169"/>
      <c r="U1471" s="50"/>
      <c r="V1471" s="2177"/>
      <c r="W1471" s="1326"/>
      <c r="X1471" s="1326"/>
      <c r="Y1471" s="1326"/>
      <c r="Z1471" s="1326"/>
      <c r="AA1471" s="1326"/>
      <c r="AB1471" s="198"/>
      <c r="AC1471" s="198"/>
      <c r="AD1471" s="930">
        <v>13</v>
      </c>
      <c r="AE1471" s="1058">
        <v>14</v>
      </c>
      <c r="AF1471" s="258">
        <f t="shared" si="214"/>
        <v>13.4</v>
      </c>
      <c r="AG1471" s="1326"/>
      <c r="DG1471" s="555"/>
      <c r="DH1471" s="151"/>
      <c r="DI1471" s="1049"/>
      <c r="DJ1471" s="1127"/>
    </row>
    <row r="1472" spans="1:114" ht="15" hidden="1" customHeight="1" outlineLevel="1" x14ac:dyDescent="0.25">
      <c r="A1472" s="442"/>
      <c r="C1472" s="49"/>
      <c r="D1472" s="2177"/>
      <c r="E1472" s="2177"/>
      <c r="F1472" s="2176" t="str">
        <f>$E$755</f>
        <v>ASHP-SEER19-Replace_CAC_ElectricHeat_ROF_SF</v>
      </c>
      <c r="G1472" s="2176"/>
      <c r="H1472" s="2176"/>
      <c r="I1472" s="2176"/>
      <c r="J1472" s="986" t="str">
        <f>$C$755</f>
        <v>353300_2024_12_</v>
      </c>
      <c r="K1472" s="1649">
        <v>13.4</v>
      </c>
      <c r="L1472" s="12"/>
      <c r="M1472" s="1307" t="s">
        <v>1029</v>
      </c>
      <c r="P1472" s="248"/>
      <c r="Q1472" s="248"/>
      <c r="R1472" s="248"/>
      <c r="T1472" s="169"/>
      <c r="U1472" s="50"/>
      <c r="V1472" s="2177"/>
      <c r="W1472" s="1326">
        <v>6.8</v>
      </c>
      <c r="X1472" s="794">
        <v>8.33</v>
      </c>
      <c r="Y1472" s="794">
        <v>13</v>
      </c>
      <c r="Z1472" s="1326">
        <v>13</v>
      </c>
      <c r="AA1472" s="1326">
        <v>13</v>
      </c>
      <c r="AB1472" s="198">
        <v>13</v>
      </c>
      <c r="AC1472" s="198">
        <v>13</v>
      </c>
      <c r="AD1472" s="931">
        <v>13</v>
      </c>
      <c r="AE1472" s="1058">
        <v>14</v>
      </c>
      <c r="AF1472" s="258">
        <f t="shared" si="214"/>
        <v>13.4</v>
      </c>
      <c r="AG1472" s="1326"/>
      <c r="DG1472" s="555"/>
      <c r="DH1472" s="151"/>
      <c r="DI1472" s="1049"/>
      <c r="DJ1472" s="1127"/>
    </row>
    <row r="1473" spans="1:114" ht="15" hidden="1" customHeight="1" outlineLevel="1" x14ac:dyDescent="0.25">
      <c r="A1473" s="442"/>
      <c r="C1473" s="49"/>
      <c r="D1473" s="2177"/>
      <c r="E1473" s="2177"/>
      <c r="F1473" s="2176" t="str">
        <f>$E$757</f>
        <v>ASHP-SEER19-Replace_CAC_NonElectricHeat_ROF_SF</v>
      </c>
      <c r="G1473" s="2176"/>
      <c r="H1473" s="2176"/>
      <c r="I1473" s="2176"/>
      <c r="J1473" s="986" t="str">
        <f>$C$757</f>
        <v>353310_2024_12_</v>
      </c>
      <c r="K1473" s="1649">
        <v>13.4</v>
      </c>
      <c r="L1473" s="12"/>
      <c r="M1473" s="1307" t="s">
        <v>1029</v>
      </c>
      <c r="P1473" s="248"/>
      <c r="Q1473" s="248"/>
      <c r="R1473" s="248"/>
      <c r="T1473" s="169"/>
      <c r="U1473" s="50"/>
      <c r="V1473" s="2177"/>
      <c r="W1473" s="1326"/>
      <c r="X1473" s="1326"/>
      <c r="Y1473" s="1326"/>
      <c r="Z1473" s="1326"/>
      <c r="AA1473" s="1326"/>
      <c r="AB1473" s="198"/>
      <c r="AC1473" s="198"/>
      <c r="AD1473" s="930">
        <v>13</v>
      </c>
      <c r="AE1473" s="1058">
        <v>14</v>
      </c>
      <c r="AF1473" s="258">
        <f t="shared" si="214"/>
        <v>13.4</v>
      </c>
      <c r="AG1473" s="1326"/>
      <c r="DG1473" s="555"/>
      <c r="DH1473" s="151"/>
      <c r="DI1473" s="1049"/>
      <c r="DJ1473" s="1127"/>
    </row>
    <row r="1474" spans="1:114" ht="15" hidden="1" customHeight="1" outlineLevel="1" x14ac:dyDescent="0.25">
      <c r="A1474" s="442"/>
      <c r="C1474" s="49"/>
      <c r="D1474" s="2177"/>
      <c r="E1474" s="2177"/>
      <c r="F1474" s="2176" t="str">
        <f>$E$759</f>
        <v>ASHP-SEER20-Replace_CAC_ElectricHeat_ER1_SF</v>
      </c>
      <c r="G1474" s="2176"/>
      <c r="H1474" s="2176"/>
      <c r="I1474" s="2176"/>
      <c r="J1474" s="986" t="str">
        <f>$C$759</f>
        <v>353400_2024_12_</v>
      </c>
      <c r="K1474" s="875">
        <v>8.0952251540374363</v>
      </c>
      <c r="L1474" s="249"/>
      <c r="M1474" s="1593" t="s">
        <v>1035</v>
      </c>
      <c r="P1474" s="248"/>
      <c r="Q1474" s="248"/>
      <c r="R1474" s="248"/>
      <c r="T1474" s="169"/>
      <c r="U1474" s="50"/>
      <c r="V1474" s="2177"/>
      <c r="W1474" s="1326">
        <v>6.8</v>
      </c>
      <c r="X1474" s="794">
        <v>8.33</v>
      </c>
      <c r="Y1474" s="1326">
        <v>8.33</v>
      </c>
      <c r="Z1474" s="1326">
        <v>8.33</v>
      </c>
      <c r="AA1474" s="1326">
        <v>8.33</v>
      </c>
      <c r="AB1474" s="198">
        <v>8.33</v>
      </c>
      <c r="AC1474" s="199">
        <v>8.3166278348954581</v>
      </c>
      <c r="AD1474" s="930">
        <v>7.6241123100090684</v>
      </c>
      <c r="AE1474" s="930">
        <v>7.876368789413509</v>
      </c>
      <c r="AF1474" s="258">
        <f t="shared" si="214"/>
        <v>8.0952251540374363</v>
      </c>
      <c r="AG1474" s="1326"/>
      <c r="DG1474" s="555"/>
      <c r="DH1474" s="151"/>
      <c r="DI1474" s="1049"/>
      <c r="DJ1474" s="1127"/>
    </row>
    <row r="1475" spans="1:114" ht="15" hidden="1" customHeight="1" outlineLevel="1" x14ac:dyDescent="0.25">
      <c r="A1475" s="442"/>
      <c r="C1475" s="49"/>
      <c r="D1475" s="2177"/>
      <c r="E1475" s="2177"/>
      <c r="F1475" s="2176" t="str">
        <f>$E$761</f>
        <v>ASHP-SEER20-Replace_CAC_ElectricHeat_ER2_SF</v>
      </c>
      <c r="G1475" s="2176"/>
      <c r="H1475" s="2176"/>
      <c r="I1475" s="2176"/>
      <c r="J1475" s="986" t="str">
        <f>$C$761</f>
        <v>353400_2024_12_</v>
      </c>
      <c r="K1475" s="1649">
        <v>13.4</v>
      </c>
      <c r="L1475" s="12"/>
      <c r="M1475" s="1307" t="s">
        <v>1029</v>
      </c>
      <c r="P1475" s="248"/>
      <c r="Q1475" s="248"/>
      <c r="R1475" s="248"/>
      <c r="T1475" s="169"/>
      <c r="U1475" s="50"/>
      <c r="V1475" s="2177"/>
      <c r="W1475" s="1326">
        <v>13</v>
      </c>
      <c r="X1475" s="1326">
        <v>13</v>
      </c>
      <c r="Y1475" s="1326">
        <v>13</v>
      </c>
      <c r="Z1475" s="1326">
        <v>13</v>
      </c>
      <c r="AA1475" s="1326">
        <v>13</v>
      </c>
      <c r="AB1475" s="198">
        <v>13</v>
      </c>
      <c r="AC1475" s="198">
        <v>13</v>
      </c>
      <c r="AD1475" s="931">
        <v>13</v>
      </c>
      <c r="AE1475" s="1058">
        <v>14</v>
      </c>
      <c r="AF1475" s="258">
        <f t="shared" si="214"/>
        <v>13.4</v>
      </c>
      <c r="AG1475" s="1326"/>
      <c r="DG1475" s="555"/>
      <c r="DH1475" s="151"/>
      <c r="DI1475" s="1049"/>
      <c r="DJ1475" s="1127"/>
    </row>
    <row r="1476" spans="1:114" ht="15" hidden="1" customHeight="1" outlineLevel="1" x14ac:dyDescent="0.25">
      <c r="A1476" s="442"/>
      <c r="C1476" s="49"/>
      <c r="D1476" s="2177"/>
      <c r="E1476" s="2177"/>
      <c r="F1476" s="2176" t="str">
        <f>$E$763</f>
        <v>ASHP-SEER20-Replace_CAC_NonElectricHeat_ER1_SF</v>
      </c>
      <c r="G1476" s="2176"/>
      <c r="H1476" s="2176"/>
      <c r="I1476" s="2176"/>
      <c r="J1476" s="986" t="str">
        <f>$C$763</f>
        <v>353410_2024_12_</v>
      </c>
      <c r="K1476" s="875">
        <v>8.0952251540374363</v>
      </c>
      <c r="L1476" s="249"/>
      <c r="M1476" s="1593" t="s">
        <v>1035</v>
      </c>
      <c r="P1476" s="248"/>
      <c r="Q1476" s="248"/>
      <c r="R1476" s="248"/>
      <c r="T1476" s="169"/>
      <c r="U1476" s="50"/>
      <c r="V1476" s="2177"/>
      <c r="W1476" s="1326"/>
      <c r="X1476" s="1326"/>
      <c r="Y1476" s="1326"/>
      <c r="Z1476" s="1326"/>
      <c r="AA1476" s="1326"/>
      <c r="AB1476" s="198"/>
      <c r="AC1476" s="199">
        <v>8.3166278348954581</v>
      </c>
      <c r="AD1476" s="930">
        <v>7.6241123100090684</v>
      </c>
      <c r="AE1476" s="930">
        <v>7.876368789413509</v>
      </c>
      <c r="AF1476" s="258">
        <f t="shared" si="214"/>
        <v>8.0952251540374363</v>
      </c>
      <c r="AG1476" s="1326"/>
      <c r="DG1476" s="555"/>
      <c r="DH1476" s="151"/>
      <c r="DI1476" s="1049"/>
      <c r="DJ1476" s="1127"/>
    </row>
    <row r="1477" spans="1:114" ht="15" hidden="1" customHeight="1" outlineLevel="1" x14ac:dyDescent="0.25">
      <c r="A1477" s="442"/>
      <c r="C1477" s="49"/>
      <c r="D1477" s="2177"/>
      <c r="E1477" s="2177"/>
      <c r="F1477" s="2176" t="str">
        <f>$E$765</f>
        <v>ASHP-SEER20-Replace_CAC_NonElectricHeat_ER2_SF</v>
      </c>
      <c r="G1477" s="2176"/>
      <c r="H1477" s="2176"/>
      <c r="I1477" s="2176"/>
      <c r="J1477" s="986" t="str">
        <f>$C$765</f>
        <v>353410_2024_12_</v>
      </c>
      <c r="K1477" s="1649">
        <v>13.4</v>
      </c>
      <c r="L1477" s="12"/>
      <c r="M1477" s="1307" t="s">
        <v>1029</v>
      </c>
      <c r="P1477" s="248"/>
      <c r="Q1477" s="248"/>
      <c r="R1477" s="248"/>
      <c r="T1477" s="169"/>
      <c r="U1477" s="50"/>
      <c r="V1477" s="2177"/>
      <c r="W1477" s="1326"/>
      <c r="X1477" s="1326"/>
      <c r="Y1477" s="1326"/>
      <c r="Z1477" s="1326"/>
      <c r="AA1477" s="1326"/>
      <c r="AB1477" s="198"/>
      <c r="AC1477" s="199">
        <v>13</v>
      </c>
      <c r="AD1477" s="931">
        <v>13</v>
      </c>
      <c r="AE1477" s="1058">
        <v>14</v>
      </c>
      <c r="AF1477" s="258">
        <f t="shared" si="214"/>
        <v>13.4</v>
      </c>
      <c r="AG1477" s="1326"/>
      <c r="DG1477" s="555"/>
      <c r="DH1477" s="151"/>
      <c r="DI1477" s="1049"/>
      <c r="DJ1477" s="1127"/>
    </row>
    <row r="1478" spans="1:114" ht="15" hidden="1" customHeight="1" outlineLevel="1" x14ac:dyDescent="0.25">
      <c r="A1478" s="442"/>
      <c r="C1478" s="49"/>
      <c r="D1478" s="2177"/>
      <c r="E1478" s="2177"/>
      <c r="F1478" s="2176" t="str">
        <f>$E$767</f>
        <v>ASHP-SEER20-Replace_CAC_ElectricHeat_ROF_SF</v>
      </c>
      <c r="G1478" s="2176"/>
      <c r="H1478" s="2176"/>
      <c r="I1478" s="2176"/>
      <c r="J1478" s="986" t="str">
        <f>$C$767</f>
        <v>353450_2024_12_</v>
      </c>
      <c r="K1478" s="1649">
        <v>13.4</v>
      </c>
      <c r="L1478" s="12"/>
      <c r="M1478" s="1307" t="s">
        <v>1029</v>
      </c>
      <c r="P1478" s="248"/>
      <c r="Q1478" s="248"/>
      <c r="R1478" s="248"/>
      <c r="T1478" s="169"/>
      <c r="U1478" s="50"/>
      <c r="V1478" s="2177"/>
      <c r="W1478" s="1326">
        <v>13</v>
      </c>
      <c r="X1478" s="1326">
        <v>13</v>
      </c>
      <c r="Y1478" s="1326">
        <v>13</v>
      </c>
      <c r="Z1478" s="1326">
        <v>13</v>
      </c>
      <c r="AA1478" s="1326">
        <v>13</v>
      </c>
      <c r="AB1478" s="198">
        <v>13</v>
      </c>
      <c r="AC1478" s="198">
        <v>13</v>
      </c>
      <c r="AD1478" s="931">
        <v>13</v>
      </c>
      <c r="AE1478" s="1058">
        <v>14</v>
      </c>
      <c r="AF1478" s="258">
        <f t="shared" si="214"/>
        <v>13.4</v>
      </c>
      <c r="AG1478" s="1326"/>
      <c r="DG1478" s="555"/>
      <c r="DH1478" s="151"/>
      <c r="DI1478" s="1049"/>
      <c r="DJ1478" s="1127"/>
    </row>
    <row r="1479" spans="1:114" ht="15" hidden="1" customHeight="1" outlineLevel="1" x14ac:dyDescent="0.25">
      <c r="A1479" s="442"/>
      <c r="C1479" s="49"/>
      <c r="D1479" s="2177"/>
      <c r="E1479" s="2177"/>
      <c r="F1479" s="2176" t="str">
        <f>$E$769</f>
        <v>ASHP-SEER20-Replace_CAC_NonElectricHeat_ROF_SF</v>
      </c>
      <c r="G1479" s="2176"/>
      <c r="H1479" s="2176"/>
      <c r="I1479" s="2176"/>
      <c r="J1479" s="986" t="str">
        <f>$C$769</f>
        <v>353460_2024_12_</v>
      </c>
      <c r="K1479" s="1649">
        <v>13.4</v>
      </c>
      <c r="L1479" s="12"/>
      <c r="M1479" s="1307" t="s">
        <v>1029</v>
      </c>
      <c r="P1479" s="248"/>
      <c r="Q1479" s="248"/>
      <c r="R1479" s="248"/>
      <c r="T1479" s="169"/>
      <c r="U1479" s="50"/>
      <c r="V1479" s="2177"/>
      <c r="W1479" s="1326"/>
      <c r="X1479" s="1326"/>
      <c r="Y1479" s="1326"/>
      <c r="Z1479" s="1326"/>
      <c r="AA1479" s="1326"/>
      <c r="AB1479" s="198"/>
      <c r="AC1479" s="198"/>
      <c r="AD1479" s="930">
        <v>13</v>
      </c>
      <c r="AE1479" s="1058">
        <v>14</v>
      </c>
      <c r="AF1479" s="258">
        <f t="shared" si="214"/>
        <v>13.4</v>
      </c>
      <c r="AG1479" s="1326"/>
      <c r="DG1479" s="555"/>
      <c r="DH1479" s="151"/>
      <c r="DI1479" s="1049"/>
      <c r="DJ1479" s="1127"/>
    </row>
    <row r="1480" spans="1:114" ht="15" hidden="1" customHeight="1" outlineLevel="1" x14ac:dyDescent="0.25">
      <c r="A1480" s="442"/>
      <c r="C1480" s="49"/>
      <c r="D1480" s="2177"/>
      <c r="E1480" s="2177"/>
      <c r="F1480" s="2176" t="str">
        <f>$E$771</f>
        <v>ASHP-SEER21-Replace_CAC_ElectricHeat_ER1_SF</v>
      </c>
      <c r="G1480" s="2176"/>
      <c r="H1480" s="2176"/>
      <c r="I1480" s="2176"/>
      <c r="J1480" s="986" t="str">
        <f>$C$771</f>
        <v>353550_2024_12_</v>
      </c>
      <c r="K1480" s="875">
        <v>8.344911767808382</v>
      </c>
      <c r="L1480" s="249"/>
      <c r="M1480" s="1593" t="s">
        <v>1035</v>
      </c>
      <c r="P1480" s="248"/>
      <c r="Q1480" s="196"/>
      <c r="R1480" s="248"/>
      <c r="T1480" s="169"/>
      <c r="U1480" s="50"/>
      <c r="V1480" s="2177"/>
      <c r="W1480" s="1326">
        <v>6.8</v>
      </c>
      <c r="X1480" s="794">
        <v>8.33</v>
      </c>
      <c r="Y1480" s="1326">
        <v>8.33</v>
      </c>
      <c r="Z1480" s="1326">
        <v>8.33</v>
      </c>
      <c r="AA1480" s="1326">
        <v>8.33</v>
      </c>
      <c r="AB1480" s="198">
        <v>8.33</v>
      </c>
      <c r="AC1480" s="199">
        <v>8.4603597630441261</v>
      </c>
      <c r="AD1480" s="930">
        <v>7.6464902009468165</v>
      </c>
      <c r="AE1480" s="930">
        <v>8.1664994015949581</v>
      </c>
      <c r="AF1480" s="258">
        <f t="shared" si="214"/>
        <v>8.344911767808382</v>
      </c>
      <c r="AG1480" s="1326"/>
      <c r="DG1480" s="555"/>
      <c r="DH1480" s="151"/>
      <c r="DI1480" s="1049"/>
      <c r="DJ1480" s="1127"/>
    </row>
    <row r="1481" spans="1:114" ht="15" hidden="1" customHeight="1" outlineLevel="1" x14ac:dyDescent="0.25">
      <c r="A1481" s="442"/>
      <c r="C1481" s="49"/>
      <c r="D1481" s="2177"/>
      <c r="E1481" s="2177"/>
      <c r="F1481" s="2176" t="str">
        <f>$E$773</f>
        <v>ASHP-SEER21-Replace_CAC_ElectricHeat_ER2_SF</v>
      </c>
      <c r="G1481" s="2176"/>
      <c r="H1481" s="2176"/>
      <c r="I1481" s="2176"/>
      <c r="J1481" s="986" t="str">
        <f>$C$773</f>
        <v>353550_2024_12_</v>
      </c>
      <c r="K1481" s="1649">
        <v>13.4</v>
      </c>
      <c r="L1481" s="12"/>
      <c r="M1481" s="1307" t="s">
        <v>1029</v>
      </c>
      <c r="P1481" s="248"/>
      <c r="Q1481" s="196"/>
      <c r="R1481" s="248"/>
      <c r="T1481" s="169"/>
      <c r="U1481" s="50"/>
      <c r="V1481" s="2177"/>
      <c r="W1481" s="1326">
        <v>13</v>
      </c>
      <c r="X1481" s="1326">
        <v>13</v>
      </c>
      <c r="Y1481" s="1326">
        <v>13</v>
      </c>
      <c r="Z1481" s="1326">
        <v>13</v>
      </c>
      <c r="AA1481" s="1326">
        <v>13</v>
      </c>
      <c r="AB1481" s="198">
        <v>13</v>
      </c>
      <c r="AC1481" s="198">
        <v>13</v>
      </c>
      <c r="AD1481" s="931">
        <v>13</v>
      </c>
      <c r="AE1481" s="1058">
        <v>14</v>
      </c>
      <c r="AF1481" s="258">
        <f t="shared" si="214"/>
        <v>13.4</v>
      </c>
      <c r="AG1481" s="1326"/>
      <c r="DG1481" s="555"/>
      <c r="DH1481" s="151"/>
      <c r="DI1481" s="1049"/>
      <c r="DJ1481" s="1127"/>
    </row>
    <row r="1482" spans="1:114" ht="15" hidden="1" customHeight="1" outlineLevel="1" x14ac:dyDescent="0.25">
      <c r="A1482" s="442"/>
      <c r="C1482" s="49"/>
      <c r="D1482" s="2177"/>
      <c r="E1482" s="2177"/>
      <c r="F1482" s="2176" t="str">
        <f>$E$775</f>
        <v>ASHP-SEER21-Replace_CAC_NonElectricHeat_ER1_SF</v>
      </c>
      <c r="G1482" s="2176"/>
      <c r="H1482" s="2176"/>
      <c r="I1482" s="2176"/>
      <c r="J1482" s="986" t="str">
        <f>$C$775</f>
        <v>353560_2024_12_</v>
      </c>
      <c r="K1482" s="875">
        <v>8.344911767808382</v>
      </c>
      <c r="L1482" s="249"/>
      <c r="M1482" s="1593" t="s">
        <v>1035</v>
      </c>
      <c r="P1482" s="248"/>
      <c r="Q1482" s="196"/>
      <c r="R1482" s="248"/>
      <c r="T1482" s="169"/>
      <c r="U1482" s="50"/>
      <c r="V1482" s="2177"/>
      <c r="W1482" s="1326"/>
      <c r="X1482" s="1326"/>
      <c r="Y1482" s="1326"/>
      <c r="Z1482" s="1326"/>
      <c r="AA1482" s="1326"/>
      <c r="AB1482" s="198"/>
      <c r="AC1482" s="199">
        <v>8.4603597630441261</v>
      </c>
      <c r="AD1482" s="930">
        <v>7.6464902009468165</v>
      </c>
      <c r="AE1482" s="930">
        <v>8.1664994015949581</v>
      </c>
      <c r="AF1482" s="258">
        <f t="shared" si="214"/>
        <v>8.344911767808382</v>
      </c>
      <c r="AG1482" s="1326"/>
      <c r="DG1482" s="555"/>
      <c r="DH1482" s="151"/>
      <c r="DI1482" s="1049"/>
      <c r="DJ1482" s="1127"/>
    </row>
    <row r="1483" spans="1:114" ht="15" hidden="1" customHeight="1" outlineLevel="1" x14ac:dyDescent="0.25">
      <c r="A1483" s="442"/>
      <c r="C1483" s="49"/>
      <c r="D1483" s="2177"/>
      <c r="E1483" s="2177"/>
      <c r="F1483" s="2176" t="str">
        <f>$E$777</f>
        <v>ASHP-SEER21-Replace_CAC_NonElectricHeat_ER2_SF</v>
      </c>
      <c r="G1483" s="2176"/>
      <c r="H1483" s="2176"/>
      <c r="I1483" s="2176"/>
      <c r="J1483" s="986" t="str">
        <f>$C$777</f>
        <v>353560_2024_12_</v>
      </c>
      <c r="K1483" s="1649">
        <v>13.4</v>
      </c>
      <c r="L1483" s="12"/>
      <c r="M1483" s="1307" t="s">
        <v>1029</v>
      </c>
      <c r="P1483" s="248"/>
      <c r="Q1483" s="196"/>
      <c r="R1483" s="248"/>
      <c r="T1483" s="169"/>
      <c r="U1483" s="50"/>
      <c r="V1483" s="2177"/>
      <c r="W1483" s="1326"/>
      <c r="X1483" s="1326"/>
      <c r="Y1483" s="1326"/>
      <c r="Z1483" s="1326"/>
      <c r="AA1483" s="1326"/>
      <c r="AB1483" s="198"/>
      <c r="AC1483" s="199">
        <v>13</v>
      </c>
      <c r="AD1483" s="931">
        <v>13</v>
      </c>
      <c r="AE1483" s="1058">
        <v>14</v>
      </c>
      <c r="AF1483" s="258">
        <f t="shared" si="214"/>
        <v>13.4</v>
      </c>
      <c r="AG1483" s="1326"/>
      <c r="DG1483" s="555"/>
      <c r="DH1483" s="151"/>
      <c r="DI1483" s="1049"/>
      <c r="DJ1483" s="1127"/>
    </row>
    <row r="1484" spans="1:114" ht="15" hidden="1" customHeight="1" outlineLevel="1" x14ac:dyDescent="0.25">
      <c r="A1484" s="442"/>
      <c r="C1484" s="49"/>
      <c r="D1484" s="2177"/>
      <c r="E1484" s="2177"/>
      <c r="F1484" s="2176" t="str">
        <f>$E$779</f>
        <v>ASHP-SEER21-Replace_CAC_ElectricHeat_ER1_MF</v>
      </c>
      <c r="G1484" s="2176"/>
      <c r="H1484" s="2176"/>
      <c r="I1484" s="2176"/>
      <c r="J1484" s="986" t="str">
        <f>$C$779</f>
        <v>353600_2024_12_</v>
      </c>
      <c r="K1484" s="875">
        <v>8.33</v>
      </c>
      <c r="L1484" s="249"/>
      <c r="M1484" s="1307" t="s">
        <v>1370</v>
      </c>
      <c r="P1484" s="248"/>
      <c r="Q1484" s="196"/>
      <c r="R1484" s="248"/>
      <c r="T1484" s="169"/>
      <c r="U1484" s="50"/>
      <c r="V1484" s="2177"/>
      <c r="W1484" s="1326">
        <v>6.8</v>
      </c>
      <c r="X1484" s="794">
        <v>8.33</v>
      </c>
      <c r="Y1484" s="1326">
        <v>8.33</v>
      </c>
      <c r="Z1484" s="1326">
        <v>8.33</v>
      </c>
      <c r="AA1484" s="1326">
        <v>8.33</v>
      </c>
      <c r="AB1484" s="198">
        <v>8.33</v>
      </c>
      <c r="AC1484" s="198">
        <v>8.33</v>
      </c>
      <c r="AD1484" s="931">
        <v>8.33</v>
      </c>
      <c r="AE1484" s="931">
        <v>8.33</v>
      </c>
      <c r="AF1484" s="258">
        <f t="shared" si="214"/>
        <v>8.33</v>
      </c>
      <c r="AG1484" s="1326"/>
      <c r="DG1484" s="555"/>
      <c r="DH1484" s="151"/>
      <c r="DI1484" s="1049"/>
      <c r="DJ1484" s="1127"/>
    </row>
    <row r="1485" spans="1:114" ht="15" hidden="1" customHeight="1" outlineLevel="1" x14ac:dyDescent="0.25">
      <c r="A1485" s="442"/>
      <c r="C1485" s="49"/>
      <c r="D1485" s="2177"/>
      <c r="E1485" s="2177"/>
      <c r="F1485" s="2176" t="str">
        <f>$E$781</f>
        <v>ASHP-SEER21-Replace_CAC_ElectricHeat_ER2_MF</v>
      </c>
      <c r="G1485" s="2176"/>
      <c r="H1485" s="2176"/>
      <c r="I1485" s="2176"/>
      <c r="J1485" s="986" t="str">
        <f>$C$781</f>
        <v>353600_2024_12_</v>
      </c>
      <c r="K1485" s="1649">
        <v>13.4</v>
      </c>
      <c r="L1485" s="12"/>
      <c r="M1485" s="1307" t="s">
        <v>1029</v>
      </c>
      <c r="P1485" s="248"/>
      <c r="Q1485" s="196"/>
      <c r="R1485" s="248"/>
      <c r="T1485" s="169"/>
      <c r="U1485" s="50"/>
      <c r="V1485" s="2177"/>
      <c r="W1485" s="1326">
        <v>13</v>
      </c>
      <c r="X1485" s="1326">
        <v>13</v>
      </c>
      <c r="Y1485" s="1326">
        <v>13</v>
      </c>
      <c r="Z1485" s="1326">
        <v>13</v>
      </c>
      <c r="AA1485" s="1326">
        <v>13</v>
      </c>
      <c r="AB1485" s="198">
        <v>13</v>
      </c>
      <c r="AC1485" s="198">
        <v>13</v>
      </c>
      <c r="AD1485" s="931">
        <v>13</v>
      </c>
      <c r="AE1485" s="1058">
        <v>14</v>
      </c>
      <c r="AF1485" s="258">
        <f t="shared" si="214"/>
        <v>13.4</v>
      </c>
      <c r="AG1485" s="1326"/>
      <c r="DG1485" s="555"/>
      <c r="DH1485" s="151"/>
      <c r="DI1485" s="1049"/>
      <c r="DJ1485" s="1127"/>
    </row>
    <row r="1486" spans="1:114" ht="15" hidden="1" customHeight="1" outlineLevel="1" x14ac:dyDescent="0.25">
      <c r="A1486" s="442"/>
      <c r="C1486" s="49"/>
      <c r="D1486" s="2177"/>
      <c r="E1486" s="2177"/>
      <c r="F1486" s="2176" t="str">
        <f>$E$783</f>
        <v>ASHP-SEER21-Replace_CAC_ElectricHeat_ROF_SF</v>
      </c>
      <c r="G1486" s="2176"/>
      <c r="H1486" s="2176"/>
      <c r="I1486" s="2176"/>
      <c r="J1486" s="986" t="str">
        <f>$C$783</f>
        <v>353650_2024_12_</v>
      </c>
      <c r="K1486" s="1649">
        <v>13.4</v>
      </c>
      <c r="L1486" s="12"/>
      <c r="M1486" s="1307" t="s">
        <v>1029</v>
      </c>
      <c r="P1486" s="248"/>
      <c r="Q1486" s="196"/>
      <c r="R1486" s="248"/>
      <c r="T1486" s="169"/>
      <c r="U1486" s="50"/>
      <c r="V1486" s="2177"/>
      <c r="W1486" s="1326">
        <v>13</v>
      </c>
      <c r="X1486" s="1326">
        <v>13</v>
      </c>
      <c r="Y1486" s="1326">
        <v>13</v>
      </c>
      <c r="Z1486" s="1326">
        <v>13</v>
      </c>
      <c r="AA1486" s="1326">
        <v>13</v>
      </c>
      <c r="AB1486" s="198">
        <v>13</v>
      </c>
      <c r="AC1486" s="198">
        <v>13</v>
      </c>
      <c r="AD1486" s="931">
        <v>13</v>
      </c>
      <c r="AE1486" s="1058">
        <v>14</v>
      </c>
      <c r="AF1486" s="258">
        <f t="shared" si="214"/>
        <v>13.4</v>
      </c>
      <c r="AG1486" s="1326"/>
      <c r="DG1486" s="555"/>
      <c r="DH1486" s="151"/>
      <c r="DI1486" s="1049"/>
      <c r="DJ1486" s="1127"/>
    </row>
    <row r="1487" spans="1:114" ht="15" hidden="1" customHeight="1" outlineLevel="1" x14ac:dyDescent="0.25">
      <c r="A1487" s="442"/>
      <c r="C1487" s="49"/>
      <c r="D1487" s="2177"/>
      <c r="E1487" s="2177"/>
      <c r="F1487" s="2176" t="str">
        <f>$E$785</f>
        <v>ASHP-SEER21-Replace_CAC_NonElectricHeat_ROF_SF</v>
      </c>
      <c r="G1487" s="2176"/>
      <c r="H1487" s="2176"/>
      <c r="I1487" s="2176"/>
      <c r="J1487" s="986" t="str">
        <f>$C$785</f>
        <v>353660_2024_12_</v>
      </c>
      <c r="K1487" s="1649">
        <v>13.4</v>
      </c>
      <c r="L1487" s="12"/>
      <c r="M1487" s="1307" t="s">
        <v>1029</v>
      </c>
      <c r="P1487" s="248"/>
      <c r="Q1487" s="196"/>
      <c r="R1487" s="248"/>
      <c r="T1487" s="169"/>
      <c r="U1487" s="50"/>
      <c r="V1487" s="2177"/>
      <c r="W1487" s="1326"/>
      <c r="X1487" s="1326"/>
      <c r="Y1487" s="1326"/>
      <c r="Z1487" s="1326"/>
      <c r="AA1487" s="1326"/>
      <c r="AB1487" s="198"/>
      <c r="AC1487" s="198"/>
      <c r="AD1487" s="930">
        <v>13</v>
      </c>
      <c r="AE1487" s="1058">
        <v>14</v>
      </c>
      <c r="AF1487" s="258">
        <f t="shared" si="214"/>
        <v>13.4</v>
      </c>
      <c r="AG1487" s="1326"/>
      <c r="DG1487" s="555"/>
      <c r="DH1487" s="151"/>
      <c r="DI1487" s="1049"/>
      <c r="DJ1487" s="1127"/>
    </row>
    <row r="1488" spans="1:114" ht="15" hidden="1" customHeight="1" outlineLevel="1" x14ac:dyDescent="0.25">
      <c r="A1488" s="442"/>
      <c r="C1488" s="49"/>
      <c r="D1488" s="2177"/>
      <c r="E1488" s="2177"/>
      <c r="F1488" s="2176" t="str">
        <f>$E$787</f>
        <v>ASHP-SEER17_ER1_SF</v>
      </c>
      <c r="G1488" s="2176"/>
      <c r="H1488" s="2176"/>
      <c r="I1488" s="2176"/>
      <c r="J1488" s="986" t="str">
        <f>$C$787</f>
        <v>353750_2024_12_</v>
      </c>
      <c r="K1488" s="875">
        <v>7.6579274764443417</v>
      </c>
      <c r="L1488" s="249"/>
      <c r="M1488" s="1593" t="s">
        <v>1035</v>
      </c>
      <c r="T1488" s="50"/>
      <c r="U1488" s="50"/>
      <c r="V1488" s="2177"/>
      <c r="W1488" s="1326">
        <v>7.2</v>
      </c>
      <c r="X1488" s="794">
        <v>8.33</v>
      </c>
      <c r="Y1488" s="1326">
        <v>8.33</v>
      </c>
      <c r="Z1488" s="1326">
        <v>8.33</v>
      </c>
      <c r="AA1488" s="1326">
        <v>8.33</v>
      </c>
      <c r="AB1488" s="198">
        <v>8.33</v>
      </c>
      <c r="AC1488" s="199">
        <v>8.7303880814835253</v>
      </c>
      <c r="AD1488" s="930">
        <v>7.8746004975378812</v>
      </c>
      <c r="AE1488" s="930">
        <v>7.8131110840647606</v>
      </c>
      <c r="AF1488" s="258">
        <f t="shared" si="214"/>
        <v>7.6579274764443417</v>
      </c>
      <c r="AG1488" s="1326"/>
      <c r="DG1488" s="555"/>
      <c r="DH1488" s="151"/>
      <c r="DI1488" s="1049"/>
      <c r="DJ1488" s="1127"/>
    </row>
    <row r="1489" spans="1:114" ht="15" hidden="1" customHeight="1" outlineLevel="1" x14ac:dyDescent="0.25">
      <c r="A1489" s="442"/>
      <c r="C1489" s="49"/>
      <c r="D1489" s="2177"/>
      <c r="E1489" s="2177"/>
      <c r="F1489" s="2176" t="str">
        <f>$E$789</f>
        <v>ASHP-SEER17_ER2_SF</v>
      </c>
      <c r="G1489" s="2176"/>
      <c r="H1489" s="2176"/>
      <c r="I1489" s="2176"/>
      <c r="J1489" s="986" t="str">
        <f>$C$789</f>
        <v>353750_2024_12_</v>
      </c>
      <c r="K1489" s="1649">
        <v>14.3</v>
      </c>
      <c r="L1489" s="12"/>
      <c r="M1489" s="1307" t="s">
        <v>1029</v>
      </c>
      <c r="P1489" s="248"/>
      <c r="Q1489" s="196"/>
      <c r="R1489" s="248"/>
      <c r="T1489" s="169"/>
      <c r="U1489" s="50"/>
      <c r="V1489" s="2177"/>
      <c r="W1489" s="1326">
        <v>14</v>
      </c>
      <c r="X1489" s="1326">
        <v>14</v>
      </c>
      <c r="Y1489" s="1326">
        <v>14</v>
      </c>
      <c r="Z1489" s="1326">
        <v>14</v>
      </c>
      <c r="AA1489" s="1326">
        <v>14</v>
      </c>
      <c r="AB1489" s="198">
        <v>14</v>
      </c>
      <c r="AC1489" s="198">
        <v>14</v>
      </c>
      <c r="AD1489" s="931">
        <v>14</v>
      </c>
      <c r="AE1489" s="1058">
        <v>15</v>
      </c>
      <c r="AF1489" s="258">
        <f t="shared" si="214"/>
        <v>14.3</v>
      </c>
      <c r="AG1489" s="1326"/>
      <c r="DG1489" s="555"/>
      <c r="DH1489" s="151"/>
      <c r="DI1489" s="1049"/>
      <c r="DJ1489" s="1127"/>
    </row>
    <row r="1490" spans="1:114" ht="15" hidden="1" customHeight="1" outlineLevel="1" x14ac:dyDescent="0.25">
      <c r="A1490" s="442"/>
      <c r="C1490" s="49"/>
      <c r="D1490" s="2177"/>
      <c r="E1490" s="2177"/>
      <c r="F1490" s="2176" t="str">
        <f>$E$791</f>
        <v>ASHP-SEER17_ROF_SF</v>
      </c>
      <c r="G1490" s="2176"/>
      <c r="H1490" s="2176"/>
      <c r="I1490" s="2176"/>
      <c r="J1490" s="986" t="str">
        <f>$C$791</f>
        <v>353800_2024_12_</v>
      </c>
      <c r="K1490" s="1649">
        <v>14.3</v>
      </c>
      <c r="L1490" s="12"/>
      <c r="M1490" s="1307" t="s">
        <v>1029</v>
      </c>
      <c r="T1490" s="50"/>
      <c r="U1490" s="50"/>
      <c r="V1490" s="2177"/>
      <c r="W1490" s="1326">
        <v>14</v>
      </c>
      <c r="X1490" s="1326">
        <v>14</v>
      </c>
      <c r="Y1490" s="1326">
        <v>14</v>
      </c>
      <c r="Z1490" s="1326">
        <v>14</v>
      </c>
      <c r="AA1490" s="1326">
        <v>14</v>
      </c>
      <c r="AB1490" s="198">
        <v>14</v>
      </c>
      <c r="AC1490" s="198">
        <v>14</v>
      </c>
      <c r="AD1490" s="931">
        <v>14</v>
      </c>
      <c r="AE1490" s="1058">
        <v>15</v>
      </c>
      <c r="AF1490" s="258">
        <f t="shared" si="214"/>
        <v>14.3</v>
      </c>
      <c r="AG1490" s="1326"/>
      <c r="DG1490" s="555"/>
      <c r="DH1490" s="151"/>
      <c r="DI1490" s="1049"/>
      <c r="DJ1490" s="1127"/>
    </row>
    <row r="1491" spans="1:114" ht="15" hidden="1" customHeight="1" outlineLevel="1" x14ac:dyDescent="0.25">
      <c r="A1491" s="442"/>
      <c r="C1491" s="49"/>
      <c r="D1491" s="2177"/>
      <c r="E1491" s="2177"/>
      <c r="F1491" s="2176" t="str">
        <f>$E$793</f>
        <v>ASHP-SEER18_ER1_SF</v>
      </c>
      <c r="G1491" s="2176"/>
      <c r="H1491" s="2176"/>
      <c r="I1491" s="2176"/>
      <c r="J1491" s="986" t="str">
        <f>$C$793</f>
        <v>353850_2024_12_</v>
      </c>
      <c r="K1491" s="875">
        <v>7.6829345969611094</v>
      </c>
      <c r="L1491" s="249"/>
      <c r="M1491" s="1593" t="s">
        <v>1035</v>
      </c>
      <c r="P1491" s="248"/>
      <c r="Q1491" s="196"/>
      <c r="R1491" s="248"/>
      <c r="T1491" s="169"/>
      <c r="U1491" s="50"/>
      <c r="V1491" s="2177"/>
      <c r="W1491" s="1326">
        <v>7.2</v>
      </c>
      <c r="X1491" s="794">
        <v>8.33</v>
      </c>
      <c r="Y1491" s="1326">
        <v>8.33</v>
      </c>
      <c r="Z1491" s="1326">
        <v>8.33</v>
      </c>
      <c r="AA1491" s="1326">
        <v>8.33</v>
      </c>
      <c r="AB1491" s="199">
        <v>7.9029574060126802</v>
      </c>
      <c r="AC1491" s="199">
        <v>8.5136840013184276</v>
      </c>
      <c r="AD1491" s="930">
        <v>7.8596801773401781</v>
      </c>
      <c r="AE1491" s="930">
        <v>7.902671937780064</v>
      </c>
      <c r="AF1491" s="258">
        <f t="shared" si="214"/>
        <v>7.6829345969611094</v>
      </c>
      <c r="AG1491" s="1326"/>
      <c r="DG1491" s="555"/>
      <c r="DH1491" s="151"/>
      <c r="DI1491" s="1049"/>
      <c r="DJ1491" s="1127"/>
    </row>
    <row r="1492" spans="1:114" ht="15" hidden="1" customHeight="1" outlineLevel="1" x14ac:dyDescent="0.25">
      <c r="A1492" s="442"/>
      <c r="C1492" s="49"/>
      <c r="D1492" s="2177"/>
      <c r="E1492" s="2177"/>
      <c r="F1492" s="2176" t="str">
        <f>$E$795</f>
        <v>ASHP-SEER18_ER2_SF</v>
      </c>
      <c r="G1492" s="2176"/>
      <c r="H1492" s="2176"/>
      <c r="I1492" s="2176"/>
      <c r="J1492" s="986" t="str">
        <f>$C$795</f>
        <v>353850_2024_12_</v>
      </c>
      <c r="K1492" s="1649">
        <v>14.3</v>
      </c>
      <c r="L1492" s="12"/>
      <c r="M1492" s="1307" t="s">
        <v>1029</v>
      </c>
      <c r="T1492" s="50"/>
      <c r="U1492" s="50"/>
      <c r="V1492" s="2177"/>
      <c r="W1492" s="1326">
        <v>14</v>
      </c>
      <c r="X1492" s="1326">
        <v>14</v>
      </c>
      <c r="Y1492" s="1326">
        <v>14</v>
      </c>
      <c r="Z1492" s="1326">
        <v>14</v>
      </c>
      <c r="AA1492" s="1326">
        <v>14</v>
      </c>
      <c r="AB1492" s="198">
        <v>14</v>
      </c>
      <c r="AC1492" s="198">
        <v>14</v>
      </c>
      <c r="AD1492" s="931">
        <v>14</v>
      </c>
      <c r="AE1492" s="1058">
        <v>15</v>
      </c>
      <c r="AF1492" s="258">
        <f t="shared" si="214"/>
        <v>14.3</v>
      </c>
      <c r="AG1492" s="1326"/>
      <c r="DG1492" s="555"/>
      <c r="DH1492" s="151"/>
      <c r="DI1492" s="1049"/>
      <c r="DJ1492" s="1127"/>
    </row>
    <row r="1493" spans="1:114" ht="15" hidden="1" customHeight="1" outlineLevel="1" x14ac:dyDescent="0.25">
      <c r="A1493" s="442"/>
      <c r="C1493" s="49"/>
      <c r="D1493" s="2177"/>
      <c r="E1493" s="2177"/>
      <c r="F1493" s="2176" t="str">
        <f>$E$797</f>
        <v>ASHP-SEER18_ROF_SF</v>
      </c>
      <c r="G1493" s="2176"/>
      <c r="H1493" s="2176"/>
      <c r="I1493" s="2176"/>
      <c r="J1493" s="986" t="str">
        <f>$C$797</f>
        <v>353950_2024_12_</v>
      </c>
      <c r="K1493" s="1649">
        <v>14.3</v>
      </c>
      <c r="L1493" s="12"/>
      <c r="M1493" s="1307" t="s">
        <v>1029</v>
      </c>
      <c r="P1493" s="248"/>
      <c r="Q1493" s="196"/>
      <c r="R1493" s="248"/>
      <c r="T1493" s="169"/>
      <c r="U1493" s="50"/>
      <c r="V1493" s="2177"/>
      <c r="W1493" s="1326">
        <v>14</v>
      </c>
      <c r="X1493" s="1326">
        <v>14</v>
      </c>
      <c r="Y1493" s="1326">
        <v>14</v>
      </c>
      <c r="Z1493" s="1326">
        <v>14</v>
      </c>
      <c r="AA1493" s="1326">
        <v>14</v>
      </c>
      <c r="AB1493" s="198">
        <v>14</v>
      </c>
      <c r="AC1493" s="198">
        <v>14</v>
      </c>
      <c r="AD1493" s="931">
        <v>14</v>
      </c>
      <c r="AE1493" s="1058">
        <v>15</v>
      </c>
      <c r="AF1493" s="258">
        <f t="shared" si="214"/>
        <v>14.3</v>
      </c>
      <c r="AG1493" s="1326"/>
      <c r="DG1493" s="555"/>
      <c r="DH1493" s="151"/>
      <c r="DI1493" s="1049"/>
      <c r="DJ1493" s="1127"/>
    </row>
    <row r="1494" spans="1:114" ht="15" hidden="1" customHeight="1" outlineLevel="1" x14ac:dyDescent="0.25">
      <c r="A1494" s="442"/>
      <c r="C1494" s="49"/>
      <c r="D1494" s="2177"/>
      <c r="E1494" s="2177"/>
      <c r="F1494" s="2176" t="str">
        <f>$E$799</f>
        <v>ASHP-SEER19_ER1_SF</v>
      </c>
      <c r="G1494" s="2176"/>
      <c r="H1494" s="2176"/>
      <c r="I1494" s="2176"/>
      <c r="J1494" s="986" t="str">
        <f>$C$799</f>
        <v>354000_2024_12_</v>
      </c>
      <c r="K1494" s="875">
        <v>8.290923757513843</v>
      </c>
      <c r="L1494" s="249"/>
      <c r="M1494" s="1593" t="s">
        <v>1035</v>
      </c>
      <c r="P1494" s="248"/>
      <c r="Q1494" s="196"/>
      <c r="R1494" s="248"/>
      <c r="T1494" s="169"/>
      <c r="U1494" s="50"/>
      <c r="V1494" s="2177"/>
      <c r="W1494" s="1326">
        <v>7.2</v>
      </c>
      <c r="X1494" s="794">
        <v>8.33</v>
      </c>
      <c r="Y1494" s="1326">
        <v>8.33</v>
      </c>
      <c r="Z1494" s="1326">
        <v>8.33</v>
      </c>
      <c r="AA1494" s="1326">
        <v>8.33</v>
      </c>
      <c r="AB1494" s="198">
        <v>8.33</v>
      </c>
      <c r="AC1494" s="199">
        <v>9.0504969801676332</v>
      </c>
      <c r="AD1494" s="930">
        <v>7.7408755535350018</v>
      </c>
      <c r="AE1494" s="930">
        <v>8.1217030042955347</v>
      </c>
      <c r="AF1494" s="258">
        <f t="shared" si="214"/>
        <v>8.290923757513843</v>
      </c>
      <c r="AG1494" s="1326"/>
      <c r="DG1494" s="555"/>
      <c r="DH1494" s="151"/>
      <c r="DI1494" s="1049"/>
      <c r="DJ1494" s="1127"/>
    </row>
    <row r="1495" spans="1:114" ht="15" hidden="1" customHeight="1" outlineLevel="1" x14ac:dyDescent="0.25">
      <c r="A1495" s="442"/>
      <c r="C1495" s="49"/>
      <c r="D1495" s="2177"/>
      <c r="E1495" s="2177"/>
      <c r="F1495" s="2176" t="str">
        <f>$E$801</f>
        <v>ASHP-SEER19_ER2_SF</v>
      </c>
      <c r="G1495" s="2176"/>
      <c r="H1495" s="2176"/>
      <c r="I1495" s="2176"/>
      <c r="J1495" s="986" t="str">
        <f>$C$801</f>
        <v>354000_2024_12_</v>
      </c>
      <c r="K1495" s="1649">
        <v>14.3</v>
      </c>
      <c r="L1495" s="12"/>
      <c r="M1495" s="1307" t="s">
        <v>1029</v>
      </c>
      <c r="T1495" s="50"/>
      <c r="U1495" s="50"/>
      <c r="V1495" s="2177"/>
      <c r="W1495" s="1326">
        <v>14</v>
      </c>
      <c r="X1495" s="1326">
        <v>14</v>
      </c>
      <c r="Y1495" s="1326">
        <v>14</v>
      </c>
      <c r="Z1495" s="1326">
        <v>14</v>
      </c>
      <c r="AA1495" s="1326">
        <v>14</v>
      </c>
      <c r="AB1495" s="198">
        <v>14</v>
      </c>
      <c r="AC1495" s="198">
        <v>14</v>
      </c>
      <c r="AD1495" s="931">
        <v>14</v>
      </c>
      <c r="AE1495" s="1058">
        <v>15</v>
      </c>
      <c r="AF1495" s="258">
        <f t="shared" si="214"/>
        <v>14.3</v>
      </c>
      <c r="AG1495" s="1326"/>
      <c r="DG1495" s="555"/>
      <c r="DH1495" s="151"/>
      <c r="DI1495" s="1049"/>
      <c r="DJ1495" s="1127"/>
    </row>
    <row r="1496" spans="1:114" ht="15" hidden="1" customHeight="1" outlineLevel="1" x14ac:dyDescent="0.25">
      <c r="A1496" s="442"/>
      <c r="C1496" s="49"/>
      <c r="D1496" s="2177"/>
      <c r="E1496" s="2177"/>
      <c r="F1496" s="2176" t="str">
        <f>$E$803</f>
        <v>ASHP-SEER19_ROF_SF</v>
      </c>
      <c r="G1496" s="2176"/>
      <c r="H1496" s="2176"/>
      <c r="I1496" s="2176"/>
      <c r="J1496" s="986" t="str">
        <f>$C$803</f>
        <v>354050_2024_12_</v>
      </c>
      <c r="K1496" s="1649">
        <v>14.3</v>
      </c>
      <c r="L1496" s="12"/>
      <c r="M1496" s="1307" t="s">
        <v>1029</v>
      </c>
      <c r="T1496" s="50"/>
      <c r="U1496" s="50"/>
      <c r="V1496" s="2177"/>
      <c r="W1496" s="1326">
        <v>14</v>
      </c>
      <c r="X1496" s="1326">
        <v>14</v>
      </c>
      <c r="Y1496" s="1326">
        <v>14</v>
      </c>
      <c r="Z1496" s="1326">
        <v>14</v>
      </c>
      <c r="AA1496" s="1326">
        <v>14</v>
      </c>
      <c r="AB1496" s="198">
        <v>14</v>
      </c>
      <c r="AC1496" s="198">
        <v>14</v>
      </c>
      <c r="AD1496" s="931">
        <v>14</v>
      </c>
      <c r="AE1496" s="1058">
        <v>15</v>
      </c>
      <c r="AF1496" s="258">
        <f t="shared" si="214"/>
        <v>14.3</v>
      </c>
      <c r="AG1496" s="1326"/>
      <c r="DG1496" s="555"/>
      <c r="DH1496" s="151"/>
      <c r="DI1496" s="1049"/>
      <c r="DJ1496" s="1127"/>
    </row>
    <row r="1497" spans="1:114" ht="15" hidden="1" customHeight="1" outlineLevel="1" x14ac:dyDescent="0.25">
      <c r="A1497" s="442"/>
      <c r="C1497" s="49"/>
      <c r="D1497" s="2177"/>
      <c r="E1497" s="2177"/>
      <c r="F1497" s="2176" t="str">
        <f>$E$805</f>
        <v>ASHP-SEER17-Replace_CAC_ElectricHeat_ER1_SF</v>
      </c>
      <c r="G1497" s="2176"/>
      <c r="H1497" s="2176"/>
      <c r="I1497" s="2176"/>
      <c r="J1497" s="986" t="str">
        <f>$C$805</f>
        <v>354100_2024_12_</v>
      </c>
      <c r="K1497" s="875">
        <v>7.6579274764443417</v>
      </c>
      <c r="L1497" s="249"/>
      <c r="M1497" s="1593" t="s">
        <v>1035</v>
      </c>
      <c r="T1497" s="50"/>
      <c r="U1497" s="50"/>
      <c r="V1497" s="2177"/>
      <c r="W1497" s="1326">
        <v>6.8</v>
      </c>
      <c r="X1497" s="794">
        <v>8.33</v>
      </c>
      <c r="Y1497" s="1326">
        <v>8.33</v>
      </c>
      <c r="Z1497" s="1326">
        <v>8.33</v>
      </c>
      <c r="AA1497" s="1326">
        <v>8.33</v>
      </c>
      <c r="AB1497" s="198">
        <v>8.33</v>
      </c>
      <c r="AC1497" s="199">
        <v>8.0559951349156371</v>
      </c>
      <c r="AD1497" s="930">
        <v>7.8746004975378812</v>
      </c>
      <c r="AE1497" s="930">
        <v>7.8131110840647606</v>
      </c>
      <c r="AF1497" s="258">
        <f t="shared" si="214"/>
        <v>7.6579274764443417</v>
      </c>
      <c r="AG1497" s="1326"/>
      <c r="DG1497" s="555"/>
      <c r="DH1497" s="151"/>
      <c r="DI1497" s="1049"/>
      <c r="DJ1497" s="1127"/>
    </row>
    <row r="1498" spans="1:114" ht="15" hidden="1" customHeight="1" outlineLevel="1" x14ac:dyDescent="0.25">
      <c r="A1498" s="442"/>
      <c r="C1498" s="49"/>
      <c r="D1498" s="2177"/>
      <c r="E1498" s="2177"/>
      <c r="F1498" s="2176" t="str">
        <f>$E$807</f>
        <v>ASHP-SEER17-Replace_CAC_ElectricHeat_ER2_SF</v>
      </c>
      <c r="G1498" s="2176"/>
      <c r="H1498" s="2176"/>
      <c r="I1498" s="2176"/>
      <c r="J1498" s="986" t="str">
        <f>$C$807</f>
        <v>354100_2024_12_</v>
      </c>
      <c r="K1498" s="1649">
        <v>13.4</v>
      </c>
      <c r="L1498" s="12"/>
      <c r="M1498" s="1307" t="s">
        <v>1029</v>
      </c>
      <c r="T1498" s="50"/>
      <c r="U1498" s="50"/>
      <c r="V1498" s="2177"/>
      <c r="W1498" s="1326">
        <v>13</v>
      </c>
      <c r="X1498" s="1326">
        <v>13</v>
      </c>
      <c r="Y1498" s="1326">
        <v>13</v>
      </c>
      <c r="Z1498" s="1326">
        <v>13</v>
      </c>
      <c r="AA1498" s="1326">
        <v>13</v>
      </c>
      <c r="AB1498" s="198">
        <v>13</v>
      </c>
      <c r="AC1498" s="198">
        <v>13</v>
      </c>
      <c r="AD1498" s="931">
        <v>13</v>
      </c>
      <c r="AE1498" s="1058">
        <v>14</v>
      </c>
      <c r="AF1498" s="258">
        <f t="shared" si="214"/>
        <v>13.4</v>
      </c>
      <c r="AG1498" s="1326"/>
      <c r="DG1498" s="555"/>
      <c r="DH1498" s="151"/>
      <c r="DI1498" s="1049"/>
      <c r="DJ1498" s="1127"/>
    </row>
    <row r="1499" spans="1:114" ht="15" hidden="1" customHeight="1" outlineLevel="1" x14ac:dyDescent="0.25">
      <c r="A1499" s="442"/>
      <c r="C1499" s="49"/>
      <c r="D1499" s="2177"/>
      <c r="E1499" s="2177"/>
      <c r="F1499" s="2176" t="str">
        <f>$E$809</f>
        <v>ASHP-SEER17-Replace_CAC_NonElectricHeat_ER1_SF</v>
      </c>
      <c r="G1499" s="2176"/>
      <c r="H1499" s="2176"/>
      <c r="I1499" s="2176"/>
      <c r="J1499" s="986" t="str">
        <f>$C$809</f>
        <v>354110_2024_12_</v>
      </c>
      <c r="K1499" s="875">
        <v>7.6579274764443417</v>
      </c>
      <c r="L1499" s="249"/>
      <c r="M1499" s="1593" t="s">
        <v>1035</v>
      </c>
      <c r="T1499" s="50"/>
      <c r="U1499" s="50"/>
      <c r="V1499" s="2177"/>
      <c r="W1499" s="1326"/>
      <c r="X1499" s="1326"/>
      <c r="Y1499" s="1326"/>
      <c r="Z1499" s="1326"/>
      <c r="AA1499" s="1326"/>
      <c r="AB1499" s="198"/>
      <c r="AC1499" s="199">
        <v>8.0559951349156371</v>
      </c>
      <c r="AD1499" s="930">
        <v>7.8746004975378812</v>
      </c>
      <c r="AE1499" s="930">
        <v>7.8131110840647606</v>
      </c>
      <c r="AF1499" s="258">
        <f t="shared" si="214"/>
        <v>7.6579274764443417</v>
      </c>
      <c r="AG1499" s="1326"/>
      <c r="DG1499" s="555"/>
      <c r="DH1499" s="151"/>
      <c r="DI1499" s="1049"/>
      <c r="DJ1499" s="1127"/>
    </row>
    <row r="1500" spans="1:114" ht="15" hidden="1" customHeight="1" outlineLevel="1" x14ac:dyDescent="0.25">
      <c r="A1500" s="442"/>
      <c r="C1500" s="49"/>
      <c r="D1500" s="2177"/>
      <c r="E1500" s="2177"/>
      <c r="F1500" s="2176" t="str">
        <f>$E$811</f>
        <v>ASHP-SEER17-Replace_CAC_NonElectricHeat_ER2_SF</v>
      </c>
      <c r="G1500" s="2176"/>
      <c r="H1500" s="2176"/>
      <c r="I1500" s="2176"/>
      <c r="J1500" s="986" t="str">
        <f>$C$811</f>
        <v>354110_2024_12_</v>
      </c>
      <c r="K1500" s="1649">
        <v>13.4</v>
      </c>
      <c r="L1500" s="12"/>
      <c r="M1500" s="1307" t="s">
        <v>1029</v>
      </c>
      <c r="T1500" s="50"/>
      <c r="U1500" s="50"/>
      <c r="V1500" s="2177"/>
      <c r="W1500" s="1326"/>
      <c r="X1500" s="1326"/>
      <c r="Y1500" s="1326"/>
      <c r="Z1500" s="1326"/>
      <c r="AA1500" s="1326"/>
      <c r="AB1500" s="198"/>
      <c r="AC1500" s="199">
        <v>13</v>
      </c>
      <c r="AD1500" s="931">
        <v>13</v>
      </c>
      <c r="AE1500" s="1058">
        <v>14</v>
      </c>
      <c r="AF1500" s="258">
        <f t="shared" si="214"/>
        <v>13.4</v>
      </c>
      <c r="AG1500" s="1326"/>
      <c r="DG1500" s="555"/>
      <c r="DH1500" s="151"/>
      <c r="DI1500" s="1049"/>
      <c r="DJ1500" s="1127"/>
    </row>
    <row r="1501" spans="1:114" ht="15" hidden="1" customHeight="1" outlineLevel="1" x14ac:dyDescent="0.25">
      <c r="A1501" s="442"/>
      <c r="C1501" s="49"/>
      <c r="D1501" s="2177"/>
      <c r="E1501" s="2177"/>
      <c r="F1501" s="2176" t="str">
        <f>$E$813</f>
        <v>ASHP-SEER17-Replace_CAC_ElectricHeat_ER1_MF</v>
      </c>
      <c r="G1501" s="2176"/>
      <c r="H1501" s="2176"/>
      <c r="I1501" s="2176"/>
      <c r="J1501" s="986" t="str">
        <f>$C$813</f>
        <v>354150_2024_12_</v>
      </c>
      <c r="K1501" s="875">
        <v>8.33</v>
      </c>
      <c r="L1501" s="249"/>
      <c r="M1501" s="1307" t="s">
        <v>1370</v>
      </c>
      <c r="T1501" s="50"/>
      <c r="U1501" s="50"/>
      <c r="V1501" s="2177"/>
      <c r="W1501" s="1326">
        <v>6.8</v>
      </c>
      <c r="X1501" s="794">
        <v>8.33</v>
      </c>
      <c r="Y1501" s="1326">
        <v>8.33</v>
      </c>
      <c r="Z1501" s="1326">
        <v>8.33</v>
      </c>
      <c r="AA1501" s="1326">
        <v>8.33</v>
      </c>
      <c r="AB1501" s="198">
        <v>8.33</v>
      </c>
      <c r="AC1501" s="198">
        <v>8.33</v>
      </c>
      <c r="AD1501" s="931">
        <v>8.33</v>
      </c>
      <c r="AE1501" s="931">
        <v>8.33</v>
      </c>
      <c r="AF1501" s="258">
        <f t="shared" si="214"/>
        <v>8.33</v>
      </c>
      <c r="AG1501" s="1326"/>
      <c r="DG1501" s="555"/>
      <c r="DH1501" s="151"/>
      <c r="DI1501" s="1049"/>
      <c r="DJ1501" s="1127"/>
    </row>
    <row r="1502" spans="1:114" ht="15" hidden="1" customHeight="1" outlineLevel="1" x14ac:dyDescent="0.25">
      <c r="A1502" s="442"/>
      <c r="C1502" s="49"/>
      <c r="D1502" s="2177"/>
      <c r="E1502" s="2177"/>
      <c r="F1502" s="2176" t="str">
        <f>$E$815</f>
        <v>ASHP-SEER17-Replace_CAC_ElectricHeat_ER2_MF</v>
      </c>
      <c r="G1502" s="2176"/>
      <c r="H1502" s="2176"/>
      <c r="I1502" s="2176"/>
      <c r="J1502" s="986" t="str">
        <f>$C$815</f>
        <v>354150_2024_12_</v>
      </c>
      <c r="K1502" s="1649">
        <v>13.4</v>
      </c>
      <c r="L1502" s="12"/>
      <c r="M1502" s="1307" t="s">
        <v>1029</v>
      </c>
      <c r="T1502" s="50"/>
      <c r="U1502" s="50"/>
      <c r="V1502" s="2177"/>
      <c r="W1502" s="1326">
        <v>13</v>
      </c>
      <c r="X1502" s="1326">
        <v>13</v>
      </c>
      <c r="Y1502" s="1326">
        <v>13</v>
      </c>
      <c r="Z1502" s="1326">
        <v>13</v>
      </c>
      <c r="AA1502" s="1326">
        <v>13</v>
      </c>
      <c r="AB1502" s="198">
        <v>13</v>
      </c>
      <c r="AC1502" s="198">
        <v>13</v>
      </c>
      <c r="AD1502" s="931">
        <v>13</v>
      </c>
      <c r="AE1502" s="1058">
        <v>14</v>
      </c>
      <c r="AF1502" s="258">
        <f t="shared" si="214"/>
        <v>13.4</v>
      </c>
      <c r="AG1502" s="1326"/>
      <c r="DG1502" s="555"/>
      <c r="DH1502" s="151"/>
      <c r="DI1502" s="1049"/>
      <c r="DJ1502" s="1127"/>
    </row>
    <row r="1503" spans="1:114" ht="15" hidden="1" customHeight="1" outlineLevel="1" x14ac:dyDescent="0.25">
      <c r="A1503" s="442"/>
      <c r="C1503" s="49"/>
      <c r="D1503" s="2177"/>
      <c r="E1503" s="2177"/>
      <c r="F1503" s="2176" t="str">
        <f>$E$817</f>
        <v>ASHP-SEER17_ER1_MF</v>
      </c>
      <c r="G1503" s="2176"/>
      <c r="H1503" s="2176"/>
      <c r="I1503" s="2176"/>
      <c r="J1503" s="986" t="str">
        <f>$C$817</f>
        <v>354200_2024_12_</v>
      </c>
      <c r="K1503" s="875">
        <v>8.33</v>
      </c>
      <c r="L1503" s="249"/>
      <c r="M1503" s="1307" t="s">
        <v>1370</v>
      </c>
      <c r="T1503" s="50"/>
      <c r="U1503" s="50"/>
      <c r="V1503" s="2177"/>
      <c r="W1503" s="1326">
        <v>7.2</v>
      </c>
      <c r="X1503" s="794">
        <v>8.33</v>
      </c>
      <c r="Y1503" s="1326">
        <v>8.33</v>
      </c>
      <c r="Z1503" s="1326">
        <v>8.33</v>
      </c>
      <c r="AA1503" s="1326">
        <v>8.33</v>
      </c>
      <c r="AB1503" s="198">
        <v>8.33</v>
      </c>
      <c r="AC1503" s="198">
        <v>8.33</v>
      </c>
      <c r="AD1503" s="931">
        <v>8.33</v>
      </c>
      <c r="AE1503" s="931">
        <v>8.33</v>
      </c>
      <c r="AF1503" s="258">
        <f t="shared" si="214"/>
        <v>8.33</v>
      </c>
      <c r="AG1503" s="1326"/>
      <c r="DG1503" s="555"/>
      <c r="DH1503" s="151"/>
      <c r="DI1503" s="1049"/>
      <c r="DJ1503" s="1127"/>
    </row>
    <row r="1504" spans="1:114" ht="15" hidden="1" customHeight="1" outlineLevel="1" x14ac:dyDescent="0.25">
      <c r="A1504" s="442"/>
      <c r="C1504" s="49"/>
      <c r="D1504" s="2177"/>
      <c r="E1504" s="2177"/>
      <c r="F1504" s="2176" t="str">
        <f>$E$819</f>
        <v>ASHP-SEER17_ER2_MF</v>
      </c>
      <c r="G1504" s="2176"/>
      <c r="H1504" s="2176"/>
      <c r="I1504" s="2176"/>
      <c r="J1504" s="986" t="str">
        <f>$C$819</f>
        <v>354200_2024_12_</v>
      </c>
      <c r="K1504" s="1649">
        <v>14.3</v>
      </c>
      <c r="L1504" s="12"/>
      <c r="M1504" s="1307" t="s">
        <v>1029</v>
      </c>
      <c r="T1504" s="50"/>
      <c r="U1504" s="50"/>
      <c r="V1504" s="2177"/>
      <c r="W1504" s="1326">
        <v>14</v>
      </c>
      <c r="X1504" s="1326">
        <v>14</v>
      </c>
      <c r="Y1504" s="1326">
        <v>14</v>
      </c>
      <c r="Z1504" s="1326">
        <v>14</v>
      </c>
      <c r="AA1504" s="1326">
        <v>14</v>
      </c>
      <c r="AB1504" s="198">
        <v>14</v>
      </c>
      <c r="AC1504" s="198">
        <v>14</v>
      </c>
      <c r="AD1504" s="931">
        <v>14</v>
      </c>
      <c r="AE1504" s="1058">
        <v>15</v>
      </c>
      <c r="AF1504" s="258">
        <f t="shared" ref="AF1504:AF1535" si="215">IF(K1504&lt;&gt;"",K1504,"")</f>
        <v>14.3</v>
      </c>
      <c r="AG1504" s="1326"/>
      <c r="DG1504" s="555"/>
      <c r="DH1504" s="151"/>
      <c r="DI1504" s="1049"/>
      <c r="DJ1504" s="1127"/>
    </row>
    <row r="1505" spans="1:114" ht="15" hidden="1" customHeight="1" outlineLevel="1" x14ac:dyDescent="0.25">
      <c r="A1505" s="442"/>
      <c r="C1505" s="49"/>
      <c r="D1505" s="2177"/>
      <c r="E1505" s="2177"/>
      <c r="F1505" s="2176" t="str">
        <f>$E$821</f>
        <v>ASHP-SEER18-Replace_CAC_ElectricHeat_ER1_SF</v>
      </c>
      <c r="G1505" s="2176"/>
      <c r="H1505" s="2176"/>
      <c r="I1505" s="2176"/>
      <c r="J1505" s="986" t="str">
        <f>$C$821</f>
        <v>354250_2024_12_</v>
      </c>
      <c r="K1505" s="875">
        <v>7.6829345969611094</v>
      </c>
      <c r="L1505" s="249"/>
      <c r="M1505" s="1593" t="s">
        <v>1035</v>
      </c>
      <c r="T1505" s="50"/>
      <c r="U1505" s="50"/>
      <c r="V1505" s="2177"/>
      <c r="W1505" s="1326">
        <v>6.8</v>
      </c>
      <c r="X1505" s="794">
        <v>8.33</v>
      </c>
      <c r="Y1505" s="1326">
        <v>8.33</v>
      </c>
      <c r="Z1505" s="1326">
        <v>8.33</v>
      </c>
      <c r="AA1505" s="1326">
        <v>8.33</v>
      </c>
      <c r="AB1505" s="199">
        <v>7.6973343211156395</v>
      </c>
      <c r="AC1505" s="199">
        <v>8.4215383390942158</v>
      </c>
      <c r="AD1505" s="930">
        <v>7.8596801773401781</v>
      </c>
      <c r="AE1505" s="930">
        <v>7.902671937780064</v>
      </c>
      <c r="AF1505" s="258">
        <f t="shared" si="215"/>
        <v>7.6829345969611094</v>
      </c>
      <c r="AG1505" s="1326"/>
      <c r="DG1505" s="555"/>
      <c r="DH1505" s="151"/>
      <c r="DI1505" s="1049"/>
      <c r="DJ1505" s="1127"/>
    </row>
    <row r="1506" spans="1:114" ht="15" hidden="1" customHeight="1" outlineLevel="1" x14ac:dyDescent="0.25">
      <c r="A1506" s="442"/>
      <c r="C1506" s="49"/>
      <c r="D1506" s="2177"/>
      <c r="E1506" s="2177"/>
      <c r="F1506" s="2176" t="str">
        <f>$E$823</f>
        <v>ASHP-SEER18-Replace_CAC_ElectricHeat_ER2_SF</v>
      </c>
      <c r="G1506" s="2176"/>
      <c r="H1506" s="2176"/>
      <c r="I1506" s="2176"/>
      <c r="J1506" s="986" t="str">
        <f>$C$823</f>
        <v>354250_2024_12_</v>
      </c>
      <c r="K1506" s="1649">
        <v>13.4</v>
      </c>
      <c r="L1506" s="12"/>
      <c r="M1506" s="1307" t="s">
        <v>1029</v>
      </c>
      <c r="T1506" s="50"/>
      <c r="U1506" s="50"/>
      <c r="V1506" s="2177"/>
      <c r="W1506" s="1326">
        <v>13</v>
      </c>
      <c r="X1506" s="1326">
        <v>13</v>
      </c>
      <c r="Y1506" s="1326">
        <v>13</v>
      </c>
      <c r="Z1506" s="1326">
        <v>13</v>
      </c>
      <c r="AA1506" s="1326">
        <v>13</v>
      </c>
      <c r="AB1506" s="198">
        <v>13</v>
      </c>
      <c r="AC1506" s="198">
        <v>13</v>
      </c>
      <c r="AD1506" s="931">
        <v>13</v>
      </c>
      <c r="AE1506" s="1058">
        <v>14</v>
      </c>
      <c r="AF1506" s="258">
        <f t="shared" si="215"/>
        <v>13.4</v>
      </c>
      <c r="AG1506" s="1326"/>
      <c r="DG1506" s="555"/>
      <c r="DH1506" s="151"/>
      <c r="DI1506" s="1049"/>
      <c r="DJ1506" s="1127"/>
    </row>
    <row r="1507" spans="1:114" ht="15" hidden="1" customHeight="1" outlineLevel="1" x14ac:dyDescent="0.25">
      <c r="A1507" s="442"/>
      <c r="C1507" s="49"/>
      <c r="D1507" s="2177"/>
      <c r="E1507" s="2177"/>
      <c r="F1507" s="2176" t="str">
        <f>$E$825</f>
        <v>ASHP-SEER18-Replace_CAC_NonElectricHeat_ER1_SF</v>
      </c>
      <c r="G1507" s="2176"/>
      <c r="H1507" s="2176"/>
      <c r="I1507" s="2176"/>
      <c r="J1507" s="986" t="str">
        <f>$C$825</f>
        <v>354260_2024_12_</v>
      </c>
      <c r="K1507" s="875">
        <v>7.6829345969611094</v>
      </c>
      <c r="L1507" s="249"/>
      <c r="M1507" s="1593" t="s">
        <v>1035</v>
      </c>
      <c r="T1507" s="50"/>
      <c r="U1507" s="50"/>
      <c r="V1507" s="2177"/>
      <c r="W1507" s="1326"/>
      <c r="X1507" s="1326"/>
      <c r="Y1507" s="1326"/>
      <c r="Z1507" s="1326"/>
      <c r="AA1507" s="1326"/>
      <c r="AB1507" s="198"/>
      <c r="AC1507" s="199">
        <v>8.4215383390942158</v>
      </c>
      <c r="AD1507" s="930">
        <v>7.8596801773401781</v>
      </c>
      <c r="AE1507" s="930">
        <v>7.902671937780064</v>
      </c>
      <c r="AF1507" s="258">
        <f t="shared" si="215"/>
        <v>7.6829345969611094</v>
      </c>
      <c r="AG1507" s="1326"/>
      <c r="DG1507" s="555"/>
      <c r="DH1507" s="151"/>
      <c r="DI1507" s="1049"/>
      <c r="DJ1507" s="1127"/>
    </row>
    <row r="1508" spans="1:114" ht="15" hidden="1" customHeight="1" outlineLevel="1" x14ac:dyDescent="0.25">
      <c r="A1508" s="442"/>
      <c r="C1508" s="49"/>
      <c r="D1508" s="2177"/>
      <c r="E1508" s="2177"/>
      <c r="F1508" s="2176" t="str">
        <f>$E$827</f>
        <v>ASHP-SEER18-Replace_CAC_NonElectricHeat_ER2_SF</v>
      </c>
      <c r="G1508" s="2176"/>
      <c r="H1508" s="2176"/>
      <c r="I1508" s="2176"/>
      <c r="J1508" s="986" t="str">
        <f>$C$827</f>
        <v>354260_2024_12_</v>
      </c>
      <c r="K1508" s="1649">
        <v>13.4</v>
      </c>
      <c r="L1508" s="12"/>
      <c r="M1508" s="1307" t="s">
        <v>1029</v>
      </c>
      <c r="T1508" s="50"/>
      <c r="U1508" s="50"/>
      <c r="V1508" s="2177"/>
      <c r="W1508" s="1326"/>
      <c r="X1508" s="1326"/>
      <c r="Y1508" s="1326"/>
      <c r="Z1508" s="1326"/>
      <c r="AA1508" s="1326"/>
      <c r="AB1508" s="198"/>
      <c r="AC1508" s="199">
        <v>13</v>
      </c>
      <c r="AD1508" s="931">
        <v>13</v>
      </c>
      <c r="AE1508" s="1058">
        <v>14</v>
      </c>
      <c r="AF1508" s="258">
        <f t="shared" si="215"/>
        <v>13.4</v>
      </c>
      <c r="AG1508" s="1326"/>
      <c r="DG1508" s="555"/>
      <c r="DH1508" s="151"/>
      <c r="DI1508" s="1049"/>
      <c r="DJ1508" s="1127"/>
    </row>
    <row r="1509" spans="1:114" ht="15" hidden="1" customHeight="1" outlineLevel="1" x14ac:dyDescent="0.25">
      <c r="A1509" s="442"/>
      <c r="C1509" s="49"/>
      <c r="D1509" s="2177"/>
      <c r="E1509" s="2177"/>
      <c r="F1509" s="2176" t="str">
        <f>$E$829</f>
        <v>ASHP-SEER18-Replace_CAC_ElectricHeat_ER1_MF</v>
      </c>
      <c r="G1509" s="2176"/>
      <c r="H1509" s="2176"/>
      <c r="I1509" s="2176"/>
      <c r="J1509" s="986" t="str">
        <f>$C$829</f>
        <v>354300_2024_12_</v>
      </c>
      <c r="K1509" s="875">
        <v>5.4170996929996953</v>
      </c>
      <c r="L1509" s="249"/>
      <c r="M1509" s="1577" t="s">
        <v>1362</v>
      </c>
      <c r="T1509" s="50"/>
      <c r="U1509" s="50"/>
      <c r="V1509" s="2177"/>
      <c r="W1509" s="1326">
        <v>6.8</v>
      </c>
      <c r="X1509" s="794">
        <v>8.33</v>
      </c>
      <c r="Y1509" s="1326">
        <v>8.33</v>
      </c>
      <c r="Z1509" s="1326">
        <v>8.33</v>
      </c>
      <c r="AA1509" s="1326">
        <v>8.33</v>
      </c>
      <c r="AB1509" s="199">
        <v>6.541205533836111</v>
      </c>
      <c r="AC1509" s="199">
        <v>5.4170996929996953</v>
      </c>
      <c r="AD1509" s="931">
        <v>5.4170996929996953</v>
      </c>
      <c r="AE1509" s="931">
        <v>5.4170996929996953</v>
      </c>
      <c r="AF1509" s="258">
        <f t="shared" si="215"/>
        <v>5.4170996929996953</v>
      </c>
      <c r="AG1509" s="1326"/>
      <c r="DG1509" s="555"/>
      <c r="DH1509" s="151"/>
      <c r="DI1509" s="1049"/>
      <c r="DJ1509" s="1127"/>
    </row>
    <row r="1510" spans="1:114" ht="15" hidden="1" customHeight="1" outlineLevel="1" x14ac:dyDescent="0.25">
      <c r="A1510" s="442"/>
      <c r="C1510" s="49"/>
      <c r="D1510" s="2177"/>
      <c r="E1510" s="2177"/>
      <c r="F1510" s="2176" t="str">
        <f>$E$831</f>
        <v>ASHP-SEER18-Replace_CAC_ElectricHeat_ER2_MF</v>
      </c>
      <c r="G1510" s="2176"/>
      <c r="H1510" s="2176"/>
      <c r="I1510" s="2176"/>
      <c r="J1510" s="986" t="str">
        <f>$C$831</f>
        <v>354300_2024_12_</v>
      </c>
      <c r="K1510" s="1649">
        <v>13.4</v>
      </c>
      <c r="L1510" s="12"/>
      <c r="M1510" s="1307" t="s">
        <v>1029</v>
      </c>
      <c r="T1510" s="50"/>
      <c r="U1510" s="50"/>
      <c r="V1510" s="2177"/>
      <c r="W1510" s="1326">
        <v>13</v>
      </c>
      <c r="X1510" s="1326">
        <v>13</v>
      </c>
      <c r="Y1510" s="1326">
        <v>13</v>
      </c>
      <c r="Z1510" s="1326">
        <v>13</v>
      </c>
      <c r="AA1510" s="1326">
        <v>13</v>
      </c>
      <c r="AB1510" s="198">
        <v>13</v>
      </c>
      <c r="AC1510" s="198">
        <v>13</v>
      </c>
      <c r="AD1510" s="931">
        <v>13</v>
      </c>
      <c r="AE1510" s="1058">
        <v>14</v>
      </c>
      <c r="AF1510" s="258">
        <f t="shared" si="215"/>
        <v>13.4</v>
      </c>
      <c r="AG1510" s="1326"/>
      <c r="DG1510" s="555"/>
      <c r="DH1510" s="151"/>
      <c r="DI1510" s="1049"/>
      <c r="DJ1510" s="1127"/>
    </row>
    <row r="1511" spans="1:114" ht="15" hidden="1" customHeight="1" outlineLevel="1" x14ac:dyDescent="0.25">
      <c r="A1511" s="442"/>
      <c r="C1511" s="49"/>
      <c r="D1511" s="2177"/>
      <c r="E1511" s="2177"/>
      <c r="F1511" s="2176" t="str">
        <f>$E$833</f>
        <v>ASHP-SEER18_ER1_MF</v>
      </c>
      <c r="G1511" s="2176"/>
      <c r="H1511" s="2176"/>
      <c r="I1511" s="2176"/>
      <c r="J1511" s="986" t="str">
        <f>$C$833</f>
        <v>354350_2024_12_</v>
      </c>
      <c r="K1511" s="875">
        <v>6.6622274415102947</v>
      </c>
      <c r="L1511" s="249"/>
      <c r="M1511" s="1577" t="s">
        <v>1026</v>
      </c>
      <c r="T1511" s="50"/>
      <c r="U1511" s="50"/>
      <c r="V1511" s="2177"/>
      <c r="W1511" s="1326">
        <v>7.2</v>
      </c>
      <c r="X1511" s="794">
        <v>8.33</v>
      </c>
      <c r="Y1511" s="1326">
        <v>8.33</v>
      </c>
      <c r="Z1511" s="1326">
        <v>8.33</v>
      </c>
      <c r="AA1511" s="1326">
        <v>8.33</v>
      </c>
      <c r="AB1511" s="198">
        <v>8.33</v>
      </c>
      <c r="AC1511" s="199">
        <v>8.402496453661275</v>
      </c>
      <c r="AD1511" s="930">
        <v>6.6622274415102947</v>
      </c>
      <c r="AE1511" s="931">
        <v>6.6622274415102947</v>
      </c>
      <c r="AF1511" s="258">
        <f t="shared" si="215"/>
        <v>6.6622274415102947</v>
      </c>
      <c r="AG1511" s="1326"/>
      <c r="DG1511" s="555"/>
      <c r="DH1511" s="151"/>
      <c r="DI1511" s="1049"/>
      <c r="DJ1511" s="1127"/>
    </row>
    <row r="1512" spans="1:114" ht="15" hidden="1" customHeight="1" outlineLevel="1" x14ac:dyDescent="0.25">
      <c r="A1512" s="442"/>
      <c r="C1512" s="49"/>
      <c r="D1512" s="2177"/>
      <c r="E1512" s="2177"/>
      <c r="F1512" s="2176" t="str">
        <f>$E$835</f>
        <v>ASHP-SEER18_ER2_MF</v>
      </c>
      <c r="G1512" s="2176"/>
      <c r="H1512" s="2176"/>
      <c r="I1512" s="2176"/>
      <c r="J1512" s="986" t="str">
        <f>$C$835</f>
        <v>354350_2024_12_</v>
      </c>
      <c r="K1512" s="1649">
        <v>14.3</v>
      </c>
      <c r="L1512" s="12"/>
      <c r="M1512" s="1307" t="s">
        <v>1029</v>
      </c>
      <c r="T1512" s="50"/>
      <c r="U1512" s="50"/>
      <c r="V1512" s="2177"/>
      <c r="W1512" s="1326">
        <v>14</v>
      </c>
      <c r="X1512" s="1326">
        <v>14</v>
      </c>
      <c r="Y1512" s="1326">
        <v>14</v>
      </c>
      <c r="Z1512" s="1326">
        <v>14</v>
      </c>
      <c r="AA1512" s="1326">
        <v>14</v>
      </c>
      <c r="AB1512" s="198">
        <v>14</v>
      </c>
      <c r="AC1512" s="198">
        <v>14</v>
      </c>
      <c r="AD1512" s="931">
        <v>14</v>
      </c>
      <c r="AE1512" s="1058">
        <v>15</v>
      </c>
      <c r="AF1512" s="258">
        <f t="shared" si="215"/>
        <v>14.3</v>
      </c>
      <c r="AG1512" s="1326"/>
      <c r="DG1512" s="555"/>
      <c r="DH1512" s="151"/>
      <c r="DI1512" s="1049"/>
      <c r="DJ1512" s="1127"/>
    </row>
    <row r="1513" spans="1:114" ht="15" hidden="1" customHeight="1" outlineLevel="1" x14ac:dyDescent="0.25">
      <c r="A1513" s="442"/>
      <c r="C1513" s="49"/>
      <c r="D1513" s="2177"/>
      <c r="E1513" s="2177"/>
      <c r="F1513" s="2176" t="str">
        <f>$E$837</f>
        <v>ASHP-SEER19-Replace_CAC_ElectricHeat_ER1_SF</v>
      </c>
      <c r="G1513" s="2176"/>
      <c r="H1513" s="2176"/>
      <c r="I1513" s="2176"/>
      <c r="J1513" s="986" t="str">
        <f>$C$837</f>
        <v>354400_2024_12_</v>
      </c>
      <c r="K1513" s="875">
        <v>8.290923757513843</v>
      </c>
      <c r="L1513" s="249"/>
      <c r="M1513" s="1593" t="s">
        <v>1035</v>
      </c>
      <c r="T1513" s="50"/>
      <c r="U1513" s="50"/>
      <c r="V1513" s="2177"/>
      <c r="W1513" s="1326">
        <v>6.8</v>
      </c>
      <c r="X1513" s="794">
        <v>8.33</v>
      </c>
      <c r="Y1513" s="1326">
        <v>8.33</v>
      </c>
      <c r="Z1513" s="1326">
        <v>8.33</v>
      </c>
      <c r="AA1513" s="1326">
        <v>8.33</v>
      </c>
      <c r="AB1513" s="198">
        <v>8.33</v>
      </c>
      <c r="AC1513" s="199">
        <v>8.5327178544626143</v>
      </c>
      <c r="AD1513" s="930">
        <v>7.7408755535350018</v>
      </c>
      <c r="AE1513" s="930">
        <v>8.1217030042955347</v>
      </c>
      <c r="AF1513" s="258">
        <f t="shared" si="215"/>
        <v>8.290923757513843</v>
      </c>
      <c r="AG1513" s="1326"/>
      <c r="DG1513" s="555"/>
      <c r="DH1513" s="151"/>
      <c r="DI1513" s="1049"/>
      <c r="DJ1513" s="1127"/>
    </row>
    <row r="1514" spans="1:114" ht="15" hidden="1" customHeight="1" outlineLevel="1" x14ac:dyDescent="0.25">
      <c r="A1514" s="442"/>
      <c r="C1514" s="49"/>
      <c r="D1514" s="2177"/>
      <c r="E1514" s="2177"/>
      <c r="F1514" s="2176" t="str">
        <f>$E$839</f>
        <v>ASHP-SEER19-Replace_CAC_ElectricHeat_ER2_SF</v>
      </c>
      <c r="G1514" s="2176"/>
      <c r="H1514" s="2176"/>
      <c r="I1514" s="2176"/>
      <c r="J1514" s="986" t="str">
        <f>$C$839</f>
        <v>354400_2024_12_</v>
      </c>
      <c r="K1514" s="1649">
        <v>13.4</v>
      </c>
      <c r="L1514" s="12"/>
      <c r="M1514" s="1307" t="s">
        <v>1029</v>
      </c>
      <c r="T1514" s="50"/>
      <c r="U1514" s="50"/>
      <c r="V1514" s="2177"/>
      <c r="W1514" s="1326">
        <v>13</v>
      </c>
      <c r="X1514" s="1326">
        <v>13</v>
      </c>
      <c r="Y1514" s="1326">
        <v>13</v>
      </c>
      <c r="Z1514" s="1326">
        <v>13</v>
      </c>
      <c r="AA1514" s="1326">
        <v>13</v>
      </c>
      <c r="AB1514" s="198">
        <v>13</v>
      </c>
      <c r="AC1514" s="198">
        <v>13</v>
      </c>
      <c r="AD1514" s="931">
        <v>13</v>
      </c>
      <c r="AE1514" s="1058">
        <v>14</v>
      </c>
      <c r="AF1514" s="258">
        <f t="shared" si="215"/>
        <v>13.4</v>
      </c>
      <c r="AG1514" s="1326"/>
      <c r="DG1514" s="555"/>
      <c r="DH1514" s="151"/>
      <c r="DI1514" s="1049"/>
      <c r="DJ1514" s="1127"/>
    </row>
    <row r="1515" spans="1:114" ht="15" hidden="1" customHeight="1" outlineLevel="1" x14ac:dyDescent="0.25">
      <c r="A1515" s="442"/>
      <c r="C1515" s="49"/>
      <c r="D1515" s="2177"/>
      <c r="E1515" s="2177"/>
      <c r="F1515" s="2176" t="str">
        <f>$E$841</f>
        <v>ASHP-SEER19-Replace_CAC_NonElectricHeat_ER1_SF</v>
      </c>
      <c r="G1515" s="2176"/>
      <c r="H1515" s="2176"/>
      <c r="I1515" s="2176"/>
      <c r="J1515" s="986" t="str">
        <f>$C$841</f>
        <v>354410_2024_12_</v>
      </c>
      <c r="K1515" s="875">
        <v>8.290923757513843</v>
      </c>
      <c r="L1515" s="249"/>
      <c r="M1515" s="1593" t="s">
        <v>1035</v>
      </c>
      <c r="T1515" s="50"/>
      <c r="U1515" s="50"/>
      <c r="V1515" s="2177"/>
      <c r="W1515" s="1326"/>
      <c r="X1515" s="1326"/>
      <c r="Y1515" s="1326"/>
      <c r="Z1515" s="1326"/>
      <c r="AA1515" s="1326"/>
      <c r="AB1515" s="198"/>
      <c r="AC1515" s="199">
        <v>8.5327178544626143</v>
      </c>
      <c r="AD1515" s="931">
        <v>8.5327178544626143</v>
      </c>
      <c r="AE1515" s="930">
        <v>8.1217030042955347</v>
      </c>
      <c r="AF1515" s="258">
        <f t="shared" si="215"/>
        <v>8.290923757513843</v>
      </c>
      <c r="AG1515" s="1326"/>
      <c r="DG1515" s="555"/>
      <c r="DH1515" s="151"/>
      <c r="DI1515" s="1049"/>
      <c r="DJ1515" s="1127"/>
    </row>
    <row r="1516" spans="1:114" ht="15" hidden="1" customHeight="1" outlineLevel="1" x14ac:dyDescent="0.25">
      <c r="A1516" s="442"/>
      <c r="C1516" s="49"/>
      <c r="D1516" s="2177"/>
      <c r="E1516" s="2177"/>
      <c r="F1516" s="2176" t="str">
        <f>$E$843</f>
        <v>ASHP-SEER19-Replace_CAC_NonElectricHeat_ER2_SF</v>
      </c>
      <c r="G1516" s="2176"/>
      <c r="H1516" s="2176"/>
      <c r="I1516" s="2176"/>
      <c r="J1516" s="986" t="str">
        <f>$C$843</f>
        <v>354410_2024_12_</v>
      </c>
      <c r="K1516" s="1649">
        <v>13.4</v>
      </c>
      <c r="L1516" s="12"/>
      <c r="M1516" s="1307" t="s">
        <v>1029</v>
      </c>
      <c r="T1516" s="50"/>
      <c r="U1516" s="50"/>
      <c r="V1516" s="2177"/>
      <c r="W1516" s="1326"/>
      <c r="X1516" s="1326"/>
      <c r="Y1516" s="1326"/>
      <c r="Z1516" s="1326"/>
      <c r="AA1516" s="1326"/>
      <c r="AB1516" s="198"/>
      <c r="AC1516" s="199">
        <v>13</v>
      </c>
      <c r="AD1516" s="931">
        <v>13</v>
      </c>
      <c r="AE1516" s="1058">
        <v>14</v>
      </c>
      <c r="AF1516" s="258">
        <f t="shared" si="215"/>
        <v>13.4</v>
      </c>
      <c r="AG1516" s="1326"/>
      <c r="DG1516" s="555"/>
      <c r="DH1516" s="151"/>
      <c r="DI1516" s="1049"/>
      <c r="DJ1516" s="1127"/>
    </row>
    <row r="1517" spans="1:114" ht="15" hidden="1" customHeight="1" outlineLevel="1" x14ac:dyDescent="0.25">
      <c r="A1517" s="442"/>
      <c r="C1517" s="49"/>
      <c r="D1517" s="2177"/>
      <c r="E1517" s="2177"/>
      <c r="F1517" s="2176" t="str">
        <f>$E$845</f>
        <v>ASHP-SEER19-Replace_CAC_ElectricHeat_ER1_MF</v>
      </c>
      <c r="G1517" s="2176"/>
      <c r="H1517" s="2176"/>
      <c r="I1517" s="2176"/>
      <c r="J1517" s="986" t="str">
        <f>$C$845</f>
        <v>354450_2024_12_</v>
      </c>
      <c r="K1517" s="875">
        <v>8.33</v>
      </c>
      <c r="L1517" s="249"/>
      <c r="M1517" s="1307" t="s">
        <v>1370</v>
      </c>
      <c r="T1517" s="50"/>
      <c r="U1517" s="50"/>
      <c r="V1517" s="2177"/>
      <c r="W1517" s="1326">
        <v>6.8</v>
      </c>
      <c r="X1517" s="794">
        <v>8.33</v>
      </c>
      <c r="Y1517" s="1326">
        <v>8.33</v>
      </c>
      <c r="Z1517" s="1326">
        <v>8.33</v>
      </c>
      <c r="AA1517" s="1326">
        <v>8.33</v>
      </c>
      <c r="AB1517" s="198">
        <v>8.33</v>
      </c>
      <c r="AC1517" s="198">
        <v>8.33</v>
      </c>
      <c r="AD1517" s="931">
        <v>8.33</v>
      </c>
      <c r="AE1517" s="931">
        <v>8.33</v>
      </c>
      <c r="AF1517" s="258">
        <f t="shared" si="215"/>
        <v>8.33</v>
      </c>
      <c r="AG1517" s="1326"/>
      <c r="DG1517" s="555"/>
      <c r="DH1517" s="151"/>
      <c r="DI1517" s="1049"/>
      <c r="DJ1517" s="1127"/>
    </row>
    <row r="1518" spans="1:114" ht="15" hidden="1" customHeight="1" outlineLevel="1" x14ac:dyDescent="0.25">
      <c r="A1518" s="442"/>
      <c r="C1518" s="49"/>
      <c r="D1518" s="2177"/>
      <c r="E1518" s="2177"/>
      <c r="F1518" s="2176" t="str">
        <f>$E$847</f>
        <v>ASHP-SEER19-Replace_CAC_ElectricHeat_ER2_MF</v>
      </c>
      <c r="G1518" s="2176"/>
      <c r="H1518" s="2176"/>
      <c r="I1518" s="2176"/>
      <c r="J1518" s="986" t="str">
        <f>$C$847</f>
        <v>354450_2024_12_</v>
      </c>
      <c r="K1518" s="1649">
        <v>13.4</v>
      </c>
      <c r="L1518" s="12"/>
      <c r="M1518" s="1307" t="s">
        <v>1029</v>
      </c>
      <c r="T1518" s="50"/>
      <c r="U1518" s="50"/>
      <c r="V1518" s="2177"/>
      <c r="W1518" s="1326">
        <v>13</v>
      </c>
      <c r="X1518" s="1326">
        <v>13</v>
      </c>
      <c r="Y1518" s="1326">
        <v>13</v>
      </c>
      <c r="Z1518" s="1326">
        <v>13</v>
      </c>
      <c r="AA1518" s="1326">
        <v>13</v>
      </c>
      <c r="AB1518" s="198">
        <v>13</v>
      </c>
      <c r="AC1518" s="198">
        <v>13</v>
      </c>
      <c r="AD1518" s="931">
        <v>13</v>
      </c>
      <c r="AE1518" s="1058">
        <v>14</v>
      </c>
      <c r="AF1518" s="258">
        <f t="shared" si="215"/>
        <v>13.4</v>
      </c>
      <c r="AG1518" s="1326"/>
      <c r="DG1518" s="555"/>
      <c r="DH1518" s="151"/>
      <c r="DI1518" s="1049"/>
      <c r="DJ1518" s="1127"/>
    </row>
    <row r="1519" spans="1:114" ht="15" hidden="1" customHeight="1" outlineLevel="1" x14ac:dyDescent="0.25">
      <c r="A1519" s="442"/>
      <c r="C1519" s="49"/>
      <c r="D1519" s="2177"/>
      <c r="E1519" s="2177"/>
      <c r="F1519" s="2176" t="str">
        <f>$E$849</f>
        <v>ASHP-SEER19_ER1_MF</v>
      </c>
      <c r="G1519" s="2176"/>
      <c r="H1519" s="2176"/>
      <c r="I1519" s="2176"/>
      <c r="J1519" s="986" t="str">
        <f>$C$849</f>
        <v>354500_2024_12_</v>
      </c>
      <c r="K1519" s="875">
        <v>8.33</v>
      </c>
      <c r="L1519" s="249"/>
      <c r="M1519" s="1307" t="s">
        <v>1370</v>
      </c>
      <c r="T1519" s="50"/>
      <c r="U1519" s="50"/>
      <c r="V1519" s="2177"/>
      <c r="W1519" s="1326">
        <v>7.2</v>
      </c>
      <c r="X1519" s="794">
        <v>8.33</v>
      </c>
      <c r="Y1519" s="1326">
        <v>8.33</v>
      </c>
      <c r="Z1519" s="1326">
        <v>8.33</v>
      </c>
      <c r="AA1519" s="1326">
        <v>8.33</v>
      </c>
      <c r="AB1519" s="198">
        <v>8.33</v>
      </c>
      <c r="AC1519" s="198">
        <v>8.33</v>
      </c>
      <c r="AD1519" s="931">
        <v>8.33</v>
      </c>
      <c r="AE1519" s="931">
        <v>8.33</v>
      </c>
      <c r="AF1519" s="258">
        <f t="shared" si="215"/>
        <v>8.33</v>
      </c>
      <c r="AG1519" s="1326"/>
      <c r="DG1519" s="555"/>
      <c r="DH1519" s="151"/>
      <c r="DI1519" s="1049"/>
      <c r="DJ1519" s="1127"/>
    </row>
    <row r="1520" spans="1:114" ht="15" hidden="1" customHeight="1" outlineLevel="1" x14ac:dyDescent="0.25">
      <c r="A1520" s="442"/>
      <c r="C1520" s="49"/>
      <c r="D1520" s="2177"/>
      <c r="E1520" s="2177"/>
      <c r="F1520" s="2176" t="str">
        <f>$E$851</f>
        <v>ASHP-SEER19_ER2_MF</v>
      </c>
      <c r="G1520" s="2176"/>
      <c r="H1520" s="2176"/>
      <c r="I1520" s="2176"/>
      <c r="J1520" s="986" t="str">
        <f>$C$851</f>
        <v>354500_2024_12_</v>
      </c>
      <c r="K1520" s="1649">
        <v>14.3</v>
      </c>
      <c r="L1520" s="12"/>
      <c r="M1520" s="1307" t="s">
        <v>1029</v>
      </c>
      <c r="T1520" s="50"/>
      <c r="U1520" s="50"/>
      <c r="V1520" s="2177"/>
      <c r="W1520" s="1326">
        <v>14</v>
      </c>
      <c r="X1520" s="1326">
        <v>14</v>
      </c>
      <c r="Y1520" s="1326">
        <v>14</v>
      </c>
      <c r="Z1520" s="1326">
        <v>14</v>
      </c>
      <c r="AA1520" s="1326">
        <v>14</v>
      </c>
      <c r="AB1520" s="198">
        <v>14</v>
      </c>
      <c r="AC1520" s="198">
        <v>14</v>
      </c>
      <c r="AD1520" s="931">
        <v>14</v>
      </c>
      <c r="AE1520" s="1058">
        <v>15</v>
      </c>
      <c r="AF1520" s="258">
        <f t="shared" si="215"/>
        <v>14.3</v>
      </c>
      <c r="AG1520" s="1326"/>
      <c r="DG1520" s="555"/>
      <c r="DH1520" s="151"/>
      <c r="DI1520" s="1049"/>
      <c r="DJ1520" s="1127"/>
    </row>
    <row r="1521" spans="1:114" ht="15" hidden="1" customHeight="1" outlineLevel="1" x14ac:dyDescent="0.25">
      <c r="A1521" s="442"/>
      <c r="C1521" s="49"/>
      <c r="D1521" s="2177"/>
      <c r="E1521" s="2177"/>
      <c r="F1521" s="2176" t="str">
        <f>$E$853</f>
        <v>ASHP-SEER20_ER1_SF</v>
      </c>
      <c r="G1521" s="2176"/>
      <c r="H1521" s="2176"/>
      <c r="I1521" s="2176"/>
      <c r="J1521" s="986" t="str">
        <f>$C$853</f>
        <v>354550_2024_12_</v>
      </c>
      <c r="K1521" s="875">
        <v>8.0952251540374363</v>
      </c>
      <c r="L1521" s="249"/>
      <c r="M1521" s="1593" t="s">
        <v>1035</v>
      </c>
      <c r="T1521" s="50"/>
      <c r="U1521" s="50"/>
      <c r="V1521" s="2177"/>
      <c r="W1521" s="1326">
        <v>7.2</v>
      </c>
      <c r="X1521" s="794">
        <v>8.33</v>
      </c>
      <c r="Y1521" s="1326">
        <v>8.33</v>
      </c>
      <c r="Z1521" s="1326">
        <v>8.33</v>
      </c>
      <c r="AA1521" s="1326">
        <v>8.33</v>
      </c>
      <c r="AB1521" s="198">
        <v>8.33</v>
      </c>
      <c r="AC1521" s="198">
        <v>8.33</v>
      </c>
      <c r="AD1521" s="930">
        <v>7.6241123100090684</v>
      </c>
      <c r="AE1521" s="930">
        <v>7.876368789413509</v>
      </c>
      <c r="AF1521" s="258">
        <f t="shared" si="215"/>
        <v>8.0952251540374363</v>
      </c>
      <c r="AG1521" s="1326"/>
      <c r="DG1521" s="555"/>
      <c r="DH1521" s="151"/>
      <c r="DI1521" s="1049"/>
      <c r="DJ1521" s="1127"/>
    </row>
    <row r="1522" spans="1:114" ht="15" hidden="1" customHeight="1" outlineLevel="1" x14ac:dyDescent="0.25">
      <c r="A1522" s="442"/>
      <c r="C1522" s="49"/>
      <c r="D1522" s="2177"/>
      <c r="E1522" s="2177"/>
      <c r="F1522" s="2176" t="str">
        <f>$E$855</f>
        <v>ASHP-SEER20_ER2_SF</v>
      </c>
      <c r="G1522" s="2176"/>
      <c r="H1522" s="2176"/>
      <c r="I1522" s="2176"/>
      <c r="J1522" s="986" t="str">
        <f>$C$855</f>
        <v>354550_2024_12_</v>
      </c>
      <c r="K1522" s="1649">
        <v>14.3</v>
      </c>
      <c r="L1522" s="12"/>
      <c r="M1522" s="1307" t="s">
        <v>1029</v>
      </c>
      <c r="T1522" s="50"/>
      <c r="U1522" s="50"/>
      <c r="V1522" s="2177"/>
      <c r="W1522" s="1326">
        <v>14</v>
      </c>
      <c r="X1522" s="1326">
        <v>14</v>
      </c>
      <c r="Y1522" s="1326">
        <v>14</v>
      </c>
      <c r="Z1522" s="1326">
        <v>14</v>
      </c>
      <c r="AA1522" s="1326">
        <v>14</v>
      </c>
      <c r="AB1522" s="198">
        <v>14</v>
      </c>
      <c r="AC1522" s="198">
        <v>14</v>
      </c>
      <c r="AD1522" s="931">
        <v>14</v>
      </c>
      <c r="AE1522" s="1058">
        <v>15</v>
      </c>
      <c r="AF1522" s="258">
        <f t="shared" si="215"/>
        <v>14.3</v>
      </c>
      <c r="AG1522" s="1326"/>
      <c r="DG1522" s="555"/>
      <c r="DH1522" s="151"/>
      <c r="DI1522" s="1049"/>
      <c r="DJ1522" s="1127"/>
    </row>
    <row r="1523" spans="1:114" ht="15" hidden="1" customHeight="1" outlineLevel="1" x14ac:dyDescent="0.25">
      <c r="A1523" s="442"/>
      <c r="C1523" s="49"/>
      <c r="D1523" s="2177"/>
      <c r="E1523" s="2177"/>
      <c r="F1523" s="2176" t="str">
        <f>$E$857</f>
        <v>ASHP-SEER20_ROF_SF</v>
      </c>
      <c r="G1523" s="2176"/>
      <c r="H1523" s="2176"/>
      <c r="I1523" s="2176"/>
      <c r="J1523" s="986" t="str">
        <f>$C$857</f>
        <v>354600_2024_12_</v>
      </c>
      <c r="K1523" s="1649">
        <v>14.3</v>
      </c>
      <c r="L1523" s="12"/>
      <c r="M1523" s="1307" t="s">
        <v>1029</v>
      </c>
      <c r="T1523" s="50"/>
      <c r="U1523" s="50"/>
      <c r="V1523" s="2177"/>
      <c r="W1523" s="1326">
        <v>14</v>
      </c>
      <c r="X1523" s="1326">
        <v>14</v>
      </c>
      <c r="Y1523" s="1326">
        <v>14</v>
      </c>
      <c r="Z1523" s="1326">
        <v>14</v>
      </c>
      <c r="AA1523" s="1326">
        <v>14</v>
      </c>
      <c r="AB1523" s="198">
        <v>14</v>
      </c>
      <c r="AC1523" s="198">
        <v>14</v>
      </c>
      <c r="AD1523" s="931">
        <v>14</v>
      </c>
      <c r="AE1523" s="1058">
        <v>15</v>
      </c>
      <c r="AF1523" s="258">
        <f t="shared" si="215"/>
        <v>14.3</v>
      </c>
      <c r="AG1523" s="1326"/>
      <c r="DG1523" s="555"/>
      <c r="DH1523" s="151"/>
      <c r="DI1523" s="1049"/>
      <c r="DJ1523" s="1127"/>
    </row>
    <row r="1524" spans="1:114" ht="15" hidden="1" customHeight="1" outlineLevel="1" x14ac:dyDescent="0.25">
      <c r="A1524" s="442"/>
      <c r="C1524" s="49"/>
      <c r="D1524" s="2177"/>
      <c r="E1524" s="2177"/>
      <c r="F1524" s="2176" t="str">
        <f>$E$859</f>
        <v>ASHP-SEER20-Replace_CAC_ElectricHeat_ER1_MF</v>
      </c>
      <c r="G1524" s="2176"/>
      <c r="H1524" s="2176"/>
      <c r="I1524" s="2176"/>
      <c r="J1524" s="986" t="str">
        <f>$C$859</f>
        <v>354650_2024_12_</v>
      </c>
      <c r="K1524" s="875">
        <v>8.33</v>
      </c>
      <c r="L1524" s="249"/>
      <c r="M1524" s="1307" t="s">
        <v>1370</v>
      </c>
      <c r="T1524" s="50"/>
      <c r="U1524" s="50"/>
      <c r="V1524" s="2177"/>
      <c r="W1524" s="1326">
        <v>6.8</v>
      </c>
      <c r="X1524" s="794">
        <v>8.33</v>
      </c>
      <c r="Y1524" s="1326">
        <v>8.33</v>
      </c>
      <c r="Z1524" s="1326">
        <v>8.33</v>
      </c>
      <c r="AA1524" s="1326">
        <v>8.33</v>
      </c>
      <c r="AB1524" s="198">
        <v>8.33</v>
      </c>
      <c r="AC1524" s="198">
        <v>8.33</v>
      </c>
      <c r="AD1524" s="931">
        <v>8.33</v>
      </c>
      <c r="AE1524" s="931">
        <v>8.33</v>
      </c>
      <c r="AF1524" s="258">
        <f t="shared" si="215"/>
        <v>8.33</v>
      </c>
      <c r="AG1524" s="1326"/>
      <c r="DG1524" s="555"/>
      <c r="DH1524" s="151"/>
      <c r="DI1524" s="1049"/>
      <c r="DJ1524" s="1127"/>
    </row>
    <row r="1525" spans="1:114" ht="15" hidden="1" customHeight="1" outlineLevel="1" x14ac:dyDescent="0.25">
      <c r="A1525" s="442"/>
      <c r="C1525" s="49"/>
      <c r="D1525" s="2177"/>
      <c r="E1525" s="2177"/>
      <c r="F1525" s="2176" t="str">
        <f>$E$861</f>
        <v>ASHP-SEER20-Replace_CAC_ElectricHeat_ER2_MF</v>
      </c>
      <c r="G1525" s="2176"/>
      <c r="H1525" s="2176"/>
      <c r="I1525" s="2176"/>
      <c r="J1525" s="986" t="str">
        <f>$C$861</f>
        <v>354650_2024_12_</v>
      </c>
      <c r="K1525" s="1649">
        <v>13.4</v>
      </c>
      <c r="L1525" s="12"/>
      <c r="M1525" s="1307" t="s">
        <v>1029</v>
      </c>
      <c r="T1525" s="50"/>
      <c r="U1525" s="50"/>
      <c r="V1525" s="2177"/>
      <c r="W1525" s="1326">
        <v>13</v>
      </c>
      <c r="X1525" s="1326">
        <v>13</v>
      </c>
      <c r="Y1525" s="1326">
        <v>13</v>
      </c>
      <c r="Z1525" s="1326">
        <v>13</v>
      </c>
      <c r="AA1525" s="1326">
        <v>13</v>
      </c>
      <c r="AB1525" s="198">
        <v>13</v>
      </c>
      <c r="AC1525" s="198">
        <v>13</v>
      </c>
      <c r="AD1525" s="931">
        <v>13</v>
      </c>
      <c r="AE1525" s="1058">
        <v>14</v>
      </c>
      <c r="AF1525" s="258">
        <f t="shared" si="215"/>
        <v>13.4</v>
      </c>
      <c r="AG1525" s="1326"/>
      <c r="DG1525" s="555"/>
      <c r="DH1525" s="151"/>
      <c r="DI1525" s="1049"/>
      <c r="DJ1525" s="1127"/>
    </row>
    <row r="1526" spans="1:114" ht="15" hidden="1" customHeight="1" outlineLevel="1" x14ac:dyDescent="0.25">
      <c r="A1526" s="442"/>
      <c r="C1526" s="49"/>
      <c r="D1526" s="2177"/>
      <c r="E1526" s="2177"/>
      <c r="F1526" s="2176" t="str">
        <f>$E$863</f>
        <v>ASHP-SEER20_ER1_MF</v>
      </c>
      <c r="G1526" s="2176"/>
      <c r="H1526" s="2176"/>
      <c r="I1526" s="2176"/>
      <c r="J1526" s="986" t="str">
        <f>$C$863</f>
        <v>354700_2024_12_</v>
      </c>
      <c r="K1526" s="875">
        <v>8.33</v>
      </c>
      <c r="L1526" s="249"/>
      <c r="M1526" s="1307" t="s">
        <v>1370</v>
      </c>
      <c r="T1526" s="50"/>
      <c r="U1526" s="50"/>
      <c r="V1526" s="2177"/>
      <c r="W1526" s="1326">
        <v>7.2</v>
      </c>
      <c r="X1526" s="794">
        <v>8.33</v>
      </c>
      <c r="Y1526" s="1326">
        <v>8.33</v>
      </c>
      <c r="Z1526" s="1326">
        <v>8.33</v>
      </c>
      <c r="AA1526" s="1326">
        <v>8.33</v>
      </c>
      <c r="AB1526" s="198">
        <v>8.33</v>
      </c>
      <c r="AC1526" s="198">
        <v>8.33</v>
      </c>
      <c r="AD1526" s="931">
        <v>8.33</v>
      </c>
      <c r="AE1526" s="931">
        <v>8.33</v>
      </c>
      <c r="AF1526" s="258">
        <f t="shared" si="215"/>
        <v>8.33</v>
      </c>
      <c r="AG1526" s="1326"/>
      <c r="DG1526" s="555"/>
      <c r="DH1526" s="151"/>
      <c r="DI1526" s="1049"/>
      <c r="DJ1526" s="1127"/>
    </row>
    <row r="1527" spans="1:114" ht="15" hidden="1" customHeight="1" outlineLevel="1" x14ac:dyDescent="0.25">
      <c r="A1527" s="442"/>
      <c r="C1527" s="49"/>
      <c r="D1527" s="2177"/>
      <c r="E1527" s="2177"/>
      <c r="F1527" s="2176" t="str">
        <f>$E$865</f>
        <v>ASHP-SEER20_ER2_MF</v>
      </c>
      <c r="G1527" s="2176"/>
      <c r="H1527" s="2176"/>
      <c r="I1527" s="2176"/>
      <c r="J1527" s="986" t="str">
        <f>$C$865</f>
        <v>354700_2024_12_</v>
      </c>
      <c r="K1527" s="1649">
        <v>14.3</v>
      </c>
      <c r="L1527" s="12"/>
      <c r="M1527" s="1307" t="s">
        <v>1029</v>
      </c>
      <c r="T1527" s="50"/>
      <c r="U1527" s="50"/>
      <c r="V1527" s="2177"/>
      <c r="W1527" s="1326">
        <v>14</v>
      </c>
      <c r="X1527" s="1326">
        <v>14</v>
      </c>
      <c r="Y1527" s="1326">
        <v>14</v>
      </c>
      <c r="Z1527" s="1326">
        <v>14</v>
      </c>
      <c r="AA1527" s="1326">
        <v>14</v>
      </c>
      <c r="AB1527" s="198">
        <v>14</v>
      </c>
      <c r="AC1527" s="198">
        <v>14</v>
      </c>
      <c r="AD1527" s="931">
        <v>14</v>
      </c>
      <c r="AE1527" s="1058">
        <v>15</v>
      </c>
      <c r="AF1527" s="258">
        <f t="shared" si="215"/>
        <v>14.3</v>
      </c>
      <c r="AG1527" s="1326"/>
      <c r="DG1527" s="555"/>
      <c r="DH1527" s="151"/>
      <c r="DI1527" s="1049"/>
      <c r="DJ1527" s="1127"/>
    </row>
    <row r="1528" spans="1:114" ht="15" hidden="1" customHeight="1" outlineLevel="1" x14ac:dyDescent="0.25">
      <c r="A1528" s="442"/>
      <c r="C1528" s="49"/>
      <c r="D1528" s="2177"/>
      <c r="E1528" s="2177"/>
      <c r="F1528" s="2176" t="str">
        <f>$E$867</f>
        <v>ASHP-SEER21_ER1_SF</v>
      </c>
      <c r="G1528" s="2176"/>
      <c r="H1528" s="2176"/>
      <c r="I1528" s="2176"/>
      <c r="J1528" s="986" t="str">
        <f>$C$867</f>
        <v>354750_2024_12_</v>
      </c>
      <c r="K1528" s="875">
        <v>8.344911767808382</v>
      </c>
      <c r="L1528" s="249"/>
      <c r="M1528" s="1593" t="s">
        <v>1035</v>
      </c>
      <c r="T1528" s="50"/>
      <c r="U1528" s="50"/>
      <c r="V1528" s="2177"/>
      <c r="W1528" s="1326">
        <v>7.2</v>
      </c>
      <c r="X1528" s="794">
        <v>8.33</v>
      </c>
      <c r="Y1528" s="1326">
        <v>8.33</v>
      </c>
      <c r="Z1528" s="1326">
        <v>8.33</v>
      </c>
      <c r="AA1528" s="1326">
        <v>8.33</v>
      </c>
      <c r="AB1528" s="198">
        <v>8.33</v>
      </c>
      <c r="AC1528" s="199">
        <v>8.4729048312395783</v>
      </c>
      <c r="AD1528" s="930">
        <v>7.6464902009468165</v>
      </c>
      <c r="AE1528" s="930">
        <v>8.1664994015949581</v>
      </c>
      <c r="AF1528" s="258">
        <f t="shared" si="215"/>
        <v>8.344911767808382</v>
      </c>
      <c r="AG1528" s="1326"/>
      <c r="DG1528" s="555"/>
      <c r="DH1528" s="151"/>
      <c r="DI1528" s="1049"/>
      <c r="DJ1528" s="1127"/>
    </row>
    <row r="1529" spans="1:114" ht="15" hidden="1" customHeight="1" outlineLevel="1" x14ac:dyDescent="0.25">
      <c r="A1529" s="442"/>
      <c r="C1529" s="49"/>
      <c r="D1529" s="2177"/>
      <c r="E1529" s="2177"/>
      <c r="F1529" s="2176" t="str">
        <f>$E$869</f>
        <v>ASHP-SEER21_ER2_SF</v>
      </c>
      <c r="G1529" s="2176"/>
      <c r="H1529" s="2176"/>
      <c r="I1529" s="2176"/>
      <c r="J1529" s="986" t="str">
        <f>$C$869</f>
        <v>354750_2024_12_</v>
      </c>
      <c r="K1529" s="1649">
        <v>14.3</v>
      </c>
      <c r="L1529" s="12"/>
      <c r="M1529" s="1307" t="s">
        <v>1029</v>
      </c>
      <c r="T1529" s="50"/>
      <c r="U1529" s="50"/>
      <c r="V1529" s="2177"/>
      <c r="W1529" s="1326">
        <v>14</v>
      </c>
      <c r="X1529" s="1326">
        <v>14</v>
      </c>
      <c r="Y1529" s="1326">
        <v>14</v>
      </c>
      <c r="Z1529" s="1326">
        <v>14</v>
      </c>
      <c r="AA1529" s="1326">
        <v>14</v>
      </c>
      <c r="AB1529" s="198">
        <v>14</v>
      </c>
      <c r="AC1529" s="198">
        <v>14</v>
      </c>
      <c r="AD1529" s="931">
        <v>14</v>
      </c>
      <c r="AE1529" s="1058">
        <v>15</v>
      </c>
      <c r="AF1529" s="258">
        <f t="shared" si="215"/>
        <v>14.3</v>
      </c>
      <c r="AG1529" s="1326"/>
      <c r="DG1529" s="555"/>
      <c r="DH1529" s="151"/>
      <c r="DI1529" s="1049"/>
      <c r="DJ1529" s="1127"/>
    </row>
    <row r="1530" spans="1:114" ht="15" hidden="1" customHeight="1" outlineLevel="1" x14ac:dyDescent="0.25">
      <c r="A1530" s="442"/>
      <c r="C1530" s="49"/>
      <c r="D1530" s="2177"/>
      <c r="E1530" s="2177"/>
      <c r="F1530" s="2176" t="str">
        <f>$E$871</f>
        <v>ASHP-SEER21_ROF_SF</v>
      </c>
      <c r="G1530" s="2176"/>
      <c r="H1530" s="2176"/>
      <c r="I1530" s="2176"/>
      <c r="J1530" s="986" t="str">
        <f>$C$871</f>
        <v>354800_2024_12_</v>
      </c>
      <c r="K1530" s="1649">
        <v>14.3</v>
      </c>
      <c r="L1530" s="12"/>
      <c r="M1530" s="1307" t="s">
        <v>1029</v>
      </c>
      <c r="T1530" s="50"/>
      <c r="U1530" s="50"/>
      <c r="V1530" s="2177"/>
      <c r="W1530" s="1326">
        <v>14</v>
      </c>
      <c r="X1530" s="1326">
        <v>14</v>
      </c>
      <c r="Y1530" s="1326">
        <v>14</v>
      </c>
      <c r="Z1530" s="1326">
        <v>14</v>
      </c>
      <c r="AA1530" s="1326">
        <v>14</v>
      </c>
      <c r="AB1530" s="198">
        <v>14</v>
      </c>
      <c r="AC1530" s="198">
        <v>14</v>
      </c>
      <c r="AD1530" s="931">
        <v>14</v>
      </c>
      <c r="AE1530" s="1058">
        <v>15</v>
      </c>
      <c r="AF1530" s="258">
        <f t="shared" si="215"/>
        <v>14.3</v>
      </c>
      <c r="AG1530" s="1326"/>
      <c r="DG1530" s="555"/>
      <c r="DH1530" s="151"/>
      <c r="DI1530" s="1049"/>
      <c r="DJ1530" s="1127"/>
    </row>
    <row r="1531" spans="1:114" ht="15" hidden="1" customHeight="1" outlineLevel="1" x14ac:dyDescent="0.25">
      <c r="A1531" s="442"/>
      <c r="C1531" s="49"/>
      <c r="D1531" s="2177"/>
      <c r="E1531" s="2177"/>
      <c r="F1531" s="2176" t="str">
        <f>$E$873</f>
        <v>ASHP-SEER21-Replace_CAC_ElectricHeat_ROF_MF</v>
      </c>
      <c r="G1531" s="2176"/>
      <c r="H1531" s="2176"/>
      <c r="I1531" s="2176"/>
      <c r="J1531" s="986" t="str">
        <f>$C$873</f>
        <v>354850_2024_12_</v>
      </c>
      <c r="K1531" s="1649">
        <v>13.4</v>
      </c>
      <c r="L1531" s="12"/>
      <c r="M1531" s="1307" t="s">
        <v>1029</v>
      </c>
      <c r="T1531" s="50"/>
      <c r="U1531" s="50"/>
      <c r="V1531" s="2177"/>
      <c r="W1531" s="1326">
        <v>13</v>
      </c>
      <c r="X1531" s="1326">
        <v>13</v>
      </c>
      <c r="Y1531" s="1326">
        <v>13</v>
      </c>
      <c r="Z1531" s="1326">
        <v>13</v>
      </c>
      <c r="AA1531" s="1326">
        <v>13</v>
      </c>
      <c r="AB1531" s="198">
        <v>13</v>
      </c>
      <c r="AC1531" s="198">
        <v>13</v>
      </c>
      <c r="AD1531" s="931">
        <v>13</v>
      </c>
      <c r="AE1531" s="1058">
        <v>14</v>
      </c>
      <c r="AF1531" s="258">
        <f t="shared" si="215"/>
        <v>13.4</v>
      </c>
      <c r="AG1531" s="1326"/>
      <c r="DG1531" s="555"/>
      <c r="DH1531" s="151"/>
      <c r="DI1531" s="1049"/>
      <c r="DJ1531" s="1127"/>
    </row>
    <row r="1532" spans="1:114" ht="15" hidden="1" customHeight="1" outlineLevel="1" x14ac:dyDescent="0.25">
      <c r="A1532" s="442"/>
      <c r="C1532" s="49"/>
      <c r="D1532" s="2177"/>
      <c r="E1532" s="2177"/>
      <c r="F1532" s="2176" t="str">
        <f>$E$875</f>
        <v>ASHP-SEER21_ER1_MF</v>
      </c>
      <c r="G1532" s="2176"/>
      <c r="H1532" s="2176"/>
      <c r="I1532" s="2176"/>
      <c r="J1532" s="986" t="str">
        <f>$C$875</f>
        <v>354900_2024_12_</v>
      </c>
      <c r="K1532" s="875">
        <v>8.33</v>
      </c>
      <c r="L1532" s="249"/>
      <c r="M1532" s="1307" t="s">
        <v>1370</v>
      </c>
      <c r="T1532" s="50"/>
      <c r="U1532" s="50"/>
      <c r="V1532" s="2177"/>
      <c r="W1532" s="1326">
        <v>7.2</v>
      </c>
      <c r="X1532" s="794">
        <v>8.33</v>
      </c>
      <c r="Y1532" s="1326">
        <v>8.33</v>
      </c>
      <c r="Z1532" s="1326">
        <v>8.33</v>
      </c>
      <c r="AA1532" s="1326">
        <v>8.33</v>
      </c>
      <c r="AB1532" s="198">
        <v>8.33</v>
      </c>
      <c r="AC1532" s="198">
        <v>8.33</v>
      </c>
      <c r="AD1532" s="931">
        <v>8.33</v>
      </c>
      <c r="AE1532" s="931">
        <v>8.33</v>
      </c>
      <c r="AF1532" s="258">
        <f t="shared" si="215"/>
        <v>8.33</v>
      </c>
      <c r="AG1532" s="1326"/>
      <c r="DG1532" s="555"/>
      <c r="DH1532" s="151"/>
      <c r="DI1532" s="1049"/>
      <c r="DJ1532" s="1127"/>
    </row>
    <row r="1533" spans="1:114" ht="15" hidden="1" customHeight="1" outlineLevel="1" x14ac:dyDescent="0.25">
      <c r="A1533" s="442"/>
      <c r="C1533" s="49"/>
      <c r="D1533" s="2177"/>
      <c r="E1533" s="2177"/>
      <c r="F1533" s="2176" t="str">
        <f>$E$877</f>
        <v>ASHP-SEER21_ER2_MF</v>
      </c>
      <c r="G1533" s="2176"/>
      <c r="H1533" s="2176"/>
      <c r="I1533" s="2176"/>
      <c r="J1533" s="986" t="str">
        <f>$C$877</f>
        <v>354900_2024_12_</v>
      </c>
      <c r="K1533" s="1649">
        <v>14.3</v>
      </c>
      <c r="L1533" s="12"/>
      <c r="M1533" s="1307" t="s">
        <v>1029</v>
      </c>
      <c r="T1533" s="50"/>
      <c r="U1533" s="50"/>
      <c r="V1533" s="2177"/>
      <c r="W1533" s="1326">
        <v>14</v>
      </c>
      <c r="X1533" s="1326">
        <v>14</v>
      </c>
      <c r="Y1533" s="1326">
        <v>14</v>
      </c>
      <c r="Z1533" s="1326">
        <v>14</v>
      </c>
      <c r="AA1533" s="1326">
        <v>14</v>
      </c>
      <c r="AB1533" s="198">
        <v>14</v>
      </c>
      <c r="AC1533" s="198">
        <v>14</v>
      </c>
      <c r="AD1533" s="931">
        <v>14</v>
      </c>
      <c r="AE1533" s="1058">
        <v>15</v>
      </c>
      <c r="AF1533" s="258">
        <f t="shared" si="215"/>
        <v>14.3</v>
      </c>
      <c r="AG1533" s="1326"/>
      <c r="DG1533" s="555"/>
      <c r="DH1533" s="151"/>
      <c r="DI1533" s="1049"/>
      <c r="DJ1533" s="1127"/>
    </row>
    <row r="1534" spans="1:114" ht="15" hidden="1" customHeight="1" outlineLevel="1" x14ac:dyDescent="0.25">
      <c r="A1534" s="442"/>
      <c r="C1534" s="49"/>
      <c r="D1534" s="2177"/>
      <c r="E1534" s="2177"/>
      <c r="F1534" s="2176" t="str">
        <f>$E$879</f>
        <v>ASHP-SEER17_ROF_MF</v>
      </c>
      <c r="G1534" s="2176"/>
      <c r="H1534" s="2176"/>
      <c r="I1534" s="2176"/>
      <c r="J1534" s="986" t="str">
        <f>$C$879</f>
        <v>354950_2024_12_</v>
      </c>
      <c r="K1534" s="1649">
        <v>14.3</v>
      </c>
      <c r="L1534" s="12"/>
      <c r="M1534" s="1307" t="s">
        <v>1029</v>
      </c>
      <c r="P1534" s="248"/>
      <c r="Q1534" s="196"/>
      <c r="R1534" s="248"/>
      <c r="T1534" s="169"/>
      <c r="U1534" s="50"/>
      <c r="V1534" s="2177"/>
      <c r="W1534" s="1326">
        <v>14</v>
      </c>
      <c r="X1534" s="1326">
        <v>14</v>
      </c>
      <c r="Y1534" s="1326">
        <v>14</v>
      </c>
      <c r="Z1534" s="1326">
        <v>14</v>
      </c>
      <c r="AA1534" s="1326">
        <v>14</v>
      </c>
      <c r="AB1534" s="198">
        <v>14</v>
      </c>
      <c r="AC1534" s="198">
        <v>14</v>
      </c>
      <c r="AD1534" s="931">
        <v>14</v>
      </c>
      <c r="AE1534" s="1058">
        <v>15</v>
      </c>
      <c r="AF1534" s="258">
        <f t="shared" si="215"/>
        <v>14.3</v>
      </c>
      <c r="AG1534" s="1326"/>
      <c r="DG1534" s="555"/>
      <c r="DH1534" s="151"/>
      <c r="DI1534" s="1049"/>
      <c r="DJ1534" s="1127"/>
    </row>
    <row r="1535" spans="1:114" ht="15" hidden="1" customHeight="1" outlineLevel="1" x14ac:dyDescent="0.25">
      <c r="A1535" s="442"/>
      <c r="C1535" s="49"/>
      <c r="D1535" s="2177"/>
      <c r="E1535" s="2177"/>
      <c r="F1535" s="2176" t="str">
        <f>$E$881</f>
        <v>ASHP-SEER18_ROF_MF</v>
      </c>
      <c r="G1535" s="2176"/>
      <c r="H1535" s="2176"/>
      <c r="I1535" s="2176"/>
      <c r="J1535" s="986" t="str">
        <f>$C$881</f>
        <v>355000_2024_12_</v>
      </c>
      <c r="K1535" s="1649">
        <v>14.3</v>
      </c>
      <c r="L1535" s="12"/>
      <c r="M1535" s="1307" t="s">
        <v>1029</v>
      </c>
      <c r="P1535" s="248"/>
      <c r="Q1535" s="196"/>
      <c r="R1535" s="248"/>
      <c r="T1535" s="169"/>
      <c r="U1535" s="50"/>
      <c r="V1535" s="2177"/>
      <c r="W1535" s="1326">
        <v>14</v>
      </c>
      <c r="X1535" s="1326">
        <v>14</v>
      </c>
      <c r="Y1535" s="1326">
        <v>14</v>
      </c>
      <c r="Z1535" s="1326">
        <v>14</v>
      </c>
      <c r="AA1535" s="1326">
        <v>14</v>
      </c>
      <c r="AB1535" s="198">
        <v>14</v>
      </c>
      <c r="AC1535" s="198">
        <v>14</v>
      </c>
      <c r="AD1535" s="931">
        <v>14</v>
      </c>
      <c r="AE1535" s="1058">
        <v>15</v>
      </c>
      <c r="AF1535" s="258">
        <f t="shared" si="215"/>
        <v>14.3</v>
      </c>
      <c r="AG1535" s="1326"/>
      <c r="DG1535" s="555"/>
      <c r="DH1535" s="151"/>
      <c r="DI1535" s="1049"/>
      <c r="DJ1535" s="1127"/>
    </row>
    <row r="1536" spans="1:114" ht="15" hidden="1" customHeight="1" outlineLevel="1" x14ac:dyDescent="0.25">
      <c r="A1536" s="442"/>
      <c r="C1536" s="49"/>
      <c r="D1536" s="2177"/>
      <c r="E1536" s="2177"/>
      <c r="F1536" s="2176" t="str">
        <f>$E$883</f>
        <v>ASHP-SEER19_ROF_MF</v>
      </c>
      <c r="G1536" s="2176"/>
      <c r="H1536" s="2176"/>
      <c r="I1536" s="2176"/>
      <c r="J1536" s="986" t="str">
        <f>$C$883</f>
        <v>355050_2024_12_</v>
      </c>
      <c r="K1536" s="1649">
        <v>14.3</v>
      </c>
      <c r="L1536" s="12"/>
      <c r="M1536" s="1307" t="s">
        <v>1029</v>
      </c>
      <c r="T1536" s="50"/>
      <c r="U1536" s="50"/>
      <c r="V1536" s="2177"/>
      <c r="W1536" s="1326">
        <v>14</v>
      </c>
      <c r="X1536" s="1326">
        <v>14</v>
      </c>
      <c r="Y1536" s="1326">
        <v>14</v>
      </c>
      <c r="Z1536" s="1326">
        <v>14</v>
      </c>
      <c r="AA1536" s="1326">
        <v>14</v>
      </c>
      <c r="AB1536" s="198">
        <v>14</v>
      </c>
      <c r="AC1536" s="198">
        <v>14</v>
      </c>
      <c r="AD1536" s="931">
        <v>14</v>
      </c>
      <c r="AE1536" s="1058">
        <v>15</v>
      </c>
      <c r="AF1536" s="258">
        <f t="shared" ref="AF1536:AF1559" si="216">IF(K1536&lt;&gt;"",K1536,"")</f>
        <v>14.3</v>
      </c>
      <c r="AG1536" s="1326"/>
      <c r="DG1536" s="555"/>
      <c r="DH1536" s="151"/>
      <c r="DI1536" s="1049"/>
      <c r="DJ1536" s="1127"/>
    </row>
    <row r="1537" spans="1:114" ht="15" hidden="1" customHeight="1" outlineLevel="1" x14ac:dyDescent="0.25">
      <c r="A1537" s="442"/>
      <c r="C1537" s="49"/>
      <c r="D1537" s="2177"/>
      <c r="E1537" s="2177"/>
      <c r="F1537" s="2176" t="str">
        <f>$E$885</f>
        <v>ASHP-SEER20_ROF_MF</v>
      </c>
      <c r="G1537" s="2176"/>
      <c r="H1537" s="2176"/>
      <c r="I1537" s="2176"/>
      <c r="J1537" s="986" t="str">
        <f>$C$885</f>
        <v>355100_2024_12_</v>
      </c>
      <c r="K1537" s="1649">
        <v>14.3</v>
      </c>
      <c r="L1537" s="12"/>
      <c r="M1537" s="1307" t="s">
        <v>1029</v>
      </c>
      <c r="T1537" s="50"/>
      <c r="U1537" s="50"/>
      <c r="V1537" s="2177"/>
      <c r="W1537" s="1326">
        <v>14</v>
      </c>
      <c r="X1537" s="1326">
        <v>14</v>
      </c>
      <c r="Y1537" s="1326">
        <v>14</v>
      </c>
      <c r="Z1537" s="1326">
        <v>14</v>
      </c>
      <c r="AA1537" s="1326">
        <v>14</v>
      </c>
      <c r="AB1537" s="198">
        <v>14</v>
      </c>
      <c r="AC1537" s="198">
        <v>14</v>
      </c>
      <c r="AD1537" s="931">
        <v>14</v>
      </c>
      <c r="AE1537" s="1058">
        <v>15</v>
      </c>
      <c r="AF1537" s="258">
        <f t="shared" si="216"/>
        <v>14.3</v>
      </c>
      <c r="AG1537" s="1326"/>
      <c r="DG1537" s="555"/>
      <c r="DH1537" s="151"/>
      <c r="DI1537" s="1049"/>
      <c r="DJ1537" s="1127"/>
    </row>
    <row r="1538" spans="1:114" ht="15.75" hidden="1" customHeight="1" outlineLevel="1" x14ac:dyDescent="0.25">
      <c r="A1538" s="442"/>
      <c r="C1538" s="49"/>
      <c r="D1538" s="2177"/>
      <c r="E1538" s="2177"/>
      <c r="F1538" s="2176" t="str">
        <f>$E$887</f>
        <v>ASHP-SEER21_ROF_MF</v>
      </c>
      <c r="G1538" s="2176"/>
      <c r="H1538" s="2176"/>
      <c r="I1538" s="2176"/>
      <c r="J1538" s="986" t="str">
        <f>$C$887</f>
        <v>355150_2024_12_</v>
      </c>
      <c r="K1538" s="1649">
        <v>14.3</v>
      </c>
      <c r="L1538" s="12"/>
      <c r="M1538" s="1307" t="s">
        <v>1029</v>
      </c>
      <c r="P1538" s="248"/>
      <c r="Q1538" s="196"/>
      <c r="R1538" s="248"/>
      <c r="T1538" s="169"/>
      <c r="U1538" s="50"/>
      <c r="V1538" s="2177"/>
      <c r="W1538" s="1326">
        <v>14</v>
      </c>
      <c r="X1538" s="1326">
        <v>14</v>
      </c>
      <c r="Y1538" s="1326">
        <v>14</v>
      </c>
      <c r="Z1538" s="1326">
        <v>14</v>
      </c>
      <c r="AA1538" s="1326">
        <v>14</v>
      </c>
      <c r="AB1538" s="198">
        <v>14</v>
      </c>
      <c r="AC1538" s="198">
        <v>14</v>
      </c>
      <c r="AD1538" s="931">
        <v>14</v>
      </c>
      <c r="AE1538" s="1058">
        <v>15</v>
      </c>
      <c r="AF1538" s="258">
        <f t="shared" si="216"/>
        <v>14.3</v>
      </c>
      <c r="AG1538" s="1326"/>
      <c r="DG1538" s="555"/>
      <c r="DH1538" s="151"/>
      <c r="DI1538" s="1049"/>
      <c r="DJ1538" s="1127"/>
    </row>
    <row r="1539" spans="1:114" ht="15" hidden="1" customHeight="1" outlineLevel="1" x14ac:dyDescent="0.25">
      <c r="A1539" s="442"/>
      <c r="C1539" s="49"/>
      <c r="D1539" s="2177" t="s">
        <v>1165</v>
      </c>
      <c r="E1539" s="2177" t="s">
        <v>1371</v>
      </c>
      <c r="F1539" s="2176" t="str">
        <f>$E$709</f>
        <v>ASHP-SEER15-Replace_CAC_ElectricHeat_ER1_SF</v>
      </c>
      <c r="G1539" s="2176"/>
      <c r="H1539" s="2176"/>
      <c r="I1539" s="2176"/>
      <c r="J1539" s="986" t="str">
        <f>$C$709</f>
        <v>352300_2024_12_</v>
      </c>
      <c r="K1539" s="1592">
        <v>15.126497005988021</v>
      </c>
      <c r="L1539" s="12"/>
      <c r="M1539" s="1307" t="s">
        <v>1024</v>
      </c>
      <c r="P1539" s="248"/>
      <c r="Q1539" s="248"/>
      <c r="R1539" s="248"/>
      <c r="T1539" s="169"/>
      <c r="U1539" s="50"/>
      <c r="V1539" s="2177" t="s">
        <v>1168</v>
      </c>
      <c r="W1539" s="1326">
        <v>15.1</v>
      </c>
      <c r="X1539" s="794">
        <v>15.12</v>
      </c>
      <c r="Y1539" s="794">
        <v>15.11</v>
      </c>
      <c r="Z1539" s="1326">
        <v>15.11</v>
      </c>
      <c r="AA1539" s="1326">
        <v>15.11</v>
      </c>
      <c r="AB1539" s="199">
        <v>15.12889344262295</v>
      </c>
      <c r="AC1539" s="199">
        <v>15.121398305084742</v>
      </c>
      <c r="AD1539" s="199">
        <v>15.131096196868006</v>
      </c>
      <c r="AE1539" s="199">
        <v>15.126497005988021</v>
      </c>
      <c r="AF1539" s="258">
        <f t="shared" si="216"/>
        <v>15.126497005988021</v>
      </c>
      <c r="AG1539" s="1326"/>
      <c r="DG1539" s="555"/>
      <c r="DH1539" s="151"/>
      <c r="DI1539" s="1049"/>
      <c r="DJ1539" s="1127"/>
    </row>
    <row r="1540" spans="1:114" ht="15" hidden="1" customHeight="1" outlineLevel="1" x14ac:dyDescent="0.25">
      <c r="A1540" s="442"/>
      <c r="C1540" s="49"/>
      <c r="D1540" s="2177"/>
      <c r="E1540" s="2177"/>
      <c r="F1540" s="2176" t="str">
        <f>$E$711</f>
        <v>ASHP-SEER15-Replace_CAC_ElectricHeat_ER2_SF</v>
      </c>
      <c r="G1540" s="2176"/>
      <c r="H1540" s="2176"/>
      <c r="I1540" s="2176"/>
      <c r="J1540" s="986" t="str">
        <f>$C$711</f>
        <v>352300_2024_12_</v>
      </c>
      <c r="K1540" s="1592">
        <v>15.126497005988021</v>
      </c>
      <c r="L1540" s="12"/>
      <c r="M1540" s="1577" t="s">
        <v>1112</v>
      </c>
      <c r="P1540" s="248"/>
      <c r="Q1540" s="248"/>
      <c r="R1540" s="248"/>
      <c r="T1540" s="169"/>
      <c r="U1540" s="50"/>
      <c r="V1540" s="2177"/>
      <c r="W1540" s="1326">
        <v>15.1</v>
      </c>
      <c r="X1540" s="794">
        <v>15.12</v>
      </c>
      <c r="Y1540" s="794">
        <v>15.11</v>
      </c>
      <c r="Z1540" s="1326">
        <v>15.11</v>
      </c>
      <c r="AA1540" s="1326">
        <v>15.11</v>
      </c>
      <c r="AB1540" s="199">
        <v>15.12889344262295</v>
      </c>
      <c r="AC1540" s="199">
        <f>AC1539</f>
        <v>15.121398305084742</v>
      </c>
      <c r="AD1540" s="199">
        <v>15.131096196868006</v>
      </c>
      <c r="AE1540" s="199">
        <v>15.126497005988021</v>
      </c>
      <c r="AF1540" s="258">
        <f t="shared" si="216"/>
        <v>15.126497005988021</v>
      </c>
      <c r="AG1540" s="1326"/>
      <c r="DG1540" s="555"/>
      <c r="DH1540" s="151"/>
      <c r="DI1540" s="1049"/>
      <c r="DJ1540" s="1127"/>
    </row>
    <row r="1541" spans="1:114" ht="15" hidden="1" customHeight="1" outlineLevel="1" x14ac:dyDescent="0.25">
      <c r="A1541" s="442"/>
      <c r="C1541" s="49"/>
      <c r="D1541" s="2177"/>
      <c r="E1541" s="2177"/>
      <c r="F1541" s="2176" t="str">
        <f>$E$713</f>
        <v>ASHP-SEER15-Replace_CAC_NonElectricHeat_ER1_SF</v>
      </c>
      <c r="G1541" s="2176"/>
      <c r="H1541" s="2176"/>
      <c r="I1541" s="2176"/>
      <c r="J1541" s="986" t="str">
        <f>$C$713</f>
        <v>352310_2024_12_</v>
      </c>
      <c r="K1541" s="1592">
        <v>15.126497005988021</v>
      </c>
      <c r="L1541" s="12"/>
      <c r="M1541" s="1577" t="s">
        <v>1112</v>
      </c>
      <c r="P1541" s="248"/>
      <c r="Q1541" s="248"/>
      <c r="R1541" s="248"/>
      <c r="T1541" s="169"/>
      <c r="U1541" s="50"/>
      <c r="V1541" s="2177"/>
      <c r="W1541" s="1326"/>
      <c r="X1541" s="794"/>
      <c r="Y1541" s="794"/>
      <c r="Z1541" s="1326"/>
      <c r="AA1541" s="1326"/>
      <c r="AB1541" s="199"/>
      <c r="AC1541" s="199">
        <v>15.121398305084742</v>
      </c>
      <c r="AD1541" s="199">
        <v>15.131096196868006</v>
      </c>
      <c r="AE1541" s="199">
        <v>15.126497005988021</v>
      </c>
      <c r="AF1541" s="258">
        <f t="shared" si="216"/>
        <v>15.126497005988021</v>
      </c>
      <c r="AG1541" s="1326"/>
      <c r="DG1541" s="555"/>
      <c r="DH1541" s="151"/>
      <c r="DI1541" s="1049"/>
      <c r="DJ1541" s="1127"/>
    </row>
    <row r="1542" spans="1:114" ht="15" hidden="1" customHeight="1" outlineLevel="1" x14ac:dyDescent="0.25">
      <c r="A1542" s="442"/>
      <c r="C1542" s="49"/>
      <c r="D1542" s="2177"/>
      <c r="E1542" s="2177"/>
      <c r="F1542" s="2176" t="str">
        <f>$E$715</f>
        <v>ASHP-SEER15-Replace_CAC_NonElectricHeat_ER2_SF</v>
      </c>
      <c r="G1542" s="2176"/>
      <c r="H1542" s="2176"/>
      <c r="I1542" s="2176"/>
      <c r="J1542" s="986" t="str">
        <f>$C$715</f>
        <v>352310_2024_12_</v>
      </c>
      <c r="K1542" s="1592">
        <v>15.126497005988021</v>
      </c>
      <c r="L1542" s="12"/>
      <c r="M1542" s="1577" t="s">
        <v>1112</v>
      </c>
      <c r="P1542" s="248"/>
      <c r="Q1542" s="248"/>
      <c r="R1542" s="248"/>
      <c r="T1542" s="169"/>
      <c r="U1542" s="50"/>
      <c r="V1542" s="2177"/>
      <c r="W1542" s="1326"/>
      <c r="X1542" s="794"/>
      <c r="Y1542" s="794"/>
      <c r="Z1542" s="1326"/>
      <c r="AA1542" s="1326"/>
      <c r="AB1542" s="199"/>
      <c r="AC1542" s="199">
        <f>AC1541</f>
        <v>15.121398305084742</v>
      </c>
      <c r="AD1542" s="199">
        <v>15.131096196868006</v>
      </c>
      <c r="AE1542" s="199">
        <v>15.126497005988021</v>
      </c>
      <c r="AF1542" s="258">
        <f t="shared" si="216"/>
        <v>15.126497005988021</v>
      </c>
      <c r="AG1542" s="1326"/>
      <c r="DG1542" s="555"/>
      <c r="DH1542" s="151"/>
      <c r="DI1542" s="1049"/>
      <c r="DJ1542" s="1127"/>
    </row>
    <row r="1543" spans="1:114" ht="15" hidden="1" customHeight="1" outlineLevel="1" x14ac:dyDescent="0.25">
      <c r="A1543" s="442"/>
      <c r="C1543" s="49"/>
      <c r="D1543" s="2177"/>
      <c r="E1543" s="2177"/>
      <c r="F1543" s="2176" t="str">
        <f>$E$717</f>
        <v>ASHP-SEER15_ER1_SF</v>
      </c>
      <c r="G1543" s="2176"/>
      <c r="H1543" s="2176"/>
      <c r="I1543" s="2176"/>
      <c r="J1543" s="986" t="str">
        <f>$C$717</f>
        <v>352350_2024_12_</v>
      </c>
      <c r="K1543" s="1592">
        <v>15.126497005988021</v>
      </c>
      <c r="L1543" s="12"/>
      <c r="M1543" s="1577" t="s">
        <v>1112</v>
      </c>
      <c r="P1543" s="248"/>
      <c r="Q1543" s="248"/>
      <c r="R1543" s="248"/>
      <c r="T1543" s="169"/>
      <c r="U1543" s="50"/>
      <c r="V1543" s="2177"/>
      <c r="W1543" s="1326">
        <v>15.1</v>
      </c>
      <c r="X1543" s="794">
        <v>15.12</v>
      </c>
      <c r="Y1543" s="794">
        <v>15.12</v>
      </c>
      <c r="Z1543" s="1326">
        <v>15.12</v>
      </c>
      <c r="AA1543" s="1326">
        <v>15.12</v>
      </c>
      <c r="AB1543" s="199">
        <v>15.124074074074072</v>
      </c>
      <c r="AC1543" s="199">
        <v>15.142532467532467</v>
      </c>
      <c r="AD1543" s="199">
        <v>15.131096196868006</v>
      </c>
      <c r="AE1543" s="199">
        <v>15.126497005988021</v>
      </c>
      <c r="AF1543" s="258">
        <f t="shared" si="216"/>
        <v>15.126497005988021</v>
      </c>
      <c r="AG1543" s="1326"/>
      <c r="DG1543" s="555"/>
      <c r="DH1543" s="151"/>
      <c r="DI1543" s="1049"/>
      <c r="DJ1543" s="1127"/>
    </row>
    <row r="1544" spans="1:114" ht="15" hidden="1" customHeight="1" outlineLevel="1" x14ac:dyDescent="0.25">
      <c r="A1544" s="442"/>
      <c r="C1544" s="49"/>
      <c r="D1544" s="2177"/>
      <c r="E1544" s="2177"/>
      <c r="F1544" s="2176" t="str">
        <f>$E$719</f>
        <v>ASHP-SEER15_ER2_SF</v>
      </c>
      <c r="G1544" s="2176"/>
      <c r="H1544" s="2176"/>
      <c r="I1544" s="2176"/>
      <c r="J1544" s="986" t="str">
        <f>$C$719</f>
        <v>352350_2024_12_</v>
      </c>
      <c r="K1544" s="1592">
        <v>15.126497005988021</v>
      </c>
      <c r="L1544" s="12"/>
      <c r="M1544" s="1577" t="s">
        <v>1112</v>
      </c>
      <c r="P1544" s="248"/>
      <c r="Q1544" s="248"/>
      <c r="R1544" s="248"/>
      <c r="T1544" s="169"/>
      <c r="U1544" s="50"/>
      <c r="V1544" s="2177"/>
      <c r="W1544" s="1326">
        <v>15.1</v>
      </c>
      <c r="X1544" s="794">
        <v>15.12</v>
      </c>
      <c r="Y1544" s="794">
        <v>15.12</v>
      </c>
      <c r="Z1544" s="1326">
        <v>15.12</v>
      </c>
      <c r="AA1544" s="1326">
        <v>15.12</v>
      </c>
      <c r="AB1544" s="199">
        <v>15.124074074074072</v>
      </c>
      <c r="AC1544" s="199">
        <f>AC1543</f>
        <v>15.142532467532467</v>
      </c>
      <c r="AD1544" s="199">
        <v>15.131096196868006</v>
      </c>
      <c r="AE1544" s="199">
        <v>15.126497005988021</v>
      </c>
      <c r="AF1544" s="258">
        <f t="shared" si="216"/>
        <v>15.126497005988021</v>
      </c>
      <c r="AG1544" s="1326"/>
      <c r="DG1544" s="555"/>
      <c r="DH1544" s="151"/>
      <c r="DI1544" s="1049"/>
      <c r="DJ1544" s="1127"/>
    </row>
    <row r="1545" spans="1:114" ht="15" hidden="1" customHeight="1" outlineLevel="1" x14ac:dyDescent="0.25">
      <c r="A1545" s="442"/>
      <c r="C1545" s="49"/>
      <c r="D1545" s="2177"/>
      <c r="E1545" s="2177"/>
      <c r="F1545" s="2176" t="str">
        <f>$E$721</f>
        <v>ASHP-SEER15-Replace_CAC_ElectricHeat_ROF_SF</v>
      </c>
      <c r="G1545" s="2176"/>
      <c r="H1545" s="2176"/>
      <c r="I1545" s="2176"/>
      <c r="J1545" s="986" t="str">
        <f>$C$721</f>
        <v>352400_2024_12_</v>
      </c>
      <c r="K1545" s="1592">
        <v>15.136274509803922</v>
      </c>
      <c r="L1545" s="249"/>
      <c r="M1545" s="1577" t="s">
        <v>1024</v>
      </c>
      <c r="P1545" s="248"/>
      <c r="Q1545" s="248"/>
      <c r="R1545" s="248"/>
      <c r="T1545" s="169"/>
      <c r="U1545" s="50"/>
      <c r="V1545" s="2177"/>
      <c r="W1545" s="1326">
        <v>15.2</v>
      </c>
      <c r="X1545" s="794">
        <v>15.12</v>
      </c>
      <c r="Y1545" s="794">
        <v>15.11</v>
      </c>
      <c r="Z1545" s="1326">
        <v>15.11</v>
      </c>
      <c r="AA1545" s="1326">
        <v>15.11</v>
      </c>
      <c r="AB1545" s="199">
        <v>15.185106382978724</v>
      </c>
      <c r="AC1545" s="199">
        <v>15.138888888888889</v>
      </c>
      <c r="AD1545" s="199">
        <v>15.185779816513762</v>
      </c>
      <c r="AE1545" s="199">
        <v>15.136274509803922</v>
      </c>
      <c r="AF1545" s="258">
        <f t="shared" si="216"/>
        <v>15.136274509803922</v>
      </c>
      <c r="AG1545" s="1326"/>
      <c r="DG1545" s="555"/>
      <c r="DH1545" s="151"/>
      <c r="DI1545" s="1049"/>
      <c r="DJ1545" s="1127"/>
    </row>
    <row r="1546" spans="1:114" ht="15" hidden="1" customHeight="1" outlineLevel="1" x14ac:dyDescent="0.25">
      <c r="A1546" s="442"/>
      <c r="C1546" s="49"/>
      <c r="D1546" s="2177"/>
      <c r="E1546" s="2177"/>
      <c r="F1546" s="2176" t="str">
        <f>$E$723</f>
        <v>ASHP-SEER15-Replace_CAC_NonElectricHeat_ROF_SF</v>
      </c>
      <c r="G1546" s="2176"/>
      <c r="H1546" s="2176"/>
      <c r="I1546" s="2176"/>
      <c r="J1546" s="986" t="str">
        <f>$C$723</f>
        <v>352410_2024_12_</v>
      </c>
      <c r="K1546" s="1592">
        <v>15.136274509803922</v>
      </c>
      <c r="L1546" s="249"/>
      <c r="M1546" s="1577" t="s">
        <v>1112</v>
      </c>
      <c r="P1546" s="248"/>
      <c r="Q1546" s="248"/>
      <c r="R1546" s="248"/>
      <c r="T1546" s="169"/>
      <c r="U1546" s="50"/>
      <c r="V1546" s="2177"/>
      <c r="W1546" s="1326"/>
      <c r="X1546" s="794"/>
      <c r="Y1546" s="794"/>
      <c r="Z1546" s="1326"/>
      <c r="AA1546" s="1326"/>
      <c r="AB1546" s="199"/>
      <c r="AC1546" s="199">
        <v>15.138888888888889</v>
      </c>
      <c r="AD1546" s="199">
        <v>15.185779816513762</v>
      </c>
      <c r="AE1546" s="199">
        <v>15.136274509803922</v>
      </c>
      <c r="AF1546" s="258">
        <f t="shared" si="216"/>
        <v>15.136274509803922</v>
      </c>
      <c r="AG1546" s="1326"/>
      <c r="DG1546" s="555"/>
      <c r="DH1546" s="151"/>
      <c r="DI1546" s="1049"/>
      <c r="DJ1546" s="1127"/>
    </row>
    <row r="1547" spans="1:114" ht="15" hidden="1" customHeight="1" outlineLevel="1" x14ac:dyDescent="0.25">
      <c r="A1547" s="442"/>
      <c r="C1547" s="49"/>
      <c r="D1547" s="2177"/>
      <c r="E1547" s="2177"/>
      <c r="F1547" s="2176" t="str">
        <f>$E$725</f>
        <v>ASHP-SEER16-Replace_CAC_ElectricHeat_ER1_SF</v>
      </c>
      <c r="G1547" s="2176"/>
      <c r="H1547" s="2176"/>
      <c r="I1547" s="2176"/>
      <c r="J1547" s="986" t="str">
        <f>$C$725</f>
        <v>352500_2024_12_</v>
      </c>
      <c r="K1547" s="875">
        <v>16.050092936802972</v>
      </c>
      <c r="L1547" s="249"/>
      <c r="M1547" s="1576" t="s">
        <v>1024</v>
      </c>
      <c r="P1547" s="248"/>
      <c r="Q1547" s="248"/>
      <c r="R1547" s="248"/>
      <c r="T1547" s="169"/>
      <c r="U1547" s="50"/>
      <c r="V1547" s="2177"/>
      <c r="W1547" s="1326">
        <v>16</v>
      </c>
      <c r="X1547" s="1326">
        <v>16</v>
      </c>
      <c r="Y1547" s="1326">
        <v>16</v>
      </c>
      <c r="Z1547" s="1326">
        <v>16</v>
      </c>
      <c r="AA1547" s="1326">
        <v>16</v>
      </c>
      <c r="AB1547" s="199">
        <v>16.252500000000001</v>
      </c>
      <c r="AC1547" s="199">
        <v>16.068085106382977</v>
      </c>
      <c r="AD1547" s="930">
        <v>16.062186978297163</v>
      </c>
      <c r="AE1547" s="930">
        <v>16.050092936802972</v>
      </c>
      <c r="AF1547" s="258">
        <f t="shared" si="216"/>
        <v>16.050092936802972</v>
      </c>
      <c r="AG1547" s="1326"/>
      <c r="DG1547" s="555"/>
      <c r="DH1547" s="151"/>
      <c r="DI1547" s="1049"/>
      <c r="DJ1547" s="1127"/>
    </row>
    <row r="1548" spans="1:114" ht="15" hidden="1" customHeight="1" outlineLevel="1" x14ac:dyDescent="0.25">
      <c r="A1548" s="442"/>
      <c r="C1548" s="49"/>
      <c r="D1548" s="2177"/>
      <c r="E1548" s="2177"/>
      <c r="F1548" s="2176" t="str">
        <f>$E$727</f>
        <v>ASHP-SEER16-Replace_CAC_ElectricHeat_ER2_SF</v>
      </c>
      <c r="G1548" s="2176"/>
      <c r="H1548" s="2176"/>
      <c r="I1548" s="2176"/>
      <c r="J1548" s="986" t="str">
        <f>$C$727</f>
        <v>352500_2024_12_</v>
      </c>
      <c r="K1548" s="875">
        <v>16.050092936802972</v>
      </c>
      <c r="L1548" s="249"/>
      <c r="M1548" s="1576" t="s">
        <v>1112</v>
      </c>
      <c r="P1548" s="248"/>
      <c r="Q1548" s="248"/>
      <c r="R1548" s="248"/>
      <c r="T1548" s="169"/>
      <c r="U1548" s="50"/>
      <c r="V1548" s="2177"/>
      <c r="W1548" s="1326">
        <v>16</v>
      </c>
      <c r="X1548" s="1326">
        <v>16</v>
      </c>
      <c r="Y1548" s="1326">
        <v>16</v>
      </c>
      <c r="Z1548" s="1326">
        <v>16</v>
      </c>
      <c r="AA1548" s="1326">
        <v>16</v>
      </c>
      <c r="AB1548" s="199">
        <v>16.252500000000001</v>
      </c>
      <c r="AC1548" s="199">
        <f>AC1547</f>
        <v>16.068085106382977</v>
      </c>
      <c r="AD1548" s="930">
        <v>16.062186978297163</v>
      </c>
      <c r="AE1548" s="930">
        <v>16.050092936802972</v>
      </c>
      <c r="AF1548" s="258">
        <f t="shared" si="216"/>
        <v>16.050092936802972</v>
      </c>
      <c r="AG1548" s="1326"/>
      <c r="DG1548" s="555"/>
      <c r="DH1548" s="151"/>
      <c r="DI1548" s="1049"/>
      <c r="DJ1548" s="1127"/>
    </row>
    <row r="1549" spans="1:114" ht="15" hidden="1" customHeight="1" outlineLevel="1" x14ac:dyDescent="0.25">
      <c r="A1549" s="442"/>
      <c r="C1549" s="49"/>
      <c r="D1549" s="2177"/>
      <c r="E1549" s="2177"/>
      <c r="F1549" s="2176" t="str">
        <f>$E$729</f>
        <v>ASHP-SEER16-Replace_CAC_NonElectricHeat_ER1_SF</v>
      </c>
      <c r="G1549" s="2176"/>
      <c r="H1549" s="2176"/>
      <c r="I1549" s="2176"/>
      <c r="J1549" s="986" t="str">
        <f>$C$729</f>
        <v>352510_2024_12_</v>
      </c>
      <c r="K1549" s="875">
        <v>16.050092936802972</v>
      </c>
      <c r="L1549" s="249"/>
      <c r="M1549" s="1577" t="s">
        <v>1112</v>
      </c>
      <c r="P1549" s="248"/>
      <c r="Q1549" s="248"/>
      <c r="R1549" s="248"/>
      <c r="T1549" s="169"/>
      <c r="U1549" s="50"/>
      <c r="V1549" s="2177"/>
      <c r="W1549" s="1326"/>
      <c r="X1549" s="1326"/>
      <c r="Y1549" s="1326"/>
      <c r="Z1549" s="1326"/>
      <c r="AA1549" s="1326"/>
      <c r="AB1549" s="199"/>
      <c r="AC1549" s="199">
        <v>16.068085106382977</v>
      </c>
      <c r="AD1549" s="930">
        <v>16.062186978297163</v>
      </c>
      <c r="AE1549" s="930">
        <v>16.050092936802972</v>
      </c>
      <c r="AF1549" s="258">
        <f t="shared" si="216"/>
        <v>16.050092936802972</v>
      </c>
      <c r="AG1549" s="1326"/>
      <c r="DG1549" s="555"/>
      <c r="DH1549" s="151"/>
      <c r="DI1549" s="1049"/>
      <c r="DJ1549" s="1127"/>
    </row>
    <row r="1550" spans="1:114" ht="15" hidden="1" customHeight="1" outlineLevel="1" x14ac:dyDescent="0.25">
      <c r="A1550" s="442"/>
      <c r="C1550" s="49"/>
      <c r="D1550" s="2177"/>
      <c r="E1550" s="2177"/>
      <c r="F1550" s="2176" t="str">
        <f>$E$731</f>
        <v>ASHP-SEER16-Replace_CAC_NonElectricHeat_ER2_SF</v>
      </c>
      <c r="G1550" s="2176"/>
      <c r="H1550" s="2176"/>
      <c r="I1550" s="2176"/>
      <c r="J1550" s="986" t="str">
        <f>$C$731</f>
        <v>352510_2024_12_</v>
      </c>
      <c r="K1550" s="875">
        <v>16.050092936802972</v>
      </c>
      <c r="L1550" s="249"/>
      <c r="M1550" s="1577" t="s">
        <v>1112</v>
      </c>
      <c r="P1550" s="248"/>
      <c r="Q1550" s="248"/>
      <c r="R1550" s="248"/>
      <c r="T1550" s="169"/>
      <c r="U1550" s="50"/>
      <c r="V1550" s="2177"/>
      <c r="W1550" s="1326"/>
      <c r="X1550" s="1326"/>
      <c r="Y1550" s="1326"/>
      <c r="Z1550" s="1326"/>
      <c r="AA1550" s="1326"/>
      <c r="AB1550" s="199"/>
      <c r="AC1550" s="199">
        <f>AC1549</f>
        <v>16.068085106382977</v>
      </c>
      <c r="AD1550" s="930">
        <v>16.062186978297163</v>
      </c>
      <c r="AE1550" s="930">
        <v>16.050092936802972</v>
      </c>
      <c r="AF1550" s="258">
        <f t="shared" si="216"/>
        <v>16.050092936802972</v>
      </c>
      <c r="AG1550" s="1326"/>
      <c r="DG1550" s="555"/>
      <c r="DH1550" s="151"/>
      <c r="DI1550" s="1049"/>
      <c r="DJ1550" s="1127"/>
    </row>
    <row r="1551" spans="1:114" ht="15" hidden="1" customHeight="1" outlineLevel="1" x14ac:dyDescent="0.25">
      <c r="A1551" s="442"/>
      <c r="C1551" s="49"/>
      <c r="D1551" s="2177"/>
      <c r="E1551" s="2177"/>
      <c r="F1551" s="2176" t="str">
        <f>$E$733</f>
        <v>ASHP-SEER16_ER1_SF</v>
      </c>
      <c r="G1551" s="2176"/>
      <c r="H1551" s="2176"/>
      <c r="I1551" s="2176"/>
      <c r="J1551" s="986" t="str">
        <f>$C$733</f>
        <v>352550_2024_12_</v>
      </c>
      <c r="K1551" s="875">
        <v>16.050092936802972</v>
      </c>
      <c r="L1551" s="249"/>
      <c r="M1551" s="1576" t="s">
        <v>1112</v>
      </c>
      <c r="P1551" s="248"/>
      <c r="Q1551" s="248"/>
      <c r="R1551" s="248"/>
      <c r="T1551" s="169"/>
      <c r="U1551" s="50"/>
      <c r="V1551" s="2177"/>
      <c r="W1551" s="1326">
        <v>16</v>
      </c>
      <c r="X1551" s="1326">
        <v>16</v>
      </c>
      <c r="Y1551" s="1326">
        <v>16</v>
      </c>
      <c r="Z1551" s="1326">
        <v>16</v>
      </c>
      <c r="AA1551" s="1326">
        <v>16</v>
      </c>
      <c r="AB1551" s="199">
        <v>16.354460093896712</v>
      </c>
      <c r="AC1551" s="199">
        <v>16.110638297872342</v>
      </c>
      <c r="AD1551" s="930">
        <v>16.062186978297163</v>
      </c>
      <c r="AE1551" s="930">
        <v>16.050092936802972</v>
      </c>
      <c r="AF1551" s="258">
        <f t="shared" si="216"/>
        <v>16.050092936802972</v>
      </c>
      <c r="AG1551" s="1326"/>
      <c r="DG1551" s="555"/>
      <c r="DH1551" s="151"/>
      <c r="DI1551" s="1049"/>
      <c r="DJ1551" s="1127"/>
    </row>
    <row r="1552" spans="1:114" ht="15" hidden="1" customHeight="1" outlineLevel="1" x14ac:dyDescent="0.25">
      <c r="A1552" s="442"/>
      <c r="C1552" s="49"/>
      <c r="D1552" s="2177"/>
      <c r="E1552" s="2177"/>
      <c r="F1552" s="2176" t="str">
        <f>$E$735</f>
        <v>ASHP-SEER16_ER2_SF</v>
      </c>
      <c r="G1552" s="2176"/>
      <c r="H1552" s="2176"/>
      <c r="I1552" s="2176"/>
      <c r="J1552" s="986" t="str">
        <f>$C$735</f>
        <v>352550_2024_12_</v>
      </c>
      <c r="K1552" s="875">
        <v>16.050092936802972</v>
      </c>
      <c r="L1552" s="249"/>
      <c r="M1552" s="1576" t="s">
        <v>1112</v>
      </c>
      <c r="P1552" s="248"/>
      <c r="Q1552" s="248"/>
      <c r="R1552" s="248"/>
      <c r="T1552" s="169"/>
      <c r="U1552" s="50"/>
      <c r="V1552" s="2177"/>
      <c r="W1552" s="1326">
        <v>16</v>
      </c>
      <c r="X1552" s="1326">
        <v>16</v>
      </c>
      <c r="Y1552" s="1326">
        <v>16</v>
      </c>
      <c r="Z1552" s="1326">
        <v>16</v>
      </c>
      <c r="AA1552" s="1326">
        <v>16</v>
      </c>
      <c r="AB1552" s="199">
        <v>16.354460093896712</v>
      </c>
      <c r="AC1552" s="199">
        <f>AC1551</f>
        <v>16.110638297872342</v>
      </c>
      <c r="AD1552" s="930">
        <v>16.062186978297163</v>
      </c>
      <c r="AE1552" s="930">
        <v>16.050092936802972</v>
      </c>
      <c r="AF1552" s="258">
        <f t="shared" si="216"/>
        <v>16.050092936802972</v>
      </c>
      <c r="AG1552" s="1326"/>
      <c r="DG1552" s="555"/>
      <c r="DH1552" s="151"/>
      <c r="DI1552" s="1049"/>
      <c r="DJ1552" s="1127"/>
    </row>
    <row r="1553" spans="1:114" ht="15" hidden="1" customHeight="1" outlineLevel="1" x14ac:dyDescent="0.25">
      <c r="A1553" s="442"/>
      <c r="C1553" s="49"/>
      <c r="D1553" s="2177"/>
      <c r="E1553" s="2177"/>
      <c r="F1553" s="2176" t="str">
        <f>$E$737</f>
        <v>ASHP-SEER16-Replace_CAC_ElectricHeat_ROF_SF</v>
      </c>
      <c r="G1553" s="2176"/>
      <c r="H1553" s="2176"/>
      <c r="I1553" s="2176"/>
      <c r="J1553" s="986" t="str">
        <f>$C$737</f>
        <v>352600_2024_12_</v>
      </c>
      <c r="K1553" s="875">
        <v>16.04718309859155</v>
      </c>
      <c r="L1553" s="249"/>
      <c r="M1553" s="1576" t="s">
        <v>1026</v>
      </c>
      <c r="P1553" s="248"/>
      <c r="Q1553" s="248"/>
      <c r="R1553" s="248"/>
      <c r="T1553" s="169"/>
      <c r="U1553" s="50"/>
      <c r="V1553" s="2177"/>
      <c r="W1553" s="1326">
        <v>16</v>
      </c>
      <c r="X1553" s="1326">
        <v>16</v>
      </c>
      <c r="Y1553" s="1326">
        <v>16</v>
      </c>
      <c r="Z1553" s="1326">
        <v>16</v>
      </c>
      <c r="AA1553" s="1326">
        <v>16</v>
      </c>
      <c r="AB1553" s="199">
        <v>16.166666666666668</v>
      </c>
      <c r="AC1553" s="199">
        <v>16.534177215189874</v>
      </c>
      <c r="AD1553" s="930">
        <v>16.060243902439023</v>
      </c>
      <c r="AE1553" s="930">
        <v>16.04718309859155</v>
      </c>
      <c r="AF1553" s="258">
        <f t="shared" si="216"/>
        <v>16.04718309859155</v>
      </c>
      <c r="AG1553" s="1326"/>
      <c r="DG1553" s="555"/>
      <c r="DH1553" s="151"/>
      <c r="DI1553" s="1049"/>
      <c r="DJ1553" s="1127"/>
    </row>
    <row r="1554" spans="1:114" ht="15" hidden="1" customHeight="1" outlineLevel="1" x14ac:dyDescent="0.25">
      <c r="A1554" s="442"/>
      <c r="C1554" s="49"/>
      <c r="D1554" s="2177"/>
      <c r="E1554" s="2177"/>
      <c r="F1554" s="2176" t="str">
        <f>$E$739</f>
        <v>ASHP-SEER16-Replace_CAC_NonElectricHeat_ROF_SF</v>
      </c>
      <c r="G1554" s="2176"/>
      <c r="H1554" s="2176"/>
      <c r="I1554" s="2176"/>
      <c r="J1554" s="986" t="str">
        <f>$C$739</f>
        <v>352610_2024_12_</v>
      </c>
      <c r="K1554" s="875">
        <v>16.04718309859155</v>
      </c>
      <c r="L1554" s="249"/>
      <c r="M1554" s="1576" t="s">
        <v>1112</v>
      </c>
      <c r="P1554" s="248"/>
      <c r="Q1554" s="248"/>
      <c r="R1554" s="248"/>
      <c r="T1554" s="169"/>
      <c r="U1554" s="50"/>
      <c r="V1554" s="2177"/>
      <c r="W1554" s="1326"/>
      <c r="X1554" s="1326"/>
      <c r="Y1554" s="1326"/>
      <c r="Z1554" s="1326"/>
      <c r="AA1554" s="1326"/>
      <c r="AB1554" s="199"/>
      <c r="AC1554" s="199"/>
      <c r="AD1554" s="930">
        <v>16.060243902439023</v>
      </c>
      <c r="AE1554" s="930">
        <v>16.04718309859155</v>
      </c>
      <c r="AF1554" s="258">
        <f t="shared" si="216"/>
        <v>16.04718309859155</v>
      </c>
      <c r="AG1554" s="1326"/>
      <c r="DG1554" s="555"/>
      <c r="DH1554" s="151"/>
      <c r="DI1554" s="1049"/>
      <c r="DJ1554" s="1127"/>
    </row>
    <row r="1555" spans="1:114" ht="15" hidden="1" customHeight="1" outlineLevel="1" x14ac:dyDescent="0.25">
      <c r="A1555" s="442"/>
      <c r="C1555" s="49"/>
      <c r="D1555" s="2177"/>
      <c r="E1555" s="2177"/>
      <c r="F1555" s="2176" t="str">
        <f>$E$741</f>
        <v>ASHP-SEER16_ROF_SF</v>
      </c>
      <c r="G1555" s="2176"/>
      <c r="H1555" s="2176"/>
      <c r="I1555" s="2176"/>
      <c r="J1555" s="986" t="str">
        <f>$C$741</f>
        <v>352650_2024_12_</v>
      </c>
      <c r="K1555" s="875">
        <v>16.04718309859155</v>
      </c>
      <c r="L1555" s="249"/>
      <c r="M1555" s="1576" t="s">
        <v>1026</v>
      </c>
      <c r="P1555" s="248"/>
      <c r="Q1555" s="248"/>
      <c r="R1555" s="248"/>
      <c r="T1555" s="169"/>
      <c r="U1555" s="50"/>
      <c r="V1555" s="2177"/>
      <c r="W1555" s="1326">
        <v>16</v>
      </c>
      <c r="X1555" s="1326">
        <v>16</v>
      </c>
      <c r="Y1555" s="1326">
        <v>16</v>
      </c>
      <c r="Z1555" s="1326">
        <v>16</v>
      </c>
      <c r="AA1555" s="1326">
        <v>16</v>
      </c>
      <c r="AB1555" s="198">
        <v>16</v>
      </c>
      <c r="AC1555" s="199">
        <v>16.039473684210527</v>
      </c>
      <c r="AD1555" s="930">
        <v>16.060243902439023</v>
      </c>
      <c r="AE1555" s="930">
        <v>16.04718309859155</v>
      </c>
      <c r="AF1555" s="258">
        <f t="shared" si="216"/>
        <v>16.04718309859155</v>
      </c>
      <c r="AG1555" s="1326"/>
      <c r="DG1555" s="555"/>
      <c r="DH1555" s="151"/>
      <c r="DI1555" s="1049"/>
      <c r="DJ1555" s="1127"/>
    </row>
    <row r="1556" spans="1:114" ht="15" hidden="1" customHeight="1" outlineLevel="1" x14ac:dyDescent="0.25">
      <c r="A1556" s="442"/>
      <c r="C1556" s="49"/>
      <c r="D1556" s="2177"/>
      <c r="E1556" s="2177"/>
      <c r="F1556" s="2176" t="str">
        <f>$E$743</f>
        <v>ASHP-SEER16-Replace_CAC_ElectricHeat_ER1_MF</v>
      </c>
      <c r="G1556" s="2176"/>
      <c r="H1556" s="2176"/>
      <c r="I1556" s="2176"/>
      <c r="J1556" s="986" t="str">
        <f>$C$743</f>
        <v>353000_2024_12_</v>
      </c>
      <c r="K1556" s="1592">
        <v>16</v>
      </c>
      <c r="L1556" s="249"/>
      <c r="M1556" s="1577" t="s">
        <v>1026</v>
      </c>
      <c r="P1556" s="248"/>
      <c r="Q1556" s="248"/>
      <c r="R1556" s="248"/>
      <c r="T1556" s="169"/>
      <c r="U1556" s="50"/>
      <c r="V1556" s="2177"/>
      <c r="W1556" s="1326">
        <v>16</v>
      </c>
      <c r="X1556" s="1326">
        <v>16</v>
      </c>
      <c r="Y1556" s="1326">
        <v>16</v>
      </c>
      <c r="Z1556" s="1326">
        <v>16</v>
      </c>
      <c r="AA1556" s="1326">
        <v>16</v>
      </c>
      <c r="AB1556" s="199">
        <v>16.5</v>
      </c>
      <c r="AC1556" s="199">
        <v>16</v>
      </c>
      <c r="AD1556" s="198">
        <v>16</v>
      </c>
      <c r="AE1556" s="198">
        <v>16</v>
      </c>
      <c r="AF1556" s="258">
        <f t="shared" si="216"/>
        <v>16</v>
      </c>
      <c r="AG1556" s="1326"/>
      <c r="DG1556" s="555"/>
      <c r="DH1556" s="151"/>
      <c r="DI1556" s="1049"/>
      <c r="DJ1556" s="1127"/>
    </row>
    <row r="1557" spans="1:114" ht="15" hidden="1" customHeight="1" outlineLevel="1" x14ac:dyDescent="0.25">
      <c r="A1557" s="442"/>
      <c r="C1557" s="49"/>
      <c r="D1557" s="2177"/>
      <c r="E1557" s="2177"/>
      <c r="F1557" s="2176" t="str">
        <f>$E$745</f>
        <v>ASHP-SEER16-Replace_CAC_ElectricHeat_ER2_MF</v>
      </c>
      <c r="G1557" s="2176"/>
      <c r="H1557" s="2176"/>
      <c r="I1557" s="2176"/>
      <c r="J1557" s="986" t="str">
        <f>$C$745</f>
        <v>353000_2024_12_</v>
      </c>
      <c r="K1557" s="1592">
        <v>16</v>
      </c>
      <c r="L1557" s="249"/>
      <c r="M1557" s="1577" t="s">
        <v>1026</v>
      </c>
      <c r="P1557" s="248"/>
      <c r="Q1557" s="248"/>
      <c r="R1557" s="248"/>
      <c r="T1557" s="169"/>
      <c r="U1557" s="50"/>
      <c r="V1557" s="2177"/>
      <c r="W1557" s="1326">
        <v>16</v>
      </c>
      <c r="X1557" s="1326">
        <v>16</v>
      </c>
      <c r="Y1557" s="1326">
        <v>16</v>
      </c>
      <c r="Z1557" s="1326">
        <v>16</v>
      </c>
      <c r="AA1557" s="1326">
        <v>16</v>
      </c>
      <c r="AB1557" s="199">
        <v>16.5</v>
      </c>
      <c r="AC1557" s="199">
        <f>AC1556</f>
        <v>16</v>
      </c>
      <c r="AD1557" s="198">
        <v>16</v>
      </c>
      <c r="AE1557" s="198">
        <v>16</v>
      </c>
      <c r="AF1557" s="258">
        <f t="shared" si="216"/>
        <v>16</v>
      </c>
      <c r="AG1557" s="1326"/>
      <c r="DG1557" s="555"/>
      <c r="DH1557" s="151"/>
      <c r="DI1557" s="1049"/>
      <c r="DJ1557" s="1127"/>
    </row>
    <row r="1558" spans="1:114" ht="15" hidden="1" customHeight="1" outlineLevel="1" x14ac:dyDescent="0.25">
      <c r="A1558" s="442"/>
      <c r="C1558" s="49"/>
      <c r="D1558" s="2177"/>
      <c r="E1558" s="2177"/>
      <c r="F1558" s="2176" t="str">
        <f>$E$747</f>
        <v>ASHP-SEER17-Replace_CAC_ElectricHeat_ROF_SF</v>
      </c>
      <c r="G1558" s="2176"/>
      <c r="H1558" s="2176"/>
      <c r="I1558" s="2176"/>
      <c r="J1558" s="986" t="str">
        <f>$C$747</f>
        <v>353100_2024_12_</v>
      </c>
      <c r="K1558" s="875">
        <v>17.149666666666668</v>
      </c>
      <c r="L1558" s="249"/>
      <c r="M1558" s="1576" t="s">
        <v>1024</v>
      </c>
      <c r="P1558" s="248"/>
      <c r="Q1558" s="248"/>
      <c r="R1558" s="248"/>
      <c r="T1558" s="169"/>
      <c r="U1558" s="50"/>
      <c r="V1558" s="2177"/>
      <c r="W1558" s="1326">
        <v>17</v>
      </c>
      <c r="X1558" s="1326">
        <v>17</v>
      </c>
      <c r="Y1558" s="794">
        <v>17</v>
      </c>
      <c r="Z1558" s="1326">
        <v>17</v>
      </c>
      <c r="AA1558" s="1326">
        <v>17</v>
      </c>
      <c r="AB1558" s="198">
        <v>17</v>
      </c>
      <c r="AC1558" s="199">
        <v>17.3</v>
      </c>
      <c r="AD1558" s="930">
        <v>17.237142857142857</v>
      </c>
      <c r="AE1558" s="930">
        <v>17.149666666666668</v>
      </c>
      <c r="AF1558" s="258">
        <f t="shared" si="216"/>
        <v>17.149666666666668</v>
      </c>
      <c r="AG1558" s="1326"/>
      <c r="DG1558" s="555"/>
      <c r="DH1558" s="151"/>
      <c r="DI1558" s="1049"/>
      <c r="DJ1558" s="1127"/>
    </row>
    <row r="1559" spans="1:114" ht="15" hidden="1" customHeight="1" outlineLevel="1" x14ac:dyDescent="0.25">
      <c r="A1559" s="442"/>
      <c r="C1559" s="49"/>
      <c r="D1559" s="2177"/>
      <c r="E1559" s="2177"/>
      <c r="F1559" s="2176" t="str">
        <f>$E$749</f>
        <v>ASHP-SEER17-Replace_CAC_NonElectricHeat_ROF_SF</v>
      </c>
      <c r="G1559" s="2176"/>
      <c r="H1559" s="2176"/>
      <c r="I1559" s="2176"/>
      <c r="J1559" s="986" t="str">
        <f>$C$749</f>
        <v>353110_2024_12_</v>
      </c>
      <c r="K1559" s="875">
        <v>17.149666666666668</v>
      </c>
      <c r="L1559" s="249"/>
      <c r="M1559" s="1576" t="s">
        <v>1112</v>
      </c>
      <c r="P1559" s="248"/>
      <c r="Q1559" s="248"/>
      <c r="R1559" s="248"/>
      <c r="T1559" s="169"/>
      <c r="U1559" s="50"/>
      <c r="V1559" s="2177"/>
      <c r="W1559" s="1326"/>
      <c r="X1559" s="1326"/>
      <c r="Y1559" s="1326"/>
      <c r="Z1559" s="1326"/>
      <c r="AA1559" s="1326"/>
      <c r="AB1559" s="198"/>
      <c r="AC1559" s="198"/>
      <c r="AD1559" s="930">
        <v>17.237142857142857</v>
      </c>
      <c r="AE1559" s="930">
        <v>17.149666666666668</v>
      </c>
      <c r="AF1559" s="258">
        <f t="shared" si="216"/>
        <v>17.149666666666668</v>
      </c>
      <c r="AG1559" s="1326"/>
      <c r="DG1559" s="555"/>
      <c r="DH1559" s="151"/>
      <c r="DI1559" s="1049"/>
      <c r="DJ1559" s="1127"/>
    </row>
    <row r="1560" spans="1:114" ht="15" hidden="1" customHeight="1" outlineLevel="1" x14ac:dyDescent="0.25">
      <c r="A1560" s="442"/>
      <c r="C1560" s="49"/>
      <c r="D1560" s="2177"/>
      <c r="E1560" s="2177"/>
      <c r="F1560" s="2176" t="str">
        <f>$E$751</f>
        <v>ASHP-SEER18-Replace_CAC_ElectricHeat_ROF_SF</v>
      </c>
      <c r="G1560" s="2176"/>
      <c r="H1560" s="2176"/>
      <c r="I1560" s="2176"/>
      <c r="J1560" s="986" t="str">
        <f>$C$751</f>
        <v>353200_2024_12_</v>
      </c>
      <c r="K1560" s="875">
        <v>18.027777777777779</v>
      </c>
      <c r="L1560" s="249"/>
      <c r="M1560" s="1576" t="s">
        <v>1024</v>
      </c>
      <c r="P1560" s="248"/>
      <c r="Q1560" s="248"/>
      <c r="R1560" s="248"/>
      <c r="T1560" s="169"/>
      <c r="U1560" s="50"/>
      <c r="V1560" s="2177"/>
      <c r="W1560" s="1326">
        <v>18</v>
      </c>
      <c r="X1560" s="1326">
        <v>18</v>
      </c>
      <c r="Y1560" s="794">
        <v>18</v>
      </c>
      <c r="Z1560" s="1326">
        <v>18</v>
      </c>
      <c r="AA1560" s="1326">
        <v>18</v>
      </c>
      <c r="AB1560" s="199">
        <v>19</v>
      </c>
      <c r="AC1560" s="199">
        <v>17.736216216216217</v>
      </c>
      <c r="AD1560" s="930">
        <v>17.872340425531913</v>
      </c>
      <c r="AE1560" s="930">
        <v>18.027777777777779</v>
      </c>
      <c r="AF1560" s="258">
        <f t="shared" ref="AF1560:AF1592" si="217">IF(K1560&lt;&gt;"",K1560,"")</f>
        <v>18.027777777777779</v>
      </c>
      <c r="AG1560" s="1326"/>
      <c r="DG1560" s="555"/>
      <c r="DH1560" s="151"/>
      <c r="DI1560" s="1049"/>
      <c r="DJ1560" s="1127"/>
    </row>
    <row r="1561" spans="1:114" ht="15" hidden="1" customHeight="1" outlineLevel="1" x14ac:dyDescent="0.25">
      <c r="A1561" s="442"/>
      <c r="C1561" s="49"/>
      <c r="D1561" s="2177"/>
      <c r="E1561" s="2177"/>
      <c r="F1561" s="2176" t="str">
        <f>$E$753</f>
        <v>ASHP-SEER18-Replace_CAC_NonElectricHeat_ROF_SF</v>
      </c>
      <c r="G1561" s="2176"/>
      <c r="H1561" s="2176"/>
      <c r="I1561" s="2176"/>
      <c r="J1561" s="986" t="str">
        <f>$C$753</f>
        <v>353210_2024_12_</v>
      </c>
      <c r="K1561" s="875">
        <v>18.027777777777779</v>
      </c>
      <c r="L1561" s="249"/>
      <c r="M1561" s="1576" t="s">
        <v>1112</v>
      </c>
      <c r="P1561" s="248"/>
      <c r="Q1561" s="248"/>
      <c r="R1561" s="248"/>
      <c r="T1561" s="169"/>
      <c r="U1561" s="50"/>
      <c r="V1561" s="2177"/>
      <c r="W1561" s="1326"/>
      <c r="X1561" s="1326"/>
      <c r="Y1561" s="1326"/>
      <c r="Z1561" s="1326"/>
      <c r="AA1561" s="1326"/>
      <c r="AB1561" s="198"/>
      <c r="AC1561" s="198"/>
      <c r="AD1561" s="930">
        <v>17.872340425531913</v>
      </c>
      <c r="AE1561" s="930">
        <v>18.027777777777779</v>
      </c>
      <c r="AF1561" s="258">
        <f t="shared" si="217"/>
        <v>18.027777777777779</v>
      </c>
      <c r="AG1561" s="1326"/>
      <c r="DG1561" s="555"/>
      <c r="DH1561" s="151"/>
      <c r="DI1561" s="1049"/>
      <c r="DJ1561" s="1127"/>
    </row>
    <row r="1562" spans="1:114" ht="15" hidden="1" customHeight="1" outlineLevel="1" x14ac:dyDescent="0.25">
      <c r="A1562" s="442"/>
      <c r="C1562" s="49"/>
      <c r="D1562" s="2177"/>
      <c r="E1562" s="2177"/>
      <c r="F1562" s="2176" t="str">
        <f>$E$755</f>
        <v>ASHP-SEER19-Replace_CAC_ElectricHeat_ROF_SF</v>
      </c>
      <c r="G1562" s="2176"/>
      <c r="H1562" s="2176"/>
      <c r="I1562" s="2176"/>
      <c r="J1562" s="986" t="str">
        <f>$C$755</f>
        <v>353300_2024_12_</v>
      </c>
      <c r="K1562" s="875">
        <v>19.28846153846154</v>
      </c>
      <c r="L1562" s="249"/>
      <c r="M1562" s="1576" t="s">
        <v>1026</v>
      </c>
      <c r="P1562" s="248"/>
      <c r="Q1562" s="248"/>
      <c r="R1562" s="248"/>
      <c r="T1562" s="169"/>
      <c r="U1562" s="50"/>
      <c r="V1562" s="2177"/>
      <c r="W1562" s="1326">
        <v>19</v>
      </c>
      <c r="X1562" s="1326">
        <v>19</v>
      </c>
      <c r="Y1562" s="794">
        <v>19</v>
      </c>
      <c r="Z1562" s="1326">
        <v>19</v>
      </c>
      <c r="AA1562" s="1326">
        <v>19</v>
      </c>
      <c r="AB1562" s="198">
        <v>19</v>
      </c>
      <c r="AC1562" s="198">
        <v>19</v>
      </c>
      <c r="AD1562" s="930">
        <v>19.28846153846154</v>
      </c>
      <c r="AE1562" s="931">
        <v>19.28846153846154</v>
      </c>
      <c r="AF1562" s="258">
        <f t="shared" si="217"/>
        <v>19.28846153846154</v>
      </c>
      <c r="AG1562" s="1326"/>
      <c r="DG1562" s="555"/>
      <c r="DH1562" s="151"/>
      <c r="DI1562" s="1049"/>
      <c r="DJ1562" s="1127"/>
    </row>
    <row r="1563" spans="1:114" ht="15" hidden="1" customHeight="1" outlineLevel="1" x14ac:dyDescent="0.25">
      <c r="A1563" s="442"/>
      <c r="C1563" s="49"/>
      <c r="D1563" s="2177"/>
      <c r="E1563" s="2177"/>
      <c r="F1563" s="2176" t="str">
        <f>$E$757</f>
        <v>ASHP-SEER19-Replace_CAC_NonElectricHeat_ROF_SF</v>
      </c>
      <c r="G1563" s="2176"/>
      <c r="H1563" s="2176"/>
      <c r="I1563" s="2176"/>
      <c r="J1563" s="986" t="str">
        <f>$C$757</f>
        <v>353310_2024_12_</v>
      </c>
      <c r="K1563" s="875">
        <v>19.28846153846154</v>
      </c>
      <c r="L1563" s="249"/>
      <c r="M1563" s="1576" t="s">
        <v>1112</v>
      </c>
      <c r="P1563" s="248"/>
      <c r="Q1563" s="248"/>
      <c r="R1563" s="248"/>
      <c r="T1563" s="169"/>
      <c r="U1563" s="50"/>
      <c r="V1563" s="2177"/>
      <c r="W1563" s="1326"/>
      <c r="X1563" s="1326"/>
      <c r="Y1563" s="1326"/>
      <c r="Z1563" s="1326"/>
      <c r="AA1563" s="1326"/>
      <c r="AB1563" s="198"/>
      <c r="AC1563" s="198"/>
      <c r="AD1563" s="930">
        <v>19.28846153846154</v>
      </c>
      <c r="AE1563" s="931">
        <v>19.28846153846154</v>
      </c>
      <c r="AF1563" s="258">
        <f t="shared" si="217"/>
        <v>19.28846153846154</v>
      </c>
      <c r="AG1563" s="1326"/>
      <c r="DG1563" s="555"/>
      <c r="DH1563" s="151"/>
      <c r="DI1563" s="1049"/>
      <c r="DJ1563" s="1127"/>
    </row>
    <row r="1564" spans="1:114" ht="15" hidden="1" customHeight="1" outlineLevel="1" x14ac:dyDescent="0.25">
      <c r="A1564" s="442"/>
      <c r="C1564" s="49"/>
      <c r="D1564" s="2177"/>
      <c r="E1564" s="2177"/>
      <c r="F1564" s="2176" t="str">
        <f>$E$759</f>
        <v>ASHP-SEER20-Replace_CAC_ElectricHeat_ER1_SF</v>
      </c>
      <c r="G1564" s="2176"/>
      <c r="H1564" s="2176"/>
      <c r="I1564" s="2176"/>
      <c r="J1564" s="986" t="str">
        <f>$C$759</f>
        <v>353400_2024_12_</v>
      </c>
      <c r="K1564" s="875">
        <v>20.048611111111107</v>
      </c>
      <c r="L1564" s="249"/>
      <c r="M1564" s="1576" t="s">
        <v>1026</v>
      </c>
      <c r="P1564" s="248"/>
      <c r="Q1564" s="248"/>
      <c r="R1564" s="248"/>
      <c r="T1564" s="169"/>
      <c r="U1564" s="50"/>
      <c r="V1564" s="2177"/>
      <c r="W1564" s="1326">
        <v>20</v>
      </c>
      <c r="X1564" s="1326">
        <v>20</v>
      </c>
      <c r="Y1564" s="1326">
        <v>20</v>
      </c>
      <c r="Z1564" s="1326">
        <v>20</v>
      </c>
      <c r="AA1564" s="1326">
        <v>20</v>
      </c>
      <c r="AB1564" s="198">
        <v>20</v>
      </c>
      <c r="AC1564" s="199">
        <v>20</v>
      </c>
      <c r="AD1564" s="930">
        <v>20.033333333333335</v>
      </c>
      <c r="AE1564" s="930">
        <v>20.048611111111107</v>
      </c>
      <c r="AF1564" s="258">
        <f t="shared" si="217"/>
        <v>20.048611111111107</v>
      </c>
      <c r="AG1564" s="1326"/>
      <c r="DG1564" s="555"/>
      <c r="DH1564" s="151"/>
      <c r="DI1564" s="1049"/>
      <c r="DJ1564" s="1127"/>
    </row>
    <row r="1565" spans="1:114" ht="15" hidden="1" customHeight="1" outlineLevel="1" x14ac:dyDescent="0.25">
      <c r="A1565" s="442"/>
      <c r="C1565" s="49"/>
      <c r="D1565" s="2177"/>
      <c r="E1565" s="2177"/>
      <c r="F1565" s="2176" t="str">
        <f>$E$761</f>
        <v>ASHP-SEER20-Replace_CAC_ElectricHeat_ER2_SF</v>
      </c>
      <c r="G1565" s="2176"/>
      <c r="H1565" s="2176"/>
      <c r="I1565" s="2176"/>
      <c r="J1565" s="986" t="str">
        <f>$C$761</f>
        <v>353400_2024_12_</v>
      </c>
      <c r="K1565" s="875">
        <v>20.048611111111107</v>
      </c>
      <c r="L1565" s="249"/>
      <c r="M1565" s="1576" t="s">
        <v>1026</v>
      </c>
      <c r="P1565" s="248"/>
      <c r="Q1565" s="248"/>
      <c r="R1565" s="248"/>
      <c r="T1565" s="169"/>
      <c r="U1565" s="50"/>
      <c r="V1565" s="2177"/>
      <c r="W1565" s="1326">
        <v>20</v>
      </c>
      <c r="X1565" s="1326">
        <v>20</v>
      </c>
      <c r="Y1565" s="1326">
        <v>20</v>
      </c>
      <c r="Z1565" s="1326">
        <v>20</v>
      </c>
      <c r="AA1565" s="1326">
        <v>20</v>
      </c>
      <c r="AB1565" s="198">
        <v>20</v>
      </c>
      <c r="AC1565" s="199">
        <f>AC1564</f>
        <v>20</v>
      </c>
      <c r="AD1565" s="930">
        <v>20.033333333333335</v>
      </c>
      <c r="AE1565" s="930">
        <v>20.048611111111107</v>
      </c>
      <c r="AF1565" s="258">
        <f t="shared" si="217"/>
        <v>20.048611111111107</v>
      </c>
      <c r="AG1565" s="1326"/>
      <c r="DG1565" s="555"/>
      <c r="DH1565" s="151"/>
      <c r="DI1565" s="1049"/>
      <c r="DJ1565" s="1127"/>
    </row>
    <row r="1566" spans="1:114" ht="15" hidden="1" customHeight="1" outlineLevel="1" x14ac:dyDescent="0.25">
      <c r="A1566" s="442"/>
      <c r="C1566" s="49"/>
      <c r="D1566" s="2177"/>
      <c r="E1566" s="2177"/>
      <c r="F1566" s="2176" t="str">
        <f>$E$763</f>
        <v>ASHP-SEER20-Replace_CAC_NonElectricHeat_ER1_SF</v>
      </c>
      <c r="G1566" s="2176"/>
      <c r="H1566" s="2176"/>
      <c r="I1566" s="2176"/>
      <c r="J1566" s="986" t="str">
        <f>$C$763</f>
        <v>353410_2024_12_</v>
      </c>
      <c r="K1566" s="875">
        <v>20.048611111111107</v>
      </c>
      <c r="L1566" s="249"/>
      <c r="M1566" s="1577" t="s">
        <v>1112</v>
      </c>
      <c r="P1566" s="248"/>
      <c r="Q1566" s="248"/>
      <c r="R1566" s="248"/>
      <c r="T1566" s="169"/>
      <c r="U1566" s="50"/>
      <c r="V1566" s="2177"/>
      <c r="W1566" s="1326"/>
      <c r="X1566" s="1326"/>
      <c r="Y1566" s="1326"/>
      <c r="Z1566" s="1326"/>
      <c r="AA1566" s="1326"/>
      <c r="AB1566" s="198"/>
      <c r="AC1566" s="199">
        <v>20</v>
      </c>
      <c r="AD1566" s="930">
        <v>20.033333333333335</v>
      </c>
      <c r="AE1566" s="930">
        <v>20.048611111111107</v>
      </c>
      <c r="AF1566" s="258">
        <f t="shared" si="217"/>
        <v>20.048611111111107</v>
      </c>
      <c r="AG1566" s="1326"/>
      <c r="DG1566" s="555"/>
      <c r="DH1566" s="151"/>
      <c r="DI1566" s="1049"/>
      <c r="DJ1566" s="1127"/>
    </row>
    <row r="1567" spans="1:114" ht="15" hidden="1" customHeight="1" outlineLevel="1" x14ac:dyDescent="0.25">
      <c r="A1567" s="442"/>
      <c r="C1567" s="49"/>
      <c r="D1567" s="2177"/>
      <c r="E1567" s="2177"/>
      <c r="F1567" s="2176" t="str">
        <f>$E$765</f>
        <v>ASHP-SEER20-Replace_CAC_NonElectricHeat_ER2_SF</v>
      </c>
      <c r="G1567" s="2176"/>
      <c r="H1567" s="2176"/>
      <c r="I1567" s="2176"/>
      <c r="J1567" s="986" t="str">
        <f>$C$765</f>
        <v>353410_2024_12_</v>
      </c>
      <c r="K1567" s="875">
        <v>20.048611111111107</v>
      </c>
      <c r="L1567" s="249"/>
      <c r="M1567" s="1577" t="s">
        <v>1112</v>
      </c>
      <c r="P1567" s="248"/>
      <c r="Q1567" s="248"/>
      <c r="R1567" s="248"/>
      <c r="T1567" s="169"/>
      <c r="U1567" s="50"/>
      <c r="V1567" s="2177"/>
      <c r="W1567" s="1326"/>
      <c r="X1567" s="1326"/>
      <c r="Y1567" s="1326"/>
      <c r="Z1567" s="1326"/>
      <c r="AA1567" s="1326"/>
      <c r="AB1567" s="198"/>
      <c r="AC1567" s="199">
        <f>AC1566</f>
        <v>20</v>
      </c>
      <c r="AD1567" s="930">
        <v>20.033333333333335</v>
      </c>
      <c r="AE1567" s="930">
        <v>20.048611111111107</v>
      </c>
      <c r="AF1567" s="258">
        <f t="shared" si="217"/>
        <v>20.048611111111107</v>
      </c>
      <c r="AG1567" s="1326"/>
      <c r="DG1567" s="555"/>
      <c r="DH1567" s="151"/>
      <c r="DI1567" s="1049"/>
      <c r="DJ1567" s="1127"/>
    </row>
    <row r="1568" spans="1:114" ht="15" hidden="1" customHeight="1" outlineLevel="1" x14ac:dyDescent="0.25">
      <c r="A1568" s="442"/>
      <c r="C1568" s="49"/>
      <c r="D1568" s="2177"/>
      <c r="E1568" s="2177"/>
      <c r="F1568" s="2176" t="str">
        <f>$E$767</f>
        <v>ASHP-SEER20-Replace_CAC_ElectricHeat_ROF_SF</v>
      </c>
      <c r="G1568" s="2176"/>
      <c r="H1568" s="2176"/>
      <c r="I1568" s="2176"/>
      <c r="J1568" s="986" t="str">
        <f>$C$767</f>
        <v>353450_2024_12_</v>
      </c>
      <c r="K1568" s="875">
        <v>20.089285714285715</v>
      </c>
      <c r="L1568" s="249"/>
      <c r="M1568" s="1576" t="s">
        <v>1026</v>
      </c>
      <c r="P1568" s="248"/>
      <c r="Q1568" s="248"/>
      <c r="R1568" s="248"/>
      <c r="T1568" s="169"/>
      <c r="U1568" s="50"/>
      <c r="V1568" s="2177"/>
      <c r="W1568" s="1326">
        <v>20</v>
      </c>
      <c r="X1568" s="1326">
        <v>20</v>
      </c>
      <c r="Y1568" s="1326">
        <v>20</v>
      </c>
      <c r="Z1568" s="1326">
        <v>20</v>
      </c>
      <c r="AA1568" s="1326">
        <v>20</v>
      </c>
      <c r="AB1568" s="198">
        <v>20</v>
      </c>
      <c r="AC1568" s="199">
        <v>20</v>
      </c>
      <c r="AD1568" s="930">
        <v>20.089285714285715</v>
      </c>
      <c r="AE1568" s="931">
        <v>20.089285714285715</v>
      </c>
      <c r="AF1568" s="258">
        <f t="shared" si="217"/>
        <v>20.089285714285715</v>
      </c>
      <c r="AG1568" s="1326"/>
      <c r="DG1568" s="555"/>
      <c r="DH1568" s="151"/>
      <c r="DI1568" s="1049"/>
      <c r="DJ1568" s="1127"/>
    </row>
    <row r="1569" spans="1:114" ht="15" hidden="1" customHeight="1" outlineLevel="1" x14ac:dyDescent="0.25">
      <c r="A1569" s="442"/>
      <c r="C1569" s="49"/>
      <c r="D1569" s="2177"/>
      <c r="E1569" s="2177"/>
      <c r="F1569" s="2176" t="str">
        <f>$E$769</f>
        <v>ASHP-SEER20-Replace_CAC_NonElectricHeat_ROF_SF</v>
      </c>
      <c r="G1569" s="2176"/>
      <c r="H1569" s="2176"/>
      <c r="I1569" s="2176"/>
      <c r="J1569" s="986" t="str">
        <f>$C$769</f>
        <v>353460_2024_12_</v>
      </c>
      <c r="K1569" s="875">
        <v>20.089285714285715</v>
      </c>
      <c r="L1569" s="249"/>
      <c r="M1569" s="1576" t="s">
        <v>1112</v>
      </c>
      <c r="P1569" s="248"/>
      <c r="Q1569" s="248"/>
      <c r="R1569" s="248"/>
      <c r="T1569" s="169"/>
      <c r="U1569" s="50"/>
      <c r="V1569" s="2177"/>
      <c r="W1569" s="1326"/>
      <c r="X1569" s="1326"/>
      <c r="Y1569" s="1326"/>
      <c r="Z1569" s="1326"/>
      <c r="AA1569" s="1326"/>
      <c r="AB1569" s="198"/>
      <c r="AC1569" s="198"/>
      <c r="AD1569" s="930">
        <v>20.089285714285715</v>
      </c>
      <c r="AE1569" s="931">
        <v>20.089285714285715</v>
      </c>
      <c r="AF1569" s="258">
        <f t="shared" si="217"/>
        <v>20.089285714285715</v>
      </c>
      <c r="AG1569" s="1326"/>
      <c r="DG1569" s="555"/>
      <c r="DH1569" s="151"/>
      <c r="DI1569" s="1049"/>
      <c r="DJ1569" s="1127"/>
    </row>
    <row r="1570" spans="1:114" ht="15" hidden="1" customHeight="1" outlineLevel="1" x14ac:dyDescent="0.25">
      <c r="A1570" s="442"/>
      <c r="C1570" s="49"/>
      <c r="D1570" s="2177"/>
      <c r="E1570" s="2177"/>
      <c r="F1570" s="2176" t="str">
        <f>$E$771</f>
        <v>ASHP-SEER21-Replace_CAC_ElectricHeat_ER1_SF</v>
      </c>
      <c r="G1570" s="2176"/>
      <c r="H1570" s="2176"/>
      <c r="I1570" s="2176"/>
      <c r="J1570" s="986" t="str">
        <f>$C$771</f>
        <v>353550_2024_12_</v>
      </c>
      <c r="K1570" s="875">
        <v>21.617021276595743</v>
      </c>
      <c r="L1570" s="249"/>
      <c r="M1570" s="1576" t="s">
        <v>1026</v>
      </c>
      <c r="P1570" s="248"/>
      <c r="Q1570" s="196"/>
      <c r="R1570" s="248"/>
      <c r="T1570" s="169"/>
      <c r="U1570" s="50"/>
      <c r="V1570" s="2177"/>
      <c r="W1570" s="1326">
        <v>21</v>
      </c>
      <c r="X1570" s="1326">
        <v>21</v>
      </c>
      <c r="Y1570" s="1326">
        <v>21</v>
      </c>
      <c r="Z1570" s="1326">
        <v>21</v>
      </c>
      <c r="AA1570" s="1326">
        <v>21</v>
      </c>
      <c r="AB1570" s="198">
        <v>21</v>
      </c>
      <c r="AC1570" s="199">
        <v>21.65909090909091</v>
      </c>
      <c r="AD1570" s="930">
        <v>21.551136363636363</v>
      </c>
      <c r="AE1570" s="930">
        <v>21.617021276595743</v>
      </c>
      <c r="AF1570" s="258">
        <f t="shared" si="217"/>
        <v>21.617021276595743</v>
      </c>
      <c r="AG1570" s="1326"/>
      <c r="DG1570" s="555"/>
      <c r="DH1570" s="151"/>
      <c r="DI1570" s="1049"/>
      <c r="DJ1570" s="1127"/>
    </row>
    <row r="1571" spans="1:114" ht="15" hidden="1" customHeight="1" outlineLevel="1" x14ac:dyDescent="0.25">
      <c r="A1571" s="442"/>
      <c r="C1571" s="49"/>
      <c r="D1571" s="2177"/>
      <c r="E1571" s="2177"/>
      <c r="F1571" s="2176" t="str">
        <f>$E$773</f>
        <v>ASHP-SEER21-Replace_CAC_ElectricHeat_ER2_SF</v>
      </c>
      <c r="G1571" s="2176"/>
      <c r="H1571" s="2176"/>
      <c r="I1571" s="2176"/>
      <c r="J1571" s="986" t="str">
        <f>$C$773</f>
        <v>353550_2024_12_</v>
      </c>
      <c r="K1571" s="875">
        <v>21.617021276595743</v>
      </c>
      <c r="L1571" s="249"/>
      <c r="M1571" s="1576" t="s">
        <v>1026</v>
      </c>
      <c r="P1571" s="248"/>
      <c r="Q1571" s="196"/>
      <c r="R1571" s="248"/>
      <c r="T1571" s="169"/>
      <c r="U1571" s="50"/>
      <c r="V1571" s="2177"/>
      <c r="W1571" s="1326">
        <v>21</v>
      </c>
      <c r="X1571" s="1326">
        <v>21</v>
      </c>
      <c r="Y1571" s="1326">
        <v>21</v>
      </c>
      <c r="Z1571" s="1326">
        <v>21</v>
      </c>
      <c r="AA1571" s="1326">
        <v>21</v>
      </c>
      <c r="AB1571" s="198">
        <v>21</v>
      </c>
      <c r="AC1571" s="199">
        <f>AC1570</f>
        <v>21.65909090909091</v>
      </c>
      <c r="AD1571" s="930">
        <v>21.551136363636363</v>
      </c>
      <c r="AE1571" s="930">
        <v>21.617021276595743</v>
      </c>
      <c r="AF1571" s="258">
        <f t="shared" si="217"/>
        <v>21.617021276595743</v>
      </c>
      <c r="AG1571" s="1326"/>
      <c r="DG1571" s="555"/>
      <c r="DH1571" s="151"/>
      <c r="DI1571" s="1049"/>
      <c r="DJ1571" s="1127"/>
    </row>
    <row r="1572" spans="1:114" ht="15" hidden="1" customHeight="1" outlineLevel="1" x14ac:dyDescent="0.25">
      <c r="A1572" s="442"/>
      <c r="C1572" s="49"/>
      <c r="D1572" s="2177"/>
      <c r="E1572" s="2177"/>
      <c r="F1572" s="2176" t="str">
        <f>$E$775</f>
        <v>ASHP-SEER21-Replace_CAC_NonElectricHeat_ER1_SF</v>
      </c>
      <c r="G1572" s="2176"/>
      <c r="H1572" s="2176"/>
      <c r="I1572" s="2176"/>
      <c r="J1572" s="986" t="str">
        <f>$C$775</f>
        <v>353560_2024_12_</v>
      </c>
      <c r="K1572" s="875">
        <v>21.617021276595743</v>
      </c>
      <c r="L1572" s="249"/>
      <c r="M1572" s="1577" t="s">
        <v>1112</v>
      </c>
      <c r="P1572" s="248"/>
      <c r="Q1572" s="196"/>
      <c r="R1572" s="248"/>
      <c r="T1572" s="169"/>
      <c r="U1572" s="50"/>
      <c r="V1572" s="2177"/>
      <c r="W1572" s="1326"/>
      <c r="X1572" s="1326"/>
      <c r="Y1572" s="1326"/>
      <c r="Z1572" s="1326"/>
      <c r="AA1572" s="1326"/>
      <c r="AB1572" s="198"/>
      <c r="AC1572" s="199">
        <v>21.65909090909091</v>
      </c>
      <c r="AD1572" s="930">
        <v>21.551136363636363</v>
      </c>
      <c r="AE1572" s="930">
        <v>21.617021276595743</v>
      </c>
      <c r="AF1572" s="258">
        <f t="shared" si="217"/>
        <v>21.617021276595743</v>
      </c>
      <c r="AG1572" s="1326"/>
      <c r="DG1572" s="555"/>
      <c r="DH1572" s="151"/>
      <c r="DI1572" s="1049"/>
      <c r="DJ1572" s="1127"/>
    </row>
    <row r="1573" spans="1:114" ht="15" hidden="1" customHeight="1" outlineLevel="1" x14ac:dyDescent="0.25">
      <c r="A1573" s="442"/>
      <c r="C1573" s="49"/>
      <c r="D1573" s="2177"/>
      <c r="E1573" s="2177"/>
      <c r="F1573" s="2176" t="str">
        <f>$E$777</f>
        <v>ASHP-SEER21-Replace_CAC_NonElectricHeat_ER2_SF</v>
      </c>
      <c r="G1573" s="2176"/>
      <c r="H1573" s="2176"/>
      <c r="I1573" s="2176"/>
      <c r="J1573" s="986" t="str">
        <f>$C$777</f>
        <v>353560_2024_12_</v>
      </c>
      <c r="K1573" s="875">
        <v>21.617021276595743</v>
      </c>
      <c r="L1573" s="249"/>
      <c r="M1573" s="1577" t="s">
        <v>1112</v>
      </c>
      <c r="P1573" s="248"/>
      <c r="Q1573" s="196"/>
      <c r="R1573" s="248"/>
      <c r="T1573" s="169"/>
      <c r="U1573" s="50"/>
      <c r="V1573" s="2177"/>
      <c r="W1573" s="1326"/>
      <c r="X1573" s="1326"/>
      <c r="Y1573" s="1326"/>
      <c r="Z1573" s="1326"/>
      <c r="AA1573" s="1326"/>
      <c r="AB1573" s="198"/>
      <c r="AC1573" s="199">
        <f>AC1572</f>
        <v>21.65909090909091</v>
      </c>
      <c r="AD1573" s="930">
        <v>21.551136363636363</v>
      </c>
      <c r="AE1573" s="930">
        <v>21.617021276595743</v>
      </c>
      <c r="AF1573" s="258">
        <f t="shared" si="217"/>
        <v>21.617021276595743</v>
      </c>
      <c r="AG1573" s="1326"/>
      <c r="DG1573" s="555"/>
      <c r="DH1573" s="151"/>
      <c r="DI1573" s="1049"/>
      <c r="DJ1573" s="1127"/>
    </row>
    <row r="1574" spans="1:114" ht="15" hidden="1" customHeight="1" outlineLevel="1" x14ac:dyDescent="0.25">
      <c r="A1574" s="442"/>
      <c r="C1574" s="49"/>
      <c r="D1574" s="2177"/>
      <c r="E1574" s="2177"/>
      <c r="F1574" s="2176" t="str">
        <f>$E$779</f>
        <v>ASHP-SEER21-Replace_CAC_ElectricHeat_ER1_MF</v>
      </c>
      <c r="G1574" s="2176"/>
      <c r="H1574" s="2176"/>
      <c r="I1574" s="2176"/>
      <c r="J1574" s="986" t="str">
        <f>$C$779</f>
        <v>353600_2024_12_</v>
      </c>
      <c r="K1574" s="1592">
        <v>21</v>
      </c>
      <c r="L1574" s="249"/>
      <c r="M1574" s="1577" t="s">
        <v>1372</v>
      </c>
      <c r="P1574" s="248"/>
      <c r="Q1574" s="196"/>
      <c r="R1574" s="248"/>
      <c r="T1574" s="169"/>
      <c r="U1574" s="50"/>
      <c r="V1574" s="2177"/>
      <c r="W1574" s="1326">
        <v>21</v>
      </c>
      <c r="X1574" s="1326">
        <v>21</v>
      </c>
      <c r="Y1574" s="1326">
        <v>21</v>
      </c>
      <c r="Z1574" s="1326">
        <v>21</v>
      </c>
      <c r="AA1574" s="1326">
        <v>21</v>
      </c>
      <c r="AB1574" s="198">
        <v>21</v>
      </c>
      <c r="AC1574" s="198">
        <v>21</v>
      </c>
      <c r="AD1574" s="198">
        <v>21</v>
      </c>
      <c r="AE1574" s="198">
        <v>21</v>
      </c>
      <c r="AF1574" s="258">
        <f t="shared" si="217"/>
        <v>21</v>
      </c>
      <c r="AG1574" s="1326"/>
      <c r="DG1574" s="555"/>
      <c r="DH1574" s="151"/>
      <c r="DI1574" s="1049"/>
      <c r="DJ1574" s="1127"/>
    </row>
    <row r="1575" spans="1:114" ht="15" hidden="1" customHeight="1" outlineLevel="1" x14ac:dyDescent="0.25">
      <c r="A1575" s="442"/>
      <c r="C1575" s="49"/>
      <c r="D1575" s="2177"/>
      <c r="E1575" s="2177"/>
      <c r="F1575" s="2176" t="str">
        <f>$E$781</f>
        <v>ASHP-SEER21-Replace_CAC_ElectricHeat_ER2_MF</v>
      </c>
      <c r="G1575" s="2176"/>
      <c r="H1575" s="2176"/>
      <c r="I1575" s="2176"/>
      <c r="J1575" s="986" t="str">
        <f>$C$781</f>
        <v>353600_2024_12_</v>
      </c>
      <c r="K1575" s="1592">
        <v>21</v>
      </c>
      <c r="L1575" s="249"/>
      <c r="M1575" s="1577" t="s">
        <v>1372</v>
      </c>
      <c r="P1575" s="248"/>
      <c r="Q1575" s="196"/>
      <c r="R1575" s="248"/>
      <c r="T1575" s="169"/>
      <c r="U1575" s="50"/>
      <c r="V1575" s="2177"/>
      <c r="W1575" s="1326">
        <v>21</v>
      </c>
      <c r="X1575" s="1326">
        <v>21</v>
      </c>
      <c r="Y1575" s="1326">
        <v>21</v>
      </c>
      <c r="Z1575" s="1326">
        <v>21</v>
      </c>
      <c r="AA1575" s="1326">
        <v>21</v>
      </c>
      <c r="AB1575" s="198">
        <v>21</v>
      </c>
      <c r="AC1575" s="198">
        <v>21</v>
      </c>
      <c r="AD1575" s="198">
        <v>21</v>
      </c>
      <c r="AE1575" s="198">
        <v>21</v>
      </c>
      <c r="AF1575" s="258">
        <f t="shared" si="217"/>
        <v>21</v>
      </c>
      <c r="AG1575" s="1326"/>
      <c r="DG1575" s="555"/>
      <c r="DH1575" s="151"/>
      <c r="DI1575" s="1049"/>
      <c r="DJ1575" s="1127"/>
    </row>
    <row r="1576" spans="1:114" ht="15" hidden="1" customHeight="1" outlineLevel="1" x14ac:dyDescent="0.25">
      <c r="A1576" s="442"/>
      <c r="C1576" s="49"/>
      <c r="D1576" s="2177"/>
      <c r="E1576" s="2177"/>
      <c r="F1576" s="2176" t="str">
        <f>$E$783</f>
        <v>ASHP-SEER21-Replace_CAC_ElectricHeat_ROF_SF</v>
      </c>
      <c r="G1576" s="2176"/>
      <c r="H1576" s="2176"/>
      <c r="I1576" s="2176"/>
      <c r="J1576" s="986" t="str">
        <f>$C$783</f>
        <v>353650_2024_12_</v>
      </c>
      <c r="K1576" s="875">
        <v>21.727272727272723</v>
      </c>
      <c r="L1576" s="249"/>
      <c r="M1576" s="1576" t="s">
        <v>1024</v>
      </c>
      <c r="P1576" s="248"/>
      <c r="Q1576" s="196"/>
      <c r="R1576" s="248"/>
      <c r="T1576" s="169"/>
      <c r="U1576" s="50"/>
      <c r="V1576" s="2177"/>
      <c r="W1576" s="1326">
        <v>21</v>
      </c>
      <c r="X1576" s="1326">
        <v>21</v>
      </c>
      <c r="Y1576" s="1326">
        <v>21</v>
      </c>
      <c r="Z1576" s="1326">
        <v>21</v>
      </c>
      <c r="AA1576" s="1326">
        <v>21</v>
      </c>
      <c r="AB1576" s="198">
        <v>21</v>
      </c>
      <c r="AC1576" s="199">
        <v>21.5</v>
      </c>
      <c r="AD1576" s="930">
        <v>21.59375</v>
      </c>
      <c r="AE1576" s="930">
        <v>21.727272727272723</v>
      </c>
      <c r="AF1576" s="258">
        <f t="shared" si="217"/>
        <v>21.727272727272723</v>
      </c>
      <c r="AG1576" s="1326"/>
      <c r="DG1576" s="555"/>
      <c r="DH1576" s="151"/>
      <c r="DI1576" s="1049"/>
      <c r="DJ1576" s="1127"/>
    </row>
    <row r="1577" spans="1:114" ht="15" hidden="1" customHeight="1" outlineLevel="1" x14ac:dyDescent="0.25">
      <c r="A1577" s="442"/>
      <c r="C1577" s="49"/>
      <c r="D1577" s="2177"/>
      <c r="E1577" s="2177"/>
      <c r="F1577" s="2176" t="str">
        <f>$E$785</f>
        <v>ASHP-SEER21-Replace_CAC_NonElectricHeat_ROF_SF</v>
      </c>
      <c r="G1577" s="2176"/>
      <c r="H1577" s="2176"/>
      <c r="I1577" s="2176"/>
      <c r="J1577" s="986" t="str">
        <f>$C$785</f>
        <v>353660_2024_12_</v>
      </c>
      <c r="K1577" s="875">
        <v>21.727272727272723</v>
      </c>
      <c r="L1577" s="249"/>
      <c r="M1577" s="1576" t="s">
        <v>1112</v>
      </c>
      <c r="P1577" s="248"/>
      <c r="Q1577" s="196"/>
      <c r="R1577" s="248"/>
      <c r="T1577" s="169"/>
      <c r="U1577" s="50"/>
      <c r="V1577" s="2177"/>
      <c r="W1577" s="1326"/>
      <c r="X1577" s="1326"/>
      <c r="Y1577" s="1326"/>
      <c r="Z1577" s="1326"/>
      <c r="AA1577" s="1326"/>
      <c r="AB1577" s="198"/>
      <c r="AC1577" s="198"/>
      <c r="AD1577" s="930">
        <v>21.59375</v>
      </c>
      <c r="AE1577" s="930">
        <v>21.727272727272723</v>
      </c>
      <c r="AF1577" s="258">
        <f t="shared" si="217"/>
        <v>21.727272727272723</v>
      </c>
      <c r="AG1577" s="1326"/>
      <c r="DG1577" s="555"/>
      <c r="DH1577" s="151"/>
      <c r="DI1577" s="1049"/>
      <c r="DJ1577" s="1127"/>
    </row>
    <row r="1578" spans="1:114" ht="15" hidden="1" customHeight="1" outlineLevel="1" x14ac:dyDescent="0.25">
      <c r="A1578" s="442"/>
      <c r="C1578" s="49"/>
      <c r="D1578" s="2177"/>
      <c r="E1578" s="2177"/>
      <c r="F1578" s="2176" t="str">
        <f>$E$787</f>
        <v>ASHP-SEER17_ER1_SF</v>
      </c>
      <c r="G1578" s="2176"/>
      <c r="H1578" s="2176"/>
      <c r="I1578" s="2176"/>
      <c r="J1578" s="986" t="str">
        <f>$C$787</f>
        <v>353750_2024_12_</v>
      </c>
      <c r="K1578" s="875">
        <v>17.255828877005346</v>
      </c>
      <c r="L1578" s="249"/>
      <c r="M1578" s="1576" t="s">
        <v>1026</v>
      </c>
      <c r="T1578" s="50"/>
      <c r="U1578" s="50"/>
      <c r="V1578" s="2177"/>
      <c r="W1578" s="1326">
        <v>17</v>
      </c>
      <c r="X1578" s="1326">
        <v>17</v>
      </c>
      <c r="Y1578" s="1326">
        <v>17</v>
      </c>
      <c r="Z1578" s="1326">
        <v>17</v>
      </c>
      <c r="AA1578" s="1326">
        <v>17</v>
      </c>
      <c r="AB1578" s="198">
        <v>17</v>
      </c>
      <c r="AC1578" s="199">
        <v>17.142857142857142</v>
      </c>
      <c r="AD1578" s="930">
        <v>17.195075757575758</v>
      </c>
      <c r="AE1578" s="930">
        <v>17.255828877005346</v>
      </c>
      <c r="AF1578" s="258">
        <f t="shared" si="217"/>
        <v>17.255828877005346</v>
      </c>
      <c r="AG1578" s="1326"/>
      <c r="DG1578" s="555"/>
      <c r="DH1578" s="151"/>
      <c r="DI1578" s="1049"/>
      <c r="DJ1578" s="1127"/>
    </row>
    <row r="1579" spans="1:114" ht="15" hidden="1" customHeight="1" outlineLevel="1" x14ac:dyDescent="0.25">
      <c r="A1579" s="442"/>
      <c r="C1579" s="49"/>
      <c r="D1579" s="2177"/>
      <c r="E1579" s="2177"/>
      <c r="F1579" s="2176" t="str">
        <f>$E$789</f>
        <v>ASHP-SEER17_ER2_SF</v>
      </c>
      <c r="G1579" s="2176"/>
      <c r="H1579" s="2176"/>
      <c r="I1579" s="2176"/>
      <c r="J1579" s="986" t="str">
        <f>$C$789</f>
        <v>353750_2024_12_</v>
      </c>
      <c r="K1579" s="875">
        <v>17.255828877005346</v>
      </c>
      <c r="L1579" s="249"/>
      <c r="M1579" s="1576" t="s">
        <v>1026</v>
      </c>
      <c r="P1579" s="248"/>
      <c r="Q1579" s="196"/>
      <c r="R1579" s="248"/>
      <c r="T1579" s="169"/>
      <c r="U1579" s="50"/>
      <c r="V1579" s="2177"/>
      <c r="W1579" s="1326">
        <v>17</v>
      </c>
      <c r="X1579" s="1326">
        <v>17</v>
      </c>
      <c r="Y1579" s="1326">
        <v>17</v>
      </c>
      <c r="Z1579" s="1326">
        <v>17</v>
      </c>
      <c r="AA1579" s="1326">
        <v>17</v>
      </c>
      <c r="AB1579" s="198">
        <v>17</v>
      </c>
      <c r="AC1579" s="199">
        <f>AC1578</f>
        <v>17.142857142857142</v>
      </c>
      <c r="AD1579" s="930">
        <v>17.195075757575758</v>
      </c>
      <c r="AE1579" s="930">
        <v>17.255828877005346</v>
      </c>
      <c r="AF1579" s="258">
        <f t="shared" si="217"/>
        <v>17.255828877005346</v>
      </c>
      <c r="AG1579" s="1326"/>
      <c r="DG1579" s="555"/>
      <c r="DH1579" s="151"/>
      <c r="DI1579" s="1049"/>
      <c r="DJ1579" s="1127"/>
    </row>
    <row r="1580" spans="1:114" ht="15" hidden="1" customHeight="1" outlineLevel="1" x14ac:dyDescent="0.25">
      <c r="A1580" s="442"/>
      <c r="C1580" s="49"/>
      <c r="D1580" s="2177"/>
      <c r="E1580" s="2177"/>
      <c r="F1580" s="2176" t="str">
        <f>$E$791</f>
        <v>ASHP-SEER17_ROF_SF</v>
      </c>
      <c r="G1580" s="2176"/>
      <c r="H1580" s="2176"/>
      <c r="I1580" s="2176"/>
      <c r="J1580" s="986" t="str">
        <f>$C$791</f>
        <v>353800_2024_12_</v>
      </c>
      <c r="K1580" s="875">
        <v>17.149666666666668</v>
      </c>
      <c r="L1580" s="249"/>
      <c r="M1580" s="1576" t="s">
        <v>1024</v>
      </c>
      <c r="T1580" s="50"/>
      <c r="U1580" s="50"/>
      <c r="V1580" s="2177"/>
      <c r="W1580" s="1326">
        <v>17</v>
      </c>
      <c r="X1580" s="1326">
        <v>17</v>
      </c>
      <c r="Y1580" s="1326">
        <v>17</v>
      </c>
      <c r="Z1580" s="1326">
        <v>17</v>
      </c>
      <c r="AA1580" s="1326">
        <v>17</v>
      </c>
      <c r="AB1580" s="198">
        <v>17</v>
      </c>
      <c r="AC1580" s="199">
        <v>17.795238095238094</v>
      </c>
      <c r="AD1580" s="930">
        <v>17.237142857142857</v>
      </c>
      <c r="AE1580" s="930">
        <v>17.149666666666668</v>
      </c>
      <c r="AF1580" s="258">
        <f t="shared" si="217"/>
        <v>17.149666666666668</v>
      </c>
      <c r="AG1580" s="1326"/>
      <c r="DG1580" s="555"/>
      <c r="DH1580" s="151"/>
      <c r="DI1580" s="1049"/>
      <c r="DJ1580" s="1127"/>
    </row>
    <row r="1581" spans="1:114" ht="15" hidden="1" customHeight="1" outlineLevel="1" x14ac:dyDescent="0.25">
      <c r="A1581" s="442"/>
      <c r="C1581" s="49"/>
      <c r="D1581" s="2177"/>
      <c r="E1581" s="2177"/>
      <c r="F1581" s="2176" t="str">
        <f>$E$793</f>
        <v>ASHP-SEER18_ER1_SF</v>
      </c>
      <c r="G1581" s="2176"/>
      <c r="H1581" s="2176"/>
      <c r="I1581" s="2176"/>
      <c r="J1581" s="986" t="str">
        <f>$C$793</f>
        <v>353850_2024_12_</v>
      </c>
      <c r="K1581" s="875">
        <v>18.045275590551181</v>
      </c>
      <c r="L1581" s="249"/>
      <c r="M1581" s="1576" t="s">
        <v>1026</v>
      </c>
      <c r="P1581" s="248"/>
      <c r="Q1581" s="196"/>
      <c r="R1581" s="248"/>
      <c r="T1581" s="169"/>
      <c r="U1581" s="50"/>
      <c r="V1581" s="2177"/>
      <c r="W1581" s="1326">
        <v>18</v>
      </c>
      <c r="X1581" s="1326">
        <v>18</v>
      </c>
      <c r="Y1581" s="1326">
        <v>18</v>
      </c>
      <c r="Z1581" s="1326">
        <v>18</v>
      </c>
      <c r="AA1581" s="1326">
        <v>18</v>
      </c>
      <c r="AB1581" s="199">
        <v>18.991935483870968</v>
      </c>
      <c r="AC1581" s="199">
        <v>17.920289855072465</v>
      </c>
      <c r="AD1581" s="930">
        <v>18.023684210526316</v>
      </c>
      <c r="AE1581" s="930">
        <v>18.045275590551181</v>
      </c>
      <c r="AF1581" s="258">
        <f t="shared" si="217"/>
        <v>18.045275590551181</v>
      </c>
      <c r="AG1581" s="1326"/>
      <c r="DG1581" s="555"/>
      <c r="DH1581" s="151"/>
      <c r="DI1581" s="1049"/>
      <c r="DJ1581" s="1127"/>
    </row>
    <row r="1582" spans="1:114" ht="15" hidden="1" customHeight="1" outlineLevel="1" x14ac:dyDescent="0.25">
      <c r="A1582" s="442"/>
      <c r="C1582" s="49"/>
      <c r="D1582" s="2177"/>
      <c r="E1582" s="2177"/>
      <c r="F1582" s="2176" t="str">
        <f>$E$795</f>
        <v>ASHP-SEER18_ER2_SF</v>
      </c>
      <c r="G1582" s="2176"/>
      <c r="H1582" s="2176"/>
      <c r="I1582" s="2176"/>
      <c r="J1582" s="986" t="str">
        <f>$C$795</f>
        <v>353850_2024_12_</v>
      </c>
      <c r="K1582" s="875">
        <v>18.045275590551181</v>
      </c>
      <c r="L1582" s="249"/>
      <c r="M1582" s="1576" t="s">
        <v>1026</v>
      </c>
      <c r="T1582" s="50"/>
      <c r="U1582" s="50"/>
      <c r="V1582" s="2177"/>
      <c r="W1582" s="1326">
        <v>18</v>
      </c>
      <c r="X1582" s="1326">
        <v>18</v>
      </c>
      <c r="Y1582" s="1326">
        <v>18</v>
      </c>
      <c r="Z1582" s="1326">
        <v>18</v>
      </c>
      <c r="AA1582" s="1326">
        <v>18</v>
      </c>
      <c r="AB1582" s="199">
        <v>18.991935483870968</v>
      </c>
      <c r="AC1582" s="199">
        <f>AC1581</f>
        <v>17.920289855072465</v>
      </c>
      <c r="AD1582" s="930">
        <v>18.023684210526316</v>
      </c>
      <c r="AE1582" s="930">
        <v>18.045275590551181</v>
      </c>
      <c r="AF1582" s="258">
        <f t="shared" si="217"/>
        <v>18.045275590551181</v>
      </c>
      <c r="AG1582" s="1326"/>
      <c r="DG1582" s="555"/>
      <c r="DH1582" s="151"/>
      <c r="DI1582" s="1049"/>
      <c r="DJ1582" s="1127"/>
    </row>
    <row r="1583" spans="1:114" ht="15" hidden="1" customHeight="1" outlineLevel="1" x14ac:dyDescent="0.25">
      <c r="A1583" s="442"/>
      <c r="C1583" s="49"/>
      <c r="D1583" s="2177"/>
      <c r="E1583" s="2177"/>
      <c r="F1583" s="2176" t="str">
        <f>$E$797</f>
        <v>ASHP-SEER18_ROF_SF</v>
      </c>
      <c r="G1583" s="2176"/>
      <c r="H1583" s="2176"/>
      <c r="I1583" s="2176"/>
      <c r="J1583" s="986" t="str">
        <f>$C$797</f>
        <v>353950_2024_12_</v>
      </c>
      <c r="K1583" s="875">
        <v>18.027777777777779</v>
      </c>
      <c r="L1583" s="249"/>
      <c r="M1583" s="1576" t="s">
        <v>1024</v>
      </c>
      <c r="P1583" s="248"/>
      <c r="Q1583" s="196"/>
      <c r="R1583" s="248"/>
      <c r="T1583" s="169"/>
      <c r="U1583" s="50"/>
      <c r="V1583" s="2177"/>
      <c r="W1583" s="1326">
        <v>18</v>
      </c>
      <c r="X1583" s="1326">
        <v>18</v>
      </c>
      <c r="Y1583" s="1326">
        <v>18</v>
      </c>
      <c r="Z1583" s="1326">
        <v>18</v>
      </c>
      <c r="AA1583" s="1326">
        <v>18</v>
      </c>
      <c r="AB1583" s="198">
        <v>18</v>
      </c>
      <c r="AC1583" s="199">
        <v>18.203125</v>
      </c>
      <c r="AD1583" s="930">
        <v>17.872340425531913</v>
      </c>
      <c r="AE1583" s="930">
        <v>18.027777777777779</v>
      </c>
      <c r="AF1583" s="258">
        <f t="shared" si="217"/>
        <v>18.027777777777779</v>
      </c>
      <c r="AG1583" s="1326"/>
      <c r="DG1583" s="555"/>
      <c r="DH1583" s="151"/>
      <c r="DI1583" s="1049"/>
      <c r="DJ1583" s="1127"/>
    </row>
    <row r="1584" spans="1:114" ht="15" hidden="1" customHeight="1" outlineLevel="1" x14ac:dyDescent="0.25">
      <c r="A1584" s="442"/>
      <c r="C1584" s="49"/>
      <c r="D1584" s="2177"/>
      <c r="E1584" s="2177"/>
      <c r="F1584" s="2176" t="str">
        <f>$E$799</f>
        <v>ASHP-SEER19_ER1_SF</v>
      </c>
      <c r="G1584" s="2176"/>
      <c r="H1584" s="2176"/>
      <c r="I1584" s="2176"/>
      <c r="J1584" s="986" t="str">
        <f>$C$799</f>
        <v>354000_2024_12_</v>
      </c>
      <c r="K1584" s="875">
        <v>19.195652173913039</v>
      </c>
      <c r="L1584" s="249"/>
      <c r="M1584" s="1576" t="s">
        <v>1024</v>
      </c>
      <c r="P1584" s="248"/>
      <c r="Q1584" s="196"/>
      <c r="R1584" s="248"/>
      <c r="T1584" s="169"/>
      <c r="U1584" s="50"/>
      <c r="V1584" s="2177"/>
      <c r="W1584" s="1326">
        <v>19</v>
      </c>
      <c r="X1584" s="1326">
        <v>19</v>
      </c>
      <c r="Y1584" s="1326">
        <v>19</v>
      </c>
      <c r="Z1584" s="1326">
        <v>19</v>
      </c>
      <c r="AA1584" s="1326">
        <v>19</v>
      </c>
      <c r="AB1584" s="198">
        <v>19</v>
      </c>
      <c r="AC1584" s="199">
        <v>19.100000000000001</v>
      </c>
      <c r="AD1584" s="930">
        <v>19.132352941176471</v>
      </c>
      <c r="AE1584" s="930">
        <v>19.195652173913039</v>
      </c>
      <c r="AF1584" s="258">
        <f t="shared" si="217"/>
        <v>19.195652173913039</v>
      </c>
      <c r="AG1584" s="1326"/>
      <c r="DG1584" s="555"/>
      <c r="DH1584" s="151"/>
      <c r="DI1584" s="1049"/>
      <c r="DJ1584" s="1127"/>
    </row>
    <row r="1585" spans="1:114" ht="15" hidden="1" customHeight="1" outlineLevel="1" x14ac:dyDescent="0.25">
      <c r="A1585" s="442"/>
      <c r="C1585" s="49"/>
      <c r="D1585" s="2177"/>
      <c r="E1585" s="2177"/>
      <c r="F1585" s="2176" t="str">
        <f>$E$801</f>
        <v>ASHP-SEER19_ER2_SF</v>
      </c>
      <c r="G1585" s="2176"/>
      <c r="H1585" s="2176"/>
      <c r="I1585" s="2176"/>
      <c r="J1585" s="986" t="str">
        <f>$C$801</f>
        <v>354000_2024_12_</v>
      </c>
      <c r="K1585" s="875">
        <v>19.195652173913039</v>
      </c>
      <c r="L1585" s="249"/>
      <c r="M1585" s="1576" t="s">
        <v>1112</v>
      </c>
      <c r="T1585" s="50"/>
      <c r="U1585" s="50"/>
      <c r="V1585" s="2177"/>
      <c r="W1585" s="1326">
        <v>19</v>
      </c>
      <c r="X1585" s="1326">
        <v>19</v>
      </c>
      <c r="Y1585" s="1326">
        <v>19</v>
      </c>
      <c r="Z1585" s="1326">
        <v>19</v>
      </c>
      <c r="AA1585" s="1326">
        <v>19</v>
      </c>
      <c r="AB1585" s="198">
        <v>19</v>
      </c>
      <c r="AC1585" s="199">
        <f>AC1584</f>
        <v>19.100000000000001</v>
      </c>
      <c r="AD1585" s="930">
        <v>19.132352941176471</v>
      </c>
      <c r="AE1585" s="930">
        <v>19.195652173913039</v>
      </c>
      <c r="AF1585" s="258">
        <f t="shared" si="217"/>
        <v>19.195652173913039</v>
      </c>
      <c r="AG1585" s="1326"/>
      <c r="DG1585" s="555"/>
      <c r="DH1585" s="151"/>
      <c r="DI1585" s="1049"/>
      <c r="DJ1585" s="1127"/>
    </row>
    <row r="1586" spans="1:114" ht="15" hidden="1" customHeight="1" outlineLevel="1" x14ac:dyDescent="0.25">
      <c r="A1586" s="442"/>
      <c r="C1586" s="49"/>
      <c r="D1586" s="2177"/>
      <c r="E1586" s="2177"/>
      <c r="F1586" s="2176" t="str">
        <f>$E$803</f>
        <v>ASHP-SEER19_ROF_SF</v>
      </c>
      <c r="G1586" s="2176"/>
      <c r="H1586" s="2176"/>
      <c r="I1586" s="2176"/>
      <c r="J1586" s="986" t="str">
        <f>$C$803</f>
        <v>354050_2024_12_</v>
      </c>
      <c r="K1586" s="875">
        <v>19.28846153846154</v>
      </c>
      <c r="L1586" s="249"/>
      <c r="M1586" s="1576" t="s">
        <v>1026</v>
      </c>
      <c r="T1586" s="50"/>
      <c r="U1586" s="50"/>
      <c r="V1586" s="2177"/>
      <c r="W1586" s="1326">
        <v>19</v>
      </c>
      <c r="X1586" s="1326">
        <v>19</v>
      </c>
      <c r="Y1586" s="1326">
        <v>19</v>
      </c>
      <c r="Z1586" s="1326">
        <v>19</v>
      </c>
      <c r="AA1586" s="1326">
        <v>19</v>
      </c>
      <c r="AB1586" s="198">
        <v>19</v>
      </c>
      <c r="AC1586" s="199">
        <v>19.033333333333335</v>
      </c>
      <c r="AD1586" s="930">
        <v>19.28846153846154</v>
      </c>
      <c r="AE1586" s="931">
        <v>19.28846153846154</v>
      </c>
      <c r="AF1586" s="258">
        <f t="shared" si="217"/>
        <v>19.28846153846154</v>
      </c>
      <c r="AG1586" s="1326"/>
      <c r="DG1586" s="555"/>
      <c r="DH1586" s="151"/>
      <c r="DI1586" s="1049"/>
      <c r="DJ1586" s="1127"/>
    </row>
    <row r="1587" spans="1:114" ht="15" hidden="1" customHeight="1" outlineLevel="1" x14ac:dyDescent="0.25">
      <c r="A1587" s="442"/>
      <c r="C1587" s="49"/>
      <c r="D1587" s="2177"/>
      <c r="E1587" s="2177"/>
      <c r="F1587" s="2176" t="str">
        <f>$E$805</f>
        <v>ASHP-SEER17-Replace_CAC_ElectricHeat_ER1_SF</v>
      </c>
      <c r="G1587" s="2176"/>
      <c r="H1587" s="2176"/>
      <c r="I1587" s="2176"/>
      <c r="J1587" s="986" t="str">
        <f>$C$805</f>
        <v>354100_2024_12_</v>
      </c>
      <c r="K1587" s="875">
        <v>17.255828877005346</v>
      </c>
      <c r="L1587" s="249"/>
      <c r="M1587" s="1576" t="s">
        <v>1026</v>
      </c>
      <c r="T1587" s="50"/>
      <c r="U1587" s="50"/>
      <c r="V1587" s="2177"/>
      <c r="W1587" s="1326">
        <v>17</v>
      </c>
      <c r="X1587" s="1326">
        <v>17</v>
      </c>
      <c r="Y1587" s="1326">
        <v>17</v>
      </c>
      <c r="Z1587" s="1326">
        <v>17</v>
      </c>
      <c r="AA1587" s="1326">
        <v>17</v>
      </c>
      <c r="AB1587" s="198">
        <v>17</v>
      </c>
      <c r="AC1587" s="199">
        <v>17.136363636363637</v>
      </c>
      <c r="AD1587" s="930">
        <v>17.195075757575758</v>
      </c>
      <c r="AE1587" s="930">
        <v>17.255828877005346</v>
      </c>
      <c r="AF1587" s="258">
        <f t="shared" si="217"/>
        <v>17.255828877005346</v>
      </c>
      <c r="AG1587" s="1326"/>
      <c r="DG1587" s="555"/>
      <c r="DH1587" s="151"/>
      <c r="DI1587" s="1049"/>
      <c r="DJ1587" s="1127"/>
    </row>
    <row r="1588" spans="1:114" ht="15" hidden="1" customHeight="1" outlineLevel="1" x14ac:dyDescent="0.25">
      <c r="A1588" s="442"/>
      <c r="C1588" s="49"/>
      <c r="D1588" s="2177"/>
      <c r="E1588" s="2177"/>
      <c r="F1588" s="2176" t="str">
        <f>$E$807</f>
        <v>ASHP-SEER17-Replace_CAC_ElectricHeat_ER2_SF</v>
      </c>
      <c r="G1588" s="2176"/>
      <c r="H1588" s="2176"/>
      <c r="I1588" s="2176"/>
      <c r="J1588" s="986" t="str">
        <f>$C$807</f>
        <v>354100_2024_12_</v>
      </c>
      <c r="K1588" s="875">
        <v>17.255828877005346</v>
      </c>
      <c r="L1588" s="249"/>
      <c r="M1588" s="1576" t="s">
        <v>1026</v>
      </c>
      <c r="T1588" s="50"/>
      <c r="U1588" s="50"/>
      <c r="V1588" s="2177"/>
      <c r="W1588" s="1326">
        <v>17</v>
      </c>
      <c r="X1588" s="1326">
        <v>17</v>
      </c>
      <c r="Y1588" s="1326">
        <v>17</v>
      </c>
      <c r="Z1588" s="1326">
        <v>17</v>
      </c>
      <c r="AA1588" s="1326">
        <v>17</v>
      </c>
      <c r="AB1588" s="198">
        <v>17</v>
      </c>
      <c r="AC1588" s="199">
        <f>AC1587</f>
        <v>17.136363636363637</v>
      </c>
      <c r="AD1588" s="930">
        <v>17.195075757575758</v>
      </c>
      <c r="AE1588" s="930">
        <v>17.255828877005346</v>
      </c>
      <c r="AF1588" s="258">
        <f t="shared" si="217"/>
        <v>17.255828877005346</v>
      </c>
      <c r="AG1588" s="1326"/>
      <c r="DG1588" s="555"/>
      <c r="DH1588" s="151"/>
      <c r="DI1588" s="1049"/>
      <c r="DJ1588" s="1127"/>
    </row>
    <row r="1589" spans="1:114" ht="15" hidden="1" customHeight="1" outlineLevel="1" x14ac:dyDescent="0.25">
      <c r="A1589" s="442"/>
      <c r="C1589" s="49"/>
      <c r="D1589" s="2177"/>
      <c r="E1589" s="2177"/>
      <c r="F1589" s="2176" t="str">
        <f>$E$809</f>
        <v>ASHP-SEER17-Replace_CAC_NonElectricHeat_ER1_SF</v>
      </c>
      <c r="G1589" s="2176"/>
      <c r="H1589" s="2176"/>
      <c r="I1589" s="2176"/>
      <c r="J1589" s="986" t="str">
        <f>$C$809</f>
        <v>354110_2024_12_</v>
      </c>
      <c r="K1589" s="875">
        <v>17.255828877005346</v>
      </c>
      <c r="L1589" s="249"/>
      <c r="M1589" s="1577" t="s">
        <v>1112</v>
      </c>
      <c r="T1589" s="50"/>
      <c r="U1589" s="50"/>
      <c r="V1589" s="2177"/>
      <c r="W1589" s="1326"/>
      <c r="X1589" s="1326"/>
      <c r="Y1589" s="1326"/>
      <c r="Z1589" s="1326"/>
      <c r="AA1589" s="1326"/>
      <c r="AB1589" s="198"/>
      <c r="AC1589" s="199">
        <v>17.136363636363637</v>
      </c>
      <c r="AD1589" s="930">
        <v>17.195075757575758</v>
      </c>
      <c r="AE1589" s="930">
        <v>17.255828877005346</v>
      </c>
      <c r="AF1589" s="258">
        <f t="shared" si="217"/>
        <v>17.255828877005346</v>
      </c>
      <c r="AG1589" s="1326"/>
      <c r="DG1589" s="555"/>
      <c r="DH1589" s="151"/>
      <c r="DI1589" s="1049"/>
      <c r="DJ1589" s="1127"/>
    </row>
    <row r="1590" spans="1:114" ht="15" hidden="1" customHeight="1" outlineLevel="1" x14ac:dyDescent="0.25">
      <c r="A1590" s="442"/>
      <c r="C1590" s="49"/>
      <c r="D1590" s="2177"/>
      <c r="E1590" s="2177"/>
      <c r="F1590" s="2176" t="str">
        <f>$E$811</f>
        <v>ASHP-SEER17-Replace_CAC_NonElectricHeat_ER2_SF</v>
      </c>
      <c r="G1590" s="2176"/>
      <c r="H1590" s="2176"/>
      <c r="I1590" s="2176"/>
      <c r="J1590" s="986" t="str">
        <f>$C$811</f>
        <v>354110_2024_12_</v>
      </c>
      <c r="K1590" s="875">
        <v>17.255828877005346</v>
      </c>
      <c r="L1590" s="249"/>
      <c r="M1590" s="1577" t="s">
        <v>1112</v>
      </c>
      <c r="T1590" s="50"/>
      <c r="U1590" s="50"/>
      <c r="V1590" s="2177"/>
      <c r="W1590" s="1326"/>
      <c r="X1590" s="1326"/>
      <c r="Y1590" s="1326"/>
      <c r="Z1590" s="1326"/>
      <c r="AA1590" s="1326"/>
      <c r="AB1590" s="198"/>
      <c r="AC1590" s="199">
        <f>AC1589</f>
        <v>17.136363636363637</v>
      </c>
      <c r="AD1590" s="930">
        <v>17.195075757575758</v>
      </c>
      <c r="AE1590" s="930">
        <v>17.255828877005346</v>
      </c>
      <c r="AF1590" s="258">
        <f t="shared" si="217"/>
        <v>17.255828877005346</v>
      </c>
      <c r="AG1590" s="1326"/>
      <c r="DG1590" s="555"/>
      <c r="DH1590" s="151"/>
      <c r="DI1590" s="1049"/>
      <c r="DJ1590" s="1127"/>
    </row>
    <row r="1591" spans="1:114" ht="15" hidden="1" customHeight="1" outlineLevel="1" x14ac:dyDescent="0.25">
      <c r="A1591" s="442"/>
      <c r="C1591" s="49"/>
      <c r="D1591" s="2177"/>
      <c r="E1591" s="2177"/>
      <c r="F1591" s="2176" t="str">
        <f>$E$813</f>
        <v>ASHP-SEER17-Replace_CAC_ElectricHeat_ER1_MF</v>
      </c>
      <c r="G1591" s="2176"/>
      <c r="H1591" s="2176"/>
      <c r="I1591" s="2176"/>
      <c r="J1591" s="986" t="str">
        <f>$C$813</f>
        <v>354150_2024_12_</v>
      </c>
      <c r="K1591" s="1592">
        <v>17</v>
      </c>
      <c r="L1591" s="249"/>
      <c r="M1591" s="1577" t="s">
        <v>1372</v>
      </c>
      <c r="T1591" s="50"/>
      <c r="U1591" s="50"/>
      <c r="V1591" s="2177"/>
      <c r="W1591" s="1326">
        <v>17</v>
      </c>
      <c r="X1591" s="1326">
        <v>17</v>
      </c>
      <c r="Y1591" s="1326">
        <v>17</v>
      </c>
      <c r="Z1591" s="1326">
        <v>17</v>
      </c>
      <c r="AA1591" s="1326">
        <v>17</v>
      </c>
      <c r="AB1591" s="198">
        <v>17</v>
      </c>
      <c r="AC1591" s="198">
        <v>17</v>
      </c>
      <c r="AD1591" s="198">
        <v>17</v>
      </c>
      <c r="AE1591" s="198">
        <v>17</v>
      </c>
      <c r="AF1591" s="258">
        <f t="shared" si="217"/>
        <v>17</v>
      </c>
      <c r="AG1591" s="1326"/>
      <c r="DG1591" s="555"/>
      <c r="DH1591" s="151"/>
      <c r="DI1591" s="1049"/>
      <c r="DJ1591" s="1127"/>
    </row>
    <row r="1592" spans="1:114" ht="15" hidden="1" customHeight="1" outlineLevel="1" x14ac:dyDescent="0.25">
      <c r="A1592" s="442"/>
      <c r="C1592" s="49"/>
      <c r="D1592" s="2177"/>
      <c r="E1592" s="2177"/>
      <c r="F1592" s="2176" t="str">
        <f>$E$815</f>
        <v>ASHP-SEER17-Replace_CAC_ElectricHeat_ER2_MF</v>
      </c>
      <c r="G1592" s="2176"/>
      <c r="H1592" s="2176"/>
      <c r="I1592" s="2176"/>
      <c r="J1592" s="986" t="str">
        <f>$C$815</f>
        <v>354150_2024_12_</v>
      </c>
      <c r="K1592" s="1592">
        <v>17</v>
      </c>
      <c r="L1592" s="249"/>
      <c r="M1592" s="1577" t="s">
        <v>1372</v>
      </c>
      <c r="T1592" s="50"/>
      <c r="U1592" s="50"/>
      <c r="V1592" s="2177"/>
      <c r="W1592" s="1326">
        <v>17</v>
      </c>
      <c r="X1592" s="1326">
        <v>17</v>
      </c>
      <c r="Y1592" s="1326">
        <v>17</v>
      </c>
      <c r="Z1592" s="1326">
        <v>17</v>
      </c>
      <c r="AA1592" s="1326">
        <v>17</v>
      </c>
      <c r="AB1592" s="198">
        <v>17</v>
      </c>
      <c r="AC1592" s="198">
        <v>17</v>
      </c>
      <c r="AD1592" s="198">
        <v>17</v>
      </c>
      <c r="AE1592" s="198">
        <v>17</v>
      </c>
      <c r="AF1592" s="258">
        <f t="shared" si="217"/>
        <v>17</v>
      </c>
      <c r="AG1592" s="1326"/>
      <c r="DG1592" s="555"/>
      <c r="DH1592" s="151"/>
      <c r="DI1592" s="1049"/>
      <c r="DJ1592" s="1127"/>
    </row>
    <row r="1593" spans="1:114" ht="15" hidden="1" customHeight="1" outlineLevel="1" x14ac:dyDescent="0.25">
      <c r="A1593" s="442"/>
      <c r="C1593" s="49"/>
      <c r="D1593" s="2177"/>
      <c r="E1593" s="2177"/>
      <c r="F1593" s="2176" t="str">
        <f>$E$817</f>
        <v>ASHP-SEER17_ER1_MF</v>
      </c>
      <c r="G1593" s="2176"/>
      <c r="H1593" s="2176"/>
      <c r="I1593" s="2176"/>
      <c r="J1593" s="986" t="str">
        <f>$C$817</f>
        <v>354200_2024_12_</v>
      </c>
      <c r="K1593" s="1592">
        <v>17</v>
      </c>
      <c r="L1593" s="249"/>
      <c r="M1593" s="1577" t="s">
        <v>1372</v>
      </c>
      <c r="T1593" s="50"/>
      <c r="U1593" s="50"/>
      <c r="V1593" s="2177"/>
      <c r="W1593" s="1326">
        <v>17</v>
      </c>
      <c r="X1593" s="1326">
        <v>17</v>
      </c>
      <c r="Y1593" s="1326">
        <v>17</v>
      </c>
      <c r="Z1593" s="1326">
        <v>17</v>
      </c>
      <c r="AA1593" s="1326">
        <v>17</v>
      </c>
      <c r="AB1593" s="198">
        <v>17</v>
      </c>
      <c r="AC1593" s="198">
        <v>17</v>
      </c>
      <c r="AD1593" s="198">
        <v>17</v>
      </c>
      <c r="AE1593" s="198">
        <v>17</v>
      </c>
      <c r="AF1593" s="258">
        <f t="shared" ref="AF1593:AF1624" si="218">IF(K1593&lt;&gt;"",K1593,"")</f>
        <v>17</v>
      </c>
      <c r="AG1593" s="1326"/>
      <c r="DG1593" s="555"/>
      <c r="DH1593" s="151"/>
      <c r="DI1593" s="1049"/>
      <c r="DJ1593" s="1127"/>
    </row>
    <row r="1594" spans="1:114" ht="15" hidden="1" customHeight="1" outlineLevel="1" x14ac:dyDescent="0.25">
      <c r="A1594" s="442"/>
      <c r="C1594" s="49"/>
      <c r="D1594" s="2177"/>
      <c r="E1594" s="2177"/>
      <c r="F1594" s="2176" t="str">
        <f>$E$819</f>
        <v>ASHP-SEER17_ER2_MF</v>
      </c>
      <c r="G1594" s="2176"/>
      <c r="H1594" s="2176"/>
      <c r="I1594" s="2176"/>
      <c r="J1594" s="986" t="str">
        <f>$C$819</f>
        <v>354200_2024_12_</v>
      </c>
      <c r="K1594" s="1592">
        <v>17</v>
      </c>
      <c r="L1594" s="249"/>
      <c r="M1594" s="1577" t="s">
        <v>1372</v>
      </c>
      <c r="T1594" s="50"/>
      <c r="U1594" s="50"/>
      <c r="V1594" s="2177"/>
      <c r="W1594" s="1326">
        <v>17</v>
      </c>
      <c r="X1594" s="1326">
        <v>17</v>
      </c>
      <c r="Y1594" s="1326">
        <v>17</v>
      </c>
      <c r="Z1594" s="1326">
        <v>17</v>
      </c>
      <c r="AA1594" s="1326">
        <v>17</v>
      </c>
      <c r="AB1594" s="198">
        <v>17</v>
      </c>
      <c r="AC1594" s="198">
        <v>17</v>
      </c>
      <c r="AD1594" s="198">
        <v>17</v>
      </c>
      <c r="AE1594" s="198">
        <v>17</v>
      </c>
      <c r="AF1594" s="258">
        <f t="shared" si="218"/>
        <v>17</v>
      </c>
      <c r="AG1594" s="1326"/>
      <c r="DG1594" s="555"/>
      <c r="DH1594" s="151"/>
      <c r="DI1594" s="1049"/>
      <c r="DJ1594" s="1127"/>
    </row>
    <row r="1595" spans="1:114" ht="15" hidden="1" customHeight="1" outlineLevel="1" x14ac:dyDescent="0.25">
      <c r="A1595" s="442"/>
      <c r="C1595" s="49"/>
      <c r="D1595" s="2177"/>
      <c r="E1595" s="2177"/>
      <c r="F1595" s="2176" t="str">
        <f>$E$821</f>
        <v>ASHP-SEER18-Replace_CAC_ElectricHeat_ER1_SF</v>
      </c>
      <c r="G1595" s="2176"/>
      <c r="H1595" s="2176"/>
      <c r="I1595" s="2176"/>
      <c r="J1595" s="986" t="str">
        <f>$C$821</f>
        <v>354250_2024_12_</v>
      </c>
      <c r="K1595" s="875">
        <v>18.045275590551181</v>
      </c>
      <c r="L1595" s="249"/>
      <c r="M1595" s="1576" t="s">
        <v>1026</v>
      </c>
      <c r="T1595" s="50"/>
      <c r="U1595" s="50"/>
      <c r="V1595" s="2177"/>
      <c r="W1595" s="1326">
        <v>18</v>
      </c>
      <c r="X1595" s="1326">
        <v>18</v>
      </c>
      <c r="Y1595" s="1326">
        <v>18</v>
      </c>
      <c r="Z1595" s="1326">
        <v>18</v>
      </c>
      <c r="AA1595" s="1326">
        <v>18</v>
      </c>
      <c r="AB1595" s="199">
        <v>18.582558139534882</v>
      </c>
      <c r="AC1595" s="199">
        <v>17.967652173913041</v>
      </c>
      <c r="AD1595" s="930">
        <v>18.023684210526316</v>
      </c>
      <c r="AE1595" s="930">
        <v>18.045275590551181</v>
      </c>
      <c r="AF1595" s="258">
        <f t="shared" si="218"/>
        <v>18.045275590551181</v>
      </c>
      <c r="AG1595" s="1326"/>
      <c r="DG1595" s="555"/>
      <c r="DH1595" s="151"/>
      <c r="DI1595" s="1049"/>
      <c r="DJ1595" s="1127"/>
    </row>
    <row r="1596" spans="1:114" ht="15" hidden="1" customHeight="1" outlineLevel="1" x14ac:dyDescent="0.25">
      <c r="A1596" s="442"/>
      <c r="C1596" s="49"/>
      <c r="D1596" s="2177"/>
      <c r="E1596" s="2177"/>
      <c r="F1596" s="2176" t="str">
        <f>$E$823</f>
        <v>ASHP-SEER18-Replace_CAC_ElectricHeat_ER2_SF</v>
      </c>
      <c r="G1596" s="2176"/>
      <c r="H1596" s="2176"/>
      <c r="I1596" s="2176"/>
      <c r="J1596" s="986" t="str">
        <f>$C$823</f>
        <v>354250_2024_12_</v>
      </c>
      <c r="K1596" s="875">
        <v>18.045275590551181</v>
      </c>
      <c r="L1596" s="249"/>
      <c r="M1596" s="1576" t="s">
        <v>1026</v>
      </c>
      <c r="T1596" s="50"/>
      <c r="U1596" s="50"/>
      <c r="V1596" s="2177"/>
      <c r="W1596" s="1326">
        <v>18</v>
      </c>
      <c r="X1596" s="1326">
        <v>18</v>
      </c>
      <c r="Y1596" s="1326">
        <v>18</v>
      </c>
      <c r="Z1596" s="1326">
        <v>18</v>
      </c>
      <c r="AA1596" s="1326">
        <v>18</v>
      </c>
      <c r="AB1596" s="199">
        <v>18.582558139534882</v>
      </c>
      <c r="AC1596" s="199">
        <f>AC1595</f>
        <v>17.967652173913041</v>
      </c>
      <c r="AD1596" s="930">
        <v>18.023684210526316</v>
      </c>
      <c r="AE1596" s="930">
        <v>18.045275590551181</v>
      </c>
      <c r="AF1596" s="258">
        <f t="shared" si="218"/>
        <v>18.045275590551181</v>
      </c>
      <c r="AG1596" s="1326"/>
      <c r="DG1596" s="555"/>
      <c r="DH1596" s="151"/>
      <c r="DI1596" s="1049"/>
      <c r="DJ1596" s="1127"/>
    </row>
    <row r="1597" spans="1:114" ht="15" hidden="1" customHeight="1" outlineLevel="1" x14ac:dyDescent="0.25">
      <c r="A1597" s="442"/>
      <c r="C1597" s="49"/>
      <c r="D1597" s="2177"/>
      <c r="E1597" s="2177"/>
      <c r="F1597" s="2176" t="str">
        <f>$E$825</f>
        <v>ASHP-SEER18-Replace_CAC_NonElectricHeat_ER1_SF</v>
      </c>
      <c r="G1597" s="2176"/>
      <c r="H1597" s="2176"/>
      <c r="I1597" s="2176"/>
      <c r="J1597" s="986" t="str">
        <f>$C$825</f>
        <v>354260_2024_12_</v>
      </c>
      <c r="K1597" s="875">
        <v>18.045275590551181</v>
      </c>
      <c r="L1597" s="249"/>
      <c r="M1597" s="1577" t="s">
        <v>1112</v>
      </c>
      <c r="T1597" s="50"/>
      <c r="U1597" s="50"/>
      <c r="V1597" s="2177"/>
      <c r="W1597" s="1326"/>
      <c r="X1597" s="1326"/>
      <c r="Y1597" s="1326"/>
      <c r="Z1597" s="1326"/>
      <c r="AA1597" s="1326"/>
      <c r="AB1597" s="199"/>
      <c r="AC1597" s="199">
        <v>17.967652173913041</v>
      </c>
      <c r="AD1597" s="930">
        <v>18.023684210526316</v>
      </c>
      <c r="AE1597" s="930">
        <v>18.045275590551181</v>
      </c>
      <c r="AF1597" s="258">
        <f t="shared" si="218"/>
        <v>18.045275590551181</v>
      </c>
      <c r="AG1597" s="1326"/>
      <c r="DG1597" s="555"/>
      <c r="DH1597" s="151"/>
      <c r="DI1597" s="1049"/>
      <c r="DJ1597" s="1127"/>
    </row>
    <row r="1598" spans="1:114" ht="15" hidden="1" customHeight="1" outlineLevel="1" x14ac:dyDescent="0.25">
      <c r="A1598" s="442"/>
      <c r="C1598" s="49"/>
      <c r="D1598" s="2177"/>
      <c r="E1598" s="2177"/>
      <c r="F1598" s="2176" t="str">
        <f>$E$827</f>
        <v>ASHP-SEER18-Replace_CAC_NonElectricHeat_ER2_SF</v>
      </c>
      <c r="G1598" s="2176"/>
      <c r="H1598" s="2176"/>
      <c r="I1598" s="2176"/>
      <c r="J1598" s="986" t="str">
        <f>$C$827</f>
        <v>354260_2024_12_</v>
      </c>
      <c r="K1598" s="875">
        <v>18.045275590551181</v>
      </c>
      <c r="L1598" s="249"/>
      <c r="M1598" s="1577" t="s">
        <v>1112</v>
      </c>
      <c r="T1598" s="50"/>
      <c r="U1598" s="50"/>
      <c r="V1598" s="2177"/>
      <c r="W1598" s="1326"/>
      <c r="X1598" s="1326"/>
      <c r="Y1598" s="1326"/>
      <c r="Z1598" s="1326"/>
      <c r="AA1598" s="1326"/>
      <c r="AB1598" s="199"/>
      <c r="AC1598" s="199">
        <f>AC1597</f>
        <v>17.967652173913041</v>
      </c>
      <c r="AD1598" s="930">
        <v>18.023684210526316</v>
      </c>
      <c r="AE1598" s="930">
        <v>18.045275590551181</v>
      </c>
      <c r="AF1598" s="258">
        <f t="shared" si="218"/>
        <v>18.045275590551181</v>
      </c>
      <c r="AG1598" s="1326"/>
      <c r="DG1598" s="555"/>
      <c r="DH1598" s="151"/>
      <c r="DI1598" s="1049"/>
      <c r="DJ1598" s="1127"/>
    </row>
    <row r="1599" spans="1:114" ht="15" hidden="1" customHeight="1" outlineLevel="1" x14ac:dyDescent="0.25">
      <c r="A1599" s="442"/>
      <c r="C1599" s="49"/>
      <c r="D1599" s="2177"/>
      <c r="E1599" s="2177"/>
      <c r="F1599" s="2176" t="str">
        <f>$E$829</f>
        <v>ASHP-SEER18-Replace_CAC_ElectricHeat_ER1_MF</v>
      </c>
      <c r="G1599" s="2176"/>
      <c r="H1599" s="2176"/>
      <c r="I1599" s="2176"/>
      <c r="J1599" s="986" t="str">
        <f>$C$829</f>
        <v>354300_2024_12_</v>
      </c>
      <c r="K1599" s="1592">
        <v>18</v>
      </c>
      <c r="L1599" s="249"/>
      <c r="M1599" s="1577" t="s">
        <v>1362</v>
      </c>
      <c r="T1599" s="50"/>
      <c r="U1599" s="50"/>
      <c r="V1599" s="2177"/>
      <c r="W1599" s="1326">
        <v>18</v>
      </c>
      <c r="X1599" s="1326">
        <v>18</v>
      </c>
      <c r="Y1599" s="1326">
        <v>18</v>
      </c>
      <c r="Z1599" s="1326">
        <v>18</v>
      </c>
      <c r="AA1599" s="1326">
        <v>18</v>
      </c>
      <c r="AB1599" s="199">
        <v>18</v>
      </c>
      <c r="AC1599" s="199">
        <v>18</v>
      </c>
      <c r="AD1599" s="198">
        <v>18</v>
      </c>
      <c r="AE1599" s="198">
        <v>18</v>
      </c>
      <c r="AF1599" s="258">
        <f t="shared" si="218"/>
        <v>18</v>
      </c>
      <c r="AG1599" s="1326"/>
      <c r="DG1599" s="555"/>
      <c r="DH1599" s="151"/>
      <c r="DI1599" s="1049"/>
      <c r="DJ1599" s="1127"/>
    </row>
    <row r="1600" spans="1:114" ht="15" hidden="1" customHeight="1" outlineLevel="1" x14ac:dyDescent="0.25">
      <c r="A1600" s="442"/>
      <c r="C1600" s="49"/>
      <c r="D1600" s="2177"/>
      <c r="E1600" s="2177"/>
      <c r="F1600" s="2176" t="str">
        <f>$E$831</f>
        <v>ASHP-SEER18-Replace_CAC_ElectricHeat_ER2_MF</v>
      </c>
      <c r="G1600" s="2176"/>
      <c r="H1600" s="2176"/>
      <c r="I1600" s="2176"/>
      <c r="J1600" s="986" t="str">
        <f>$C$831</f>
        <v>354300_2024_12_</v>
      </c>
      <c r="K1600" s="1592">
        <v>18</v>
      </c>
      <c r="L1600" s="249"/>
      <c r="M1600" s="1577" t="s">
        <v>1362</v>
      </c>
      <c r="T1600" s="50"/>
      <c r="U1600" s="50"/>
      <c r="V1600" s="2177"/>
      <c r="W1600" s="1326">
        <v>18</v>
      </c>
      <c r="X1600" s="1326">
        <v>18</v>
      </c>
      <c r="Y1600" s="1326">
        <v>18</v>
      </c>
      <c r="Z1600" s="1326">
        <v>18</v>
      </c>
      <c r="AA1600" s="1326">
        <v>18</v>
      </c>
      <c r="AB1600" s="199">
        <v>18</v>
      </c>
      <c r="AC1600" s="199">
        <f>AC1599</f>
        <v>18</v>
      </c>
      <c r="AD1600" s="198">
        <v>18</v>
      </c>
      <c r="AE1600" s="198">
        <v>18</v>
      </c>
      <c r="AF1600" s="258">
        <f t="shared" si="218"/>
        <v>18</v>
      </c>
      <c r="AG1600" s="1326"/>
      <c r="DG1600" s="555"/>
      <c r="DH1600" s="151"/>
      <c r="DI1600" s="1049"/>
      <c r="DJ1600" s="1127"/>
    </row>
    <row r="1601" spans="1:114" ht="15" hidden="1" customHeight="1" outlineLevel="1" x14ac:dyDescent="0.25">
      <c r="A1601" s="442"/>
      <c r="C1601" s="49"/>
      <c r="D1601" s="2177"/>
      <c r="E1601" s="2177"/>
      <c r="F1601" s="2176" t="str">
        <f>$E$833</f>
        <v>ASHP-SEER18_ER1_MF</v>
      </c>
      <c r="G1601" s="2176"/>
      <c r="H1601" s="2176"/>
      <c r="I1601" s="2176"/>
      <c r="J1601" s="986" t="str">
        <f>$C$833</f>
        <v>354350_2024_12_</v>
      </c>
      <c r="K1601" s="875">
        <v>18</v>
      </c>
      <c r="L1601" s="249"/>
      <c r="M1601" s="1576" t="s">
        <v>1026</v>
      </c>
      <c r="T1601" s="50"/>
      <c r="U1601" s="50"/>
      <c r="V1601" s="2177"/>
      <c r="W1601" s="1326">
        <v>18</v>
      </c>
      <c r="X1601" s="1326">
        <v>18</v>
      </c>
      <c r="Y1601" s="1326">
        <v>18</v>
      </c>
      <c r="Z1601" s="1326">
        <v>18</v>
      </c>
      <c r="AA1601" s="1326">
        <v>18</v>
      </c>
      <c r="AB1601" s="1326">
        <v>18</v>
      </c>
      <c r="AC1601" s="199">
        <v>18.5</v>
      </c>
      <c r="AD1601" s="930">
        <v>18</v>
      </c>
      <c r="AE1601" s="931">
        <v>18</v>
      </c>
      <c r="AF1601" s="258">
        <f t="shared" si="218"/>
        <v>18</v>
      </c>
      <c r="AG1601" s="1326"/>
      <c r="DG1601" s="555"/>
      <c r="DH1601" s="151"/>
      <c r="DI1601" s="1049"/>
      <c r="DJ1601" s="1127"/>
    </row>
    <row r="1602" spans="1:114" ht="15" hidden="1" customHeight="1" outlineLevel="1" x14ac:dyDescent="0.25">
      <c r="A1602" s="442"/>
      <c r="C1602" s="49"/>
      <c r="D1602" s="2177"/>
      <c r="E1602" s="2177"/>
      <c r="F1602" s="2176" t="str">
        <f>$E$835</f>
        <v>ASHP-SEER18_ER2_MF</v>
      </c>
      <c r="G1602" s="2176"/>
      <c r="H1602" s="2176"/>
      <c r="I1602" s="2176"/>
      <c r="J1602" s="986" t="str">
        <f>$C$835</f>
        <v>354350_2024_12_</v>
      </c>
      <c r="K1602" s="875">
        <v>18</v>
      </c>
      <c r="L1602" s="249"/>
      <c r="M1602" s="1576" t="s">
        <v>1026</v>
      </c>
      <c r="T1602" s="50"/>
      <c r="U1602" s="50"/>
      <c r="V1602" s="2177"/>
      <c r="W1602" s="1326">
        <v>18</v>
      </c>
      <c r="X1602" s="1326">
        <v>18</v>
      </c>
      <c r="Y1602" s="1326">
        <v>18</v>
      </c>
      <c r="Z1602" s="1326">
        <v>18</v>
      </c>
      <c r="AA1602" s="1326">
        <v>18</v>
      </c>
      <c r="AB1602" s="1326">
        <v>18</v>
      </c>
      <c r="AC1602" s="199">
        <f>AC1601</f>
        <v>18.5</v>
      </c>
      <c r="AD1602" s="930">
        <v>18</v>
      </c>
      <c r="AE1602" s="931">
        <v>18</v>
      </c>
      <c r="AF1602" s="258">
        <f t="shared" si="218"/>
        <v>18</v>
      </c>
      <c r="AG1602" s="1326"/>
      <c r="DG1602" s="555"/>
      <c r="DH1602" s="151"/>
      <c r="DI1602" s="1049"/>
      <c r="DJ1602" s="1127"/>
    </row>
    <row r="1603" spans="1:114" ht="15" hidden="1" customHeight="1" outlineLevel="1" x14ac:dyDescent="0.25">
      <c r="A1603" s="442"/>
      <c r="C1603" s="49"/>
      <c r="D1603" s="2177"/>
      <c r="E1603" s="2177"/>
      <c r="F1603" s="2176" t="str">
        <f>$E$837</f>
        <v>ASHP-SEER19-Replace_CAC_ElectricHeat_ER1_SF</v>
      </c>
      <c r="G1603" s="2176"/>
      <c r="H1603" s="2176"/>
      <c r="I1603" s="2176"/>
      <c r="J1603" s="986" t="str">
        <f>$C$837</f>
        <v>354400_2024_12_</v>
      </c>
      <c r="K1603" s="875">
        <v>19.195652173913039</v>
      </c>
      <c r="L1603" s="249"/>
      <c r="M1603" s="1576" t="s">
        <v>1024</v>
      </c>
      <c r="T1603" s="50"/>
      <c r="U1603" s="50"/>
      <c r="V1603" s="2177"/>
      <c r="W1603" s="1326">
        <v>19</v>
      </c>
      <c r="X1603" s="1326">
        <v>19</v>
      </c>
      <c r="Y1603" s="1326">
        <v>19</v>
      </c>
      <c r="Z1603" s="1326">
        <v>19</v>
      </c>
      <c r="AA1603" s="1326">
        <v>19</v>
      </c>
      <c r="AB1603" s="1326">
        <v>19</v>
      </c>
      <c r="AC1603" s="199">
        <v>19.125</v>
      </c>
      <c r="AD1603" s="930">
        <v>19.132352941176471</v>
      </c>
      <c r="AE1603" s="930">
        <v>19.195652173913039</v>
      </c>
      <c r="AF1603" s="258">
        <f t="shared" si="218"/>
        <v>19.195652173913039</v>
      </c>
      <c r="AG1603" s="1326"/>
      <c r="DG1603" s="555"/>
      <c r="DH1603" s="151"/>
      <c r="DI1603" s="1049"/>
      <c r="DJ1603" s="1127"/>
    </row>
    <row r="1604" spans="1:114" ht="15" hidden="1" customHeight="1" outlineLevel="1" x14ac:dyDescent="0.25">
      <c r="A1604" s="442"/>
      <c r="C1604" s="49"/>
      <c r="D1604" s="2177"/>
      <c r="E1604" s="2177"/>
      <c r="F1604" s="2176" t="str">
        <f>$E$839</f>
        <v>ASHP-SEER19-Replace_CAC_ElectricHeat_ER2_SF</v>
      </c>
      <c r="G1604" s="2176"/>
      <c r="H1604" s="2176"/>
      <c r="I1604" s="2176"/>
      <c r="J1604" s="986" t="str">
        <f>$C$839</f>
        <v>354400_2024_12_</v>
      </c>
      <c r="K1604" s="875">
        <v>19.195652173913039</v>
      </c>
      <c r="L1604" s="249"/>
      <c r="M1604" s="1576" t="s">
        <v>1112</v>
      </c>
      <c r="T1604" s="50"/>
      <c r="U1604" s="50"/>
      <c r="V1604" s="2177"/>
      <c r="W1604" s="1326">
        <v>19</v>
      </c>
      <c r="X1604" s="1326">
        <v>19</v>
      </c>
      <c r="Y1604" s="1326">
        <v>19</v>
      </c>
      <c r="Z1604" s="1326">
        <v>19</v>
      </c>
      <c r="AA1604" s="1326">
        <v>19</v>
      </c>
      <c r="AB1604" s="1326">
        <v>19</v>
      </c>
      <c r="AC1604" s="199">
        <f>AC1603</f>
        <v>19.125</v>
      </c>
      <c r="AD1604" s="930">
        <v>19.132352941176471</v>
      </c>
      <c r="AE1604" s="930">
        <v>19.195652173913039</v>
      </c>
      <c r="AF1604" s="258">
        <f t="shared" si="218"/>
        <v>19.195652173913039</v>
      </c>
      <c r="AG1604" s="1326"/>
      <c r="DG1604" s="555"/>
      <c r="DH1604" s="151"/>
      <c r="DI1604" s="1049"/>
      <c r="DJ1604" s="1127"/>
    </row>
    <row r="1605" spans="1:114" ht="15" hidden="1" customHeight="1" outlineLevel="1" x14ac:dyDescent="0.25">
      <c r="A1605" s="442"/>
      <c r="C1605" s="49"/>
      <c r="D1605" s="2177"/>
      <c r="E1605" s="2177"/>
      <c r="F1605" s="2176" t="str">
        <f>$E$841</f>
        <v>ASHP-SEER19-Replace_CAC_NonElectricHeat_ER1_SF</v>
      </c>
      <c r="G1605" s="2176"/>
      <c r="H1605" s="2176"/>
      <c r="I1605" s="2176"/>
      <c r="J1605" s="986" t="str">
        <f>$C$841</f>
        <v>354410_2024_12_</v>
      </c>
      <c r="K1605" s="1592">
        <v>19.195652173913039</v>
      </c>
      <c r="L1605" s="249"/>
      <c r="M1605" s="1577" t="s">
        <v>1112</v>
      </c>
      <c r="T1605" s="50"/>
      <c r="U1605" s="50"/>
      <c r="V1605" s="2177"/>
      <c r="W1605" s="1326"/>
      <c r="X1605" s="1326"/>
      <c r="Y1605" s="1326"/>
      <c r="Z1605" s="1326"/>
      <c r="AA1605" s="1326"/>
      <c r="AB1605" s="1326"/>
      <c r="AC1605" s="199">
        <v>19.125</v>
      </c>
      <c r="AD1605" s="198">
        <v>19.125</v>
      </c>
      <c r="AE1605" s="199">
        <v>19.195652173913039</v>
      </c>
      <c r="AF1605" s="258">
        <f t="shared" si="218"/>
        <v>19.195652173913039</v>
      </c>
      <c r="AG1605" s="1326"/>
      <c r="DG1605" s="555"/>
      <c r="DH1605" s="151"/>
      <c r="DI1605" s="1049"/>
      <c r="DJ1605" s="1127"/>
    </row>
    <row r="1606" spans="1:114" ht="15" hidden="1" customHeight="1" outlineLevel="1" x14ac:dyDescent="0.25">
      <c r="A1606" s="442"/>
      <c r="C1606" s="49"/>
      <c r="D1606" s="2177"/>
      <c r="E1606" s="2177"/>
      <c r="F1606" s="2176" t="str">
        <f>$E$843</f>
        <v>ASHP-SEER19-Replace_CAC_NonElectricHeat_ER2_SF</v>
      </c>
      <c r="G1606" s="2176"/>
      <c r="H1606" s="2176"/>
      <c r="I1606" s="2176"/>
      <c r="J1606" s="986" t="str">
        <f>$C$843</f>
        <v>354410_2024_12_</v>
      </c>
      <c r="K1606" s="1592">
        <v>19.195652173913039</v>
      </c>
      <c r="L1606" s="249"/>
      <c r="M1606" s="1577" t="s">
        <v>1112</v>
      </c>
      <c r="T1606" s="50"/>
      <c r="U1606" s="50"/>
      <c r="V1606" s="2177"/>
      <c r="W1606" s="1326"/>
      <c r="X1606" s="1326"/>
      <c r="Y1606" s="1326"/>
      <c r="Z1606" s="1326"/>
      <c r="AA1606" s="1326"/>
      <c r="AB1606" s="1326"/>
      <c r="AC1606" s="199">
        <f>AC1605</f>
        <v>19.125</v>
      </c>
      <c r="AD1606" s="198">
        <v>19.125</v>
      </c>
      <c r="AE1606" s="199">
        <v>19.195652173913039</v>
      </c>
      <c r="AF1606" s="258">
        <f t="shared" si="218"/>
        <v>19.195652173913039</v>
      </c>
      <c r="AG1606" s="1326"/>
      <c r="DG1606" s="555"/>
      <c r="DH1606" s="151"/>
      <c r="DI1606" s="1049"/>
      <c r="DJ1606" s="1127"/>
    </row>
    <row r="1607" spans="1:114" ht="15" hidden="1" customHeight="1" outlineLevel="1" x14ac:dyDescent="0.25">
      <c r="A1607" s="442"/>
      <c r="C1607" s="49"/>
      <c r="D1607" s="2177"/>
      <c r="E1607" s="2177"/>
      <c r="F1607" s="2176" t="str">
        <f>$E$845</f>
        <v>ASHP-SEER19-Replace_CAC_ElectricHeat_ER1_MF</v>
      </c>
      <c r="G1607" s="2176"/>
      <c r="H1607" s="2176"/>
      <c r="I1607" s="2176"/>
      <c r="J1607" s="986" t="str">
        <f>$C$845</f>
        <v>354450_2024_12_</v>
      </c>
      <c r="K1607" s="1592">
        <v>19</v>
      </c>
      <c r="L1607" s="249"/>
      <c r="M1607" s="1577" t="s">
        <v>1372</v>
      </c>
      <c r="T1607" s="50"/>
      <c r="U1607" s="50"/>
      <c r="V1607" s="2177"/>
      <c r="W1607" s="1326">
        <v>19</v>
      </c>
      <c r="X1607" s="1326">
        <v>19</v>
      </c>
      <c r="Y1607" s="1326">
        <v>19</v>
      </c>
      <c r="Z1607" s="1326">
        <v>19</v>
      </c>
      <c r="AA1607" s="1326">
        <v>19</v>
      </c>
      <c r="AB1607" s="1326">
        <v>19</v>
      </c>
      <c r="AC1607" s="198">
        <v>19</v>
      </c>
      <c r="AD1607" s="198">
        <v>19</v>
      </c>
      <c r="AE1607" s="198">
        <v>19</v>
      </c>
      <c r="AF1607" s="258">
        <f t="shared" si="218"/>
        <v>19</v>
      </c>
      <c r="AG1607" s="1326"/>
      <c r="DG1607" s="555"/>
      <c r="DH1607" s="151"/>
      <c r="DI1607" s="1049"/>
      <c r="DJ1607" s="1127"/>
    </row>
    <row r="1608" spans="1:114" ht="15" hidden="1" customHeight="1" outlineLevel="1" x14ac:dyDescent="0.25">
      <c r="A1608" s="442"/>
      <c r="C1608" s="49"/>
      <c r="D1608" s="2177"/>
      <c r="E1608" s="2177"/>
      <c r="F1608" s="2176" t="str">
        <f>$E$847</f>
        <v>ASHP-SEER19-Replace_CAC_ElectricHeat_ER2_MF</v>
      </c>
      <c r="G1608" s="2176"/>
      <c r="H1608" s="2176"/>
      <c r="I1608" s="2176"/>
      <c r="J1608" s="986" t="str">
        <f>$C$847</f>
        <v>354450_2024_12_</v>
      </c>
      <c r="K1608" s="1592">
        <v>19</v>
      </c>
      <c r="L1608" s="249"/>
      <c r="M1608" s="1577" t="s">
        <v>1372</v>
      </c>
      <c r="T1608" s="50"/>
      <c r="U1608" s="50"/>
      <c r="V1608" s="2177"/>
      <c r="W1608" s="1326">
        <v>19</v>
      </c>
      <c r="X1608" s="1326">
        <v>19</v>
      </c>
      <c r="Y1608" s="1326">
        <v>19</v>
      </c>
      <c r="Z1608" s="1326">
        <v>19</v>
      </c>
      <c r="AA1608" s="1326">
        <v>19</v>
      </c>
      <c r="AB1608" s="1326">
        <v>19</v>
      </c>
      <c r="AC1608" s="198">
        <v>19</v>
      </c>
      <c r="AD1608" s="198">
        <v>19</v>
      </c>
      <c r="AE1608" s="198">
        <v>19</v>
      </c>
      <c r="AF1608" s="258">
        <f t="shared" si="218"/>
        <v>19</v>
      </c>
      <c r="AG1608" s="1326"/>
      <c r="DG1608" s="555"/>
      <c r="DH1608" s="151"/>
      <c r="DI1608" s="1049"/>
      <c r="DJ1608" s="1127"/>
    </row>
    <row r="1609" spans="1:114" ht="15" hidden="1" customHeight="1" outlineLevel="1" x14ac:dyDescent="0.25">
      <c r="A1609" s="442"/>
      <c r="C1609" s="49"/>
      <c r="D1609" s="2177"/>
      <c r="E1609" s="2177"/>
      <c r="F1609" s="2176" t="str">
        <f>$E$849</f>
        <v>ASHP-SEER19_ER1_MF</v>
      </c>
      <c r="G1609" s="2176"/>
      <c r="H1609" s="2176"/>
      <c r="I1609" s="2176"/>
      <c r="J1609" s="986" t="str">
        <f>$C$849</f>
        <v>354500_2024_12_</v>
      </c>
      <c r="K1609" s="1592">
        <v>19</v>
      </c>
      <c r="L1609" s="249"/>
      <c r="M1609" s="1577" t="s">
        <v>1372</v>
      </c>
      <c r="T1609" s="50"/>
      <c r="U1609" s="50"/>
      <c r="V1609" s="2177"/>
      <c r="W1609" s="1326">
        <v>19</v>
      </c>
      <c r="X1609" s="1326">
        <v>19</v>
      </c>
      <c r="Y1609" s="1326">
        <v>19</v>
      </c>
      <c r="Z1609" s="1326">
        <v>19</v>
      </c>
      <c r="AA1609" s="1326">
        <v>19</v>
      </c>
      <c r="AB1609" s="1326">
        <v>19</v>
      </c>
      <c r="AC1609" s="198">
        <v>19</v>
      </c>
      <c r="AD1609" s="198">
        <v>19</v>
      </c>
      <c r="AE1609" s="198">
        <v>19</v>
      </c>
      <c r="AF1609" s="258">
        <f t="shared" si="218"/>
        <v>19</v>
      </c>
      <c r="AG1609" s="1326"/>
      <c r="DG1609" s="555"/>
      <c r="DH1609" s="151"/>
      <c r="DI1609" s="1049"/>
      <c r="DJ1609" s="1127"/>
    </row>
    <row r="1610" spans="1:114" ht="15" hidden="1" customHeight="1" outlineLevel="1" x14ac:dyDescent="0.25">
      <c r="A1610" s="442"/>
      <c r="C1610" s="49"/>
      <c r="D1610" s="2177"/>
      <c r="E1610" s="2177"/>
      <c r="F1610" s="2176" t="str">
        <f>$E$851</f>
        <v>ASHP-SEER19_ER2_MF</v>
      </c>
      <c r="G1610" s="2176"/>
      <c r="H1610" s="2176"/>
      <c r="I1610" s="2176"/>
      <c r="J1610" s="986" t="str">
        <f>$C$851</f>
        <v>354500_2024_12_</v>
      </c>
      <c r="K1610" s="1592">
        <v>19</v>
      </c>
      <c r="L1610" s="249"/>
      <c r="M1610" s="1577" t="s">
        <v>1372</v>
      </c>
      <c r="T1610" s="50"/>
      <c r="U1610" s="50"/>
      <c r="V1610" s="2177"/>
      <c r="W1610" s="1326">
        <v>19</v>
      </c>
      <c r="X1610" s="1326">
        <v>19</v>
      </c>
      <c r="Y1610" s="1326">
        <v>19</v>
      </c>
      <c r="Z1610" s="1326">
        <v>19</v>
      </c>
      <c r="AA1610" s="1326">
        <v>19</v>
      </c>
      <c r="AB1610" s="1326">
        <v>19</v>
      </c>
      <c r="AC1610" s="198">
        <v>19</v>
      </c>
      <c r="AD1610" s="198">
        <v>19</v>
      </c>
      <c r="AE1610" s="198">
        <v>19</v>
      </c>
      <c r="AF1610" s="258">
        <f t="shared" si="218"/>
        <v>19</v>
      </c>
      <c r="AG1610" s="1326"/>
      <c r="DG1610" s="555"/>
      <c r="DH1610" s="151"/>
      <c r="DI1610" s="1049"/>
      <c r="DJ1610" s="1127"/>
    </row>
    <row r="1611" spans="1:114" ht="15" hidden="1" customHeight="1" outlineLevel="1" x14ac:dyDescent="0.25">
      <c r="A1611" s="442"/>
      <c r="C1611" s="49"/>
      <c r="D1611" s="2177"/>
      <c r="E1611" s="2177"/>
      <c r="F1611" s="2176" t="str">
        <f>$E$853</f>
        <v>ASHP-SEER20_ER1_SF</v>
      </c>
      <c r="G1611" s="2176"/>
      <c r="H1611" s="2176"/>
      <c r="I1611" s="2176"/>
      <c r="J1611" s="986" t="str">
        <f>$C$853</f>
        <v>354550_2024_12_</v>
      </c>
      <c r="K1611" s="1592">
        <v>20.048611111111107</v>
      </c>
      <c r="L1611" s="249"/>
      <c r="M1611" s="1576" t="s">
        <v>1026</v>
      </c>
      <c r="T1611" s="50"/>
      <c r="U1611" s="50"/>
      <c r="V1611" s="2177"/>
      <c r="W1611" s="1326">
        <v>20</v>
      </c>
      <c r="X1611" s="1326">
        <v>20</v>
      </c>
      <c r="Y1611" s="1326">
        <v>20</v>
      </c>
      <c r="Z1611" s="1326">
        <v>20</v>
      </c>
      <c r="AA1611" s="1326">
        <v>20</v>
      </c>
      <c r="AB1611" s="1326">
        <v>20</v>
      </c>
      <c r="AC1611" s="198">
        <v>20</v>
      </c>
      <c r="AD1611" s="199">
        <v>20.033333333333335</v>
      </c>
      <c r="AE1611" s="199">
        <v>20.048611111111107</v>
      </c>
      <c r="AF1611" s="258">
        <f t="shared" si="218"/>
        <v>20.048611111111107</v>
      </c>
      <c r="AG1611" s="1326"/>
      <c r="DG1611" s="555"/>
      <c r="DH1611" s="151"/>
      <c r="DI1611" s="1049"/>
      <c r="DJ1611" s="1127"/>
    </row>
    <row r="1612" spans="1:114" ht="15" hidden="1" customHeight="1" outlineLevel="1" x14ac:dyDescent="0.25">
      <c r="A1612" s="442"/>
      <c r="C1612" s="49"/>
      <c r="D1612" s="2177"/>
      <c r="E1612" s="2177"/>
      <c r="F1612" s="2176" t="str">
        <f>$E$855</f>
        <v>ASHP-SEER20_ER2_SF</v>
      </c>
      <c r="G1612" s="2176"/>
      <c r="H1612" s="2176"/>
      <c r="I1612" s="2176"/>
      <c r="J1612" s="986" t="str">
        <f>$C$855</f>
        <v>354550_2024_12_</v>
      </c>
      <c r="K1612" s="1592">
        <v>20.048611111111107</v>
      </c>
      <c r="L1612" s="249"/>
      <c r="M1612" s="1576" t="s">
        <v>1026</v>
      </c>
      <c r="T1612" s="50"/>
      <c r="U1612" s="50"/>
      <c r="V1612" s="2177"/>
      <c r="W1612" s="1326">
        <v>20</v>
      </c>
      <c r="X1612" s="1326">
        <v>20</v>
      </c>
      <c r="Y1612" s="1326">
        <v>20</v>
      </c>
      <c r="Z1612" s="1326">
        <v>20</v>
      </c>
      <c r="AA1612" s="1326">
        <v>20</v>
      </c>
      <c r="AB1612" s="1326">
        <v>20</v>
      </c>
      <c r="AC1612" s="198">
        <f>AC1611</f>
        <v>20</v>
      </c>
      <c r="AD1612" s="199">
        <v>20.033333333333335</v>
      </c>
      <c r="AE1612" s="199">
        <v>20.048611111111107</v>
      </c>
      <c r="AF1612" s="258">
        <f t="shared" si="218"/>
        <v>20.048611111111107</v>
      </c>
      <c r="AG1612" s="1326"/>
      <c r="DG1612" s="555"/>
      <c r="DH1612" s="151"/>
      <c r="DI1612" s="1049"/>
      <c r="DJ1612" s="1127"/>
    </row>
    <row r="1613" spans="1:114" ht="15" hidden="1" customHeight="1" outlineLevel="1" x14ac:dyDescent="0.25">
      <c r="A1613" s="442"/>
      <c r="C1613" s="49"/>
      <c r="D1613" s="2177"/>
      <c r="E1613" s="2177"/>
      <c r="F1613" s="2176" t="str">
        <f>$E$857</f>
        <v>ASHP-SEER20_ROF_SF</v>
      </c>
      <c r="G1613" s="2176"/>
      <c r="H1613" s="2176"/>
      <c r="I1613" s="2176"/>
      <c r="J1613" s="986" t="str">
        <f>$C$857</f>
        <v>354600_2024_12_</v>
      </c>
      <c r="K1613" s="1592">
        <v>20.089285714285715</v>
      </c>
      <c r="L1613" s="249"/>
      <c r="M1613" s="1576" t="s">
        <v>1026</v>
      </c>
      <c r="T1613" s="50"/>
      <c r="U1613" s="50"/>
      <c r="V1613" s="2177"/>
      <c r="W1613" s="1326">
        <v>20</v>
      </c>
      <c r="X1613" s="1326">
        <v>20</v>
      </c>
      <c r="Y1613" s="1326">
        <v>20</v>
      </c>
      <c r="Z1613" s="1326">
        <v>20</v>
      </c>
      <c r="AA1613" s="1326">
        <v>20</v>
      </c>
      <c r="AB1613" s="1326">
        <v>20</v>
      </c>
      <c r="AC1613" s="199">
        <v>20.066666666666666</v>
      </c>
      <c r="AD1613" s="199">
        <v>20.089285714285715</v>
      </c>
      <c r="AE1613" s="198">
        <v>20.089285714285715</v>
      </c>
      <c r="AF1613" s="258">
        <f t="shared" si="218"/>
        <v>20.089285714285715</v>
      </c>
      <c r="AG1613" s="1326"/>
      <c r="DG1613" s="555"/>
      <c r="DH1613" s="151"/>
      <c r="DI1613" s="1049"/>
      <c r="DJ1613" s="1127"/>
    </row>
    <row r="1614" spans="1:114" ht="15" hidden="1" customHeight="1" outlineLevel="1" x14ac:dyDescent="0.25">
      <c r="A1614" s="442"/>
      <c r="C1614" s="49"/>
      <c r="D1614" s="2177"/>
      <c r="E1614" s="2177"/>
      <c r="F1614" s="2176" t="str">
        <f>$E$859</f>
        <v>ASHP-SEER20-Replace_CAC_ElectricHeat_ER1_MF</v>
      </c>
      <c r="G1614" s="2176"/>
      <c r="H1614" s="2176"/>
      <c r="I1614" s="2176"/>
      <c r="J1614" s="986" t="str">
        <f>$C$859</f>
        <v>354650_2024_12_</v>
      </c>
      <c r="K1614" s="1592">
        <v>20</v>
      </c>
      <c r="L1614" s="249"/>
      <c r="M1614" s="1577" t="s">
        <v>1372</v>
      </c>
      <c r="T1614" s="50"/>
      <c r="U1614" s="50"/>
      <c r="V1614" s="2177"/>
      <c r="W1614" s="1326">
        <v>20</v>
      </c>
      <c r="X1614" s="1326">
        <v>20</v>
      </c>
      <c r="Y1614" s="1326">
        <v>20</v>
      </c>
      <c r="Z1614" s="1326">
        <v>20</v>
      </c>
      <c r="AA1614" s="1326">
        <v>20</v>
      </c>
      <c r="AB1614" s="1326">
        <v>20</v>
      </c>
      <c r="AC1614" s="198">
        <v>20</v>
      </c>
      <c r="AD1614" s="198">
        <v>20</v>
      </c>
      <c r="AE1614" s="198">
        <v>20</v>
      </c>
      <c r="AF1614" s="258">
        <f t="shared" si="218"/>
        <v>20</v>
      </c>
      <c r="AG1614" s="1326"/>
      <c r="DG1614" s="555"/>
      <c r="DH1614" s="151"/>
      <c r="DI1614" s="1049"/>
      <c r="DJ1614" s="1127"/>
    </row>
    <row r="1615" spans="1:114" ht="15" hidden="1" customHeight="1" outlineLevel="1" x14ac:dyDescent="0.25">
      <c r="A1615" s="442"/>
      <c r="C1615" s="49"/>
      <c r="D1615" s="2177"/>
      <c r="E1615" s="2177"/>
      <c r="F1615" s="2176" t="str">
        <f>$E$861</f>
        <v>ASHP-SEER20-Replace_CAC_ElectricHeat_ER2_MF</v>
      </c>
      <c r="G1615" s="2176"/>
      <c r="H1615" s="2176"/>
      <c r="I1615" s="2176"/>
      <c r="J1615" s="986" t="str">
        <f>$C$861</f>
        <v>354650_2024_12_</v>
      </c>
      <c r="K1615" s="1592">
        <v>20</v>
      </c>
      <c r="L1615" s="249"/>
      <c r="M1615" s="1578" t="s">
        <v>1372</v>
      </c>
      <c r="T1615" s="50"/>
      <c r="U1615" s="50"/>
      <c r="V1615" s="2177"/>
      <c r="W1615" s="1326">
        <v>20</v>
      </c>
      <c r="X1615" s="1326">
        <v>20</v>
      </c>
      <c r="Y1615" s="1326">
        <v>20</v>
      </c>
      <c r="Z1615" s="1326">
        <v>20</v>
      </c>
      <c r="AA1615" s="1326">
        <v>20</v>
      </c>
      <c r="AB1615" s="1326">
        <v>20</v>
      </c>
      <c r="AC1615" s="198">
        <v>20</v>
      </c>
      <c r="AD1615" s="198">
        <v>20</v>
      </c>
      <c r="AE1615" s="198">
        <v>20</v>
      </c>
      <c r="AF1615" s="258">
        <f t="shared" si="218"/>
        <v>20</v>
      </c>
      <c r="AG1615" s="1326"/>
      <c r="DG1615" s="555"/>
      <c r="DH1615" s="151"/>
      <c r="DI1615" s="1049"/>
      <c r="DJ1615" s="1127"/>
    </row>
    <row r="1616" spans="1:114" ht="15" hidden="1" customHeight="1" outlineLevel="1" x14ac:dyDescent="0.25">
      <c r="A1616" s="442"/>
      <c r="C1616" s="49"/>
      <c r="D1616" s="2177"/>
      <c r="E1616" s="2177"/>
      <c r="F1616" s="2176" t="str">
        <f>$E$863</f>
        <v>ASHP-SEER20_ER1_MF</v>
      </c>
      <c r="G1616" s="2176"/>
      <c r="H1616" s="2176"/>
      <c r="I1616" s="2176"/>
      <c r="J1616" s="986" t="str">
        <f>$C$863</f>
        <v>354700_2024_12_</v>
      </c>
      <c r="K1616" s="1592">
        <v>20</v>
      </c>
      <c r="L1616" s="249"/>
      <c r="M1616" s="1578" t="s">
        <v>1372</v>
      </c>
      <c r="T1616" s="50"/>
      <c r="U1616" s="50"/>
      <c r="V1616" s="2177"/>
      <c r="W1616" s="1326">
        <v>20</v>
      </c>
      <c r="X1616" s="1326">
        <v>20</v>
      </c>
      <c r="Y1616" s="1326">
        <v>20</v>
      </c>
      <c r="Z1616" s="1326">
        <v>20</v>
      </c>
      <c r="AA1616" s="1326">
        <v>20</v>
      </c>
      <c r="AB1616" s="1326">
        <v>20</v>
      </c>
      <c r="AC1616" s="198">
        <v>20</v>
      </c>
      <c r="AD1616" s="198">
        <v>20</v>
      </c>
      <c r="AE1616" s="198">
        <v>20</v>
      </c>
      <c r="AF1616" s="258">
        <f t="shared" si="218"/>
        <v>20</v>
      </c>
      <c r="AG1616" s="1326"/>
      <c r="DG1616" s="555"/>
      <c r="DH1616" s="151"/>
      <c r="DI1616" s="1049"/>
      <c r="DJ1616" s="1127"/>
    </row>
    <row r="1617" spans="1:114" ht="15" hidden="1" customHeight="1" outlineLevel="1" x14ac:dyDescent="0.25">
      <c r="A1617" s="442"/>
      <c r="C1617" s="49"/>
      <c r="D1617" s="2177"/>
      <c r="E1617" s="2177"/>
      <c r="F1617" s="2176" t="str">
        <f>$E$865</f>
        <v>ASHP-SEER20_ER2_MF</v>
      </c>
      <c r="G1617" s="2176"/>
      <c r="H1617" s="2176"/>
      <c r="I1617" s="2176"/>
      <c r="J1617" s="986" t="str">
        <f>$C$865</f>
        <v>354700_2024_12_</v>
      </c>
      <c r="K1617" s="1592">
        <v>20</v>
      </c>
      <c r="L1617" s="249"/>
      <c r="M1617" s="1578" t="s">
        <v>1372</v>
      </c>
      <c r="T1617" s="50"/>
      <c r="U1617" s="50"/>
      <c r="V1617" s="2177"/>
      <c r="W1617" s="1326">
        <v>20</v>
      </c>
      <c r="X1617" s="1326">
        <v>20</v>
      </c>
      <c r="Y1617" s="1326">
        <v>20</v>
      </c>
      <c r="Z1617" s="1326">
        <v>20</v>
      </c>
      <c r="AA1617" s="1326">
        <v>20</v>
      </c>
      <c r="AB1617" s="1326">
        <v>20</v>
      </c>
      <c r="AC1617" s="198">
        <v>20</v>
      </c>
      <c r="AD1617" s="198">
        <v>20</v>
      </c>
      <c r="AE1617" s="198">
        <v>20</v>
      </c>
      <c r="AF1617" s="258">
        <f t="shared" si="218"/>
        <v>20</v>
      </c>
      <c r="AG1617" s="1326"/>
      <c r="DG1617" s="555"/>
      <c r="DH1617" s="151"/>
      <c r="DI1617" s="1049"/>
      <c r="DJ1617" s="1127"/>
    </row>
    <row r="1618" spans="1:114" ht="15" hidden="1" customHeight="1" outlineLevel="1" x14ac:dyDescent="0.25">
      <c r="A1618" s="442"/>
      <c r="C1618" s="49"/>
      <c r="D1618" s="2177"/>
      <c r="E1618" s="2177"/>
      <c r="F1618" s="2176" t="str">
        <f>$E$867</f>
        <v>ASHP-SEER21_ER1_SF</v>
      </c>
      <c r="G1618" s="2176"/>
      <c r="H1618" s="2176"/>
      <c r="I1618" s="2176"/>
      <c r="J1618" s="986" t="str">
        <f>$C$867</f>
        <v>354750_2024_12_</v>
      </c>
      <c r="K1618" s="875">
        <v>21.617021276595743</v>
      </c>
      <c r="L1618" s="249"/>
      <c r="M1618" s="1576" t="s">
        <v>1026</v>
      </c>
      <c r="T1618" s="50"/>
      <c r="U1618" s="50"/>
      <c r="V1618" s="2177"/>
      <c r="W1618" s="1326">
        <v>21</v>
      </c>
      <c r="X1618" s="1326">
        <v>21</v>
      </c>
      <c r="Y1618" s="1326">
        <v>21</v>
      </c>
      <c r="Z1618" s="1326">
        <v>21</v>
      </c>
      <c r="AA1618" s="1326">
        <v>21</v>
      </c>
      <c r="AB1618" s="1326">
        <v>21</v>
      </c>
      <c r="AC1618" s="199">
        <v>21.846153846153847</v>
      </c>
      <c r="AD1618" s="930">
        <v>21.551136363636363</v>
      </c>
      <c r="AE1618" s="930">
        <v>21.617021276595743</v>
      </c>
      <c r="AF1618" s="258">
        <f t="shared" si="218"/>
        <v>21.617021276595743</v>
      </c>
      <c r="AG1618" s="1326"/>
      <c r="DG1618" s="555"/>
      <c r="DH1618" s="151"/>
      <c r="DI1618" s="1049"/>
      <c r="DJ1618" s="1127"/>
    </row>
    <row r="1619" spans="1:114" ht="15" hidden="1" customHeight="1" outlineLevel="1" x14ac:dyDescent="0.25">
      <c r="A1619" s="442"/>
      <c r="C1619" s="49"/>
      <c r="D1619" s="2177"/>
      <c r="E1619" s="2177"/>
      <c r="F1619" s="2176" t="str">
        <f>$E$869</f>
        <v>ASHP-SEER21_ER2_SF</v>
      </c>
      <c r="G1619" s="2176"/>
      <c r="H1619" s="2176"/>
      <c r="I1619" s="2176"/>
      <c r="J1619" s="986" t="str">
        <f>$C$869</f>
        <v>354750_2024_12_</v>
      </c>
      <c r="K1619" s="875">
        <v>21.617021276595743</v>
      </c>
      <c r="L1619" s="249"/>
      <c r="M1619" s="1576" t="s">
        <v>1026</v>
      </c>
      <c r="T1619" s="50"/>
      <c r="U1619" s="50"/>
      <c r="V1619" s="2177"/>
      <c r="W1619" s="1326">
        <v>21</v>
      </c>
      <c r="X1619" s="1326">
        <v>21</v>
      </c>
      <c r="Y1619" s="1326">
        <v>21</v>
      </c>
      <c r="Z1619" s="1326">
        <v>21</v>
      </c>
      <c r="AA1619" s="1326">
        <v>21</v>
      </c>
      <c r="AB1619" s="1326">
        <v>21</v>
      </c>
      <c r="AC1619" s="199">
        <f>AC1618</f>
        <v>21.846153846153847</v>
      </c>
      <c r="AD1619" s="930">
        <v>21.551136363636363</v>
      </c>
      <c r="AE1619" s="930">
        <v>21.617021276595743</v>
      </c>
      <c r="AF1619" s="258">
        <f t="shared" si="218"/>
        <v>21.617021276595743</v>
      </c>
      <c r="AG1619" s="1326"/>
      <c r="DG1619" s="555"/>
      <c r="DH1619" s="151"/>
      <c r="DI1619" s="1049"/>
      <c r="DJ1619" s="1127"/>
    </row>
    <row r="1620" spans="1:114" ht="15" hidden="1" customHeight="1" outlineLevel="1" x14ac:dyDescent="0.25">
      <c r="A1620" s="442"/>
      <c r="C1620" s="49"/>
      <c r="D1620" s="2177"/>
      <c r="E1620" s="2177"/>
      <c r="F1620" s="2176" t="str">
        <f>$E$871</f>
        <v>ASHP-SEER21_ROF_SF</v>
      </c>
      <c r="G1620" s="2176"/>
      <c r="H1620" s="2176"/>
      <c r="I1620" s="2176"/>
      <c r="J1620" s="986" t="str">
        <f>$C$871</f>
        <v>354800_2024_12_</v>
      </c>
      <c r="K1620" s="875">
        <v>21.727272727272723</v>
      </c>
      <c r="L1620" s="249"/>
      <c r="M1620" s="1576" t="s">
        <v>1024</v>
      </c>
      <c r="T1620" s="50"/>
      <c r="U1620" s="50"/>
      <c r="V1620" s="2177"/>
      <c r="W1620" s="1326">
        <v>21</v>
      </c>
      <c r="X1620" s="1326">
        <v>21</v>
      </c>
      <c r="Y1620" s="1326">
        <v>21</v>
      </c>
      <c r="Z1620" s="1326">
        <v>21</v>
      </c>
      <c r="AA1620" s="1326">
        <v>21</v>
      </c>
      <c r="AB1620" s="1326">
        <v>21</v>
      </c>
      <c r="AC1620" s="199">
        <v>21.375</v>
      </c>
      <c r="AD1620" s="930">
        <v>21.59375</v>
      </c>
      <c r="AE1620" s="930">
        <v>21.727272727272723</v>
      </c>
      <c r="AF1620" s="258">
        <f t="shared" si="218"/>
        <v>21.727272727272723</v>
      </c>
      <c r="AG1620" s="1326"/>
      <c r="DG1620" s="555"/>
      <c r="DH1620" s="151"/>
      <c r="DI1620" s="1049"/>
      <c r="DJ1620" s="1127"/>
    </row>
    <row r="1621" spans="1:114" ht="15" hidden="1" customHeight="1" outlineLevel="1" x14ac:dyDescent="0.25">
      <c r="A1621" s="442"/>
      <c r="C1621" s="49"/>
      <c r="D1621" s="2177"/>
      <c r="E1621" s="2177"/>
      <c r="F1621" s="2176" t="str">
        <f>$E$873</f>
        <v>ASHP-SEER21-Replace_CAC_ElectricHeat_ROF_MF</v>
      </c>
      <c r="G1621" s="2176"/>
      <c r="H1621" s="2176"/>
      <c r="I1621" s="2176"/>
      <c r="J1621" s="986" t="str">
        <f>$C$873</f>
        <v>354850_2024_12_</v>
      </c>
      <c r="K1621" s="1592">
        <v>21</v>
      </c>
      <c r="L1621" s="249"/>
      <c r="M1621" s="1578" t="s">
        <v>1372</v>
      </c>
      <c r="T1621" s="50"/>
      <c r="U1621" s="50"/>
      <c r="V1621" s="2177"/>
      <c r="W1621" s="1326">
        <v>21</v>
      </c>
      <c r="X1621" s="1326">
        <v>21</v>
      </c>
      <c r="Y1621" s="1326">
        <v>21</v>
      </c>
      <c r="Z1621" s="1326">
        <v>21</v>
      </c>
      <c r="AA1621" s="1326">
        <v>21</v>
      </c>
      <c r="AB1621" s="1326">
        <v>21</v>
      </c>
      <c r="AC1621" s="198">
        <v>21</v>
      </c>
      <c r="AD1621" s="198">
        <v>21</v>
      </c>
      <c r="AE1621" s="198">
        <v>21</v>
      </c>
      <c r="AF1621" s="258">
        <f t="shared" si="218"/>
        <v>21</v>
      </c>
      <c r="AG1621" s="1326"/>
      <c r="DG1621" s="555"/>
      <c r="DH1621" s="151"/>
      <c r="DI1621" s="1049"/>
      <c r="DJ1621" s="1127"/>
    </row>
    <row r="1622" spans="1:114" ht="15" hidden="1" customHeight="1" outlineLevel="1" x14ac:dyDescent="0.25">
      <c r="A1622" s="442"/>
      <c r="C1622" s="49"/>
      <c r="D1622" s="2177"/>
      <c r="E1622" s="2177"/>
      <c r="F1622" s="2176" t="str">
        <f>$E$875</f>
        <v>ASHP-SEER21_ER1_MF</v>
      </c>
      <c r="G1622" s="2176"/>
      <c r="H1622" s="2176"/>
      <c r="I1622" s="2176"/>
      <c r="J1622" s="986" t="str">
        <f>$C$875</f>
        <v>354900_2024_12_</v>
      </c>
      <c r="K1622" s="1592">
        <v>21</v>
      </c>
      <c r="L1622" s="249"/>
      <c r="M1622" s="1578" t="s">
        <v>1372</v>
      </c>
      <c r="T1622" s="50"/>
      <c r="U1622" s="50"/>
      <c r="V1622" s="2177"/>
      <c r="W1622" s="1326">
        <v>21</v>
      </c>
      <c r="X1622" s="1326">
        <v>21</v>
      </c>
      <c r="Y1622" s="1326">
        <v>21</v>
      </c>
      <c r="Z1622" s="1326">
        <v>21</v>
      </c>
      <c r="AA1622" s="1326">
        <v>21</v>
      </c>
      <c r="AB1622" s="1326">
        <v>21</v>
      </c>
      <c r="AC1622" s="198">
        <v>21</v>
      </c>
      <c r="AD1622" s="198">
        <v>21</v>
      </c>
      <c r="AE1622" s="198">
        <v>21</v>
      </c>
      <c r="AF1622" s="258">
        <f t="shared" si="218"/>
        <v>21</v>
      </c>
      <c r="AG1622" s="1326"/>
      <c r="DG1622" s="555"/>
      <c r="DH1622" s="151"/>
      <c r="DI1622" s="1049"/>
      <c r="DJ1622" s="1127"/>
    </row>
    <row r="1623" spans="1:114" ht="15" hidden="1" customHeight="1" outlineLevel="1" x14ac:dyDescent="0.25">
      <c r="A1623" s="442"/>
      <c r="C1623" s="49"/>
      <c r="D1623" s="2177"/>
      <c r="E1623" s="2177"/>
      <c r="F1623" s="2176" t="str">
        <f>$E$877</f>
        <v>ASHP-SEER21_ER2_MF</v>
      </c>
      <c r="G1623" s="2176"/>
      <c r="H1623" s="2176"/>
      <c r="I1623" s="2176"/>
      <c r="J1623" s="986" t="str">
        <f>$C$877</f>
        <v>354900_2024_12_</v>
      </c>
      <c r="K1623" s="1592">
        <v>21</v>
      </c>
      <c r="L1623" s="249"/>
      <c r="M1623" s="1578" t="s">
        <v>1372</v>
      </c>
      <c r="T1623" s="50"/>
      <c r="U1623" s="50"/>
      <c r="V1623" s="2177"/>
      <c r="W1623" s="1326">
        <v>21</v>
      </c>
      <c r="X1623" s="1326">
        <v>21</v>
      </c>
      <c r="Y1623" s="1326">
        <v>21</v>
      </c>
      <c r="Z1623" s="1326">
        <v>21</v>
      </c>
      <c r="AA1623" s="1326">
        <v>21</v>
      </c>
      <c r="AB1623" s="1326">
        <v>21</v>
      </c>
      <c r="AC1623" s="198">
        <v>21</v>
      </c>
      <c r="AD1623" s="198">
        <v>21</v>
      </c>
      <c r="AE1623" s="198">
        <v>21</v>
      </c>
      <c r="AF1623" s="258">
        <f t="shared" si="218"/>
        <v>21</v>
      </c>
      <c r="AG1623" s="1326"/>
      <c r="DG1623" s="555"/>
      <c r="DH1623" s="151"/>
      <c r="DI1623" s="1049"/>
      <c r="DJ1623" s="1127"/>
    </row>
    <row r="1624" spans="1:114" ht="15" hidden="1" customHeight="1" outlineLevel="1" x14ac:dyDescent="0.25">
      <c r="A1624" s="442"/>
      <c r="C1624" s="49"/>
      <c r="D1624" s="2177"/>
      <c r="E1624" s="2177"/>
      <c r="F1624" s="2176" t="str">
        <f>$E$879</f>
        <v>ASHP-SEER17_ROF_MF</v>
      </c>
      <c r="G1624" s="2176"/>
      <c r="H1624" s="2176"/>
      <c r="I1624" s="2176"/>
      <c r="J1624" s="986" t="str">
        <f>$C$879</f>
        <v>354950_2024_12_</v>
      </c>
      <c r="K1624" s="1592">
        <v>17</v>
      </c>
      <c r="L1624" s="249"/>
      <c r="M1624" s="1578" t="s">
        <v>1372</v>
      </c>
      <c r="P1624" s="248"/>
      <c r="Q1624" s="196"/>
      <c r="R1624" s="248"/>
      <c r="T1624" s="169"/>
      <c r="U1624" s="50"/>
      <c r="V1624" s="2177"/>
      <c r="W1624" s="1326">
        <v>17</v>
      </c>
      <c r="X1624" s="1326">
        <v>17</v>
      </c>
      <c r="Y1624" s="1326">
        <v>17</v>
      </c>
      <c r="Z1624" s="1326">
        <v>17</v>
      </c>
      <c r="AA1624" s="1326">
        <v>17</v>
      </c>
      <c r="AB1624" s="1326">
        <v>17</v>
      </c>
      <c r="AC1624" s="198">
        <v>17</v>
      </c>
      <c r="AD1624" s="198">
        <v>17</v>
      </c>
      <c r="AE1624" s="198">
        <v>17</v>
      </c>
      <c r="AF1624" s="258">
        <f t="shared" si="218"/>
        <v>17</v>
      </c>
      <c r="AG1624" s="1326"/>
      <c r="DG1624" s="555"/>
      <c r="DH1624" s="151"/>
      <c r="DI1624" s="1049"/>
      <c r="DJ1624" s="1127"/>
    </row>
    <row r="1625" spans="1:114" ht="15" hidden="1" customHeight="1" outlineLevel="1" x14ac:dyDescent="0.25">
      <c r="A1625" s="442"/>
      <c r="C1625" s="49"/>
      <c r="D1625" s="2177"/>
      <c r="E1625" s="2177"/>
      <c r="F1625" s="2176" t="str">
        <f>$E$881</f>
        <v>ASHP-SEER18_ROF_MF</v>
      </c>
      <c r="G1625" s="2176"/>
      <c r="H1625" s="2176"/>
      <c r="I1625" s="2176"/>
      <c r="J1625" s="986" t="str">
        <f>$C$881</f>
        <v>355000_2024_12_</v>
      </c>
      <c r="K1625" s="1592">
        <v>18</v>
      </c>
      <c r="L1625" s="249"/>
      <c r="M1625" s="1578" t="s">
        <v>1372</v>
      </c>
      <c r="P1625" s="248"/>
      <c r="Q1625" s="196"/>
      <c r="R1625" s="248"/>
      <c r="T1625" s="169"/>
      <c r="U1625" s="50"/>
      <c r="V1625" s="2177"/>
      <c r="W1625" s="1326">
        <v>18</v>
      </c>
      <c r="X1625" s="1326">
        <v>18</v>
      </c>
      <c r="Y1625" s="1326">
        <v>18</v>
      </c>
      <c r="Z1625" s="1326">
        <v>18</v>
      </c>
      <c r="AA1625" s="1326">
        <v>18</v>
      </c>
      <c r="AB1625" s="1326">
        <v>18</v>
      </c>
      <c r="AC1625" s="198">
        <v>18</v>
      </c>
      <c r="AD1625" s="198">
        <v>18</v>
      </c>
      <c r="AE1625" s="198">
        <v>18</v>
      </c>
      <c r="AF1625" s="258">
        <f t="shared" ref="AF1625:AF1649" si="219">IF(K1625&lt;&gt;"",K1625,"")</f>
        <v>18</v>
      </c>
      <c r="AG1625" s="1326"/>
      <c r="DG1625" s="555"/>
      <c r="DH1625" s="151"/>
      <c r="DI1625" s="1049"/>
      <c r="DJ1625" s="1127"/>
    </row>
    <row r="1626" spans="1:114" ht="15" hidden="1" customHeight="1" outlineLevel="1" x14ac:dyDescent="0.25">
      <c r="A1626" s="442"/>
      <c r="C1626" s="49"/>
      <c r="D1626" s="2177"/>
      <c r="E1626" s="2177"/>
      <c r="F1626" s="2176" t="str">
        <f>$E$883</f>
        <v>ASHP-SEER19_ROF_MF</v>
      </c>
      <c r="G1626" s="2176"/>
      <c r="H1626" s="2176"/>
      <c r="I1626" s="2176"/>
      <c r="J1626" s="986" t="str">
        <f>$C$883</f>
        <v>355050_2024_12_</v>
      </c>
      <c r="K1626" s="1592">
        <v>19</v>
      </c>
      <c r="L1626" s="249"/>
      <c r="M1626" s="1578" t="s">
        <v>1372</v>
      </c>
      <c r="T1626" s="50"/>
      <c r="U1626" s="50"/>
      <c r="V1626" s="2177"/>
      <c r="W1626" s="1326">
        <v>19</v>
      </c>
      <c r="X1626" s="1326">
        <v>19</v>
      </c>
      <c r="Y1626" s="1326">
        <v>19</v>
      </c>
      <c r="Z1626" s="1326">
        <v>19</v>
      </c>
      <c r="AA1626" s="1326">
        <v>19</v>
      </c>
      <c r="AB1626" s="1326">
        <v>19</v>
      </c>
      <c r="AC1626" s="198">
        <v>19</v>
      </c>
      <c r="AD1626" s="198">
        <v>19</v>
      </c>
      <c r="AE1626" s="198">
        <v>19</v>
      </c>
      <c r="AF1626" s="258">
        <f t="shared" si="219"/>
        <v>19</v>
      </c>
      <c r="AG1626" s="1326"/>
      <c r="DG1626" s="555"/>
      <c r="DH1626" s="151"/>
      <c r="DI1626" s="1049"/>
      <c r="DJ1626" s="1127"/>
    </row>
    <row r="1627" spans="1:114" ht="15" hidden="1" customHeight="1" outlineLevel="1" x14ac:dyDescent="0.25">
      <c r="A1627" s="442"/>
      <c r="C1627" s="49"/>
      <c r="D1627" s="2177"/>
      <c r="E1627" s="2177"/>
      <c r="F1627" s="2176" t="str">
        <f>$E$885</f>
        <v>ASHP-SEER20_ROF_MF</v>
      </c>
      <c r="G1627" s="2176"/>
      <c r="H1627" s="2176"/>
      <c r="I1627" s="2176"/>
      <c r="J1627" s="986" t="str">
        <f>$C$885</f>
        <v>355100_2024_12_</v>
      </c>
      <c r="K1627" s="1592">
        <v>20</v>
      </c>
      <c r="L1627" s="249"/>
      <c r="M1627" s="1578" t="s">
        <v>1372</v>
      </c>
      <c r="T1627" s="50"/>
      <c r="U1627" s="50"/>
      <c r="V1627" s="2177"/>
      <c r="W1627" s="1326">
        <v>20</v>
      </c>
      <c r="X1627" s="1326">
        <v>20</v>
      </c>
      <c r="Y1627" s="1326">
        <v>20</v>
      </c>
      <c r="Z1627" s="1326">
        <v>20</v>
      </c>
      <c r="AA1627" s="1326">
        <v>20</v>
      </c>
      <c r="AB1627" s="1326">
        <v>20</v>
      </c>
      <c r="AC1627" s="198">
        <v>20</v>
      </c>
      <c r="AD1627" s="198">
        <v>20</v>
      </c>
      <c r="AE1627" s="198">
        <v>20</v>
      </c>
      <c r="AF1627" s="258">
        <f t="shared" si="219"/>
        <v>20</v>
      </c>
      <c r="AG1627" s="1326"/>
      <c r="DG1627" s="555"/>
      <c r="DH1627" s="151"/>
      <c r="DI1627" s="1049"/>
      <c r="DJ1627" s="1127"/>
    </row>
    <row r="1628" spans="1:114" ht="15.75" hidden="1" customHeight="1" outlineLevel="1" x14ac:dyDescent="0.25">
      <c r="A1628" s="442"/>
      <c r="C1628" s="49"/>
      <c r="D1628" s="2177"/>
      <c r="E1628" s="2177"/>
      <c r="F1628" s="2176" t="str">
        <f>$E$887</f>
        <v>ASHP-SEER21_ROF_MF</v>
      </c>
      <c r="G1628" s="2176"/>
      <c r="H1628" s="2176"/>
      <c r="I1628" s="2176"/>
      <c r="J1628" s="986" t="str">
        <f>$C$887</f>
        <v>355150_2024_12_</v>
      </c>
      <c r="K1628" s="1592">
        <v>21</v>
      </c>
      <c r="L1628" s="249"/>
      <c r="M1628" s="1578" t="s">
        <v>1372</v>
      </c>
      <c r="P1628" s="248"/>
      <c r="Q1628" s="196"/>
      <c r="R1628" s="248"/>
      <c r="T1628" s="169"/>
      <c r="U1628" s="50"/>
      <c r="V1628" s="2177"/>
      <c r="W1628" s="1326">
        <v>21</v>
      </c>
      <c r="X1628" s="1326">
        <v>21</v>
      </c>
      <c r="Y1628" s="1326">
        <v>21</v>
      </c>
      <c r="Z1628" s="1326">
        <v>21</v>
      </c>
      <c r="AA1628" s="1326">
        <v>21</v>
      </c>
      <c r="AB1628" s="1326">
        <v>21</v>
      </c>
      <c r="AC1628" s="198">
        <v>21</v>
      </c>
      <c r="AD1628" s="198">
        <v>21</v>
      </c>
      <c r="AE1628" s="198">
        <v>21</v>
      </c>
      <c r="AF1628" s="258">
        <f t="shared" si="219"/>
        <v>21</v>
      </c>
      <c r="AG1628" s="1326"/>
      <c r="DG1628" s="555"/>
      <c r="DH1628" s="151"/>
      <c r="DI1628" s="1049"/>
      <c r="DJ1628" s="1127"/>
    </row>
    <row r="1629" spans="1:114" ht="15" hidden="1" customHeight="1" outlineLevel="1" x14ac:dyDescent="0.25">
      <c r="A1629" s="442"/>
      <c r="C1629" s="49"/>
      <c r="D1629" s="2177" t="s">
        <v>722</v>
      </c>
      <c r="E1629" s="2177" t="s">
        <v>1115</v>
      </c>
      <c r="F1629" s="2176" t="str">
        <f>$E$709</f>
        <v>ASHP-SEER15-Replace_CAC_ElectricHeat_ER1_SF</v>
      </c>
      <c r="G1629" s="2176"/>
      <c r="H1629" s="2176"/>
      <c r="I1629" s="2176"/>
      <c r="J1629" s="986" t="str">
        <f>$C$709</f>
        <v>352300_2024_12_</v>
      </c>
      <c r="K1629" s="1606">
        <v>1</v>
      </c>
      <c r="L1629" s="12"/>
      <c r="M1629" s="1307"/>
      <c r="P1629" s="248"/>
      <c r="Q1629" s="248"/>
      <c r="R1629" s="248"/>
      <c r="T1629" s="169"/>
      <c r="U1629" s="50"/>
      <c r="V1629" s="2177" t="s">
        <v>722</v>
      </c>
      <c r="W1629" s="228">
        <v>1</v>
      </c>
      <c r="X1629" s="228">
        <v>1</v>
      </c>
      <c r="Y1629" s="228">
        <v>1</v>
      </c>
      <c r="Z1629" s="228">
        <v>1</v>
      </c>
      <c r="AA1629" s="228">
        <v>1</v>
      </c>
      <c r="AB1629" s="228">
        <v>1</v>
      </c>
      <c r="AC1629" s="228">
        <v>1</v>
      </c>
      <c r="AD1629" s="228">
        <v>1</v>
      </c>
      <c r="AE1629" s="228">
        <v>1</v>
      </c>
      <c r="AF1629" s="258">
        <f t="shared" si="219"/>
        <v>1</v>
      </c>
      <c r="AG1629" s="228"/>
      <c r="DG1629" s="555"/>
      <c r="DH1629" s="151"/>
      <c r="DI1629" s="1049"/>
      <c r="DJ1629" s="1127"/>
    </row>
    <row r="1630" spans="1:114" ht="15" hidden="1" customHeight="1" outlineLevel="1" x14ac:dyDescent="0.25">
      <c r="A1630" s="442"/>
      <c r="C1630" s="49"/>
      <c r="D1630" s="2177"/>
      <c r="E1630" s="2177"/>
      <c r="F1630" s="2176" t="str">
        <f>$E$711</f>
        <v>ASHP-SEER15-Replace_CAC_ElectricHeat_ER2_SF</v>
      </c>
      <c r="G1630" s="2176"/>
      <c r="H1630" s="2176"/>
      <c r="I1630" s="2176"/>
      <c r="J1630" s="986" t="str">
        <f>$C$711</f>
        <v>352300_2024_12_</v>
      </c>
      <c r="K1630" s="1606">
        <v>1</v>
      </c>
      <c r="L1630" s="12"/>
      <c r="M1630" s="1307"/>
      <c r="P1630" s="248"/>
      <c r="Q1630" s="248"/>
      <c r="R1630" s="248"/>
      <c r="T1630" s="169"/>
      <c r="U1630" s="50"/>
      <c r="V1630" s="2177"/>
      <c r="W1630" s="228">
        <v>1</v>
      </c>
      <c r="X1630" s="228">
        <v>1</v>
      </c>
      <c r="Y1630" s="228">
        <v>1</v>
      </c>
      <c r="Z1630" s="228">
        <v>1</v>
      </c>
      <c r="AA1630" s="228">
        <v>1</v>
      </c>
      <c r="AB1630" s="228">
        <v>1</v>
      </c>
      <c r="AC1630" s="228">
        <v>1</v>
      </c>
      <c r="AD1630" s="228">
        <v>1</v>
      </c>
      <c r="AE1630" s="228">
        <v>1</v>
      </c>
      <c r="AF1630" s="258">
        <f t="shared" si="219"/>
        <v>1</v>
      </c>
      <c r="AG1630" s="228"/>
      <c r="DG1630" s="555"/>
      <c r="DH1630" s="151"/>
      <c r="DI1630" s="1049"/>
      <c r="DJ1630" s="1127"/>
    </row>
    <row r="1631" spans="1:114" ht="15" hidden="1" customHeight="1" outlineLevel="1" x14ac:dyDescent="0.25">
      <c r="A1631" s="442"/>
      <c r="C1631" s="49"/>
      <c r="D1631" s="2177"/>
      <c r="E1631" s="2177"/>
      <c r="F1631" s="2176" t="str">
        <f>$E$713</f>
        <v>ASHP-SEER15-Replace_CAC_NonElectricHeat_ER1_SF</v>
      </c>
      <c r="G1631" s="2176"/>
      <c r="H1631" s="2176"/>
      <c r="I1631" s="2176"/>
      <c r="J1631" s="986" t="str">
        <f>$C$713</f>
        <v>352310_2024_12_</v>
      </c>
      <c r="K1631" s="1606">
        <v>1</v>
      </c>
      <c r="L1631" s="12"/>
      <c r="M1631" s="1307"/>
      <c r="P1631" s="248"/>
      <c r="Q1631" s="248"/>
      <c r="R1631" s="248"/>
      <c r="T1631" s="169"/>
      <c r="U1631" s="50"/>
      <c r="V1631" s="2177"/>
      <c r="W1631" s="228"/>
      <c r="X1631" s="228"/>
      <c r="Y1631" s="228"/>
      <c r="Z1631" s="228"/>
      <c r="AA1631" s="228"/>
      <c r="AB1631" s="228"/>
      <c r="AC1631" s="226">
        <v>1</v>
      </c>
      <c r="AD1631" s="228">
        <v>1</v>
      </c>
      <c r="AE1631" s="228">
        <v>1</v>
      </c>
      <c r="AF1631" s="258">
        <f t="shared" si="219"/>
        <v>1</v>
      </c>
      <c r="AG1631" s="228"/>
      <c r="DG1631" s="555"/>
      <c r="DH1631" s="151"/>
      <c r="DI1631" s="1049"/>
      <c r="DJ1631" s="1127"/>
    </row>
    <row r="1632" spans="1:114" ht="15" hidden="1" customHeight="1" outlineLevel="1" x14ac:dyDescent="0.25">
      <c r="A1632" s="442"/>
      <c r="C1632" s="49"/>
      <c r="D1632" s="2177"/>
      <c r="E1632" s="2177"/>
      <c r="F1632" s="2176" t="str">
        <f>$E$715</f>
        <v>ASHP-SEER15-Replace_CAC_NonElectricHeat_ER2_SF</v>
      </c>
      <c r="G1632" s="2176"/>
      <c r="H1632" s="2176"/>
      <c r="I1632" s="2176"/>
      <c r="J1632" s="986" t="str">
        <f>$C$715</f>
        <v>352310_2024_12_</v>
      </c>
      <c r="K1632" s="1606">
        <v>1</v>
      </c>
      <c r="L1632" s="12"/>
      <c r="M1632" s="1307"/>
      <c r="P1632" s="248"/>
      <c r="Q1632" s="248"/>
      <c r="R1632" s="248"/>
      <c r="T1632" s="169"/>
      <c r="U1632" s="50"/>
      <c r="V1632" s="2177"/>
      <c r="W1632" s="228"/>
      <c r="X1632" s="228"/>
      <c r="Y1632" s="228"/>
      <c r="Z1632" s="228"/>
      <c r="AA1632" s="228"/>
      <c r="AB1632" s="228"/>
      <c r="AC1632" s="226">
        <v>1</v>
      </c>
      <c r="AD1632" s="228">
        <v>1</v>
      </c>
      <c r="AE1632" s="228">
        <v>1</v>
      </c>
      <c r="AF1632" s="258">
        <f t="shared" si="219"/>
        <v>1</v>
      </c>
      <c r="AG1632" s="228"/>
      <c r="DG1632" s="555"/>
      <c r="DH1632" s="151"/>
      <c r="DI1632" s="1049"/>
      <c r="DJ1632" s="1127"/>
    </row>
    <row r="1633" spans="1:114" ht="15" hidden="1" customHeight="1" outlineLevel="1" x14ac:dyDescent="0.25">
      <c r="A1633" s="442"/>
      <c r="C1633" s="49"/>
      <c r="D1633" s="2177"/>
      <c r="E1633" s="2177"/>
      <c r="F1633" s="2176" t="str">
        <f>$E$717</f>
        <v>ASHP-SEER15_ER1_SF</v>
      </c>
      <c r="G1633" s="2176"/>
      <c r="H1633" s="2176"/>
      <c r="I1633" s="2176"/>
      <c r="J1633" s="986" t="str">
        <f>$C$717</f>
        <v>352350_2024_12_</v>
      </c>
      <c r="K1633" s="1606">
        <v>1</v>
      </c>
      <c r="L1633" s="12"/>
      <c r="M1633" s="1307"/>
      <c r="P1633" s="248"/>
      <c r="Q1633" s="248"/>
      <c r="R1633" s="248"/>
      <c r="T1633" s="169"/>
      <c r="U1633" s="50"/>
      <c r="V1633" s="2177"/>
      <c r="W1633" s="228">
        <v>1</v>
      </c>
      <c r="X1633" s="228">
        <v>1</v>
      </c>
      <c r="Y1633" s="228">
        <v>1</v>
      </c>
      <c r="Z1633" s="228">
        <v>1</v>
      </c>
      <c r="AA1633" s="228">
        <v>1</v>
      </c>
      <c r="AB1633" s="228">
        <v>1</v>
      </c>
      <c r="AC1633" s="228">
        <v>1</v>
      </c>
      <c r="AD1633" s="228">
        <v>1</v>
      </c>
      <c r="AE1633" s="228">
        <v>1</v>
      </c>
      <c r="AF1633" s="258">
        <f t="shared" si="219"/>
        <v>1</v>
      </c>
      <c r="AG1633" s="228"/>
      <c r="DG1633" s="555"/>
      <c r="DH1633" s="151"/>
      <c r="DI1633" s="1049"/>
      <c r="DJ1633" s="1127"/>
    </row>
    <row r="1634" spans="1:114" ht="15" hidden="1" customHeight="1" outlineLevel="1" x14ac:dyDescent="0.25">
      <c r="A1634" s="442"/>
      <c r="C1634" s="49"/>
      <c r="D1634" s="2177"/>
      <c r="E1634" s="2177"/>
      <c r="F1634" s="2176" t="str">
        <f>$E$719</f>
        <v>ASHP-SEER15_ER2_SF</v>
      </c>
      <c r="G1634" s="2176"/>
      <c r="H1634" s="2176"/>
      <c r="I1634" s="2176"/>
      <c r="J1634" s="986" t="str">
        <f>$C$719</f>
        <v>352350_2024_12_</v>
      </c>
      <c r="K1634" s="1606">
        <v>1</v>
      </c>
      <c r="L1634" s="12"/>
      <c r="M1634" s="1307"/>
      <c r="P1634" s="248"/>
      <c r="Q1634" s="248"/>
      <c r="R1634" s="248"/>
      <c r="T1634" s="169"/>
      <c r="U1634" s="50"/>
      <c r="V1634" s="2177"/>
      <c r="W1634" s="228">
        <v>1</v>
      </c>
      <c r="X1634" s="228">
        <v>1</v>
      </c>
      <c r="Y1634" s="228">
        <v>1</v>
      </c>
      <c r="Z1634" s="228">
        <v>1</v>
      </c>
      <c r="AA1634" s="228">
        <v>1</v>
      </c>
      <c r="AB1634" s="228">
        <v>1</v>
      </c>
      <c r="AC1634" s="228">
        <v>1</v>
      </c>
      <c r="AD1634" s="228">
        <v>1</v>
      </c>
      <c r="AE1634" s="228">
        <v>1</v>
      </c>
      <c r="AF1634" s="258">
        <f t="shared" si="219"/>
        <v>1</v>
      </c>
      <c r="AG1634" s="228"/>
      <c r="DG1634" s="555"/>
      <c r="DH1634" s="151"/>
      <c r="DI1634" s="1049"/>
      <c r="DJ1634" s="1127"/>
    </row>
    <row r="1635" spans="1:114" ht="15" hidden="1" customHeight="1" outlineLevel="1" x14ac:dyDescent="0.25">
      <c r="A1635" s="442"/>
      <c r="C1635" s="49"/>
      <c r="D1635" s="2177"/>
      <c r="E1635" s="2177"/>
      <c r="F1635" s="2176" t="str">
        <f>$E$721</f>
        <v>ASHP-SEER15-Replace_CAC_ElectricHeat_ROF_SF</v>
      </c>
      <c r="G1635" s="2176"/>
      <c r="H1635" s="2176"/>
      <c r="I1635" s="2176"/>
      <c r="J1635" s="986" t="str">
        <f>$C$721</f>
        <v>352400_2024_12_</v>
      </c>
      <c r="K1635" s="1606">
        <v>1</v>
      </c>
      <c r="L1635" s="12"/>
      <c r="M1635" s="1307"/>
      <c r="P1635" s="248"/>
      <c r="Q1635" s="248"/>
      <c r="R1635" s="248"/>
      <c r="T1635" s="169"/>
      <c r="U1635" s="50"/>
      <c r="V1635" s="2177"/>
      <c r="W1635" s="228">
        <v>1</v>
      </c>
      <c r="X1635" s="228">
        <v>1</v>
      </c>
      <c r="Y1635" s="228">
        <v>1</v>
      </c>
      <c r="Z1635" s="228">
        <v>1</v>
      </c>
      <c r="AA1635" s="228">
        <v>1</v>
      </c>
      <c r="AB1635" s="228">
        <v>1</v>
      </c>
      <c r="AC1635" s="228">
        <v>1</v>
      </c>
      <c r="AD1635" s="228">
        <v>1</v>
      </c>
      <c r="AE1635" s="228">
        <v>1</v>
      </c>
      <c r="AF1635" s="258">
        <f t="shared" si="219"/>
        <v>1</v>
      </c>
      <c r="AG1635" s="228"/>
      <c r="DG1635" s="555"/>
      <c r="DH1635" s="151"/>
      <c r="DI1635" s="1049"/>
      <c r="DJ1635" s="1127"/>
    </row>
    <row r="1636" spans="1:114" ht="15" hidden="1" customHeight="1" outlineLevel="1" x14ac:dyDescent="0.25">
      <c r="A1636" s="442"/>
      <c r="C1636" s="49"/>
      <c r="D1636" s="2177"/>
      <c r="E1636" s="2177"/>
      <c r="F1636" s="2176" t="str">
        <f>$E$723</f>
        <v>ASHP-SEER15-Replace_CAC_NonElectricHeat_ROF_SF</v>
      </c>
      <c r="G1636" s="2176"/>
      <c r="H1636" s="2176"/>
      <c r="I1636" s="2176"/>
      <c r="J1636" s="986" t="str">
        <f>$C$723</f>
        <v>352410_2024_12_</v>
      </c>
      <c r="K1636" s="1606">
        <v>1</v>
      </c>
      <c r="L1636" s="12"/>
      <c r="M1636" s="1307"/>
      <c r="P1636" s="248"/>
      <c r="Q1636" s="248"/>
      <c r="R1636" s="248"/>
      <c r="T1636" s="169"/>
      <c r="U1636" s="50"/>
      <c r="V1636" s="2177"/>
      <c r="W1636" s="228"/>
      <c r="X1636" s="228"/>
      <c r="Y1636" s="228"/>
      <c r="Z1636" s="228"/>
      <c r="AA1636" s="228"/>
      <c r="AB1636" s="228"/>
      <c r="AC1636" s="226">
        <v>1</v>
      </c>
      <c r="AD1636" s="228">
        <v>1</v>
      </c>
      <c r="AE1636" s="228">
        <v>1</v>
      </c>
      <c r="AF1636" s="258">
        <f t="shared" si="219"/>
        <v>1</v>
      </c>
      <c r="AG1636" s="228"/>
      <c r="DG1636" s="555"/>
      <c r="DH1636" s="151"/>
      <c r="DI1636" s="1049"/>
      <c r="DJ1636" s="1127"/>
    </row>
    <row r="1637" spans="1:114" ht="15" hidden="1" customHeight="1" outlineLevel="1" x14ac:dyDescent="0.25">
      <c r="A1637" s="442"/>
      <c r="C1637" s="49"/>
      <c r="D1637" s="2177"/>
      <c r="E1637" s="2177"/>
      <c r="F1637" s="2176" t="str">
        <f>$E$725</f>
        <v>ASHP-SEER16-Replace_CAC_ElectricHeat_ER1_SF</v>
      </c>
      <c r="G1637" s="2176"/>
      <c r="H1637" s="2176"/>
      <c r="I1637" s="2176"/>
      <c r="J1637" s="986" t="str">
        <f>$C$725</f>
        <v>352500_2024_12_</v>
      </c>
      <c r="K1637" s="1606">
        <v>1</v>
      </c>
      <c r="L1637" s="12"/>
      <c r="M1637" s="1307"/>
      <c r="P1637" s="248"/>
      <c r="Q1637" s="248"/>
      <c r="R1637" s="248"/>
      <c r="T1637" s="169"/>
      <c r="U1637" s="50"/>
      <c r="V1637" s="2177"/>
      <c r="W1637" s="228">
        <v>1</v>
      </c>
      <c r="X1637" s="228">
        <v>1</v>
      </c>
      <c r="Y1637" s="228">
        <v>1</v>
      </c>
      <c r="Z1637" s="228">
        <v>1</v>
      </c>
      <c r="AA1637" s="228">
        <v>1</v>
      </c>
      <c r="AB1637" s="228">
        <v>1</v>
      </c>
      <c r="AC1637" s="228">
        <v>1</v>
      </c>
      <c r="AD1637" s="228">
        <v>1</v>
      </c>
      <c r="AE1637" s="228">
        <v>1</v>
      </c>
      <c r="AF1637" s="258">
        <f t="shared" si="219"/>
        <v>1</v>
      </c>
      <c r="AG1637" s="228"/>
      <c r="DG1637" s="555"/>
      <c r="DH1637" s="151"/>
      <c r="DI1637" s="1049"/>
      <c r="DJ1637" s="1127"/>
    </row>
    <row r="1638" spans="1:114" ht="15" hidden="1" customHeight="1" outlineLevel="1" x14ac:dyDescent="0.25">
      <c r="A1638" s="442"/>
      <c r="C1638" s="49"/>
      <c r="D1638" s="2177"/>
      <c r="E1638" s="2177"/>
      <c r="F1638" s="2176" t="str">
        <f>$E$727</f>
        <v>ASHP-SEER16-Replace_CAC_ElectricHeat_ER2_SF</v>
      </c>
      <c r="G1638" s="2176"/>
      <c r="H1638" s="2176"/>
      <c r="I1638" s="2176"/>
      <c r="J1638" s="986" t="str">
        <f>$C$727</f>
        <v>352500_2024_12_</v>
      </c>
      <c r="K1638" s="1606">
        <v>1</v>
      </c>
      <c r="L1638" s="12"/>
      <c r="M1638" s="1307"/>
      <c r="P1638" s="248"/>
      <c r="Q1638" s="248"/>
      <c r="R1638" s="248"/>
      <c r="T1638" s="169"/>
      <c r="U1638" s="50"/>
      <c r="V1638" s="2177"/>
      <c r="W1638" s="228">
        <v>1</v>
      </c>
      <c r="X1638" s="228">
        <v>1</v>
      </c>
      <c r="Y1638" s="228">
        <v>1</v>
      </c>
      <c r="Z1638" s="228">
        <v>1</v>
      </c>
      <c r="AA1638" s="228">
        <v>1</v>
      </c>
      <c r="AB1638" s="228">
        <v>1</v>
      </c>
      <c r="AC1638" s="228">
        <v>1</v>
      </c>
      <c r="AD1638" s="228">
        <v>1</v>
      </c>
      <c r="AE1638" s="228">
        <v>1</v>
      </c>
      <c r="AF1638" s="258">
        <f t="shared" si="219"/>
        <v>1</v>
      </c>
      <c r="AG1638" s="228"/>
      <c r="DG1638" s="555"/>
      <c r="DH1638" s="151"/>
      <c r="DI1638" s="1049"/>
      <c r="DJ1638" s="1127"/>
    </row>
    <row r="1639" spans="1:114" ht="15" hidden="1" customHeight="1" outlineLevel="1" x14ac:dyDescent="0.25">
      <c r="A1639" s="442"/>
      <c r="C1639" s="49"/>
      <c r="D1639" s="2177"/>
      <c r="E1639" s="2177"/>
      <c r="F1639" s="2176" t="str">
        <f>$E$729</f>
        <v>ASHP-SEER16-Replace_CAC_NonElectricHeat_ER1_SF</v>
      </c>
      <c r="G1639" s="2176"/>
      <c r="H1639" s="2176"/>
      <c r="I1639" s="2176"/>
      <c r="J1639" s="986" t="str">
        <f>$C$729</f>
        <v>352510_2024_12_</v>
      </c>
      <c r="K1639" s="1606">
        <v>1</v>
      </c>
      <c r="L1639" s="12"/>
      <c r="M1639" s="1307"/>
      <c r="P1639" s="248"/>
      <c r="Q1639" s="248"/>
      <c r="R1639" s="248"/>
      <c r="T1639" s="169"/>
      <c r="U1639" s="50"/>
      <c r="V1639" s="2177"/>
      <c r="W1639" s="228"/>
      <c r="X1639" s="228"/>
      <c r="Y1639" s="228"/>
      <c r="Z1639" s="228"/>
      <c r="AA1639" s="228"/>
      <c r="AB1639" s="228"/>
      <c r="AC1639" s="226">
        <v>1</v>
      </c>
      <c r="AD1639" s="228">
        <v>1</v>
      </c>
      <c r="AE1639" s="228">
        <v>1</v>
      </c>
      <c r="AF1639" s="258">
        <f t="shared" si="219"/>
        <v>1</v>
      </c>
      <c r="AG1639" s="228"/>
      <c r="DG1639" s="555"/>
      <c r="DH1639" s="151"/>
      <c r="DI1639" s="1049"/>
      <c r="DJ1639" s="1127"/>
    </row>
    <row r="1640" spans="1:114" ht="15" hidden="1" customHeight="1" outlineLevel="1" x14ac:dyDescent="0.25">
      <c r="A1640" s="442"/>
      <c r="C1640" s="49"/>
      <c r="D1640" s="2177"/>
      <c r="E1640" s="2177"/>
      <c r="F1640" s="2176" t="str">
        <f>$E$731</f>
        <v>ASHP-SEER16-Replace_CAC_NonElectricHeat_ER2_SF</v>
      </c>
      <c r="G1640" s="2176"/>
      <c r="H1640" s="2176"/>
      <c r="I1640" s="2176"/>
      <c r="J1640" s="986" t="str">
        <f>$C$731</f>
        <v>352510_2024_12_</v>
      </c>
      <c r="K1640" s="1606">
        <v>1</v>
      </c>
      <c r="L1640" s="12"/>
      <c r="M1640" s="1307"/>
      <c r="P1640" s="248"/>
      <c r="Q1640" s="248"/>
      <c r="R1640" s="248"/>
      <c r="T1640" s="169"/>
      <c r="U1640" s="50"/>
      <c r="V1640" s="2177"/>
      <c r="W1640" s="228"/>
      <c r="X1640" s="228"/>
      <c r="Y1640" s="228"/>
      <c r="Z1640" s="228"/>
      <c r="AA1640" s="228"/>
      <c r="AB1640" s="228"/>
      <c r="AC1640" s="226">
        <v>1</v>
      </c>
      <c r="AD1640" s="228">
        <v>1</v>
      </c>
      <c r="AE1640" s="228">
        <v>1</v>
      </c>
      <c r="AF1640" s="258">
        <f t="shared" si="219"/>
        <v>1</v>
      </c>
      <c r="AG1640" s="228"/>
      <c r="DG1640" s="555"/>
      <c r="DH1640" s="151"/>
      <c r="DI1640" s="1049"/>
      <c r="DJ1640" s="1127"/>
    </row>
    <row r="1641" spans="1:114" ht="15" hidden="1" customHeight="1" outlineLevel="1" x14ac:dyDescent="0.25">
      <c r="A1641" s="442"/>
      <c r="C1641" s="49"/>
      <c r="D1641" s="2177"/>
      <c r="E1641" s="2177"/>
      <c r="F1641" s="2176" t="str">
        <f>$E$733</f>
        <v>ASHP-SEER16_ER1_SF</v>
      </c>
      <c r="G1641" s="2176"/>
      <c r="H1641" s="2176"/>
      <c r="I1641" s="2176"/>
      <c r="J1641" s="986" t="str">
        <f>$C$733</f>
        <v>352550_2024_12_</v>
      </c>
      <c r="K1641" s="1606">
        <v>1</v>
      </c>
      <c r="L1641" s="12"/>
      <c r="M1641" s="1307"/>
      <c r="P1641" s="248"/>
      <c r="Q1641" s="248"/>
      <c r="R1641" s="248"/>
      <c r="T1641" s="169"/>
      <c r="U1641" s="50"/>
      <c r="V1641" s="2177"/>
      <c r="W1641" s="228">
        <v>1</v>
      </c>
      <c r="X1641" s="228">
        <v>1</v>
      </c>
      <c r="Y1641" s="228">
        <v>1</v>
      </c>
      <c r="Z1641" s="228">
        <v>1</v>
      </c>
      <c r="AA1641" s="228">
        <v>1</v>
      </c>
      <c r="AB1641" s="228">
        <v>1</v>
      </c>
      <c r="AC1641" s="228">
        <v>1</v>
      </c>
      <c r="AD1641" s="228">
        <v>1</v>
      </c>
      <c r="AE1641" s="228">
        <v>1</v>
      </c>
      <c r="AF1641" s="258">
        <f t="shared" si="219"/>
        <v>1</v>
      </c>
      <c r="AG1641" s="228"/>
      <c r="DG1641" s="555"/>
      <c r="DH1641" s="151"/>
      <c r="DI1641" s="1049"/>
      <c r="DJ1641" s="1127"/>
    </row>
    <row r="1642" spans="1:114" ht="15" hidden="1" customHeight="1" outlineLevel="1" x14ac:dyDescent="0.25">
      <c r="A1642" s="442"/>
      <c r="C1642" s="49"/>
      <c r="D1642" s="2177"/>
      <c r="E1642" s="2177"/>
      <c r="F1642" s="2176" t="str">
        <f>$E$735</f>
        <v>ASHP-SEER16_ER2_SF</v>
      </c>
      <c r="G1642" s="2176"/>
      <c r="H1642" s="2176"/>
      <c r="I1642" s="2176"/>
      <c r="J1642" s="986" t="str">
        <f>$C$735</f>
        <v>352550_2024_12_</v>
      </c>
      <c r="K1642" s="1606">
        <v>1</v>
      </c>
      <c r="L1642" s="249"/>
      <c r="M1642" s="1307"/>
      <c r="P1642" s="248"/>
      <c r="Q1642" s="248"/>
      <c r="R1642" s="248"/>
      <c r="T1642" s="169"/>
      <c r="U1642" s="50"/>
      <c r="V1642" s="2177"/>
      <c r="W1642" s="228">
        <v>1</v>
      </c>
      <c r="X1642" s="228">
        <v>1</v>
      </c>
      <c r="Y1642" s="228">
        <v>1</v>
      </c>
      <c r="Z1642" s="228">
        <v>1</v>
      </c>
      <c r="AA1642" s="228">
        <v>1</v>
      </c>
      <c r="AB1642" s="228">
        <v>1</v>
      </c>
      <c r="AC1642" s="228">
        <v>1</v>
      </c>
      <c r="AD1642" s="228">
        <v>1</v>
      </c>
      <c r="AE1642" s="228">
        <v>1</v>
      </c>
      <c r="AF1642" s="258">
        <f t="shared" si="219"/>
        <v>1</v>
      </c>
      <c r="AG1642" s="228"/>
      <c r="DG1642" s="555"/>
      <c r="DH1642" s="151"/>
      <c r="DI1642" s="1049"/>
      <c r="DJ1642" s="1127"/>
    </row>
    <row r="1643" spans="1:114" ht="15" hidden="1" customHeight="1" outlineLevel="1" x14ac:dyDescent="0.25">
      <c r="A1643" s="442"/>
      <c r="C1643" s="49"/>
      <c r="D1643" s="2177"/>
      <c r="E1643" s="2177"/>
      <c r="F1643" s="2176" t="str">
        <f>$E$737</f>
        <v>ASHP-SEER16-Replace_CAC_ElectricHeat_ROF_SF</v>
      </c>
      <c r="G1643" s="2176"/>
      <c r="H1643" s="2176"/>
      <c r="I1643" s="2176"/>
      <c r="J1643" s="986" t="str">
        <f>$C$737</f>
        <v>352600_2024_12_</v>
      </c>
      <c r="K1643" s="1606">
        <v>1</v>
      </c>
      <c r="L1643" s="249"/>
      <c r="M1643" s="1307"/>
      <c r="P1643" s="248"/>
      <c r="Q1643" s="248"/>
      <c r="R1643" s="248"/>
      <c r="T1643" s="169"/>
      <c r="U1643" s="50"/>
      <c r="V1643" s="2177"/>
      <c r="W1643" s="228">
        <v>1</v>
      </c>
      <c r="X1643" s="228">
        <v>1</v>
      </c>
      <c r="Y1643" s="228">
        <v>1</v>
      </c>
      <c r="Z1643" s="228">
        <v>1</v>
      </c>
      <c r="AA1643" s="228">
        <v>1</v>
      </c>
      <c r="AB1643" s="228">
        <v>1</v>
      </c>
      <c r="AC1643" s="228">
        <v>1</v>
      </c>
      <c r="AD1643" s="228">
        <v>1</v>
      </c>
      <c r="AE1643" s="228">
        <v>1</v>
      </c>
      <c r="AF1643" s="258">
        <f t="shared" si="219"/>
        <v>1</v>
      </c>
      <c r="AG1643" s="228"/>
      <c r="DG1643" s="555"/>
      <c r="DH1643" s="151"/>
      <c r="DI1643" s="1049"/>
      <c r="DJ1643" s="1127"/>
    </row>
    <row r="1644" spans="1:114" ht="15" hidden="1" customHeight="1" outlineLevel="1" x14ac:dyDescent="0.25">
      <c r="A1644" s="442"/>
      <c r="C1644" s="49"/>
      <c r="D1644" s="2177"/>
      <c r="E1644" s="2177"/>
      <c r="F1644" s="2176" t="str">
        <f>$E$739</f>
        <v>ASHP-SEER16-Replace_CAC_NonElectricHeat_ROF_SF</v>
      </c>
      <c r="G1644" s="2176"/>
      <c r="H1644" s="2176"/>
      <c r="I1644" s="2176"/>
      <c r="J1644" s="986" t="str">
        <f>$C$739</f>
        <v>352610_2024_12_</v>
      </c>
      <c r="K1644" s="1606">
        <v>1</v>
      </c>
      <c r="L1644" s="249"/>
      <c r="M1644" s="1307"/>
      <c r="P1644" s="248"/>
      <c r="Q1644" s="248"/>
      <c r="R1644" s="248"/>
      <c r="T1644" s="169"/>
      <c r="U1644" s="50"/>
      <c r="V1644" s="2177"/>
      <c r="W1644" s="228"/>
      <c r="X1644" s="228"/>
      <c r="Y1644" s="228"/>
      <c r="Z1644" s="228"/>
      <c r="AA1644" s="228"/>
      <c r="AB1644" s="228"/>
      <c r="AC1644" s="228"/>
      <c r="AD1644" s="226">
        <v>1</v>
      </c>
      <c r="AE1644" s="228">
        <v>1</v>
      </c>
      <c r="AF1644" s="258">
        <f t="shared" si="219"/>
        <v>1</v>
      </c>
      <c r="AG1644" s="228"/>
      <c r="DG1644" s="555"/>
      <c r="DH1644" s="151"/>
      <c r="DI1644" s="1049"/>
      <c r="DJ1644" s="1127"/>
    </row>
    <row r="1645" spans="1:114" ht="15" hidden="1" customHeight="1" outlineLevel="1" x14ac:dyDescent="0.25">
      <c r="A1645" s="442"/>
      <c r="C1645" s="49"/>
      <c r="D1645" s="2177"/>
      <c r="E1645" s="2177"/>
      <c r="F1645" s="2176" t="str">
        <f>$E$741</f>
        <v>ASHP-SEER16_ROF_SF</v>
      </c>
      <c r="G1645" s="2176"/>
      <c r="H1645" s="2176"/>
      <c r="I1645" s="2176"/>
      <c r="J1645" s="986" t="str">
        <f>$C$741</f>
        <v>352650_2024_12_</v>
      </c>
      <c r="K1645" s="1606">
        <v>1</v>
      </c>
      <c r="L1645" s="249"/>
      <c r="M1645" s="1307"/>
      <c r="P1645" s="248"/>
      <c r="Q1645" s="248"/>
      <c r="R1645" s="248"/>
      <c r="T1645" s="169"/>
      <c r="U1645" s="50"/>
      <c r="V1645" s="2177"/>
      <c r="W1645" s="228">
        <v>1</v>
      </c>
      <c r="X1645" s="228">
        <v>1</v>
      </c>
      <c r="Y1645" s="228">
        <v>1</v>
      </c>
      <c r="Z1645" s="228">
        <v>1</v>
      </c>
      <c r="AA1645" s="228">
        <v>1</v>
      </c>
      <c r="AB1645" s="228">
        <v>1</v>
      </c>
      <c r="AC1645" s="228">
        <v>1</v>
      </c>
      <c r="AD1645" s="228">
        <v>1</v>
      </c>
      <c r="AE1645" s="228">
        <v>1</v>
      </c>
      <c r="AF1645" s="258">
        <f t="shared" si="219"/>
        <v>1</v>
      </c>
      <c r="AG1645" s="228"/>
      <c r="DG1645" s="555"/>
      <c r="DH1645" s="151"/>
      <c r="DI1645" s="1049"/>
      <c r="DJ1645" s="1127"/>
    </row>
    <row r="1646" spans="1:114" ht="15" hidden="1" customHeight="1" outlineLevel="1" x14ac:dyDescent="0.25">
      <c r="A1646" s="442"/>
      <c r="C1646" s="49"/>
      <c r="D1646" s="2177"/>
      <c r="E1646" s="2177"/>
      <c r="F1646" s="2176" t="str">
        <f>$E$743</f>
        <v>ASHP-SEER16-Replace_CAC_ElectricHeat_ER1_MF</v>
      </c>
      <c r="G1646" s="2176"/>
      <c r="H1646" s="2176"/>
      <c r="I1646" s="2176"/>
      <c r="J1646" s="986" t="str">
        <f>$C$743</f>
        <v>353000_2024_12_</v>
      </c>
      <c r="K1646" s="1606">
        <v>1</v>
      </c>
      <c r="L1646" s="249"/>
      <c r="M1646" s="1371"/>
      <c r="P1646" s="248"/>
      <c r="Q1646" s="248"/>
      <c r="R1646" s="248"/>
      <c r="T1646" s="169"/>
      <c r="U1646" s="50"/>
      <c r="V1646" s="2177"/>
      <c r="W1646" s="228">
        <v>0.65</v>
      </c>
      <c r="X1646" s="228">
        <v>0.65</v>
      </c>
      <c r="Y1646" s="228">
        <v>0.65</v>
      </c>
      <c r="Z1646" s="228">
        <v>0.65</v>
      </c>
      <c r="AA1646" s="228">
        <v>0.65</v>
      </c>
      <c r="AB1646" s="228">
        <v>0.65</v>
      </c>
      <c r="AC1646" s="228">
        <v>0.65</v>
      </c>
      <c r="AD1646" s="226">
        <v>1</v>
      </c>
      <c r="AE1646" s="228">
        <v>1</v>
      </c>
      <c r="AF1646" s="258">
        <f t="shared" si="219"/>
        <v>1</v>
      </c>
      <c r="AG1646" s="228"/>
      <c r="DG1646" s="555"/>
      <c r="DH1646" s="151"/>
      <c r="DI1646" s="1049"/>
      <c r="DJ1646" s="1127"/>
    </row>
    <row r="1647" spans="1:114" ht="15" hidden="1" customHeight="1" outlineLevel="1" x14ac:dyDescent="0.25">
      <c r="A1647" s="442"/>
      <c r="C1647" s="49"/>
      <c r="D1647" s="2177"/>
      <c r="E1647" s="2177"/>
      <c r="F1647" s="2176" t="str">
        <f>$E$745</f>
        <v>ASHP-SEER16-Replace_CAC_ElectricHeat_ER2_MF</v>
      </c>
      <c r="G1647" s="2176"/>
      <c r="H1647" s="2176"/>
      <c r="I1647" s="2176"/>
      <c r="J1647" s="986" t="str">
        <f>$C$745</f>
        <v>353000_2024_12_</v>
      </c>
      <c r="K1647" s="1606">
        <v>1</v>
      </c>
      <c r="L1647" s="249"/>
      <c r="M1647" s="1371"/>
      <c r="P1647" s="248"/>
      <c r="Q1647" s="248"/>
      <c r="R1647" s="248"/>
      <c r="T1647" s="169"/>
      <c r="U1647" s="50"/>
      <c r="V1647" s="2177"/>
      <c r="W1647" s="228">
        <v>0.65</v>
      </c>
      <c r="X1647" s="228">
        <v>0.65</v>
      </c>
      <c r="Y1647" s="228">
        <v>0.65</v>
      </c>
      <c r="Z1647" s="228">
        <v>0.65</v>
      </c>
      <c r="AA1647" s="228">
        <v>0.65</v>
      </c>
      <c r="AB1647" s="228">
        <v>0.65</v>
      </c>
      <c r="AC1647" s="228">
        <v>0.65</v>
      </c>
      <c r="AD1647" s="226">
        <v>1</v>
      </c>
      <c r="AE1647" s="228">
        <v>1</v>
      </c>
      <c r="AF1647" s="258">
        <f t="shared" si="219"/>
        <v>1</v>
      </c>
      <c r="AG1647" s="228"/>
      <c r="DG1647" s="555"/>
      <c r="DH1647" s="151"/>
      <c r="DI1647" s="1049"/>
      <c r="DJ1647" s="1127"/>
    </row>
    <row r="1648" spans="1:114" ht="15" hidden="1" customHeight="1" outlineLevel="1" x14ac:dyDescent="0.25">
      <c r="A1648" s="442"/>
      <c r="C1648" s="49"/>
      <c r="D1648" s="2177"/>
      <c r="E1648" s="2177"/>
      <c r="F1648" s="2176" t="str">
        <f>$E$747</f>
        <v>ASHP-SEER17-Replace_CAC_ElectricHeat_ROF_SF</v>
      </c>
      <c r="G1648" s="2176"/>
      <c r="H1648" s="2176"/>
      <c r="I1648" s="2176"/>
      <c r="J1648" s="986" t="str">
        <f>$C$747</f>
        <v>353100_2024_12_</v>
      </c>
      <c r="K1648" s="1606">
        <v>1</v>
      </c>
      <c r="L1648" s="249"/>
      <c r="M1648" s="1371"/>
      <c r="P1648" s="248"/>
      <c r="Q1648" s="248"/>
      <c r="R1648" s="248"/>
      <c r="T1648" s="169"/>
      <c r="U1648" s="50"/>
      <c r="V1648" s="2177"/>
      <c r="W1648" s="228">
        <v>1</v>
      </c>
      <c r="X1648" s="228">
        <v>1</v>
      </c>
      <c r="Y1648" s="228">
        <v>1</v>
      </c>
      <c r="Z1648" s="228">
        <v>1</v>
      </c>
      <c r="AA1648" s="228">
        <v>1</v>
      </c>
      <c r="AB1648" s="228">
        <v>1</v>
      </c>
      <c r="AC1648" s="228">
        <v>1</v>
      </c>
      <c r="AD1648" s="228">
        <v>1</v>
      </c>
      <c r="AE1648" s="228">
        <v>1</v>
      </c>
      <c r="AF1648" s="258">
        <f t="shared" si="219"/>
        <v>1</v>
      </c>
      <c r="AG1648" s="228"/>
      <c r="DG1648" s="555"/>
      <c r="DH1648" s="151"/>
      <c r="DI1648" s="1049"/>
      <c r="DJ1648" s="1127"/>
    </row>
    <row r="1649" spans="1:114" ht="15" hidden="1" customHeight="1" outlineLevel="1" x14ac:dyDescent="0.25">
      <c r="A1649" s="442"/>
      <c r="C1649" s="49"/>
      <c r="D1649" s="2177"/>
      <c r="E1649" s="2177"/>
      <c r="F1649" s="2176" t="str">
        <f>$E$749</f>
        <v>ASHP-SEER17-Replace_CAC_NonElectricHeat_ROF_SF</v>
      </c>
      <c r="G1649" s="2176"/>
      <c r="H1649" s="2176"/>
      <c r="I1649" s="2176"/>
      <c r="J1649" s="986" t="str">
        <f>$C$749</f>
        <v>353110_2024_12_</v>
      </c>
      <c r="K1649" s="1606">
        <v>1</v>
      </c>
      <c r="L1649" s="249"/>
      <c r="M1649" s="1307"/>
      <c r="P1649" s="248"/>
      <c r="Q1649" s="248"/>
      <c r="R1649" s="248"/>
      <c r="T1649" s="169"/>
      <c r="U1649" s="50"/>
      <c r="V1649" s="2177"/>
      <c r="W1649" s="228"/>
      <c r="X1649" s="228"/>
      <c r="Y1649" s="228"/>
      <c r="Z1649" s="228"/>
      <c r="AA1649" s="228"/>
      <c r="AB1649" s="228"/>
      <c r="AC1649" s="228"/>
      <c r="AD1649" s="226">
        <v>1</v>
      </c>
      <c r="AE1649" s="228">
        <v>1</v>
      </c>
      <c r="AF1649" s="258">
        <f t="shared" si="219"/>
        <v>1</v>
      </c>
      <c r="AG1649" s="228"/>
      <c r="DG1649" s="555"/>
      <c r="DH1649" s="151"/>
      <c r="DI1649" s="1049"/>
      <c r="DJ1649" s="1127"/>
    </row>
    <row r="1650" spans="1:114" ht="15" hidden="1" customHeight="1" outlineLevel="1" x14ac:dyDescent="0.25">
      <c r="A1650" s="442"/>
      <c r="C1650" s="49"/>
      <c r="D1650" s="2177"/>
      <c r="E1650" s="2177"/>
      <c r="F1650" s="2176" t="str">
        <f>$E$751</f>
        <v>ASHP-SEER18-Replace_CAC_ElectricHeat_ROF_SF</v>
      </c>
      <c r="G1650" s="2176"/>
      <c r="H1650" s="2176"/>
      <c r="I1650" s="2176"/>
      <c r="J1650" s="986" t="str">
        <f>$C$751</f>
        <v>353200_2024_12_</v>
      </c>
      <c r="K1650" s="1606">
        <v>1</v>
      </c>
      <c r="L1650" s="249"/>
      <c r="M1650" s="1371"/>
      <c r="P1650" s="248"/>
      <c r="Q1650" s="248"/>
      <c r="R1650" s="248"/>
      <c r="T1650" s="169"/>
      <c r="U1650" s="50"/>
      <c r="V1650" s="2177"/>
      <c r="W1650" s="228">
        <v>1</v>
      </c>
      <c r="X1650" s="228">
        <v>1</v>
      </c>
      <c r="Y1650" s="228">
        <v>1</v>
      </c>
      <c r="Z1650" s="228">
        <v>1</v>
      </c>
      <c r="AA1650" s="228">
        <v>1</v>
      </c>
      <c r="AB1650" s="228">
        <v>1</v>
      </c>
      <c r="AC1650" s="228">
        <v>1</v>
      </c>
      <c r="AD1650" s="228">
        <v>1</v>
      </c>
      <c r="AE1650" s="228">
        <v>1</v>
      </c>
      <c r="AF1650" s="258">
        <f t="shared" ref="AF1650:AF1682" si="220">IF(K1650&lt;&gt;"",K1650,"")</f>
        <v>1</v>
      </c>
      <c r="AG1650" s="228"/>
      <c r="DG1650" s="555"/>
      <c r="DH1650" s="151"/>
      <c r="DI1650" s="1049"/>
      <c r="DJ1650" s="1127"/>
    </row>
    <row r="1651" spans="1:114" ht="15" hidden="1" customHeight="1" outlineLevel="1" x14ac:dyDescent="0.25">
      <c r="A1651" s="442"/>
      <c r="C1651" s="49"/>
      <c r="D1651" s="2177"/>
      <c r="E1651" s="2177"/>
      <c r="F1651" s="2176" t="str">
        <f>$E$753</f>
        <v>ASHP-SEER18-Replace_CAC_NonElectricHeat_ROF_SF</v>
      </c>
      <c r="G1651" s="2176"/>
      <c r="H1651" s="2176"/>
      <c r="I1651" s="2176"/>
      <c r="J1651" s="986" t="str">
        <f>$C$753</f>
        <v>353210_2024_12_</v>
      </c>
      <c r="K1651" s="1606">
        <v>1</v>
      </c>
      <c r="L1651" s="249"/>
      <c r="M1651" s="1307"/>
      <c r="P1651" s="248"/>
      <c r="Q1651" s="248"/>
      <c r="R1651" s="248"/>
      <c r="T1651" s="169"/>
      <c r="U1651" s="50"/>
      <c r="V1651" s="2177"/>
      <c r="W1651" s="228"/>
      <c r="X1651" s="228"/>
      <c r="Y1651" s="228"/>
      <c r="Z1651" s="228"/>
      <c r="AA1651" s="228"/>
      <c r="AB1651" s="228"/>
      <c r="AC1651" s="228"/>
      <c r="AD1651" s="226">
        <v>1</v>
      </c>
      <c r="AE1651" s="228">
        <v>1</v>
      </c>
      <c r="AF1651" s="258">
        <f t="shared" si="220"/>
        <v>1</v>
      </c>
      <c r="AG1651" s="228"/>
      <c r="DG1651" s="555"/>
      <c r="DH1651" s="151"/>
      <c r="DI1651" s="1049"/>
      <c r="DJ1651" s="1127"/>
    </row>
    <row r="1652" spans="1:114" ht="15" hidden="1" customHeight="1" outlineLevel="1" x14ac:dyDescent="0.25">
      <c r="A1652" s="442"/>
      <c r="C1652" s="49"/>
      <c r="D1652" s="2177"/>
      <c r="E1652" s="2177"/>
      <c r="F1652" s="2176" t="str">
        <f>$E$755</f>
        <v>ASHP-SEER19-Replace_CAC_ElectricHeat_ROF_SF</v>
      </c>
      <c r="G1652" s="2176"/>
      <c r="H1652" s="2176"/>
      <c r="I1652" s="2176"/>
      <c r="J1652" s="986" t="str">
        <f>$C$755</f>
        <v>353300_2024_12_</v>
      </c>
      <c r="K1652" s="1606">
        <v>1</v>
      </c>
      <c r="L1652" s="249"/>
      <c r="M1652" s="1371"/>
      <c r="P1652" s="248"/>
      <c r="Q1652" s="248"/>
      <c r="R1652" s="248"/>
      <c r="T1652" s="169"/>
      <c r="U1652" s="50"/>
      <c r="V1652" s="2177"/>
      <c r="W1652" s="228">
        <v>1</v>
      </c>
      <c r="X1652" s="228">
        <v>1</v>
      </c>
      <c r="Y1652" s="228">
        <v>1</v>
      </c>
      <c r="Z1652" s="228">
        <v>1</v>
      </c>
      <c r="AA1652" s="228">
        <v>1</v>
      </c>
      <c r="AB1652" s="228">
        <v>1</v>
      </c>
      <c r="AC1652" s="228">
        <v>1</v>
      </c>
      <c r="AD1652" s="228">
        <v>1</v>
      </c>
      <c r="AE1652" s="228">
        <v>1</v>
      </c>
      <c r="AF1652" s="258">
        <f t="shared" si="220"/>
        <v>1</v>
      </c>
      <c r="AG1652" s="228"/>
      <c r="DG1652" s="555"/>
      <c r="DH1652" s="151"/>
      <c r="DI1652" s="1049"/>
      <c r="DJ1652" s="1127"/>
    </row>
    <row r="1653" spans="1:114" ht="15" hidden="1" customHeight="1" outlineLevel="1" x14ac:dyDescent="0.25">
      <c r="A1653" s="442"/>
      <c r="C1653" s="49"/>
      <c r="D1653" s="2177"/>
      <c r="E1653" s="2177"/>
      <c r="F1653" s="2176" t="str">
        <f>$E$757</f>
        <v>ASHP-SEER19-Replace_CAC_NonElectricHeat_ROF_SF</v>
      </c>
      <c r="G1653" s="2176"/>
      <c r="H1653" s="2176"/>
      <c r="I1653" s="2176"/>
      <c r="J1653" s="986" t="str">
        <f>$C$757</f>
        <v>353310_2024_12_</v>
      </c>
      <c r="K1653" s="1606">
        <v>1</v>
      </c>
      <c r="L1653" s="249"/>
      <c r="M1653" s="1307"/>
      <c r="P1653" s="248"/>
      <c r="Q1653" s="248"/>
      <c r="R1653" s="248"/>
      <c r="T1653" s="169"/>
      <c r="U1653" s="50"/>
      <c r="V1653" s="2177"/>
      <c r="W1653" s="228"/>
      <c r="X1653" s="228"/>
      <c r="Y1653" s="228"/>
      <c r="Z1653" s="228"/>
      <c r="AA1653" s="228"/>
      <c r="AB1653" s="228"/>
      <c r="AC1653" s="228"/>
      <c r="AD1653" s="226">
        <v>1</v>
      </c>
      <c r="AE1653" s="228">
        <v>1</v>
      </c>
      <c r="AF1653" s="258">
        <f t="shared" si="220"/>
        <v>1</v>
      </c>
      <c r="AG1653" s="228"/>
      <c r="DG1653" s="555"/>
      <c r="DH1653" s="151"/>
      <c r="DI1653" s="1049"/>
      <c r="DJ1653" s="1127"/>
    </row>
    <row r="1654" spans="1:114" ht="15" hidden="1" customHeight="1" outlineLevel="1" x14ac:dyDescent="0.25">
      <c r="A1654" s="442"/>
      <c r="C1654" s="49"/>
      <c r="D1654" s="2177"/>
      <c r="E1654" s="2177"/>
      <c r="F1654" s="2176" t="str">
        <f>$E$759</f>
        <v>ASHP-SEER20-Replace_CAC_ElectricHeat_ER1_SF</v>
      </c>
      <c r="G1654" s="2176"/>
      <c r="H1654" s="2176"/>
      <c r="I1654" s="2176"/>
      <c r="J1654" s="986" t="str">
        <f>$C$759</f>
        <v>353400_2024_12_</v>
      </c>
      <c r="K1654" s="1606">
        <v>1</v>
      </c>
      <c r="L1654" s="249"/>
      <c r="M1654" s="1371"/>
      <c r="P1654" s="248"/>
      <c r="Q1654" s="248"/>
      <c r="R1654" s="248"/>
      <c r="T1654" s="169"/>
      <c r="U1654" s="50"/>
      <c r="V1654" s="2177"/>
      <c r="W1654" s="228">
        <v>1</v>
      </c>
      <c r="X1654" s="228">
        <v>1</v>
      </c>
      <c r="Y1654" s="228">
        <v>1</v>
      </c>
      <c r="Z1654" s="228">
        <v>1</v>
      </c>
      <c r="AA1654" s="228">
        <v>1</v>
      </c>
      <c r="AB1654" s="228">
        <v>1</v>
      </c>
      <c r="AC1654" s="228">
        <v>1</v>
      </c>
      <c r="AD1654" s="228">
        <v>1</v>
      </c>
      <c r="AE1654" s="228">
        <v>1</v>
      </c>
      <c r="AF1654" s="258">
        <f t="shared" si="220"/>
        <v>1</v>
      </c>
      <c r="AG1654" s="228"/>
      <c r="DG1654" s="555"/>
      <c r="DH1654" s="151"/>
      <c r="DI1654" s="1049"/>
      <c r="DJ1654" s="1127"/>
    </row>
    <row r="1655" spans="1:114" ht="15" hidden="1" customHeight="1" outlineLevel="1" x14ac:dyDescent="0.25">
      <c r="A1655" s="442"/>
      <c r="C1655" s="49"/>
      <c r="D1655" s="2177"/>
      <c r="E1655" s="2177"/>
      <c r="F1655" s="2176" t="str">
        <f>$E$761</f>
        <v>ASHP-SEER20-Replace_CAC_ElectricHeat_ER2_SF</v>
      </c>
      <c r="G1655" s="2176"/>
      <c r="H1655" s="2176"/>
      <c r="I1655" s="2176"/>
      <c r="J1655" s="986" t="str">
        <f>$C$761</f>
        <v>353400_2024_12_</v>
      </c>
      <c r="K1655" s="1606">
        <v>1</v>
      </c>
      <c r="L1655" s="249"/>
      <c r="M1655" s="1371"/>
      <c r="P1655" s="248"/>
      <c r="Q1655" s="248"/>
      <c r="R1655" s="248"/>
      <c r="T1655" s="169"/>
      <c r="U1655" s="50"/>
      <c r="V1655" s="2177"/>
      <c r="W1655" s="228">
        <v>1</v>
      </c>
      <c r="X1655" s="228">
        <v>1</v>
      </c>
      <c r="Y1655" s="228">
        <v>1</v>
      </c>
      <c r="Z1655" s="228">
        <v>1</v>
      </c>
      <c r="AA1655" s="228">
        <v>1</v>
      </c>
      <c r="AB1655" s="228">
        <v>1</v>
      </c>
      <c r="AC1655" s="228">
        <v>1</v>
      </c>
      <c r="AD1655" s="228">
        <v>1</v>
      </c>
      <c r="AE1655" s="228">
        <v>1</v>
      </c>
      <c r="AF1655" s="258">
        <f t="shared" si="220"/>
        <v>1</v>
      </c>
      <c r="AG1655" s="228"/>
      <c r="DG1655" s="555"/>
      <c r="DH1655" s="151"/>
      <c r="DI1655" s="1049"/>
      <c r="DJ1655" s="1127"/>
    </row>
    <row r="1656" spans="1:114" ht="15" hidden="1" customHeight="1" outlineLevel="1" x14ac:dyDescent="0.25">
      <c r="A1656" s="442"/>
      <c r="C1656" s="49"/>
      <c r="D1656" s="2177"/>
      <c r="E1656" s="2177"/>
      <c r="F1656" s="2176" t="str">
        <f>$E$763</f>
        <v>ASHP-SEER20-Replace_CAC_NonElectricHeat_ER1_SF</v>
      </c>
      <c r="G1656" s="2176"/>
      <c r="H1656" s="2176"/>
      <c r="I1656" s="2176"/>
      <c r="J1656" s="986" t="str">
        <f>$C$763</f>
        <v>353410_2024_12_</v>
      </c>
      <c r="K1656" s="1606">
        <v>1</v>
      </c>
      <c r="L1656" s="249"/>
      <c r="M1656" s="1371"/>
      <c r="P1656" s="248"/>
      <c r="Q1656" s="248"/>
      <c r="R1656" s="248"/>
      <c r="T1656" s="169"/>
      <c r="U1656" s="50"/>
      <c r="V1656" s="2177"/>
      <c r="W1656" s="228"/>
      <c r="X1656" s="228"/>
      <c r="Y1656" s="228"/>
      <c r="Z1656" s="228"/>
      <c r="AA1656" s="228"/>
      <c r="AB1656" s="228"/>
      <c r="AC1656" s="226">
        <v>1</v>
      </c>
      <c r="AD1656" s="228">
        <v>1</v>
      </c>
      <c r="AE1656" s="228">
        <v>1</v>
      </c>
      <c r="AF1656" s="258">
        <f t="shared" si="220"/>
        <v>1</v>
      </c>
      <c r="AG1656" s="228"/>
      <c r="DG1656" s="555"/>
      <c r="DH1656" s="151"/>
      <c r="DI1656" s="1049"/>
      <c r="DJ1656" s="1127"/>
    </row>
    <row r="1657" spans="1:114" ht="15" hidden="1" customHeight="1" outlineLevel="1" x14ac:dyDescent="0.25">
      <c r="A1657" s="442"/>
      <c r="C1657" s="49"/>
      <c r="D1657" s="2177"/>
      <c r="E1657" s="2177"/>
      <c r="F1657" s="2176" t="str">
        <f>$E$765</f>
        <v>ASHP-SEER20-Replace_CAC_NonElectricHeat_ER2_SF</v>
      </c>
      <c r="G1657" s="2176"/>
      <c r="H1657" s="2176"/>
      <c r="I1657" s="2176"/>
      <c r="J1657" s="986" t="str">
        <f>$C$765</f>
        <v>353410_2024_12_</v>
      </c>
      <c r="K1657" s="1606">
        <v>1</v>
      </c>
      <c r="L1657" s="249"/>
      <c r="M1657" s="1371"/>
      <c r="P1657" s="248"/>
      <c r="Q1657" s="248"/>
      <c r="R1657" s="248"/>
      <c r="T1657" s="169"/>
      <c r="U1657" s="50"/>
      <c r="V1657" s="2177"/>
      <c r="W1657" s="228"/>
      <c r="X1657" s="228"/>
      <c r="Y1657" s="228"/>
      <c r="Z1657" s="228"/>
      <c r="AA1657" s="228"/>
      <c r="AB1657" s="228"/>
      <c r="AC1657" s="226">
        <v>1</v>
      </c>
      <c r="AD1657" s="228">
        <v>1</v>
      </c>
      <c r="AE1657" s="228">
        <v>1</v>
      </c>
      <c r="AF1657" s="258">
        <f t="shared" si="220"/>
        <v>1</v>
      </c>
      <c r="AG1657" s="228"/>
      <c r="DG1657" s="555"/>
      <c r="DH1657" s="151"/>
      <c r="DI1657" s="1049"/>
      <c r="DJ1657" s="1127"/>
    </row>
    <row r="1658" spans="1:114" ht="15" hidden="1" customHeight="1" outlineLevel="1" x14ac:dyDescent="0.25">
      <c r="A1658" s="442"/>
      <c r="C1658" s="49"/>
      <c r="D1658" s="2177"/>
      <c r="E1658" s="2177"/>
      <c r="F1658" s="2176" t="str">
        <f>$E$767</f>
        <v>ASHP-SEER20-Replace_CAC_ElectricHeat_ROF_SF</v>
      </c>
      <c r="G1658" s="2176"/>
      <c r="H1658" s="2176"/>
      <c r="I1658" s="2176"/>
      <c r="J1658" s="986" t="str">
        <f>$C$767</f>
        <v>353450_2024_12_</v>
      </c>
      <c r="K1658" s="1606">
        <v>1</v>
      </c>
      <c r="L1658" s="249"/>
      <c r="M1658" s="1371"/>
      <c r="P1658" s="248"/>
      <c r="Q1658" s="248"/>
      <c r="R1658" s="248"/>
      <c r="T1658" s="169"/>
      <c r="U1658" s="50"/>
      <c r="V1658" s="2177"/>
      <c r="W1658" s="228">
        <v>1</v>
      </c>
      <c r="X1658" s="228">
        <v>1</v>
      </c>
      <c r="Y1658" s="228">
        <v>1</v>
      </c>
      <c r="Z1658" s="228">
        <v>1</v>
      </c>
      <c r="AA1658" s="228">
        <v>1</v>
      </c>
      <c r="AB1658" s="228">
        <v>1</v>
      </c>
      <c r="AC1658" s="228">
        <v>1</v>
      </c>
      <c r="AD1658" s="228">
        <v>1</v>
      </c>
      <c r="AE1658" s="228">
        <v>1</v>
      </c>
      <c r="AF1658" s="258">
        <f t="shared" si="220"/>
        <v>1</v>
      </c>
      <c r="AG1658" s="228"/>
      <c r="DG1658" s="555"/>
      <c r="DH1658" s="151"/>
      <c r="DI1658" s="1049"/>
      <c r="DJ1658" s="1127"/>
    </row>
    <row r="1659" spans="1:114" ht="15" hidden="1" customHeight="1" outlineLevel="1" x14ac:dyDescent="0.25">
      <c r="A1659" s="442"/>
      <c r="C1659" s="49"/>
      <c r="D1659" s="2177"/>
      <c r="E1659" s="2177"/>
      <c r="F1659" s="2176" t="str">
        <f>$E$769</f>
        <v>ASHP-SEER20-Replace_CAC_NonElectricHeat_ROF_SF</v>
      </c>
      <c r="G1659" s="2176"/>
      <c r="H1659" s="2176"/>
      <c r="I1659" s="2176"/>
      <c r="J1659" s="986" t="str">
        <f>$C$769</f>
        <v>353460_2024_12_</v>
      </c>
      <c r="K1659" s="1606">
        <v>1</v>
      </c>
      <c r="L1659" s="249"/>
      <c r="M1659" s="1307"/>
      <c r="P1659" s="248"/>
      <c r="Q1659" s="248"/>
      <c r="R1659" s="248"/>
      <c r="T1659" s="169"/>
      <c r="U1659" s="50"/>
      <c r="V1659" s="2177"/>
      <c r="W1659" s="228"/>
      <c r="X1659" s="228"/>
      <c r="Y1659" s="228"/>
      <c r="Z1659" s="228"/>
      <c r="AA1659" s="228"/>
      <c r="AB1659" s="228"/>
      <c r="AC1659" s="228"/>
      <c r="AD1659" s="226">
        <v>1</v>
      </c>
      <c r="AE1659" s="228">
        <v>1</v>
      </c>
      <c r="AF1659" s="258">
        <f t="shared" si="220"/>
        <v>1</v>
      </c>
      <c r="AG1659" s="228"/>
      <c r="DG1659" s="555"/>
      <c r="DH1659" s="151"/>
      <c r="DI1659" s="1049"/>
      <c r="DJ1659" s="1127"/>
    </row>
    <row r="1660" spans="1:114" ht="15" hidden="1" customHeight="1" outlineLevel="1" x14ac:dyDescent="0.25">
      <c r="A1660" s="442"/>
      <c r="C1660" s="49"/>
      <c r="D1660" s="2177"/>
      <c r="E1660" s="2177"/>
      <c r="F1660" s="2176" t="str">
        <f>$E$771</f>
        <v>ASHP-SEER21-Replace_CAC_ElectricHeat_ER1_SF</v>
      </c>
      <c r="G1660" s="2176"/>
      <c r="H1660" s="2176"/>
      <c r="I1660" s="2176"/>
      <c r="J1660" s="986" t="str">
        <f>$C$771</f>
        <v>353550_2024_12_</v>
      </c>
      <c r="K1660" s="1606">
        <v>1</v>
      </c>
      <c r="L1660" s="249"/>
      <c r="M1660" s="1371"/>
      <c r="P1660" s="248"/>
      <c r="Q1660" s="196"/>
      <c r="R1660" s="248"/>
      <c r="T1660" s="169"/>
      <c r="U1660" s="50"/>
      <c r="V1660" s="2177"/>
      <c r="W1660" s="228">
        <v>1</v>
      </c>
      <c r="X1660" s="228">
        <v>1</v>
      </c>
      <c r="Y1660" s="228">
        <v>1</v>
      </c>
      <c r="Z1660" s="228">
        <v>1</v>
      </c>
      <c r="AA1660" s="228">
        <v>1</v>
      </c>
      <c r="AB1660" s="228">
        <v>1</v>
      </c>
      <c r="AC1660" s="228">
        <v>1</v>
      </c>
      <c r="AD1660" s="228">
        <v>1</v>
      </c>
      <c r="AE1660" s="228">
        <v>1</v>
      </c>
      <c r="AF1660" s="258">
        <f t="shared" si="220"/>
        <v>1</v>
      </c>
      <c r="AG1660" s="228"/>
      <c r="DG1660" s="555"/>
      <c r="DH1660" s="151"/>
      <c r="DI1660" s="1049"/>
      <c r="DJ1660" s="1127"/>
    </row>
    <row r="1661" spans="1:114" ht="15" hidden="1" customHeight="1" outlineLevel="1" x14ac:dyDescent="0.25">
      <c r="A1661" s="442"/>
      <c r="C1661" s="49"/>
      <c r="D1661" s="2177"/>
      <c r="E1661" s="2177"/>
      <c r="F1661" s="2176" t="str">
        <f>$E$773</f>
        <v>ASHP-SEER21-Replace_CAC_ElectricHeat_ER2_SF</v>
      </c>
      <c r="G1661" s="2176"/>
      <c r="H1661" s="2176"/>
      <c r="I1661" s="2176"/>
      <c r="J1661" s="986" t="str">
        <f>$C$773</f>
        <v>353550_2024_12_</v>
      </c>
      <c r="K1661" s="1606">
        <v>1</v>
      </c>
      <c r="L1661" s="249"/>
      <c r="M1661" s="1371"/>
      <c r="P1661" s="248"/>
      <c r="Q1661" s="196"/>
      <c r="R1661" s="248"/>
      <c r="T1661" s="169"/>
      <c r="U1661" s="50"/>
      <c r="V1661" s="2177"/>
      <c r="W1661" s="228">
        <v>1</v>
      </c>
      <c r="X1661" s="228">
        <v>1</v>
      </c>
      <c r="Y1661" s="228">
        <v>1</v>
      </c>
      <c r="Z1661" s="228">
        <v>1</v>
      </c>
      <c r="AA1661" s="228">
        <v>1</v>
      </c>
      <c r="AB1661" s="228">
        <v>1</v>
      </c>
      <c r="AC1661" s="228">
        <v>1</v>
      </c>
      <c r="AD1661" s="228">
        <v>1</v>
      </c>
      <c r="AE1661" s="228">
        <v>1</v>
      </c>
      <c r="AF1661" s="258">
        <f t="shared" si="220"/>
        <v>1</v>
      </c>
      <c r="AG1661" s="228"/>
      <c r="DG1661" s="555"/>
      <c r="DH1661" s="151"/>
      <c r="DI1661" s="1049"/>
      <c r="DJ1661" s="1127"/>
    </row>
    <row r="1662" spans="1:114" ht="15" hidden="1" customHeight="1" outlineLevel="1" x14ac:dyDescent="0.25">
      <c r="A1662" s="442"/>
      <c r="C1662" s="49"/>
      <c r="D1662" s="2177"/>
      <c r="E1662" s="2177"/>
      <c r="F1662" s="2176" t="str">
        <f>$E$775</f>
        <v>ASHP-SEER21-Replace_CAC_NonElectricHeat_ER1_SF</v>
      </c>
      <c r="G1662" s="2176"/>
      <c r="H1662" s="2176"/>
      <c r="I1662" s="2176"/>
      <c r="J1662" s="986" t="str">
        <f>$C$775</f>
        <v>353560_2024_12_</v>
      </c>
      <c r="K1662" s="1606">
        <v>1</v>
      </c>
      <c r="L1662" s="249"/>
      <c r="M1662" s="1371"/>
      <c r="P1662" s="248"/>
      <c r="Q1662" s="196"/>
      <c r="R1662" s="248"/>
      <c r="T1662" s="169"/>
      <c r="U1662" s="50"/>
      <c r="V1662" s="2177"/>
      <c r="W1662" s="228"/>
      <c r="X1662" s="228"/>
      <c r="Y1662" s="228"/>
      <c r="Z1662" s="228"/>
      <c r="AA1662" s="228"/>
      <c r="AB1662" s="228"/>
      <c r="AC1662" s="226">
        <v>1</v>
      </c>
      <c r="AD1662" s="228">
        <v>1</v>
      </c>
      <c r="AE1662" s="228">
        <v>1</v>
      </c>
      <c r="AF1662" s="258">
        <f t="shared" si="220"/>
        <v>1</v>
      </c>
      <c r="AG1662" s="228"/>
      <c r="DG1662" s="555"/>
      <c r="DH1662" s="151"/>
      <c r="DI1662" s="1049"/>
      <c r="DJ1662" s="1127"/>
    </row>
    <row r="1663" spans="1:114" ht="15" hidden="1" customHeight="1" outlineLevel="1" x14ac:dyDescent="0.25">
      <c r="A1663" s="442"/>
      <c r="C1663" s="49"/>
      <c r="D1663" s="2177"/>
      <c r="E1663" s="2177"/>
      <c r="F1663" s="2176" t="str">
        <f>$E$777</f>
        <v>ASHP-SEER21-Replace_CAC_NonElectricHeat_ER2_SF</v>
      </c>
      <c r="G1663" s="2176"/>
      <c r="H1663" s="2176"/>
      <c r="I1663" s="2176"/>
      <c r="J1663" s="986" t="str">
        <f>$C$777</f>
        <v>353560_2024_12_</v>
      </c>
      <c r="K1663" s="1606">
        <v>1</v>
      </c>
      <c r="L1663" s="249"/>
      <c r="M1663" s="1371"/>
      <c r="P1663" s="248"/>
      <c r="Q1663" s="196"/>
      <c r="R1663" s="248"/>
      <c r="T1663" s="169"/>
      <c r="U1663" s="50"/>
      <c r="V1663" s="2177"/>
      <c r="W1663" s="228"/>
      <c r="X1663" s="228"/>
      <c r="Y1663" s="228"/>
      <c r="Z1663" s="228"/>
      <c r="AA1663" s="228"/>
      <c r="AB1663" s="228"/>
      <c r="AC1663" s="226">
        <v>1</v>
      </c>
      <c r="AD1663" s="228">
        <v>1</v>
      </c>
      <c r="AE1663" s="228">
        <v>1</v>
      </c>
      <c r="AF1663" s="258">
        <f t="shared" si="220"/>
        <v>1</v>
      </c>
      <c r="AG1663" s="228"/>
      <c r="DG1663" s="555"/>
      <c r="DH1663" s="151"/>
      <c r="DI1663" s="1049"/>
      <c r="DJ1663" s="1127"/>
    </row>
    <row r="1664" spans="1:114" ht="15" hidden="1" customHeight="1" outlineLevel="1" x14ac:dyDescent="0.25">
      <c r="A1664" s="442"/>
      <c r="C1664" s="49"/>
      <c r="D1664" s="2177"/>
      <c r="E1664" s="2177"/>
      <c r="F1664" s="2176" t="str">
        <f>$E$779</f>
        <v>ASHP-SEER21-Replace_CAC_ElectricHeat_ER1_MF</v>
      </c>
      <c r="G1664" s="2176"/>
      <c r="H1664" s="2176"/>
      <c r="I1664" s="2176"/>
      <c r="J1664" s="986" t="str">
        <f>$C$779</f>
        <v>353600_2024_12_</v>
      </c>
      <c r="K1664" s="1606">
        <v>0.65</v>
      </c>
      <c r="L1664" s="249"/>
      <c r="M1664" s="1371"/>
      <c r="P1664" s="248"/>
      <c r="Q1664" s="196"/>
      <c r="R1664" s="248"/>
      <c r="T1664" s="169"/>
      <c r="U1664" s="50"/>
      <c r="V1664" s="2177"/>
      <c r="W1664" s="228">
        <v>0.65</v>
      </c>
      <c r="X1664" s="228">
        <v>0.65</v>
      </c>
      <c r="Y1664" s="228">
        <v>0.65</v>
      </c>
      <c r="Z1664" s="228">
        <v>0.65</v>
      </c>
      <c r="AA1664" s="228">
        <v>0.65</v>
      </c>
      <c r="AB1664" s="228">
        <v>0.65</v>
      </c>
      <c r="AC1664" s="228">
        <v>0.65</v>
      </c>
      <c r="AD1664" s="228">
        <v>0.65</v>
      </c>
      <c r="AE1664" s="228">
        <v>0.65</v>
      </c>
      <c r="AF1664" s="258">
        <f t="shared" si="220"/>
        <v>0.65</v>
      </c>
      <c r="AG1664" s="228"/>
      <c r="DG1664" s="555"/>
      <c r="DH1664" s="151"/>
      <c r="DI1664" s="1049"/>
      <c r="DJ1664" s="1127"/>
    </row>
    <row r="1665" spans="1:114" ht="15" hidden="1" customHeight="1" outlineLevel="1" x14ac:dyDescent="0.25">
      <c r="A1665" s="442"/>
      <c r="C1665" s="49"/>
      <c r="D1665" s="2177"/>
      <c r="E1665" s="2177"/>
      <c r="F1665" s="2176" t="str">
        <f>$E$781</f>
        <v>ASHP-SEER21-Replace_CAC_ElectricHeat_ER2_MF</v>
      </c>
      <c r="G1665" s="2176"/>
      <c r="H1665" s="2176"/>
      <c r="I1665" s="2176"/>
      <c r="J1665" s="986" t="str">
        <f>$C$781</f>
        <v>353600_2024_12_</v>
      </c>
      <c r="K1665" s="1606">
        <v>0.65</v>
      </c>
      <c r="L1665" s="249"/>
      <c r="M1665" s="1371"/>
      <c r="P1665" s="248"/>
      <c r="Q1665" s="196"/>
      <c r="R1665" s="248"/>
      <c r="T1665" s="169"/>
      <c r="U1665" s="50"/>
      <c r="V1665" s="2177"/>
      <c r="W1665" s="228">
        <v>0.65</v>
      </c>
      <c r="X1665" s="228">
        <v>0.65</v>
      </c>
      <c r="Y1665" s="228">
        <v>0.65</v>
      </c>
      <c r="Z1665" s="228">
        <v>0.65</v>
      </c>
      <c r="AA1665" s="228">
        <v>0.65</v>
      </c>
      <c r="AB1665" s="228">
        <v>0.65</v>
      </c>
      <c r="AC1665" s="228">
        <v>0.65</v>
      </c>
      <c r="AD1665" s="228">
        <v>0.65</v>
      </c>
      <c r="AE1665" s="228">
        <v>0.65</v>
      </c>
      <c r="AF1665" s="258">
        <f t="shared" si="220"/>
        <v>0.65</v>
      </c>
      <c r="AG1665" s="228"/>
      <c r="DG1665" s="555"/>
      <c r="DH1665" s="151"/>
      <c r="DI1665" s="1049"/>
      <c r="DJ1665" s="1127"/>
    </row>
    <row r="1666" spans="1:114" ht="15" hidden="1" customHeight="1" outlineLevel="1" x14ac:dyDescent="0.25">
      <c r="A1666" s="442"/>
      <c r="C1666" s="49"/>
      <c r="D1666" s="2177"/>
      <c r="E1666" s="2177"/>
      <c r="F1666" s="2176" t="str">
        <f>$E$783</f>
        <v>ASHP-SEER21-Replace_CAC_ElectricHeat_ROF_SF</v>
      </c>
      <c r="G1666" s="2176"/>
      <c r="H1666" s="2176"/>
      <c r="I1666" s="2176"/>
      <c r="J1666" s="986" t="str">
        <f>$C$783</f>
        <v>353650_2024_12_</v>
      </c>
      <c r="K1666" s="1606">
        <v>1</v>
      </c>
      <c r="L1666" s="249"/>
      <c r="M1666" s="1371"/>
      <c r="P1666" s="248"/>
      <c r="Q1666" s="196"/>
      <c r="R1666" s="248"/>
      <c r="T1666" s="169"/>
      <c r="U1666" s="50"/>
      <c r="V1666" s="2177"/>
      <c r="W1666" s="228">
        <v>1</v>
      </c>
      <c r="X1666" s="228">
        <v>1</v>
      </c>
      <c r="Y1666" s="228">
        <v>1</v>
      </c>
      <c r="Z1666" s="228">
        <v>1</v>
      </c>
      <c r="AA1666" s="228">
        <v>1</v>
      </c>
      <c r="AB1666" s="228">
        <v>1</v>
      </c>
      <c r="AC1666" s="228">
        <v>1</v>
      </c>
      <c r="AD1666" s="228">
        <v>1</v>
      </c>
      <c r="AE1666" s="228">
        <v>1</v>
      </c>
      <c r="AF1666" s="258">
        <f t="shared" si="220"/>
        <v>1</v>
      </c>
      <c r="AG1666" s="228"/>
      <c r="DG1666" s="555"/>
      <c r="DH1666" s="151"/>
      <c r="DI1666" s="1049"/>
      <c r="DJ1666" s="1127"/>
    </row>
    <row r="1667" spans="1:114" ht="15" hidden="1" customHeight="1" outlineLevel="1" x14ac:dyDescent="0.25">
      <c r="A1667" s="442"/>
      <c r="C1667" s="49"/>
      <c r="D1667" s="2177"/>
      <c r="E1667" s="2177"/>
      <c r="F1667" s="2176" t="str">
        <f>$E$785</f>
        <v>ASHP-SEER21-Replace_CAC_NonElectricHeat_ROF_SF</v>
      </c>
      <c r="G1667" s="2176"/>
      <c r="H1667" s="2176"/>
      <c r="I1667" s="2176"/>
      <c r="J1667" s="986" t="str">
        <f>$C$785</f>
        <v>353660_2024_12_</v>
      </c>
      <c r="K1667" s="1606">
        <v>1</v>
      </c>
      <c r="L1667" s="249"/>
      <c r="M1667" s="1307"/>
      <c r="P1667" s="248"/>
      <c r="Q1667" s="196"/>
      <c r="R1667" s="248"/>
      <c r="T1667" s="169"/>
      <c r="U1667" s="50"/>
      <c r="V1667" s="2177"/>
      <c r="W1667" s="228"/>
      <c r="X1667" s="228"/>
      <c r="Y1667" s="228"/>
      <c r="Z1667" s="228"/>
      <c r="AA1667" s="228"/>
      <c r="AB1667" s="228"/>
      <c r="AC1667" s="228"/>
      <c r="AD1667" s="226">
        <v>1</v>
      </c>
      <c r="AE1667" s="228">
        <v>1</v>
      </c>
      <c r="AF1667" s="258">
        <f t="shared" si="220"/>
        <v>1</v>
      </c>
      <c r="AG1667" s="228"/>
      <c r="DG1667" s="555"/>
      <c r="DH1667" s="151"/>
      <c r="DI1667" s="1049"/>
      <c r="DJ1667" s="1127"/>
    </row>
    <row r="1668" spans="1:114" ht="15" hidden="1" customHeight="1" outlineLevel="1" x14ac:dyDescent="0.25">
      <c r="A1668" s="442"/>
      <c r="C1668" s="49"/>
      <c r="D1668" s="2177"/>
      <c r="E1668" s="2177"/>
      <c r="F1668" s="2176" t="str">
        <f>$E$787</f>
        <v>ASHP-SEER17_ER1_SF</v>
      </c>
      <c r="G1668" s="2176"/>
      <c r="H1668" s="2176"/>
      <c r="I1668" s="2176"/>
      <c r="J1668" s="986" t="str">
        <f>$C$787</f>
        <v>353750_2024_12_</v>
      </c>
      <c r="K1668" s="1606">
        <v>1</v>
      </c>
      <c r="L1668" s="249"/>
      <c r="M1668" s="1307"/>
      <c r="P1668" s="248"/>
      <c r="Q1668" s="196"/>
      <c r="R1668" s="248"/>
      <c r="T1668" s="169"/>
      <c r="U1668" s="50"/>
      <c r="V1668" s="2177"/>
      <c r="W1668" s="228">
        <v>1</v>
      </c>
      <c r="X1668" s="228">
        <v>1</v>
      </c>
      <c r="Y1668" s="228">
        <v>1</v>
      </c>
      <c r="Z1668" s="228">
        <v>1</v>
      </c>
      <c r="AA1668" s="228">
        <v>1</v>
      </c>
      <c r="AB1668" s="228">
        <v>1</v>
      </c>
      <c r="AC1668" s="228">
        <v>1</v>
      </c>
      <c r="AD1668" s="228">
        <v>1</v>
      </c>
      <c r="AE1668" s="228">
        <v>1</v>
      </c>
      <c r="AF1668" s="258">
        <f t="shared" si="220"/>
        <v>1</v>
      </c>
      <c r="AG1668" s="228"/>
      <c r="DG1668" s="555"/>
      <c r="DH1668" s="151"/>
      <c r="DI1668" s="1049"/>
      <c r="DJ1668" s="1127"/>
    </row>
    <row r="1669" spans="1:114" ht="15" hidden="1" customHeight="1" outlineLevel="1" x14ac:dyDescent="0.25">
      <c r="A1669" s="442"/>
      <c r="C1669" s="49"/>
      <c r="D1669" s="2177"/>
      <c r="E1669" s="2177"/>
      <c r="F1669" s="2176" t="str">
        <f>$E$789</f>
        <v>ASHP-SEER17_ER2_SF</v>
      </c>
      <c r="G1669" s="2176"/>
      <c r="H1669" s="2176"/>
      <c r="I1669" s="2176"/>
      <c r="J1669" s="986" t="str">
        <f>$C$789</f>
        <v>353750_2024_12_</v>
      </c>
      <c r="K1669" s="1606">
        <v>1</v>
      </c>
      <c r="L1669" s="249"/>
      <c r="M1669" s="1307"/>
      <c r="T1669" s="50"/>
      <c r="U1669" s="50"/>
      <c r="V1669" s="2177"/>
      <c r="W1669" s="228">
        <v>1</v>
      </c>
      <c r="X1669" s="228">
        <v>1</v>
      </c>
      <c r="Y1669" s="228">
        <v>1</v>
      </c>
      <c r="Z1669" s="228">
        <v>1</v>
      </c>
      <c r="AA1669" s="228">
        <v>1</v>
      </c>
      <c r="AB1669" s="228">
        <v>1</v>
      </c>
      <c r="AC1669" s="228">
        <v>1</v>
      </c>
      <c r="AD1669" s="228">
        <v>1</v>
      </c>
      <c r="AE1669" s="228">
        <v>1</v>
      </c>
      <c r="AF1669" s="258">
        <f t="shared" si="220"/>
        <v>1</v>
      </c>
      <c r="AG1669" s="228"/>
      <c r="DG1669" s="555"/>
      <c r="DH1669" s="151"/>
      <c r="DI1669" s="1049"/>
      <c r="DJ1669" s="1127"/>
    </row>
    <row r="1670" spans="1:114" ht="15" hidden="1" customHeight="1" outlineLevel="1" x14ac:dyDescent="0.25">
      <c r="A1670" s="442"/>
      <c r="C1670" s="49"/>
      <c r="D1670" s="2177"/>
      <c r="E1670" s="2177"/>
      <c r="F1670" s="2176" t="str">
        <f>$E$791</f>
        <v>ASHP-SEER17_ROF_SF</v>
      </c>
      <c r="G1670" s="2176"/>
      <c r="H1670" s="2176"/>
      <c r="I1670" s="2176"/>
      <c r="J1670" s="986" t="str">
        <f>$C$791</f>
        <v>353800_2024_12_</v>
      </c>
      <c r="K1670" s="1606">
        <v>1</v>
      </c>
      <c r="L1670" s="249"/>
      <c r="M1670" s="1307"/>
      <c r="P1670" s="248"/>
      <c r="Q1670" s="196"/>
      <c r="R1670" s="248"/>
      <c r="T1670" s="169"/>
      <c r="U1670" s="50"/>
      <c r="V1670" s="2177"/>
      <c r="W1670" s="228">
        <v>1</v>
      </c>
      <c r="X1670" s="228">
        <v>1</v>
      </c>
      <c r="Y1670" s="228">
        <v>1</v>
      </c>
      <c r="Z1670" s="228">
        <v>1</v>
      </c>
      <c r="AA1670" s="228">
        <v>1</v>
      </c>
      <c r="AB1670" s="228">
        <v>1</v>
      </c>
      <c r="AC1670" s="228">
        <v>1</v>
      </c>
      <c r="AD1670" s="228">
        <v>1</v>
      </c>
      <c r="AE1670" s="228">
        <v>1</v>
      </c>
      <c r="AF1670" s="258">
        <f t="shared" si="220"/>
        <v>1</v>
      </c>
      <c r="AG1670" s="228"/>
      <c r="DG1670" s="555"/>
      <c r="DH1670" s="151"/>
      <c r="DI1670" s="1049"/>
      <c r="DJ1670" s="1127"/>
    </row>
    <row r="1671" spans="1:114" ht="15" hidden="1" customHeight="1" outlineLevel="1" x14ac:dyDescent="0.25">
      <c r="A1671" s="442"/>
      <c r="C1671" s="49"/>
      <c r="D1671" s="2177"/>
      <c r="E1671" s="2177"/>
      <c r="F1671" s="2176" t="str">
        <f>$E$793</f>
        <v>ASHP-SEER18_ER1_SF</v>
      </c>
      <c r="G1671" s="2176"/>
      <c r="H1671" s="2176"/>
      <c r="I1671" s="2176"/>
      <c r="J1671" s="986" t="str">
        <f>$C$793</f>
        <v>353850_2024_12_</v>
      </c>
      <c r="K1671" s="1606">
        <v>1</v>
      </c>
      <c r="L1671" s="249"/>
      <c r="M1671" s="1307"/>
      <c r="T1671" s="50"/>
      <c r="U1671" s="50"/>
      <c r="V1671" s="2177"/>
      <c r="W1671" s="228">
        <v>1</v>
      </c>
      <c r="X1671" s="228">
        <v>1</v>
      </c>
      <c r="Y1671" s="228">
        <v>1</v>
      </c>
      <c r="Z1671" s="228">
        <v>1</v>
      </c>
      <c r="AA1671" s="228">
        <v>1</v>
      </c>
      <c r="AB1671" s="228">
        <v>1</v>
      </c>
      <c r="AC1671" s="228">
        <v>1</v>
      </c>
      <c r="AD1671" s="228">
        <v>1</v>
      </c>
      <c r="AE1671" s="228">
        <v>1</v>
      </c>
      <c r="AF1671" s="258">
        <f t="shared" si="220"/>
        <v>1</v>
      </c>
      <c r="AG1671" s="228"/>
      <c r="DG1671" s="555"/>
      <c r="DH1671" s="151"/>
      <c r="DI1671" s="1049"/>
      <c r="DJ1671" s="1127"/>
    </row>
    <row r="1672" spans="1:114" ht="15" hidden="1" customHeight="1" outlineLevel="1" x14ac:dyDescent="0.25">
      <c r="A1672" s="442"/>
      <c r="C1672" s="49"/>
      <c r="D1672" s="2177"/>
      <c r="E1672" s="2177"/>
      <c r="F1672" s="2176" t="str">
        <f>$E$795</f>
        <v>ASHP-SEER18_ER2_SF</v>
      </c>
      <c r="G1672" s="2176"/>
      <c r="H1672" s="2176"/>
      <c r="I1672" s="2176"/>
      <c r="J1672" s="986" t="str">
        <f>$C$795</f>
        <v>353850_2024_12_</v>
      </c>
      <c r="K1672" s="1606">
        <v>1</v>
      </c>
      <c r="L1672" s="249"/>
      <c r="M1672" s="1307"/>
      <c r="T1672" s="50"/>
      <c r="U1672" s="50"/>
      <c r="V1672" s="2177"/>
      <c r="W1672" s="228">
        <v>1</v>
      </c>
      <c r="X1672" s="228">
        <v>1</v>
      </c>
      <c r="Y1672" s="228">
        <v>1</v>
      </c>
      <c r="Z1672" s="228">
        <v>1</v>
      </c>
      <c r="AA1672" s="228">
        <v>1</v>
      </c>
      <c r="AB1672" s="228">
        <v>1</v>
      </c>
      <c r="AC1672" s="228">
        <v>1</v>
      </c>
      <c r="AD1672" s="228">
        <v>1</v>
      </c>
      <c r="AE1672" s="228">
        <v>1</v>
      </c>
      <c r="AF1672" s="258">
        <f t="shared" si="220"/>
        <v>1</v>
      </c>
      <c r="AG1672" s="228"/>
      <c r="DG1672" s="555"/>
      <c r="DH1672" s="151"/>
      <c r="DI1672" s="1049"/>
      <c r="DJ1672" s="1127"/>
    </row>
    <row r="1673" spans="1:114" ht="15" hidden="1" customHeight="1" outlineLevel="1" x14ac:dyDescent="0.25">
      <c r="A1673" s="442"/>
      <c r="C1673" s="49"/>
      <c r="D1673" s="2177"/>
      <c r="E1673" s="2177"/>
      <c r="F1673" s="2176" t="str">
        <f>$E$797</f>
        <v>ASHP-SEER18_ROF_SF</v>
      </c>
      <c r="G1673" s="2176"/>
      <c r="H1673" s="2176"/>
      <c r="I1673" s="2176"/>
      <c r="J1673" s="986" t="str">
        <f>$C$797</f>
        <v>353950_2024_12_</v>
      </c>
      <c r="K1673" s="1606">
        <v>1</v>
      </c>
      <c r="L1673" s="249"/>
      <c r="M1673" s="1307"/>
      <c r="P1673" s="248"/>
      <c r="Q1673" s="196"/>
      <c r="R1673" s="248"/>
      <c r="T1673" s="169"/>
      <c r="U1673" s="50"/>
      <c r="V1673" s="2177"/>
      <c r="W1673" s="228">
        <v>1</v>
      </c>
      <c r="X1673" s="228">
        <v>1</v>
      </c>
      <c r="Y1673" s="228">
        <v>1</v>
      </c>
      <c r="Z1673" s="228">
        <v>1</v>
      </c>
      <c r="AA1673" s="228">
        <v>1</v>
      </c>
      <c r="AB1673" s="228">
        <v>1</v>
      </c>
      <c r="AC1673" s="228">
        <v>1</v>
      </c>
      <c r="AD1673" s="228">
        <v>1</v>
      </c>
      <c r="AE1673" s="228">
        <v>1</v>
      </c>
      <c r="AF1673" s="258">
        <f t="shared" si="220"/>
        <v>1</v>
      </c>
      <c r="AG1673" s="228"/>
      <c r="DG1673" s="555"/>
      <c r="DH1673" s="151"/>
      <c r="DI1673" s="1049"/>
      <c r="DJ1673" s="1127"/>
    </row>
    <row r="1674" spans="1:114" ht="15" hidden="1" customHeight="1" outlineLevel="1" x14ac:dyDescent="0.25">
      <c r="A1674" s="442"/>
      <c r="C1674" s="49"/>
      <c r="D1674" s="2177"/>
      <c r="E1674" s="2177"/>
      <c r="F1674" s="2176" t="str">
        <f>$E$799</f>
        <v>ASHP-SEER19_ER1_SF</v>
      </c>
      <c r="G1674" s="2176"/>
      <c r="H1674" s="2176"/>
      <c r="I1674" s="2176"/>
      <c r="J1674" s="986" t="str">
        <f>$C$799</f>
        <v>354000_2024_12_</v>
      </c>
      <c r="K1674" s="1606">
        <v>1</v>
      </c>
      <c r="L1674" s="249"/>
      <c r="M1674" s="1307"/>
      <c r="T1674" s="50"/>
      <c r="U1674" s="50"/>
      <c r="V1674" s="2177"/>
      <c r="W1674" s="228">
        <v>1</v>
      </c>
      <c r="X1674" s="228">
        <v>1</v>
      </c>
      <c r="Y1674" s="228">
        <v>1</v>
      </c>
      <c r="Z1674" s="228">
        <v>1</v>
      </c>
      <c r="AA1674" s="228">
        <v>1</v>
      </c>
      <c r="AB1674" s="228">
        <v>1</v>
      </c>
      <c r="AC1674" s="228">
        <v>1</v>
      </c>
      <c r="AD1674" s="228">
        <v>1</v>
      </c>
      <c r="AE1674" s="228">
        <v>1</v>
      </c>
      <c r="AF1674" s="258">
        <f t="shared" si="220"/>
        <v>1</v>
      </c>
      <c r="AG1674" s="228"/>
      <c r="DG1674" s="555"/>
      <c r="DH1674" s="151"/>
      <c r="DI1674" s="1049"/>
      <c r="DJ1674" s="1127"/>
    </row>
    <row r="1675" spans="1:114" ht="15" hidden="1" customHeight="1" outlineLevel="1" x14ac:dyDescent="0.25">
      <c r="A1675" s="442"/>
      <c r="C1675" s="49"/>
      <c r="D1675" s="2177"/>
      <c r="E1675" s="2177"/>
      <c r="F1675" s="2176" t="str">
        <f>$E$801</f>
        <v>ASHP-SEER19_ER2_SF</v>
      </c>
      <c r="G1675" s="2176"/>
      <c r="H1675" s="2176"/>
      <c r="I1675" s="2176"/>
      <c r="J1675" s="986" t="str">
        <f>$C$801</f>
        <v>354000_2024_12_</v>
      </c>
      <c r="K1675" s="1606">
        <v>1</v>
      </c>
      <c r="L1675" s="249"/>
      <c r="M1675" s="1307"/>
      <c r="T1675" s="50"/>
      <c r="U1675" s="50"/>
      <c r="V1675" s="2177"/>
      <c r="W1675" s="228">
        <v>1</v>
      </c>
      <c r="X1675" s="228">
        <v>1</v>
      </c>
      <c r="Y1675" s="228">
        <v>1</v>
      </c>
      <c r="Z1675" s="228">
        <v>1</v>
      </c>
      <c r="AA1675" s="228">
        <v>1</v>
      </c>
      <c r="AB1675" s="228">
        <v>1</v>
      </c>
      <c r="AC1675" s="228">
        <v>1</v>
      </c>
      <c r="AD1675" s="228">
        <v>1</v>
      </c>
      <c r="AE1675" s="228">
        <v>1</v>
      </c>
      <c r="AF1675" s="258">
        <f t="shared" si="220"/>
        <v>1</v>
      </c>
      <c r="AG1675" s="228"/>
      <c r="DG1675" s="555"/>
      <c r="DH1675" s="151"/>
      <c r="DI1675" s="1049"/>
      <c r="DJ1675" s="1127"/>
    </row>
    <row r="1676" spans="1:114" ht="15" hidden="1" customHeight="1" outlineLevel="1" x14ac:dyDescent="0.25">
      <c r="A1676" s="442"/>
      <c r="C1676" s="49"/>
      <c r="D1676" s="2177"/>
      <c r="E1676" s="2177"/>
      <c r="F1676" s="2176" t="str">
        <f>$E$803</f>
        <v>ASHP-SEER19_ROF_SF</v>
      </c>
      <c r="G1676" s="2176"/>
      <c r="H1676" s="2176"/>
      <c r="I1676" s="2176"/>
      <c r="J1676" s="986" t="str">
        <f>$C$803</f>
        <v>354050_2024_12_</v>
      </c>
      <c r="K1676" s="1606">
        <v>1</v>
      </c>
      <c r="L1676" s="249"/>
      <c r="M1676" s="1307"/>
      <c r="P1676" s="248"/>
      <c r="Q1676" s="196"/>
      <c r="R1676" s="248"/>
      <c r="T1676" s="169"/>
      <c r="U1676" s="50"/>
      <c r="V1676" s="2177"/>
      <c r="W1676" s="228">
        <v>1</v>
      </c>
      <c r="X1676" s="228">
        <v>1</v>
      </c>
      <c r="Y1676" s="228">
        <v>1</v>
      </c>
      <c r="Z1676" s="228">
        <v>1</v>
      </c>
      <c r="AA1676" s="228">
        <v>1</v>
      </c>
      <c r="AB1676" s="228">
        <v>1</v>
      </c>
      <c r="AC1676" s="228">
        <v>1</v>
      </c>
      <c r="AD1676" s="228">
        <v>1</v>
      </c>
      <c r="AE1676" s="228">
        <v>1</v>
      </c>
      <c r="AF1676" s="258">
        <f t="shared" si="220"/>
        <v>1</v>
      </c>
      <c r="AG1676" s="228"/>
      <c r="DG1676" s="555"/>
      <c r="DH1676" s="151"/>
      <c r="DI1676" s="1049"/>
      <c r="DJ1676" s="1127"/>
    </row>
    <row r="1677" spans="1:114" ht="15" hidden="1" customHeight="1" outlineLevel="1" x14ac:dyDescent="0.25">
      <c r="A1677" s="442"/>
      <c r="C1677" s="49"/>
      <c r="D1677" s="2177"/>
      <c r="E1677" s="2177"/>
      <c r="F1677" s="2176" t="str">
        <f>$E$805</f>
        <v>ASHP-SEER17-Replace_CAC_ElectricHeat_ER1_SF</v>
      </c>
      <c r="G1677" s="2176"/>
      <c r="H1677" s="2176"/>
      <c r="I1677" s="2176"/>
      <c r="J1677" s="986" t="str">
        <f>$C$805</f>
        <v>354100_2024_12_</v>
      </c>
      <c r="K1677" s="1606">
        <v>1</v>
      </c>
      <c r="L1677" s="249"/>
      <c r="M1677" s="1307"/>
      <c r="P1677" s="248"/>
      <c r="Q1677" s="196"/>
      <c r="R1677" s="248"/>
      <c r="T1677" s="169"/>
      <c r="U1677" s="50"/>
      <c r="V1677" s="2177"/>
      <c r="W1677" s="228">
        <v>1</v>
      </c>
      <c r="X1677" s="228">
        <v>1</v>
      </c>
      <c r="Y1677" s="228">
        <v>1</v>
      </c>
      <c r="Z1677" s="228">
        <v>1</v>
      </c>
      <c r="AA1677" s="228">
        <v>1</v>
      </c>
      <c r="AB1677" s="228">
        <v>1</v>
      </c>
      <c r="AC1677" s="228">
        <v>1</v>
      </c>
      <c r="AD1677" s="228">
        <v>1</v>
      </c>
      <c r="AE1677" s="228">
        <v>1</v>
      </c>
      <c r="AF1677" s="258">
        <f t="shared" si="220"/>
        <v>1</v>
      </c>
      <c r="AG1677" s="228"/>
      <c r="DG1677" s="555"/>
      <c r="DH1677" s="151"/>
      <c r="DI1677" s="1049"/>
      <c r="DJ1677" s="1127"/>
    </row>
    <row r="1678" spans="1:114" ht="15" hidden="1" customHeight="1" outlineLevel="1" x14ac:dyDescent="0.25">
      <c r="A1678" s="442"/>
      <c r="C1678" s="49"/>
      <c r="D1678" s="2177"/>
      <c r="E1678" s="2177"/>
      <c r="F1678" s="2176" t="str">
        <f>$E$807</f>
        <v>ASHP-SEER17-Replace_CAC_ElectricHeat_ER2_SF</v>
      </c>
      <c r="G1678" s="2176"/>
      <c r="H1678" s="2176"/>
      <c r="I1678" s="2176"/>
      <c r="J1678" s="986" t="str">
        <f>$C$807</f>
        <v>354100_2024_12_</v>
      </c>
      <c r="K1678" s="1606">
        <v>1</v>
      </c>
      <c r="L1678" s="249"/>
      <c r="M1678" s="1307"/>
      <c r="P1678" s="248"/>
      <c r="Q1678" s="196"/>
      <c r="R1678" s="248"/>
      <c r="T1678" s="169"/>
      <c r="U1678" s="50"/>
      <c r="V1678" s="2177"/>
      <c r="W1678" s="228">
        <v>1</v>
      </c>
      <c r="X1678" s="228">
        <v>1</v>
      </c>
      <c r="Y1678" s="228">
        <v>1</v>
      </c>
      <c r="Z1678" s="228">
        <v>1</v>
      </c>
      <c r="AA1678" s="228">
        <v>1</v>
      </c>
      <c r="AB1678" s="228">
        <v>1</v>
      </c>
      <c r="AC1678" s="228">
        <v>1</v>
      </c>
      <c r="AD1678" s="228">
        <v>1</v>
      </c>
      <c r="AE1678" s="228">
        <v>1</v>
      </c>
      <c r="AF1678" s="258">
        <f t="shared" si="220"/>
        <v>1</v>
      </c>
      <c r="AG1678" s="228"/>
      <c r="DG1678" s="555"/>
      <c r="DH1678" s="151"/>
      <c r="DI1678" s="1049"/>
      <c r="DJ1678" s="1127"/>
    </row>
    <row r="1679" spans="1:114" ht="15" hidden="1" customHeight="1" outlineLevel="1" x14ac:dyDescent="0.25">
      <c r="A1679" s="442"/>
      <c r="C1679" s="49"/>
      <c r="D1679" s="2177"/>
      <c r="E1679" s="2177"/>
      <c r="F1679" s="2176" t="str">
        <f>$E$809</f>
        <v>ASHP-SEER17-Replace_CAC_NonElectricHeat_ER1_SF</v>
      </c>
      <c r="G1679" s="2176"/>
      <c r="H1679" s="2176"/>
      <c r="I1679" s="2176"/>
      <c r="J1679" s="986" t="str">
        <f>$C$809</f>
        <v>354110_2024_12_</v>
      </c>
      <c r="K1679" s="1606">
        <v>1</v>
      </c>
      <c r="L1679" s="249"/>
      <c r="M1679" s="1307"/>
      <c r="P1679" s="248"/>
      <c r="Q1679" s="196"/>
      <c r="R1679" s="248"/>
      <c r="T1679" s="169"/>
      <c r="U1679" s="50"/>
      <c r="V1679" s="2177"/>
      <c r="W1679" s="228"/>
      <c r="X1679" s="228"/>
      <c r="Y1679" s="228"/>
      <c r="Z1679" s="228"/>
      <c r="AA1679" s="228"/>
      <c r="AB1679" s="228"/>
      <c r="AC1679" s="226">
        <v>1</v>
      </c>
      <c r="AD1679" s="228">
        <v>1</v>
      </c>
      <c r="AE1679" s="228">
        <v>1</v>
      </c>
      <c r="AF1679" s="258">
        <f t="shared" si="220"/>
        <v>1</v>
      </c>
      <c r="AG1679" s="228"/>
      <c r="DG1679" s="555"/>
      <c r="DH1679" s="151"/>
      <c r="DI1679" s="1049"/>
      <c r="DJ1679" s="1127"/>
    </row>
    <row r="1680" spans="1:114" ht="15" hidden="1" customHeight="1" outlineLevel="1" x14ac:dyDescent="0.25">
      <c r="A1680" s="442"/>
      <c r="C1680" s="49"/>
      <c r="D1680" s="2177"/>
      <c r="E1680" s="2177"/>
      <c r="F1680" s="2176" t="str">
        <f>$E$811</f>
        <v>ASHP-SEER17-Replace_CAC_NonElectricHeat_ER2_SF</v>
      </c>
      <c r="G1680" s="2176"/>
      <c r="H1680" s="2176"/>
      <c r="I1680" s="2176"/>
      <c r="J1680" s="986" t="str">
        <f>$C$811</f>
        <v>354110_2024_12_</v>
      </c>
      <c r="K1680" s="1606">
        <v>1</v>
      </c>
      <c r="L1680" s="249"/>
      <c r="M1680" s="1307"/>
      <c r="P1680" s="248"/>
      <c r="Q1680" s="196"/>
      <c r="R1680" s="248"/>
      <c r="T1680" s="169"/>
      <c r="U1680" s="50"/>
      <c r="V1680" s="2177"/>
      <c r="W1680" s="228"/>
      <c r="X1680" s="228"/>
      <c r="Y1680" s="228"/>
      <c r="Z1680" s="228"/>
      <c r="AA1680" s="228"/>
      <c r="AB1680" s="228"/>
      <c r="AC1680" s="226">
        <v>1</v>
      </c>
      <c r="AD1680" s="228">
        <v>1</v>
      </c>
      <c r="AE1680" s="228">
        <v>1</v>
      </c>
      <c r="AF1680" s="258">
        <f t="shared" si="220"/>
        <v>1</v>
      </c>
      <c r="AG1680" s="228"/>
      <c r="DG1680" s="555"/>
      <c r="DH1680" s="151"/>
      <c r="DI1680" s="1049"/>
      <c r="DJ1680" s="1127"/>
    </row>
    <row r="1681" spans="1:114" ht="15" hidden="1" customHeight="1" outlineLevel="1" x14ac:dyDescent="0.25">
      <c r="A1681" s="442"/>
      <c r="C1681" s="49"/>
      <c r="D1681" s="2177"/>
      <c r="E1681" s="2177"/>
      <c r="F1681" s="2176" t="str">
        <f>$E$813</f>
        <v>ASHP-SEER17-Replace_CAC_ElectricHeat_ER1_MF</v>
      </c>
      <c r="G1681" s="2176"/>
      <c r="H1681" s="2176"/>
      <c r="I1681" s="2176"/>
      <c r="J1681" s="986" t="str">
        <f>$C$813</f>
        <v>354150_2024_12_</v>
      </c>
      <c r="K1681" s="1606">
        <v>0.65</v>
      </c>
      <c r="L1681" s="249"/>
      <c r="M1681" s="1307"/>
      <c r="P1681" s="248"/>
      <c r="Q1681" s="196"/>
      <c r="R1681" s="248"/>
      <c r="T1681" s="169"/>
      <c r="U1681" s="50"/>
      <c r="V1681" s="2177"/>
      <c r="W1681" s="228">
        <v>0.65</v>
      </c>
      <c r="X1681" s="228">
        <v>0.65</v>
      </c>
      <c r="Y1681" s="228">
        <v>0.65</v>
      </c>
      <c r="Z1681" s="228">
        <v>0.65</v>
      </c>
      <c r="AA1681" s="228">
        <v>0.65</v>
      </c>
      <c r="AB1681" s="228">
        <v>0.65</v>
      </c>
      <c r="AC1681" s="228">
        <v>0.65</v>
      </c>
      <c r="AD1681" s="228">
        <v>0.65</v>
      </c>
      <c r="AE1681" s="228">
        <v>0.65</v>
      </c>
      <c r="AF1681" s="258">
        <f t="shared" si="220"/>
        <v>0.65</v>
      </c>
      <c r="AG1681" s="228"/>
      <c r="DG1681" s="555"/>
      <c r="DH1681" s="151"/>
      <c r="DI1681" s="1049"/>
      <c r="DJ1681" s="1127"/>
    </row>
    <row r="1682" spans="1:114" ht="15" hidden="1" customHeight="1" outlineLevel="1" x14ac:dyDescent="0.25">
      <c r="A1682" s="442"/>
      <c r="C1682" s="49"/>
      <c r="D1682" s="2177"/>
      <c r="E1682" s="2177"/>
      <c r="F1682" s="2176" t="str">
        <f>$E$815</f>
        <v>ASHP-SEER17-Replace_CAC_ElectricHeat_ER2_MF</v>
      </c>
      <c r="G1682" s="2176"/>
      <c r="H1682" s="2176"/>
      <c r="I1682" s="2176"/>
      <c r="J1682" s="986" t="str">
        <f>$C$815</f>
        <v>354150_2024_12_</v>
      </c>
      <c r="K1682" s="1606">
        <v>0.65</v>
      </c>
      <c r="L1682" s="249"/>
      <c r="M1682" s="1307"/>
      <c r="P1682" s="248"/>
      <c r="Q1682" s="196"/>
      <c r="R1682" s="248"/>
      <c r="T1682" s="169"/>
      <c r="U1682" s="50"/>
      <c r="V1682" s="2177"/>
      <c r="W1682" s="228">
        <v>0.65</v>
      </c>
      <c r="X1682" s="228">
        <v>0.65</v>
      </c>
      <c r="Y1682" s="228">
        <v>0.65</v>
      </c>
      <c r="Z1682" s="228">
        <v>0.65</v>
      </c>
      <c r="AA1682" s="228">
        <v>0.65</v>
      </c>
      <c r="AB1682" s="228">
        <v>0.65</v>
      </c>
      <c r="AC1682" s="228">
        <v>0.65</v>
      </c>
      <c r="AD1682" s="228">
        <v>0.65</v>
      </c>
      <c r="AE1682" s="228">
        <v>0.65</v>
      </c>
      <c r="AF1682" s="258">
        <f t="shared" si="220"/>
        <v>0.65</v>
      </c>
      <c r="AG1682" s="228"/>
      <c r="DG1682" s="555"/>
      <c r="DH1682" s="151"/>
      <c r="DI1682" s="1049"/>
      <c r="DJ1682" s="1127"/>
    </row>
    <row r="1683" spans="1:114" ht="15" hidden="1" customHeight="1" outlineLevel="1" x14ac:dyDescent="0.25">
      <c r="A1683" s="442"/>
      <c r="C1683" s="49"/>
      <c r="D1683" s="2177"/>
      <c r="E1683" s="2177"/>
      <c r="F1683" s="2176" t="str">
        <f>$E$817</f>
        <v>ASHP-SEER17_ER1_MF</v>
      </c>
      <c r="G1683" s="2176"/>
      <c r="H1683" s="2176"/>
      <c r="I1683" s="2176"/>
      <c r="J1683" s="986" t="str">
        <f>$C$817</f>
        <v>354200_2024_12_</v>
      </c>
      <c r="K1683" s="1606">
        <v>0.65</v>
      </c>
      <c r="L1683" s="249"/>
      <c r="M1683" s="1307"/>
      <c r="P1683" s="248"/>
      <c r="Q1683" s="196"/>
      <c r="R1683" s="248"/>
      <c r="T1683" s="169"/>
      <c r="U1683" s="50"/>
      <c r="V1683" s="2177"/>
      <c r="W1683" s="228">
        <v>0.65</v>
      </c>
      <c r="X1683" s="228">
        <v>0.65</v>
      </c>
      <c r="Y1683" s="228">
        <v>0.65</v>
      </c>
      <c r="Z1683" s="228">
        <v>0.65</v>
      </c>
      <c r="AA1683" s="228">
        <v>0.65</v>
      </c>
      <c r="AB1683" s="228">
        <v>0.65</v>
      </c>
      <c r="AC1683" s="228">
        <v>0.65</v>
      </c>
      <c r="AD1683" s="228">
        <v>0.65</v>
      </c>
      <c r="AE1683" s="228">
        <v>0.65</v>
      </c>
      <c r="AF1683" s="258">
        <f t="shared" ref="AF1683:AF1714" si="221">IF(K1683&lt;&gt;"",K1683,"")</f>
        <v>0.65</v>
      </c>
      <c r="AG1683" s="228"/>
      <c r="DG1683" s="555"/>
      <c r="DH1683" s="151"/>
      <c r="DI1683" s="1049"/>
      <c r="DJ1683" s="1127"/>
    </row>
    <row r="1684" spans="1:114" ht="15" hidden="1" customHeight="1" outlineLevel="1" x14ac:dyDescent="0.25">
      <c r="A1684" s="442"/>
      <c r="C1684" s="49"/>
      <c r="D1684" s="2177"/>
      <c r="E1684" s="2177"/>
      <c r="F1684" s="2176" t="str">
        <f>$E$819</f>
        <v>ASHP-SEER17_ER2_MF</v>
      </c>
      <c r="G1684" s="2176"/>
      <c r="H1684" s="2176"/>
      <c r="I1684" s="2176"/>
      <c r="J1684" s="986" t="str">
        <f>$C$819</f>
        <v>354200_2024_12_</v>
      </c>
      <c r="K1684" s="1606">
        <v>0.65</v>
      </c>
      <c r="L1684" s="249"/>
      <c r="M1684" s="1307"/>
      <c r="P1684" s="248"/>
      <c r="Q1684" s="196"/>
      <c r="R1684" s="248"/>
      <c r="T1684" s="169"/>
      <c r="U1684" s="50"/>
      <c r="V1684" s="2177"/>
      <c r="W1684" s="228">
        <v>0.65</v>
      </c>
      <c r="X1684" s="228">
        <v>0.65</v>
      </c>
      <c r="Y1684" s="228">
        <v>0.65</v>
      </c>
      <c r="Z1684" s="228">
        <v>0.65</v>
      </c>
      <c r="AA1684" s="228">
        <v>0.65</v>
      </c>
      <c r="AB1684" s="228">
        <v>0.65</v>
      </c>
      <c r="AC1684" s="228">
        <v>0.65</v>
      </c>
      <c r="AD1684" s="228">
        <v>0.65</v>
      </c>
      <c r="AE1684" s="228">
        <v>0.65</v>
      </c>
      <c r="AF1684" s="258">
        <f t="shared" si="221"/>
        <v>0.65</v>
      </c>
      <c r="AG1684" s="228"/>
      <c r="DG1684" s="555"/>
      <c r="DH1684" s="151"/>
      <c r="DI1684" s="1049"/>
      <c r="DJ1684" s="1127"/>
    </row>
    <row r="1685" spans="1:114" ht="15" hidden="1" customHeight="1" outlineLevel="1" x14ac:dyDescent="0.25">
      <c r="A1685" s="442"/>
      <c r="C1685" s="49"/>
      <c r="D1685" s="2177"/>
      <c r="E1685" s="2177"/>
      <c r="F1685" s="2176" t="str">
        <f>$E$821</f>
        <v>ASHP-SEER18-Replace_CAC_ElectricHeat_ER1_SF</v>
      </c>
      <c r="G1685" s="2176"/>
      <c r="H1685" s="2176"/>
      <c r="I1685" s="2176"/>
      <c r="J1685" s="986" t="str">
        <f>$C$821</f>
        <v>354250_2024_12_</v>
      </c>
      <c r="K1685" s="1606">
        <v>1</v>
      </c>
      <c r="L1685" s="249"/>
      <c r="M1685" s="1307"/>
      <c r="P1685" s="248"/>
      <c r="Q1685" s="196"/>
      <c r="R1685" s="248"/>
      <c r="T1685" s="169"/>
      <c r="U1685" s="50"/>
      <c r="V1685" s="2177"/>
      <c r="W1685" s="228">
        <v>1</v>
      </c>
      <c r="X1685" s="228">
        <v>1</v>
      </c>
      <c r="Y1685" s="228">
        <v>1</v>
      </c>
      <c r="Z1685" s="228">
        <v>1</v>
      </c>
      <c r="AA1685" s="228">
        <v>1</v>
      </c>
      <c r="AB1685" s="228">
        <v>1</v>
      </c>
      <c r="AC1685" s="228">
        <v>1</v>
      </c>
      <c r="AD1685" s="228">
        <v>1</v>
      </c>
      <c r="AE1685" s="228">
        <v>1</v>
      </c>
      <c r="AF1685" s="258">
        <f t="shared" si="221"/>
        <v>1</v>
      </c>
      <c r="AG1685" s="228"/>
      <c r="DG1685" s="555"/>
      <c r="DH1685" s="151"/>
      <c r="DI1685" s="1049"/>
      <c r="DJ1685" s="1127"/>
    </row>
    <row r="1686" spans="1:114" ht="15" hidden="1" customHeight="1" outlineLevel="1" x14ac:dyDescent="0.25">
      <c r="A1686" s="442"/>
      <c r="C1686" s="49"/>
      <c r="D1686" s="2177"/>
      <c r="E1686" s="2177"/>
      <c r="F1686" s="2176" t="str">
        <f>$E$823</f>
        <v>ASHP-SEER18-Replace_CAC_ElectricHeat_ER2_SF</v>
      </c>
      <c r="G1686" s="2176"/>
      <c r="H1686" s="2176"/>
      <c r="I1686" s="2176"/>
      <c r="J1686" s="986" t="str">
        <f>$C$823</f>
        <v>354250_2024_12_</v>
      </c>
      <c r="K1686" s="1606">
        <v>1</v>
      </c>
      <c r="L1686" s="249"/>
      <c r="M1686" s="1307"/>
      <c r="P1686" s="248"/>
      <c r="Q1686" s="196"/>
      <c r="R1686" s="248"/>
      <c r="T1686" s="169"/>
      <c r="U1686" s="50"/>
      <c r="V1686" s="2177"/>
      <c r="W1686" s="228">
        <v>1</v>
      </c>
      <c r="X1686" s="228">
        <v>1</v>
      </c>
      <c r="Y1686" s="228">
        <v>1</v>
      </c>
      <c r="Z1686" s="228">
        <v>1</v>
      </c>
      <c r="AA1686" s="228">
        <v>1</v>
      </c>
      <c r="AB1686" s="228">
        <v>1</v>
      </c>
      <c r="AC1686" s="228">
        <v>1</v>
      </c>
      <c r="AD1686" s="228">
        <v>1</v>
      </c>
      <c r="AE1686" s="228">
        <v>1</v>
      </c>
      <c r="AF1686" s="258">
        <f t="shared" si="221"/>
        <v>1</v>
      </c>
      <c r="AG1686" s="228"/>
      <c r="DG1686" s="555"/>
      <c r="DH1686" s="151"/>
      <c r="DI1686" s="1049"/>
      <c r="DJ1686" s="1127"/>
    </row>
    <row r="1687" spans="1:114" ht="15" hidden="1" customHeight="1" outlineLevel="1" x14ac:dyDescent="0.25">
      <c r="A1687" s="442"/>
      <c r="C1687" s="49"/>
      <c r="D1687" s="2177"/>
      <c r="E1687" s="2177"/>
      <c r="F1687" s="2176" t="str">
        <f>$E$825</f>
        <v>ASHP-SEER18-Replace_CAC_NonElectricHeat_ER1_SF</v>
      </c>
      <c r="G1687" s="2176"/>
      <c r="H1687" s="2176"/>
      <c r="I1687" s="2176"/>
      <c r="J1687" s="986" t="str">
        <f>$C$825</f>
        <v>354260_2024_12_</v>
      </c>
      <c r="K1687" s="1606">
        <v>1</v>
      </c>
      <c r="L1687" s="249"/>
      <c r="M1687" s="1307"/>
      <c r="P1687" s="248"/>
      <c r="Q1687" s="196"/>
      <c r="R1687" s="248"/>
      <c r="T1687" s="169"/>
      <c r="U1687" s="50"/>
      <c r="V1687" s="2177"/>
      <c r="W1687" s="228"/>
      <c r="X1687" s="228"/>
      <c r="Y1687" s="228"/>
      <c r="Z1687" s="228"/>
      <c r="AA1687" s="228"/>
      <c r="AB1687" s="228"/>
      <c r="AC1687" s="226">
        <v>1</v>
      </c>
      <c r="AD1687" s="228">
        <v>1</v>
      </c>
      <c r="AE1687" s="228">
        <v>1</v>
      </c>
      <c r="AF1687" s="258">
        <f t="shared" si="221"/>
        <v>1</v>
      </c>
      <c r="AG1687" s="228"/>
      <c r="DG1687" s="555"/>
      <c r="DH1687" s="151"/>
      <c r="DI1687" s="1049"/>
      <c r="DJ1687" s="1127"/>
    </row>
    <row r="1688" spans="1:114" ht="15" hidden="1" customHeight="1" outlineLevel="1" x14ac:dyDescent="0.25">
      <c r="A1688" s="442"/>
      <c r="C1688" s="49"/>
      <c r="D1688" s="2177"/>
      <c r="E1688" s="2177"/>
      <c r="F1688" s="2176" t="str">
        <f>$E$827</f>
        <v>ASHP-SEER18-Replace_CAC_NonElectricHeat_ER2_SF</v>
      </c>
      <c r="G1688" s="2176"/>
      <c r="H1688" s="2176"/>
      <c r="I1688" s="2176"/>
      <c r="J1688" s="986" t="str">
        <f>$C$827</f>
        <v>354260_2024_12_</v>
      </c>
      <c r="K1688" s="1606">
        <v>1</v>
      </c>
      <c r="L1688" s="249"/>
      <c r="M1688" s="1307"/>
      <c r="P1688" s="248"/>
      <c r="Q1688" s="196"/>
      <c r="R1688" s="248"/>
      <c r="T1688" s="169"/>
      <c r="U1688" s="50"/>
      <c r="V1688" s="2177"/>
      <c r="W1688" s="228"/>
      <c r="X1688" s="228"/>
      <c r="Y1688" s="228"/>
      <c r="Z1688" s="228"/>
      <c r="AA1688" s="228"/>
      <c r="AB1688" s="228"/>
      <c r="AC1688" s="226">
        <v>1</v>
      </c>
      <c r="AD1688" s="228">
        <v>1</v>
      </c>
      <c r="AE1688" s="228">
        <v>1</v>
      </c>
      <c r="AF1688" s="258">
        <f t="shared" si="221"/>
        <v>1</v>
      </c>
      <c r="AG1688" s="228"/>
      <c r="DG1688" s="555"/>
      <c r="DH1688" s="151"/>
      <c r="DI1688" s="1049"/>
      <c r="DJ1688" s="1127"/>
    </row>
    <row r="1689" spans="1:114" ht="15" hidden="1" customHeight="1" outlineLevel="1" x14ac:dyDescent="0.25">
      <c r="A1689" s="442"/>
      <c r="C1689" s="49"/>
      <c r="D1689" s="2177"/>
      <c r="E1689" s="2177"/>
      <c r="F1689" s="2176" t="str">
        <f>$E$829</f>
        <v>ASHP-SEER18-Replace_CAC_ElectricHeat_ER1_MF</v>
      </c>
      <c r="G1689" s="2176"/>
      <c r="H1689" s="2176"/>
      <c r="I1689" s="2176"/>
      <c r="J1689" s="986" t="str">
        <f>$C$829</f>
        <v>354300_2024_12_</v>
      </c>
      <c r="K1689" s="1606">
        <v>1</v>
      </c>
      <c r="L1689" s="249"/>
      <c r="M1689" s="1307"/>
      <c r="P1689" s="248"/>
      <c r="Q1689" s="196"/>
      <c r="R1689" s="248"/>
      <c r="T1689" s="169"/>
      <c r="U1689" s="50"/>
      <c r="V1689" s="2177"/>
      <c r="W1689" s="228">
        <v>0.65</v>
      </c>
      <c r="X1689" s="228">
        <v>0.65</v>
      </c>
      <c r="Y1689" s="228">
        <v>0.65</v>
      </c>
      <c r="Z1689" s="228">
        <v>0.65</v>
      </c>
      <c r="AA1689" s="228">
        <v>0.65</v>
      </c>
      <c r="AB1689" s="228">
        <v>0.65</v>
      </c>
      <c r="AC1689" s="228">
        <v>0.65</v>
      </c>
      <c r="AD1689" s="226">
        <v>1</v>
      </c>
      <c r="AE1689" s="228">
        <v>1</v>
      </c>
      <c r="AF1689" s="258">
        <f t="shared" si="221"/>
        <v>1</v>
      </c>
      <c r="AG1689" s="228"/>
      <c r="DG1689" s="555"/>
      <c r="DH1689" s="151"/>
      <c r="DI1689" s="1049"/>
      <c r="DJ1689" s="1127"/>
    </row>
    <row r="1690" spans="1:114" ht="15" hidden="1" customHeight="1" outlineLevel="1" x14ac:dyDescent="0.25">
      <c r="A1690" s="442"/>
      <c r="C1690" s="49"/>
      <c r="D1690" s="2177"/>
      <c r="E1690" s="2177"/>
      <c r="F1690" s="2176" t="str">
        <f>$E$831</f>
        <v>ASHP-SEER18-Replace_CAC_ElectricHeat_ER2_MF</v>
      </c>
      <c r="G1690" s="2176"/>
      <c r="H1690" s="2176"/>
      <c r="I1690" s="2176"/>
      <c r="J1690" s="986" t="str">
        <f>$C$831</f>
        <v>354300_2024_12_</v>
      </c>
      <c r="K1690" s="1606">
        <v>1</v>
      </c>
      <c r="L1690" s="249"/>
      <c r="M1690" s="1307"/>
      <c r="P1690" s="248"/>
      <c r="Q1690" s="196"/>
      <c r="R1690" s="248"/>
      <c r="T1690" s="169"/>
      <c r="U1690" s="50"/>
      <c r="V1690" s="2177"/>
      <c r="W1690" s="228">
        <v>0.65</v>
      </c>
      <c r="X1690" s="228">
        <v>0.65</v>
      </c>
      <c r="Y1690" s="228">
        <v>0.65</v>
      </c>
      <c r="Z1690" s="228">
        <v>0.65</v>
      </c>
      <c r="AA1690" s="228">
        <v>0.65</v>
      </c>
      <c r="AB1690" s="228">
        <v>0.65</v>
      </c>
      <c r="AC1690" s="228">
        <v>0.65</v>
      </c>
      <c r="AD1690" s="226">
        <v>1</v>
      </c>
      <c r="AE1690" s="228">
        <v>1</v>
      </c>
      <c r="AF1690" s="258">
        <f t="shared" si="221"/>
        <v>1</v>
      </c>
      <c r="AG1690" s="228"/>
      <c r="DG1690" s="555"/>
      <c r="DH1690" s="151"/>
      <c r="DI1690" s="1049"/>
      <c r="DJ1690" s="1127"/>
    </row>
    <row r="1691" spans="1:114" ht="15" hidden="1" customHeight="1" outlineLevel="1" x14ac:dyDescent="0.25">
      <c r="A1691" s="442"/>
      <c r="C1691" s="49"/>
      <c r="D1691" s="2177"/>
      <c r="E1691" s="2177"/>
      <c r="F1691" s="2176" t="str">
        <f>$E$833</f>
        <v>ASHP-SEER18_ER1_MF</v>
      </c>
      <c r="G1691" s="2176"/>
      <c r="H1691" s="2176"/>
      <c r="I1691" s="2176"/>
      <c r="J1691" s="986" t="str">
        <f>$C$833</f>
        <v>354350_2024_12_</v>
      </c>
      <c r="K1691" s="1606">
        <v>1</v>
      </c>
      <c r="L1691" s="249"/>
      <c r="M1691" s="1307"/>
      <c r="P1691" s="248"/>
      <c r="Q1691" s="196"/>
      <c r="R1691" s="248"/>
      <c r="T1691" s="169"/>
      <c r="U1691" s="50"/>
      <c r="V1691" s="2177"/>
      <c r="W1691" s="228">
        <v>0.65</v>
      </c>
      <c r="X1691" s="228">
        <v>0.65</v>
      </c>
      <c r="Y1691" s="228">
        <v>0.65</v>
      </c>
      <c r="Z1691" s="228">
        <v>0.65</v>
      </c>
      <c r="AA1691" s="228">
        <v>0.65</v>
      </c>
      <c r="AB1691" s="228">
        <v>0.65</v>
      </c>
      <c r="AC1691" s="228">
        <v>0.65</v>
      </c>
      <c r="AD1691" s="226">
        <v>1</v>
      </c>
      <c r="AE1691" s="228">
        <v>1</v>
      </c>
      <c r="AF1691" s="258">
        <f t="shared" si="221"/>
        <v>1</v>
      </c>
      <c r="AG1691" s="228"/>
      <c r="DG1691" s="555"/>
      <c r="DH1691" s="151"/>
      <c r="DI1691" s="1049"/>
      <c r="DJ1691" s="1127"/>
    </row>
    <row r="1692" spans="1:114" ht="15" hidden="1" customHeight="1" outlineLevel="1" x14ac:dyDescent="0.25">
      <c r="A1692" s="442"/>
      <c r="C1692" s="49"/>
      <c r="D1692" s="2177"/>
      <c r="E1692" s="2177"/>
      <c r="F1692" s="2176" t="str">
        <f>$E$835</f>
        <v>ASHP-SEER18_ER2_MF</v>
      </c>
      <c r="G1692" s="2176"/>
      <c r="H1692" s="2176"/>
      <c r="I1692" s="2176"/>
      <c r="J1692" s="986" t="str">
        <f>$C$835</f>
        <v>354350_2024_12_</v>
      </c>
      <c r="K1692" s="1606">
        <v>1</v>
      </c>
      <c r="L1692" s="249"/>
      <c r="M1692" s="1307"/>
      <c r="P1692" s="248"/>
      <c r="Q1692" s="196"/>
      <c r="R1692" s="248"/>
      <c r="T1692" s="169"/>
      <c r="U1692" s="50"/>
      <c r="V1692" s="2177"/>
      <c r="W1692" s="228">
        <v>0.65</v>
      </c>
      <c r="X1692" s="228">
        <v>0.65</v>
      </c>
      <c r="Y1692" s="228">
        <v>0.65</v>
      </c>
      <c r="Z1692" s="228">
        <v>0.65</v>
      </c>
      <c r="AA1692" s="228">
        <v>0.65</v>
      </c>
      <c r="AB1692" s="228">
        <v>0.65</v>
      </c>
      <c r="AC1692" s="228">
        <v>0.65</v>
      </c>
      <c r="AD1692" s="226">
        <v>1</v>
      </c>
      <c r="AE1692" s="228">
        <v>1</v>
      </c>
      <c r="AF1692" s="258">
        <f t="shared" si="221"/>
        <v>1</v>
      </c>
      <c r="AG1692" s="228"/>
      <c r="DG1692" s="555"/>
      <c r="DH1692" s="151"/>
      <c r="DI1692" s="1049"/>
      <c r="DJ1692" s="1127"/>
    </row>
    <row r="1693" spans="1:114" ht="15" hidden="1" customHeight="1" outlineLevel="1" x14ac:dyDescent="0.25">
      <c r="A1693" s="442"/>
      <c r="C1693" s="49"/>
      <c r="D1693" s="2177"/>
      <c r="E1693" s="2177"/>
      <c r="F1693" s="2176" t="str">
        <f>$E$837</f>
        <v>ASHP-SEER19-Replace_CAC_ElectricHeat_ER1_SF</v>
      </c>
      <c r="G1693" s="2176"/>
      <c r="H1693" s="2176"/>
      <c r="I1693" s="2176"/>
      <c r="J1693" s="986" t="str">
        <f>$C$837</f>
        <v>354400_2024_12_</v>
      </c>
      <c r="K1693" s="1606">
        <v>1</v>
      </c>
      <c r="L1693" s="249"/>
      <c r="M1693" s="1307"/>
      <c r="P1693" s="248"/>
      <c r="Q1693" s="196"/>
      <c r="R1693" s="248"/>
      <c r="T1693" s="169"/>
      <c r="U1693" s="50"/>
      <c r="V1693" s="2177"/>
      <c r="W1693" s="228">
        <v>1</v>
      </c>
      <c r="X1693" s="228">
        <v>1</v>
      </c>
      <c r="Y1693" s="228">
        <v>1</v>
      </c>
      <c r="Z1693" s="228">
        <v>1</v>
      </c>
      <c r="AA1693" s="228">
        <v>1</v>
      </c>
      <c r="AB1693" s="228">
        <v>1</v>
      </c>
      <c r="AC1693" s="228">
        <v>1</v>
      </c>
      <c r="AD1693" s="228">
        <v>1</v>
      </c>
      <c r="AE1693" s="228">
        <v>1</v>
      </c>
      <c r="AF1693" s="258">
        <f t="shared" si="221"/>
        <v>1</v>
      </c>
      <c r="AG1693" s="228"/>
      <c r="DG1693" s="555"/>
      <c r="DH1693" s="151"/>
      <c r="DI1693" s="1049"/>
      <c r="DJ1693" s="1127"/>
    </row>
    <row r="1694" spans="1:114" ht="15" hidden="1" customHeight="1" outlineLevel="1" x14ac:dyDescent="0.25">
      <c r="A1694" s="442"/>
      <c r="C1694" s="49"/>
      <c r="D1694" s="2177"/>
      <c r="E1694" s="2177"/>
      <c r="F1694" s="2176" t="str">
        <f>$E$839</f>
        <v>ASHP-SEER19-Replace_CAC_ElectricHeat_ER2_SF</v>
      </c>
      <c r="G1694" s="2176"/>
      <c r="H1694" s="2176"/>
      <c r="I1694" s="2176"/>
      <c r="J1694" s="986" t="str">
        <f>$C$839</f>
        <v>354400_2024_12_</v>
      </c>
      <c r="K1694" s="1606">
        <v>1</v>
      </c>
      <c r="L1694" s="249"/>
      <c r="M1694" s="1307"/>
      <c r="P1694" s="248"/>
      <c r="Q1694" s="196"/>
      <c r="R1694" s="248"/>
      <c r="T1694" s="169"/>
      <c r="U1694" s="50"/>
      <c r="V1694" s="2177"/>
      <c r="W1694" s="228">
        <v>1</v>
      </c>
      <c r="X1694" s="228">
        <v>1</v>
      </c>
      <c r="Y1694" s="228">
        <v>1</v>
      </c>
      <c r="Z1694" s="228">
        <v>1</v>
      </c>
      <c r="AA1694" s="228">
        <v>1</v>
      </c>
      <c r="AB1694" s="228">
        <v>1</v>
      </c>
      <c r="AC1694" s="228">
        <v>1</v>
      </c>
      <c r="AD1694" s="228">
        <v>1</v>
      </c>
      <c r="AE1694" s="228">
        <v>1</v>
      </c>
      <c r="AF1694" s="258">
        <f t="shared" si="221"/>
        <v>1</v>
      </c>
      <c r="AG1694" s="228"/>
      <c r="DG1694" s="555"/>
      <c r="DH1694" s="151"/>
      <c r="DI1694" s="1049"/>
      <c r="DJ1694" s="1127"/>
    </row>
    <row r="1695" spans="1:114" ht="15" hidden="1" customHeight="1" outlineLevel="1" x14ac:dyDescent="0.25">
      <c r="A1695" s="442"/>
      <c r="C1695" s="49"/>
      <c r="D1695" s="2177"/>
      <c r="E1695" s="2177"/>
      <c r="F1695" s="2176" t="str">
        <f>$E$841</f>
        <v>ASHP-SEER19-Replace_CAC_NonElectricHeat_ER1_SF</v>
      </c>
      <c r="G1695" s="2176"/>
      <c r="H1695" s="2176"/>
      <c r="I1695" s="2176"/>
      <c r="J1695" s="986" t="str">
        <f>$C$841</f>
        <v>354410_2024_12_</v>
      </c>
      <c r="K1695" s="1606">
        <v>1</v>
      </c>
      <c r="L1695" s="249"/>
      <c r="M1695" s="1307"/>
      <c r="P1695" s="248"/>
      <c r="Q1695" s="196"/>
      <c r="R1695" s="248"/>
      <c r="T1695" s="169"/>
      <c r="U1695" s="50"/>
      <c r="V1695" s="2177"/>
      <c r="W1695" s="228"/>
      <c r="X1695" s="228"/>
      <c r="Y1695" s="228"/>
      <c r="Z1695" s="228"/>
      <c r="AA1695" s="228"/>
      <c r="AB1695" s="228"/>
      <c r="AC1695" s="226">
        <v>1</v>
      </c>
      <c r="AD1695" s="228">
        <v>1</v>
      </c>
      <c r="AE1695" s="228">
        <v>1</v>
      </c>
      <c r="AF1695" s="258">
        <f t="shared" si="221"/>
        <v>1</v>
      </c>
      <c r="AG1695" s="228"/>
      <c r="DG1695" s="555"/>
      <c r="DH1695" s="151"/>
      <c r="DI1695" s="1049"/>
      <c r="DJ1695" s="1127"/>
    </row>
    <row r="1696" spans="1:114" ht="15" hidden="1" customHeight="1" outlineLevel="1" x14ac:dyDescent="0.25">
      <c r="A1696" s="442"/>
      <c r="C1696" s="49"/>
      <c r="D1696" s="2177"/>
      <c r="E1696" s="2177"/>
      <c r="F1696" s="2176" t="str">
        <f>$E$843</f>
        <v>ASHP-SEER19-Replace_CAC_NonElectricHeat_ER2_SF</v>
      </c>
      <c r="G1696" s="2176"/>
      <c r="H1696" s="2176"/>
      <c r="I1696" s="2176"/>
      <c r="J1696" s="986" t="str">
        <f>$C$843</f>
        <v>354410_2024_12_</v>
      </c>
      <c r="K1696" s="1606">
        <v>1</v>
      </c>
      <c r="L1696" s="249"/>
      <c r="M1696" s="1307"/>
      <c r="P1696" s="248"/>
      <c r="Q1696" s="196"/>
      <c r="R1696" s="248"/>
      <c r="T1696" s="169"/>
      <c r="U1696" s="50"/>
      <c r="V1696" s="2177"/>
      <c r="W1696" s="228"/>
      <c r="X1696" s="228"/>
      <c r="Y1696" s="228"/>
      <c r="Z1696" s="228"/>
      <c r="AA1696" s="228"/>
      <c r="AB1696" s="228"/>
      <c r="AC1696" s="226">
        <v>1</v>
      </c>
      <c r="AD1696" s="228">
        <v>1</v>
      </c>
      <c r="AE1696" s="228">
        <v>1</v>
      </c>
      <c r="AF1696" s="258">
        <f t="shared" si="221"/>
        <v>1</v>
      </c>
      <c r="AG1696" s="228"/>
      <c r="DG1696" s="555"/>
      <c r="DH1696" s="151"/>
      <c r="DI1696" s="1049"/>
      <c r="DJ1696" s="1127"/>
    </row>
    <row r="1697" spans="1:114" ht="15" hidden="1" customHeight="1" outlineLevel="1" x14ac:dyDescent="0.25">
      <c r="A1697" s="442"/>
      <c r="C1697" s="49"/>
      <c r="D1697" s="2177"/>
      <c r="E1697" s="2177"/>
      <c r="F1697" s="2176" t="str">
        <f>$E$845</f>
        <v>ASHP-SEER19-Replace_CAC_ElectricHeat_ER1_MF</v>
      </c>
      <c r="G1697" s="2176"/>
      <c r="H1697" s="2176"/>
      <c r="I1697" s="2176"/>
      <c r="J1697" s="986" t="str">
        <f>$C$845</f>
        <v>354450_2024_12_</v>
      </c>
      <c r="K1697" s="1606">
        <v>0.65</v>
      </c>
      <c r="L1697" s="249"/>
      <c r="M1697" s="1307"/>
      <c r="P1697" s="248"/>
      <c r="Q1697" s="196"/>
      <c r="R1697" s="248"/>
      <c r="T1697" s="169"/>
      <c r="U1697" s="50"/>
      <c r="V1697" s="2177"/>
      <c r="W1697" s="228">
        <v>0.65</v>
      </c>
      <c r="X1697" s="228">
        <v>0.65</v>
      </c>
      <c r="Y1697" s="228">
        <v>0.65</v>
      </c>
      <c r="Z1697" s="228">
        <v>0.65</v>
      </c>
      <c r="AA1697" s="228">
        <v>0.65</v>
      </c>
      <c r="AB1697" s="228">
        <v>0.65</v>
      </c>
      <c r="AC1697" s="228">
        <v>0.65</v>
      </c>
      <c r="AD1697" s="228">
        <v>0.65</v>
      </c>
      <c r="AE1697" s="228">
        <v>0.65</v>
      </c>
      <c r="AF1697" s="258">
        <f t="shared" si="221"/>
        <v>0.65</v>
      </c>
      <c r="AG1697" s="228"/>
      <c r="DG1697" s="555"/>
      <c r="DH1697" s="151"/>
      <c r="DI1697" s="1049"/>
      <c r="DJ1697" s="1127"/>
    </row>
    <row r="1698" spans="1:114" ht="15" hidden="1" customHeight="1" outlineLevel="1" x14ac:dyDescent="0.25">
      <c r="A1698" s="442"/>
      <c r="C1698" s="49"/>
      <c r="D1698" s="2177"/>
      <c r="E1698" s="2177"/>
      <c r="F1698" s="2176" t="str">
        <f>$E$847</f>
        <v>ASHP-SEER19-Replace_CAC_ElectricHeat_ER2_MF</v>
      </c>
      <c r="G1698" s="2176"/>
      <c r="H1698" s="2176"/>
      <c r="I1698" s="2176"/>
      <c r="J1698" s="986" t="str">
        <f>$C$847</f>
        <v>354450_2024_12_</v>
      </c>
      <c r="K1698" s="1606">
        <v>0.65</v>
      </c>
      <c r="L1698" s="249"/>
      <c r="M1698" s="1307"/>
      <c r="P1698" s="248"/>
      <c r="Q1698" s="196"/>
      <c r="R1698" s="248"/>
      <c r="T1698" s="169"/>
      <c r="U1698" s="50"/>
      <c r="V1698" s="2177"/>
      <c r="W1698" s="228">
        <v>0.65</v>
      </c>
      <c r="X1698" s="228">
        <v>0.65</v>
      </c>
      <c r="Y1698" s="228">
        <v>0.65</v>
      </c>
      <c r="Z1698" s="228">
        <v>0.65</v>
      </c>
      <c r="AA1698" s="228">
        <v>0.65</v>
      </c>
      <c r="AB1698" s="228">
        <v>0.65</v>
      </c>
      <c r="AC1698" s="228">
        <v>0.65</v>
      </c>
      <c r="AD1698" s="228">
        <v>0.65</v>
      </c>
      <c r="AE1698" s="228">
        <v>0.65</v>
      </c>
      <c r="AF1698" s="258">
        <f t="shared" si="221"/>
        <v>0.65</v>
      </c>
      <c r="AG1698" s="228"/>
      <c r="DG1698" s="555"/>
      <c r="DH1698" s="151"/>
      <c r="DI1698" s="1049"/>
      <c r="DJ1698" s="1127"/>
    </row>
    <row r="1699" spans="1:114" ht="15" hidden="1" customHeight="1" outlineLevel="1" x14ac:dyDescent="0.25">
      <c r="A1699" s="442"/>
      <c r="C1699" s="49"/>
      <c r="D1699" s="2177"/>
      <c r="E1699" s="2177"/>
      <c r="F1699" s="2176" t="str">
        <f>$E$849</f>
        <v>ASHP-SEER19_ER1_MF</v>
      </c>
      <c r="G1699" s="2176"/>
      <c r="H1699" s="2176"/>
      <c r="I1699" s="2176"/>
      <c r="J1699" s="986" t="str">
        <f>$C$849</f>
        <v>354500_2024_12_</v>
      </c>
      <c r="K1699" s="1606">
        <v>0.65</v>
      </c>
      <c r="L1699" s="249"/>
      <c r="M1699" s="1307"/>
      <c r="P1699" s="248"/>
      <c r="Q1699" s="196"/>
      <c r="R1699" s="248"/>
      <c r="T1699" s="169"/>
      <c r="U1699" s="50"/>
      <c r="V1699" s="2177"/>
      <c r="W1699" s="228">
        <v>0.65</v>
      </c>
      <c r="X1699" s="228">
        <v>0.65</v>
      </c>
      <c r="Y1699" s="228">
        <v>0.65</v>
      </c>
      <c r="Z1699" s="228">
        <v>0.65</v>
      </c>
      <c r="AA1699" s="228">
        <v>0.65</v>
      </c>
      <c r="AB1699" s="228">
        <v>0.65</v>
      </c>
      <c r="AC1699" s="228">
        <v>0.65</v>
      </c>
      <c r="AD1699" s="228">
        <v>0.65</v>
      </c>
      <c r="AE1699" s="228">
        <v>0.65</v>
      </c>
      <c r="AF1699" s="258">
        <f t="shared" si="221"/>
        <v>0.65</v>
      </c>
      <c r="AG1699" s="228"/>
      <c r="DG1699" s="555"/>
      <c r="DH1699" s="151"/>
      <c r="DI1699" s="1049"/>
      <c r="DJ1699" s="1127"/>
    </row>
    <row r="1700" spans="1:114" ht="15" hidden="1" customHeight="1" outlineLevel="1" x14ac:dyDescent="0.25">
      <c r="A1700" s="442"/>
      <c r="C1700" s="49"/>
      <c r="D1700" s="2177"/>
      <c r="E1700" s="2177"/>
      <c r="F1700" s="2176" t="str">
        <f>$E$851</f>
        <v>ASHP-SEER19_ER2_MF</v>
      </c>
      <c r="G1700" s="2176"/>
      <c r="H1700" s="2176"/>
      <c r="I1700" s="2176"/>
      <c r="J1700" s="986" t="str">
        <f>$C$851</f>
        <v>354500_2024_12_</v>
      </c>
      <c r="K1700" s="1606">
        <v>0.65</v>
      </c>
      <c r="L1700" s="249"/>
      <c r="M1700" s="1307"/>
      <c r="P1700" s="248"/>
      <c r="Q1700" s="196"/>
      <c r="R1700" s="248"/>
      <c r="T1700" s="169"/>
      <c r="U1700" s="50"/>
      <c r="V1700" s="2177"/>
      <c r="W1700" s="228">
        <v>0.65</v>
      </c>
      <c r="X1700" s="228">
        <v>0.65</v>
      </c>
      <c r="Y1700" s="228">
        <v>0.65</v>
      </c>
      <c r="Z1700" s="228">
        <v>0.65</v>
      </c>
      <c r="AA1700" s="228">
        <v>0.65</v>
      </c>
      <c r="AB1700" s="228">
        <v>0.65</v>
      </c>
      <c r="AC1700" s="228">
        <v>0.65</v>
      </c>
      <c r="AD1700" s="228">
        <v>0.65</v>
      </c>
      <c r="AE1700" s="228">
        <v>0.65</v>
      </c>
      <c r="AF1700" s="258">
        <f t="shared" si="221"/>
        <v>0.65</v>
      </c>
      <c r="AG1700" s="228"/>
      <c r="DG1700" s="555"/>
      <c r="DH1700" s="151"/>
      <c r="DI1700" s="1049"/>
      <c r="DJ1700" s="1127"/>
    </row>
    <row r="1701" spans="1:114" ht="15" hidden="1" customHeight="1" outlineLevel="1" x14ac:dyDescent="0.25">
      <c r="A1701" s="442"/>
      <c r="C1701" s="49"/>
      <c r="D1701" s="2177"/>
      <c r="E1701" s="2177"/>
      <c r="F1701" s="2176" t="str">
        <f>$E$853</f>
        <v>ASHP-SEER20_ER1_SF</v>
      </c>
      <c r="G1701" s="2176"/>
      <c r="H1701" s="2176"/>
      <c r="I1701" s="2176"/>
      <c r="J1701" s="986" t="str">
        <f>$C$853</f>
        <v>354550_2024_12_</v>
      </c>
      <c r="K1701" s="1606">
        <v>1</v>
      </c>
      <c r="L1701" s="249"/>
      <c r="M1701" s="1307"/>
      <c r="P1701" s="248"/>
      <c r="Q1701" s="196"/>
      <c r="R1701" s="248"/>
      <c r="T1701" s="169"/>
      <c r="U1701" s="50"/>
      <c r="V1701" s="2177"/>
      <c r="W1701" s="228">
        <v>1</v>
      </c>
      <c r="X1701" s="228">
        <v>1</v>
      </c>
      <c r="Y1701" s="228">
        <v>1</v>
      </c>
      <c r="Z1701" s="228">
        <v>1</v>
      </c>
      <c r="AA1701" s="228">
        <v>1</v>
      </c>
      <c r="AB1701" s="228">
        <v>1</v>
      </c>
      <c r="AC1701" s="228">
        <v>1</v>
      </c>
      <c r="AD1701" s="228">
        <v>1</v>
      </c>
      <c r="AE1701" s="228">
        <v>1</v>
      </c>
      <c r="AF1701" s="258">
        <f t="shared" si="221"/>
        <v>1</v>
      </c>
      <c r="AG1701" s="228"/>
      <c r="DG1701" s="555"/>
      <c r="DH1701" s="151"/>
      <c r="DI1701" s="1049"/>
      <c r="DJ1701" s="1127"/>
    </row>
    <row r="1702" spans="1:114" ht="15" hidden="1" customHeight="1" outlineLevel="1" x14ac:dyDescent="0.25">
      <c r="A1702" s="442"/>
      <c r="C1702" s="49"/>
      <c r="D1702" s="2177"/>
      <c r="E1702" s="2177"/>
      <c r="F1702" s="2176" t="str">
        <f>$E$855</f>
        <v>ASHP-SEER20_ER2_SF</v>
      </c>
      <c r="G1702" s="2176"/>
      <c r="H1702" s="2176"/>
      <c r="I1702" s="2176"/>
      <c r="J1702" s="986" t="str">
        <f>$C$855</f>
        <v>354550_2024_12_</v>
      </c>
      <c r="K1702" s="1606">
        <v>1</v>
      </c>
      <c r="L1702" s="249"/>
      <c r="M1702" s="1307"/>
      <c r="P1702" s="248"/>
      <c r="Q1702" s="196"/>
      <c r="R1702" s="248"/>
      <c r="T1702" s="169"/>
      <c r="U1702" s="50"/>
      <c r="V1702" s="2177"/>
      <c r="W1702" s="228">
        <v>1</v>
      </c>
      <c r="X1702" s="228">
        <v>1</v>
      </c>
      <c r="Y1702" s="228">
        <v>1</v>
      </c>
      <c r="Z1702" s="228">
        <v>1</v>
      </c>
      <c r="AA1702" s="228">
        <v>1</v>
      </c>
      <c r="AB1702" s="228">
        <v>1</v>
      </c>
      <c r="AC1702" s="228">
        <v>1</v>
      </c>
      <c r="AD1702" s="228">
        <v>1</v>
      </c>
      <c r="AE1702" s="228">
        <v>1</v>
      </c>
      <c r="AF1702" s="258">
        <f t="shared" si="221"/>
        <v>1</v>
      </c>
      <c r="AG1702" s="228"/>
      <c r="DG1702" s="555"/>
      <c r="DH1702" s="151"/>
      <c r="DI1702" s="1049"/>
      <c r="DJ1702" s="1127"/>
    </row>
    <row r="1703" spans="1:114" ht="15" hidden="1" customHeight="1" outlineLevel="1" x14ac:dyDescent="0.25">
      <c r="A1703" s="442"/>
      <c r="C1703" s="49"/>
      <c r="D1703" s="2177"/>
      <c r="E1703" s="2177"/>
      <c r="F1703" s="2176" t="str">
        <f>$E$857</f>
        <v>ASHP-SEER20_ROF_SF</v>
      </c>
      <c r="G1703" s="2176"/>
      <c r="H1703" s="2176"/>
      <c r="I1703" s="2176"/>
      <c r="J1703" s="986" t="str">
        <f>$C$857</f>
        <v>354600_2024_12_</v>
      </c>
      <c r="K1703" s="1606">
        <v>1</v>
      </c>
      <c r="L1703" s="249"/>
      <c r="M1703" s="1307"/>
      <c r="P1703" s="248"/>
      <c r="Q1703" s="196"/>
      <c r="R1703" s="248"/>
      <c r="T1703" s="169"/>
      <c r="U1703" s="50"/>
      <c r="V1703" s="2177"/>
      <c r="W1703" s="228">
        <v>1</v>
      </c>
      <c r="X1703" s="228">
        <v>1</v>
      </c>
      <c r="Y1703" s="228">
        <v>1</v>
      </c>
      <c r="Z1703" s="228">
        <v>1</v>
      </c>
      <c r="AA1703" s="228">
        <v>1</v>
      </c>
      <c r="AB1703" s="228">
        <v>1</v>
      </c>
      <c r="AC1703" s="228">
        <v>1</v>
      </c>
      <c r="AD1703" s="228">
        <v>1</v>
      </c>
      <c r="AE1703" s="228">
        <v>1</v>
      </c>
      <c r="AF1703" s="258">
        <f t="shared" si="221"/>
        <v>1</v>
      </c>
      <c r="AG1703" s="228"/>
      <c r="DG1703" s="555"/>
      <c r="DH1703" s="151"/>
      <c r="DI1703" s="1049"/>
      <c r="DJ1703" s="1127"/>
    </row>
    <row r="1704" spans="1:114" ht="15" hidden="1" customHeight="1" outlineLevel="1" x14ac:dyDescent="0.25">
      <c r="A1704" s="442"/>
      <c r="C1704" s="49"/>
      <c r="D1704" s="2177"/>
      <c r="E1704" s="2177"/>
      <c r="F1704" s="2176" t="str">
        <f>$E$859</f>
        <v>ASHP-SEER20-Replace_CAC_ElectricHeat_ER1_MF</v>
      </c>
      <c r="G1704" s="2176"/>
      <c r="H1704" s="2176"/>
      <c r="I1704" s="2176"/>
      <c r="J1704" s="986" t="str">
        <f>$C$859</f>
        <v>354650_2024_12_</v>
      </c>
      <c r="K1704" s="1606">
        <v>0.65</v>
      </c>
      <c r="L1704" s="249"/>
      <c r="M1704" s="1307"/>
      <c r="P1704" s="248"/>
      <c r="Q1704" s="196"/>
      <c r="R1704" s="248"/>
      <c r="T1704" s="169"/>
      <c r="U1704" s="50"/>
      <c r="V1704" s="2177"/>
      <c r="W1704" s="228">
        <v>0.65</v>
      </c>
      <c r="X1704" s="228">
        <v>0.65</v>
      </c>
      <c r="Y1704" s="228">
        <v>0.65</v>
      </c>
      <c r="Z1704" s="228">
        <v>0.65</v>
      </c>
      <c r="AA1704" s="228">
        <v>0.65</v>
      </c>
      <c r="AB1704" s="228">
        <v>0.65</v>
      </c>
      <c r="AC1704" s="228">
        <v>0.65</v>
      </c>
      <c r="AD1704" s="228">
        <v>0.65</v>
      </c>
      <c r="AE1704" s="228">
        <v>0.65</v>
      </c>
      <c r="AF1704" s="258">
        <f t="shared" si="221"/>
        <v>0.65</v>
      </c>
      <c r="AG1704" s="228"/>
      <c r="DG1704" s="555"/>
      <c r="DH1704" s="151"/>
      <c r="DI1704" s="1049"/>
      <c r="DJ1704" s="1127"/>
    </row>
    <row r="1705" spans="1:114" ht="15" hidden="1" customHeight="1" outlineLevel="1" x14ac:dyDescent="0.25">
      <c r="A1705" s="442"/>
      <c r="C1705" s="49"/>
      <c r="D1705" s="2177"/>
      <c r="E1705" s="2177"/>
      <c r="F1705" s="2176" t="str">
        <f>$E$861</f>
        <v>ASHP-SEER20-Replace_CAC_ElectricHeat_ER2_MF</v>
      </c>
      <c r="G1705" s="2176"/>
      <c r="H1705" s="2176"/>
      <c r="I1705" s="2176"/>
      <c r="J1705" s="986" t="str">
        <f>$C$861</f>
        <v>354650_2024_12_</v>
      </c>
      <c r="K1705" s="1606">
        <v>0.65</v>
      </c>
      <c r="L1705" s="249"/>
      <c r="M1705" s="1307"/>
      <c r="P1705" s="248"/>
      <c r="Q1705" s="196"/>
      <c r="R1705" s="248"/>
      <c r="T1705" s="169"/>
      <c r="U1705" s="50"/>
      <c r="V1705" s="2177"/>
      <c r="W1705" s="228">
        <v>0.65</v>
      </c>
      <c r="X1705" s="228">
        <v>0.65</v>
      </c>
      <c r="Y1705" s="228">
        <v>0.65</v>
      </c>
      <c r="Z1705" s="228">
        <v>0.65</v>
      </c>
      <c r="AA1705" s="228">
        <v>0.65</v>
      </c>
      <c r="AB1705" s="228">
        <v>0.65</v>
      </c>
      <c r="AC1705" s="228">
        <v>0.65</v>
      </c>
      <c r="AD1705" s="228">
        <v>0.65</v>
      </c>
      <c r="AE1705" s="228">
        <v>0.65</v>
      </c>
      <c r="AF1705" s="258">
        <f t="shared" si="221"/>
        <v>0.65</v>
      </c>
      <c r="AG1705" s="228"/>
      <c r="DG1705" s="555"/>
      <c r="DH1705" s="151"/>
      <c r="DI1705" s="1049"/>
      <c r="DJ1705" s="1127"/>
    </row>
    <row r="1706" spans="1:114" ht="15" hidden="1" customHeight="1" outlineLevel="1" x14ac:dyDescent="0.25">
      <c r="A1706" s="442"/>
      <c r="C1706" s="49"/>
      <c r="D1706" s="2177"/>
      <c r="E1706" s="2177"/>
      <c r="F1706" s="2176" t="str">
        <f>$E$863</f>
        <v>ASHP-SEER20_ER1_MF</v>
      </c>
      <c r="G1706" s="2176"/>
      <c r="H1706" s="2176"/>
      <c r="I1706" s="2176"/>
      <c r="J1706" s="986" t="str">
        <f>$C$863</f>
        <v>354700_2024_12_</v>
      </c>
      <c r="K1706" s="1606">
        <v>0.65</v>
      </c>
      <c r="L1706" s="249"/>
      <c r="M1706" s="1307"/>
      <c r="P1706" s="248"/>
      <c r="Q1706" s="196"/>
      <c r="R1706" s="248"/>
      <c r="T1706" s="169"/>
      <c r="U1706" s="50"/>
      <c r="V1706" s="2177"/>
      <c r="W1706" s="228">
        <v>0.65</v>
      </c>
      <c r="X1706" s="228">
        <v>0.65</v>
      </c>
      <c r="Y1706" s="228">
        <v>0.65</v>
      </c>
      <c r="Z1706" s="228">
        <v>0.65</v>
      </c>
      <c r="AA1706" s="228">
        <v>0.65</v>
      </c>
      <c r="AB1706" s="228">
        <v>0.65</v>
      </c>
      <c r="AC1706" s="228">
        <v>0.65</v>
      </c>
      <c r="AD1706" s="228">
        <v>0.65</v>
      </c>
      <c r="AE1706" s="228">
        <v>0.65</v>
      </c>
      <c r="AF1706" s="258">
        <f t="shared" si="221"/>
        <v>0.65</v>
      </c>
      <c r="AG1706" s="228"/>
      <c r="DG1706" s="555"/>
      <c r="DH1706" s="151"/>
      <c r="DI1706" s="1049"/>
      <c r="DJ1706" s="1127"/>
    </row>
    <row r="1707" spans="1:114" ht="15" hidden="1" customHeight="1" outlineLevel="1" x14ac:dyDescent="0.25">
      <c r="A1707" s="442"/>
      <c r="C1707" s="49"/>
      <c r="D1707" s="2177"/>
      <c r="E1707" s="2177"/>
      <c r="F1707" s="2176" t="str">
        <f>$E$865</f>
        <v>ASHP-SEER20_ER2_MF</v>
      </c>
      <c r="G1707" s="2176"/>
      <c r="H1707" s="2176"/>
      <c r="I1707" s="2176"/>
      <c r="J1707" s="986" t="str">
        <f>$C$865</f>
        <v>354700_2024_12_</v>
      </c>
      <c r="K1707" s="1606">
        <v>0.65</v>
      </c>
      <c r="L1707" s="249"/>
      <c r="M1707" s="1307"/>
      <c r="P1707" s="248"/>
      <c r="Q1707" s="196"/>
      <c r="R1707" s="248"/>
      <c r="T1707" s="169"/>
      <c r="U1707" s="50"/>
      <c r="V1707" s="2177"/>
      <c r="W1707" s="228">
        <v>0.65</v>
      </c>
      <c r="X1707" s="228">
        <v>0.65</v>
      </c>
      <c r="Y1707" s="228">
        <v>0.65</v>
      </c>
      <c r="Z1707" s="228">
        <v>0.65</v>
      </c>
      <c r="AA1707" s="228">
        <v>0.65</v>
      </c>
      <c r="AB1707" s="228">
        <v>0.65</v>
      </c>
      <c r="AC1707" s="228">
        <v>0.65</v>
      </c>
      <c r="AD1707" s="228">
        <v>0.65</v>
      </c>
      <c r="AE1707" s="228">
        <v>0.65</v>
      </c>
      <c r="AF1707" s="258">
        <f t="shared" si="221"/>
        <v>0.65</v>
      </c>
      <c r="AG1707" s="228"/>
      <c r="DG1707" s="555"/>
      <c r="DH1707" s="151"/>
      <c r="DI1707" s="1049"/>
      <c r="DJ1707" s="1127"/>
    </row>
    <row r="1708" spans="1:114" ht="15" hidden="1" customHeight="1" outlineLevel="1" x14ac:dyDescent="0.25">
      <c r="A1708" s="442"/>
      <c r="C1708" s="49"/>
      <c r="D1708" s="2177"/>
      <c r="E1708" s="2177"/>
      <c r="F1708" s="2176" t="str">
        <f>$E$867</f>
        <v>ASHP-SEER21_ER1_SF</v>
      </c>
      <c r="G1708" s="2176"/>
      <c r="H1708" s="2176"/>
      <c r="I1708" s="2176"/>
      <c r="J1708" s="986" t="str">
        <f>$C$867</f>
        <v>354750_2024_12_</v>
      </c>
      <c r="K1708" s="1606">
        <v>1</v>
      </c>
      <c r="L1708" s="249"/>
      <c r="M1708" s="1307"/>
      <c r="P1708" s="248"/>
      <c r="Q1708" s="196"/>
      <c r="R1708" s="248"/>
      <c r="T1708" s="169"/>
      <c r="U1708" s="50"/>
      <c r="V1708" s="2177"/>
      <c r="W1708" s="228">
        <v>1</v>
      </c>
      <c r="X1708" s="228">
        <v>1</v>
      </c>
      <c r="Y1708" s="228">
        <v>1</v>
      </c>
      <c r="Z1708" s="228">
        <v>1</v>
      </c>
      <c r="AA1708" s="228">
        <v>1</v>
      </c>
      <c r="AB1708" s="228">
        <v>1</v>
      </c>
      <c r="AC1708" s="228">
        <v>1</v>
      </c>
      <c r="AD1708" s="228">
        <v>1</v>
      </c>
      <c r="AE1708" s="228">
        <v>1</v>
      </c>
      <c r="AF1708" s="258">
        <f t="shared" si="221"/>
        <v>1</v>
      </c>
      <c r="AG1708" s="228"/>
      <c r="DG1708" s="555"/>
      <c r="DH1708" s="151"/>
      <c r="DI1708" s="1049"/>
      <c r="DJ1708" s="1127"/>
    </row>
    <row r="1709" spans="1:114" ht="15" hidden="1" customHeight="1" outlineLevel="1" x14ac:dyDescent="0.25">
      <c r="A1709" s="442"/>
      <c r="C1709" s="49"/>
      <c r="D1709" s="2177"/>
      <c r="E1709" s="2177"/>
      <c r="F1709" s="2176" t="str">
        <f>$E$869</f>
        <v>ASHP-SEER21_ER2_SF</v>
      </c>
      <c r="G1709" s="2176"/>
      <c r="H1709" s="2176"/>
      <c r="I1709" s="2176"/>
      <c r="J1709" s="986" t="str">
        <f>$C$869</f>
        <v>354750_2024_12_</v>
      </c>
      <c r="K1709" s="1606">
        <v>1</v>
      </c>
      <c r="L1709" s="249"/>
      <c r="M1709" s="1307"/>
      <c r="P1709" s="248"/>
      <c r="Q1709" s="196"/>
      <c r="R1709" s="248"/>
      <c r="T1709" s="169"/>
      <c r="U1709" s="50"/>
      <c r="V1709" s="2177"/>
      <c r="W1709" s="228">
        <v>1</v>
      </c>
      <c r="X1709" s="228">
        <v>1</v>
      </c>
      <c r="Y1709" s="228">
        <v>1</v>
      </c>
      <c r="Z1709" s="228">
        <v>1</v>
      </c>
      <c r="AA1709" s="228">
        <v>1</v>
      </c>
      <c r="AB1709" s="228">
        <v>1</v>
      </c>
      <c r="AC1709" s="228">
        <v>1</v>
      </c>
      <c r="AD1709" s="228">
        <v>1</v>
      </c>
      <c r="AE1709" s="228">
        <v>1</v>
      </c>
      <c r="AF1709" s="258">
        <f t="shared" si="221"/>
        <v>1</v>
      </c>
      <c r="AG1709" s="228"/>
      <c r="DG1709" s="555"/>
      <c r="DH1709" s="151"/>
      <c r="DI1709" s="1049"/>
      <c r="DJ1709" s="1127"/>
    </row>
    <row r="1710" spans="1:114" ht="15" hidden="1" customHeight="1" outlineLevel="1" x14ac:dyDescent="0.25">
      <c r="A1710" s="442"/>
      <c r="C1710" s="49"/>
      <c r="D1710" s="2177"/>
      <c r="E1710" s="2177"/>
      <c r="F1710" s="2176" t="str">
        <f>$E$871</f>
        <v>ASHP-SEER21_ROF_SF</v>
      </c>
      <c r="G1710" s="2176"/>
      <c r="H1710" s="2176"/>
      <c r="I1710" s="2176"/>
      <c r="J1710" s="986" t="str">
        <f>$C$871</f>
        <v>354800_2024_12_</v>
      </c>
      <c r="K1710" s="1606">
        <v>1</v>
      </c>
      <c r="L1710" s="249"/>
      <c r="M1710" s="1307"/>
      <c r="P1710" s="248"/>
      <c r="Q1710" s="196"/>
      <c r="R1710" s="248"/>
      <c r="T1710" s="169"/>
      <c r="U1710" s="50"/>
      <c r="V1710" s="2177"/>
      <c r="W1710" s="228">
        <v>1</v>
      </c>
      <c r="X1710" s="228">
        <v>1</v>
      </c>
      <c r="Y1710" s="228">
        <v>1</v>
      </c>
      <c r="Z1710" s="228">
        <v>1</v>
      </c>
      <c r="AA1710" s="228">
        <v>1</v>
      </c>
      <c r="AB1710" s="228">
        <v>1</v>
      </c>
      <c r="AC1710" s="228">
        <v>1</v>
      </c>
      <c r="AD1710" s="228">
        <v>1</v>
      </c>
      <c r="AE1710" s="228">
        <v>1</v>
      </c>
      <c r="AF1710" s="258">
        <f t="shared" si="221"/>
        <v>1</v>
      </c>
      <c r="AG1710" s="228"/>
      <c r="DG1710" s="555"/>
      <c r="DH1710" s="151"/>
      <c r="DI1710" s="1049"/>
      <c r="DJ1710" s="1127"/>
    </row>
    <row r="1711" spans="1:114" ht="15" hidden="1" customHeight="1" outlineLevel="1" x14ac:dyDescent="0.25">
      <c r="A1711" s="442"/>
      <c r="C1711" s="49"/>
      <c r="D1711" s="2177"/>
      <c r="E1711" s="2177"/>
      <c r="F1711" s="2176" t="str">
        <f>$E$873</f>
        <v>ASHP-SEER21-Replace_CAC_ElectricHeat_ROF_MF</v>
      </c>
      <c r="G1711" s="2176"/>
      <c r="H1711" s="2176"/>
      <c r="I1711" s="2176"/>
      <c r="J1711" s="986" t="str">
        <f>$C$873</f>
        <v>354850_2024_12_</v>
      </c>
      <c r="K1711" s="1606">
        <v>0.65</v>
      </c>
      <c r="L1711" s="249"/>
      <c r="M1711" s="1307"/>
      <c r="P1711" s="248"/>
      <c r="Q1711" s="196"/>
      <c r="R1711" s="248"/>
      <c r="T1711" s="169"/>
      <c r="U1711" s="50"/>
      <c r="V1711" s="2177"/>
      <c r="W1711" s="228">
        <v>0.65</v>
      </c>
      <c r="X1711" s="228">
        <v>0.65</v>
      </c>
      <c r="Y1711" s="228">
        <v>0.65</v>
      </c>
      <c r="Z1711" s="228">
        <v>0.65</v>
      </c>
      <c r="AA1711" s="228">
        <v>0.65</v>
      </c>
      <c r="AB1711" s="228">
        <v>0.65</v>
      </c>
      <c r="AC1711" s="228">
        <v>0.65</v>
      </c>
      <c r="AD1711" s="228">
        <v>0.65</v>
      </c>
      <c r="AE1711" s="228">
        <v>0.65</v>
      </c>
      <c r="AF1711" s="258">
        <f t="shared" si="221"/>
        <v>0.65</v>
      </c>
      <c r="AG1711" s="228"/>
      <c r="DG1711" s="555"/>
      <c r="DH1711" s="151"/>
      <c r="DI1711" s="1049"/>
      <c r="DJ1711" s="1127"/>
    </row>
    <row r="1712" spans="1:114" ht="15" hidden="1" customHeight="1" outlineLevel="1" x14ac:dyDescent="0.25">
      <c r="A1712" s="442"/>
      <c r="C1712" s="49"/>
      <c r="D1712" s="2177"/>
      <c r="E1712" s="2177"/>
      <c r="F1712" s="2176" t="str">
        <f>$E$875</f>
        <v>ASHP-SEER21_ER1_MF</v>
      </c>
      <c r="G1712" s="2176"/>
      <c r="H1712" s="2176"/>
      <c r="I1712" s="2176"/>
      <c r="J1712" s="986" t="str">
        <f>$C$875</f>
        <v>354900_2024_12_</v>
      </c>
      <c r="K1712" s="1606">
        <v>0.65</v>
      </c>
      <c r="L1712" s="249"/>
      <c r="M1712" s="1307"/>
      <c r="P1712" s="248"/>
      <c r="Q1712" s="196"/>
      <c r="R1712" s="248"/>
      <c r="T1712" s="169"/>
      <c r="U1712" s="50"/>
      <c r="V1712" s="2177"/>
      <c r="W1712" s="228">
        <v>0.65</v>
      </c>
      <c r="X1712" s="228">
        <v>0.65</v>
      </c>
      <c r="Y1712" s="228">
        <v>0.65</v>
      </c>
      <c r="Z1712" s="228">
        <v>0.65</v>
      </c>
      <c r="AA1712" s="228">
        <v>0.65</v>
      </c>
      <c r="AB1712" s="228">
        <v>0.65</v>
      </c>
      <c r="AC1712" s="228">
        <v>0.65</v>
      </c>
      <c r="AD1712" s="228">
        <v>0.65</v>
      </c>
      <c r="AE1712" s="228">
        <v>0.65</v>
      </c>
      <c r="AF1712" s="258">
        <f t="shared" si="221"/>
        <v>0.65</v>
      </c>
      <c r="AG1712" s="228"/>
      <c r="DG1712" s="555"/>
      <c r="DH1712" s="151"/>
      <c r="DI1712" s="1049"/>
      <c r="DJ1712" s="1127"/>
    </row>
    <row r="1713" spans="1:115" ht="15" hidden="1" customHeight="1" outlineLevel="1" x14ac:dyDescent="0.25">
      <c r="A1713" s="442"/>
      <c r="C1713" s="49"/>
      <c r="D1713" s="2177"/>
      <c r="E1713" s="2177"/>
      <c r="F1713" s="2176" t="str">
        <f>$E$877</f>
        <v>ASHP-SEER21_ER2_MF</v>
      </c>
      <c r="G1713" s="2176"/>
      <c r="H1713" s="2176"/>
      <c r="I1713" s="2176"/>
      <c r="J1713" s="986" t="str">
        <f>$C$877</f>
        <v>354900_2024_12_</v>
      </c>
      <c r="K1713" s="1606">
        <v>0.65</v>
      </c>
      <c r="L1713" s="249"/>
      <c r="M1713" s="1307"/>
      <c r="P1713" s="248"/>
      <c r="Q1713" s="196"/>
      <c r="R1713" s="248"/>
      <c r="T1713" s="169"/>
      <c r="U1713" s="50"/>
      <c r="V1713" s="2177"/>
      <c r="W1713" s="228">
        <v>0.65</v>
      </c>
      <c r="X1713" s="228">
        <v>0.65</v>
      </c>
      <c r="Y1713" s="228">
        <v>0.65</v>
      </c>
      <c r="Z1713" s="228">
        <v>0.65</v>
      </c>
      <c r="AA1713" s="228">
        <v>0.65</v>
      </c>
      <c r="AB1713" s="228">
        <v>0.65</v>
      </c>
      <c r="AC1713" s="228">
        <v>0.65</v>
      </c>
      <c r="AD1713" s="228">
        <v>0.65</v>
      </c>
      <c r="AE1713" s="228">
        <v>0.65</v>
      </c>
      <c r="AF1713" s="258">
        <f t="shared" si="221"/>
        <v>0.65</v>
      </c>
      <c r="AG1713" s="228"/>
      <c r="DG1713" s="555"/>
      <c r="DH1713" s="151"/>
      <c r="DI1713" s="1049"/>
      <c r="DJ1713" s="1127"/>
    </row>
    <row r="1714" spans="1:115" ht="15" hidden="1" customHeight="1" outlineLevel="1" x14ac:dyDescent="0.25">
      <c r="A1714" s="442"/>
      <c r="C1714" s="49"/>
      <c r="D1714" s="2177"/>
      <c r="E1714" s="2177"/>
      <c r="F1714" s="2176" t="str">
        <f>$E$879</f>
        <v>ASHP-SEER17_ROF_MF</v>
      </c>
      <c r="G1714" s="2176"/>
      <c r="H1714" s="2176"/>
      <c r="I1714" s="2176"/>
      <c r="J1714" s="986" t="str">
        <f>$C$879</f>
        <v>354950_2024_12_</v>
      </c>
      <c r="K1714" s="1606">
        <v>0.65</v>
      </c>
      <c r="L1714" s="249"/>
      <c r="M1714" s="1371"/>
      <c r="P1714" s="248"/>
      <c r="Q1714" s="196"/>
      <c r="R1714" s="248"/>
      <c r="T1714" s="169"/>
      <c r="U1714" s="50"/>
      <c r="V1714" s="2177"/>
      <c r="W1714" s="228">
        <v>0.65</v>
      </c>
      <c r="X1714" s="228">
        <v>0.65</v>
      </c>
      <c r="Y1714" s="228">
        <v>0.65</v>
      </c>
      <c r="Z1714" s="228">
        <v>0.65</v>
      </c>
      <c r="AA1714" s="228">
        <v>0.65</v>
      </c>
      <c r="AB1714" s="228">
        <v>0.65</v>
      </c>
      <c r="AC1714" s="228">
        <v>0.65</v>
      </c>
      <c r="AD1714" s="228">
        <v>0.65</v>
      </c>
      <c r="AE1714" s="228">
        <v>0.65</v>
      </c>
      <c r="AF1714" s="258">
        <f t="shared" si="221"/>
        <v>0.65</v>
      </c>
      <c r="AG1714" s="228"/>
      <c r="DG1714" s="555"/>
      <c r="DH1714" s="151"/>
      <c r="DI1714" s="1049"/>
      <c r="DJ1714" s="1127"/>
    </row>
    <row r="1715" spans="1:115" ht="15" hidden="1" customHeight="1" outlineLevel="1" x14ac:dyDescent="0.25">
      <c r="A1715" s="442"/>
      <c r="C1715" s="49"/>
      <c r="D1715" s="2177"/>
      <c r="E1715" s="2177"/>
      <c r="F1715" s="2176" t="str">
        <f>$E$881</f>
        <v>ASHP-SEER18_ROF_MF</v>
      </c>
      <c r="G1715" s="2176"/>
      <c r="H1715" s="2176"/>
      <c r="I1715" s="2176"/>
      <c r="J1715" s="986" t="str">
        <f>$C$881</f>
        <v>355000_2024_12_</v>
      </c>
      <c r="K1715" s="1606">
        <v>0.65</v>
      </c>
      <c r="L1715" s="249"/>
      <c r="M1715" s="1371"/>
      <c r="P1715" s="248"/>
      <c r="Q1715" s="196"/>
      <c r="R1715" s="248"/>
      <c r="T1715" s="169"/>
      <c r="U1715" s="50"/>
      <c r="V1715" s="2177"/>
      <c r="W1715" s="228">
        <v>0.65</v>
      </c>
      <c r="X1715" s="228">
        <v>0.65</v>
      </c>
      <c r="Y1715" s="228">
        <v>0.65</v>
      </c>
      <c r="Z1715" s="228">
        <v>0.65</v>
      </c>
      <c r="AA1715" s="228">
        <v>0.65</v>
      </c>
      <c r="AB1715" s="228">
        <v>0.65</v>
      </c>
      <c r="AC1715" s="228">
        <v>0.65</v>
      </c>
      <c r="AD1715" s="228">
        <v>0.65</v>
      </c>
      <c r="AE1715" s="228">
        <v>0.65</v>
      </c>
      <c r="AF1715" s="258">
        <f t="shared" ref="AF1715:AF1753" si="222">IF(K1715&lt;&gt;"",K1715,"")</f>
        <v>0.65</v>
      </c>
      <c r="AG1715" s="228"/>
      <c r="DG1715" s="555"/>
      <c r="DH1715" s="151"/>
      <c r="DI1715" s="1049"/>
      <c r="DJ1715" s="1127"/>
    </row>
    <row r="1716" spans="1:115" ht="15" hidden="1" customHeight="1" outlineLevel="1" x14ac:dyDescent="0.25">
      <c r="A1716" s="442"/>
      <c r="C1716" s="49"/>
      <c r="D1716" s="2177"/>
      <c r="E1716" s="2177"/>
      <c r="F1716" s="2176" t="str">
        <f>$E$883</f>
        <v>ASHP-SEER19_ROF_MF</v>
      </c>
      <c r="G1716" s="2176"/>
      <c r="H1716" s="2176"/>
      <c r="I1716" s="2176"/>
      <c r="J1716" s="986" t="str">
        <f>$C$883</f>
        <v>355050_2024_12_</v>
      </c>
      <c r="K1716" s="1606">
        <v>0.65</v>
      </c>
      <c r="L1716" s="249"/>
      <c r="M1716" s="1371"/>
      <c r="P1716" s="248"/>
      <c r="Q1716" s="196"/>
      <c r="R1716" s="248"/>
      <c r="T1716" s="169"/>
      <c r="U1716" s="50"/>
      <c r="V1716" s="2177"/>
      <c r="W1716" s="228">
        <v>0.65</v>
      </c>
      <c r="X1716" s="228">
        <v>0.65</v>
      </c>
      <c r="Y1716" s="228">
        <v>0.65</v>
      </c>
      <c r="Z1716" s="228">
        <v>0.65</v>
      </c>
      <c r="AA1716" s="228">
        <v>0.65</v>
      </c>
      <c r="AB1716" s="228">
        <v>0.65</v>
      </c>
      <c r="AC1716" s="228">
        <v>0.65</v>
      </c>
      <c r="AD1716" s="228">
        <v>0.65</v>
      </c>
      <c r="AE1716" s="228">
        <v>0.65</v>
      </c>
      <c r="AF1716" s="258">
        <f t="shared" si="222"/>
        <v>0.65</v>
      </c>
      <c r="AG1716" s="228"/>
      <c r="DG1716" s="555"/>
      <c r="DH1716" s="151"/>
      <c r="DI1716" s="1049"/>
      <c r="DJ1716" s="1127"/>
    </row>
    <row r="1717" spans="1:115" ht="15" hidden="1" customHeight="1" outlineLevel="1" x14ac:dyDescent="0.25">
      <c r="A1717" s="442"/>
      <c r="C1717" s="49"/>
      <c r="D1717" s="2177"/>
      <c r="E1717" s="2177"/>
      <c r="F1717" s="2176" t="str">
        <f>$E$885</f>
        <v>ASHP-SEER20_ROF_MF</v>
      </c>
      <c r="G1717" s="2176"/>
      <c r="H1717" s="2176"/>
      <c r="I1717" s="2176"/>
      <c r="J1717" s="986" t="str">
        <f>$C$885</f>
        <v>355100_2024_12_</v>
      </c>
      <c r="K1717" s="1606">
        <v>0.65</v>
      </c>
      <c r="L1717" s="249"/>
      <c r="M1717" s="1371"/>
      <c r="P1717" s="248"/>
      <c r="Q1717" s="196"/>
      <c r="R1717" s="248"/>
      <c r="T1717" s="169"/>
      <c r="U1717" s="50"/>
      <c r="V1717" s="2177"/>
      <c r="W1717" s="228">
        <v>0.65</v>
      </c>
      <c r="X1717" s="228">
        <v>0.65</v>
      </c>
      <c r="Y1717" s="228">
        <v>0.65</v>
      </c>
      <c r="Z1717" s="228">
        <v>0.65</v>
      </c>
      <c r="AA1717" s="228">
        <v>0.65</v>
      </c>
      <c r="AB1717" s="228">
        <v>0.65</v>
      </c>
      <c r="AC1717" s="228">
        <v>0.65</v>
      </c>
      <c r="AD1717" s="228">
        <v>0.65</v>
      </c>
      <c r="AE1717" s="228">
        <v>0.65</v>
      </c>
      <c r="AF1717" s="258">
        <f t="shared" si="222"/>
        <v>0.65</v>
      </c>
      <c r="AG1717" s="228"/>
      <c r="DG1717" s="555"/>
      <c r="DH1717" s="151"/>
      <c r="DI1717" s="1049"/>
      <c r="DJ1717" s="1127"/>
    </row>
    <row r="1718" spans="1:115" ht="15.75" hidden="1" customHeight="1" outlineLevel="1" x14ac:dyDescent="0.25">
      <c r="A1718" s="442"/>
      <c r="C1718" s="49"/>
      <c r="D1718" s="2177"/>
      <c r="E1718" s="2177"/>
      <c r="F1718" s="2176" t="str">
        <f>$E$887</f>
        <v>ASHP-SEER21_ROF_MF</v>
      </c>
      <c r="G1718" s="2176"/>
      <c r="H1718" s="2176"/>
      <c r="I1718" s="2176"/>
      <c r="J1718" s="986" t="str">
        <f>$C$887</f>
        <v>355150_2024_12_</v>
      </c>
      <c r="K1718" s="1606">
        <v>0.65</v>
      </c>
      <c r="L1718" s="249"/>
      <c r="M1718" s="1371"/>
      <c r="P1718" s="248"/>
      <c r="Q1718" s="196"/>
      <c r="R1718" s="248"/>
      <c r="T1718" s="169"/>
      <c r="U1718" s="50"/>
      <c r="V1718" s="2177"/>
      <c r="W1718" s="228">
        <v>0.65</v>
      </c>
      <c r="X1718" s="228">
        <v>0.65</v>
      </c>
      <c r="Y1718" s="228">
        <v>0.65</v>
      </c>
      <c r="Z1718" s="228">
        <v>0.65</v>
      </c>
      <c r="AA1718" s="228">
        <v>0.65</v>
      </c>
      <c r="AB1718" s="228">
        <v>0.65</v>
      </c>
      <c r="AC1718" s="228">
        <v>0.65</v>
      </c>
      <c r="AD1718" s="228">
        <v>0.65</v>
      </c>
      <c r="AE1718" s="228">
        <v>0.65</v>
      </c>
      <c r="AF1718" s="258">
        <f t="shared" si="222"/>
        <v>0.65</v>
      </c>
      <c r="AG1718" s="228"/>
      <c r="DG1718" s="555"/>
      <c r="DH1718" s="151"/>
      <c r="DI1718" s="1049"/>
      <c r="DJ1718" s="1127"/>
    </row>
    <row r="1719" spans="1:115" hidden="1" outlineLevel="1" x14ac:dyDescent="0.25">
      <c r="A1719" s="442"/>
      <c r="C1719" s="49"/>
      <c r="D1719" s="1297" t="s">
        <v>104</v>
      </c>
      <c r="E1719" s="1297" t="s">
        <v>951</v>
      </c>
      <c r="F1719" s="2176" t="s">
        <v>734</v>
      </c>
      <c r="G1719" s="2176"/>
      <c r="H1719" s="2176"/>
      <c r="I1719" s="2176"/>
      <c r="J1719" s="986"/>
      <c r="K1719" s="1560">
        <v>1</v>
      </c>
      <c r="L1719" s="249"/>
      <c r="M1719" s="1307" t="s">
        <v>1037</v>
      </c>
      <c r="P1719" s="248"/>
      <c r="Q1719" s="196"/>
      <c r="R1719" s="248"/>
      <c r="T1719" s="145"/>
      <c r="U1719" s="39"/>
      <c r="V1719" s="1297" t="s">
        <v>104</v>
      </c>
      <c r="W1719" s="226"/>
      <c r="X1719" s="226"/>
      <c r="Y1719" s="226"/>
      <c r="Z1719" s="226"/>
      <c r="AA1719" s="226"/>
      <c r="AB1719" s="226">
        <v>1</v>
      </c>
      <c r="AC1719" s="228">
        <v>1</v>
      </c>
      <c r="AD1719" s="228">
        <v>1</v>
      </c>
      <c r="AE1719" s="228">
        <v>1</v>
      </c>
      <c r="AF1719" s="258">
        <f t="shared" si="222"/>
        <v>1</v>
      </c>
      <c r="AG1719" s="226"/>
      <c r="AH1719" s="39"/>
      <c r="AI1719" s="39"/>
      <c r="AJ1719" s="39"/>
      <c r="AK1719" s="39"/>
      <c r="AL1719" s="39"/>
      <c r="AM1719" s="39"/>
      <c r="AN1719" s="39"/>
      <c r="AO1719" s="39"/>
      <c r="AP1719" s="39"/>
      <c r="AQ1719" s="39"/>
      <c r="AR1719" s="39"/>
      <c r="AS1719" s="39"/>
      <c r="AT1719" s="39"/>
      <c r="AU1719" s="39"/>
      <c r="AV1719" s="39"/>
      <c r="AW1719" s="39"/>
      <c r="AX1719" s="39"/>
      <c r="AY1719" s="39"/>
      <c r="AZ1719" s="39"/>
      <c r="BA1719" s="39"/>
      <c r="BB1719" s="39"/>
      <c r="BC1719" s="39"/>
      <c r="BD1719" s="39"/>
      <c r="BE1719" s="39"/>
      <c r="BF1719" s="39"/>
      <c r="BG1719" s="39"/>
      <c r="BH1719" s="39"/>
      <c r="BI1719" s="39"/>
      <c r="BJ1719" s="39"/>
      <c r="BK1719" s="39"/>
      <c r="BL1719" s="39"/>
      <c r="BM1719" s="39"/>
      <c r="BN1719" s="39"/>
      <c r="BO1719" s="39"/>
      <c r="BP1719" s="39"/>
      <c r="BQ1719" s="39"/>
      <c r="BR1719" s="39"/>
      <c r="BS1719" s="39"/>
      <c r="BT1719" s="39"/>
      <c r="BU1719" s="39"/>
      <c r="BV1719" s="39"/>
      <c r="BW1719" s="39"/>
      <c r="BX1719" s="39"/>
      <c r="BY1719" s="39"/>
      <c r="BZ1719" s="39"/>
      <c r="CA1719" s="39"/>
      <c r="CB1719" s="39"/>
      <c r="CC1719" s="39"/>
      <c r="CD1719" s="39"/>
      <c r="CE1719" s="39"/>
      <c r="CF1719" s="39"/>
      <c r="CG1719" s="39"/>
      <c r="CH1719" s="39"/>
      <c r="CI1719" s="39"/>
      <c r="CJ1719" s="39"/>
      <c r="CK1719" s="39"/>
      <c r="CL1719" s="39"/>
      <c r="CM1719" s="39"/>
      <c r="CN1719" s="39"/>
      <c r="CO1719" s="39"/>
      <c r="CP1719" s="39"/>
      <c r="CQ1719" s="39"/>
      <c r="CR1719" s="39"/>
      <c r="CS1719" s="39"/>
      <c r="CT1719" s="39"/>
      <c r="CU1719" s="39"/>
      <c r="CV1719" s="39"/>
      <c r="CW1719" s="39"/>
      <c r="CX1719" s="39"/>
      <c r="CY1719" s="39"/>
      <c r="CZ1719" s="39"/>
      <c r="DA1719" s="39"/>
      <c r="DB1719" s="39"/>
      <c r="DC1719" s="39"/>
      <c r="DD1719" s="39"/>
      <c r="DE1719" s="39"/>
      <c r="DF1719" s="39"/>
      <c r="DG1719" s="1043"/>
      <c r="DI1719" s="1049"/>
      <c r="DJ1719" s="1127"/>
      <c r="DK1719" s="39"/>
    </row>
    <row r="1720" spans="1:115" ht="14.65" hidden="1" customHeight="1" outlineLevel="1" x14ac:dyDescent="0.25">
      <c r="A1720" s="442"/>
      <c r="C1720" s="49"/>
      <c r="D1720" s="2177" t="s">
        <v>49</v>
      </c>
      <c r="E1720" s="2177" t="s">
        <v>792</v>
      </c>
      <c r="F1720" s="2176" t="str">
        <f t="shared" ref="F1720:F1751" si="223">E709</f>
        <v>ASHP-SEER15-Replace_CAC_ElectricHeat_ER1_SF</v>
      </c>
      <c r="G1720" s="2176"/>
      <c r="H1720" s="2176"/>
      <c r="I1720" s="2176"/>
      <c r="J1720" s="986" t="str">
        <f t="shared" ref="J1720:J1751" si="224">C709</f>
        <v>352300_2024_12_</v>
      </c>
      <c r="K1720" s="1619">
        <v>6</v>
      </c>
      <c r="L1720" s="12"/>
      <c r="M1720" s="2221" t="s">
        <v>1373</v>
      </c>
      <c r="P1720" s="248"/>
      <c r="Q1720" s="248"/>
      <c r="R1720" s="248"/>
      <c r="T1720" s="169"/>
      <c r="U1720" s="50"/>
      <c r="V1720" s="2177" t="s">
        <v>49</v>
      </c>
      <c r="W1720" s="250">
        <v>6</v>
      </c>
      <c r="X1720" s="250">
        <v>6</v>
      </c>
      <c r="Y1720" s="250">
        <v>6</v>
      </c>
      <c r="Z1720" s="250">
        <v>6</v>
      </c>
      <c r="AA1720" s="250">
        <v>6</v>
      </c>
      <c r="AB1720" s="250">
        <v>6</v>
      </c>
      <c r="AC1720" s="250">
        <v>6</v>
      </c>
      <c r="AD1720" s="250">
        <v>6</v>
      </c>
      <c r="AE1720" s="250">
        <v>6</v>
      </c>
      <c r="AF1720" s="258">
        <f t="shared" si="222"/>
        <v>6</v>
      </c>
      <c r="AG1720" s="250"/>
      <c r="DG1720" s="555"/>
      <c r="DH1720" s="151"/>
      <c r="DI1720" s="1049"/>
      <c r="DJ1720" s="1127"/>
    </row>
    <row r="1721" spans="1:115" ht="15" hidden="1" customHeight="1" outlineLevel="1" x14ac:dyDescent="0.25">
      <c r="A1721" s="442"/>
      <c r="C1721" s="49"/>
      <c r="D1721" s="2177"/>
      <c r="E1721" s="2177"/>
      <c r="F1721" s="2176" t="str">
        <f t="shared" si="223"/>
        <v>ASHP-SEER15-Replace_CAC_ElectricHeat_ER1_SF</v>
      </c>
      <c r="G1721" s="2176"/>
      <c r="H1721" s="2176"/>
      <c r="I1721" s="2176"/>
      <c r="J1721" s="986" t="str">
        <f t="shared" si="224"/>
        <v>352300_2024_12_</v>
      </c>
      <c r="K1721" s="1619">
        <v>6</v>
      </c>
      <c r="L1721" s="12"/>
      <c r="M1721" s="2222"/>
      <c r="P1721" s="248"/>
      <c r="Q1721" s="248"/>
      <c r="R1721" s="248"/>
      <c r="T1721" s="169"/>
      <c r="U1721" s="50"/>
      <c r="V1721" s="2177"/>
      <c r="W1721" s="250">
        <v>6</v>
      </c>
      <c r="X1721" s="250">
        <v>6</v>
      </c>
      <c r="Y1721" s="250">
        <v>6</v>
      </c>
      <c r="Z1721" s="250">
        <v>6</v>
      </c>
      <c r="AA1721" s="250">
        <v>6</v>
      </c>
      <c r="AB1721" s="250">
        <v>6</v>
      </c>
      <c r="AC1721" s="250">
        <v>6</v>
      </c>
      <c r="AD1721" s="250">
        <v>6</v>
      </c>
      <c r="AE1721" s="250">
        <v>6</v>
      </c>
      <c r="AF1721" s="258">
        <f t="shared" si="222"/>
        <v>6</v>
      </c>
      <c r="AG1721" s="250"/>
      <c r="DG1721" s="555"/>
      <c r="DH1721" s="151"/>
      <c r="DI1721" s="1049"/>
      <c r="DJ1721" s="1127"/>
    </row>
    <row r="1722" spans="1:115" ht="15" hidden="1" customHeight="1" outlineLevel="1" x14ac:dyDescent="0.25">
      <c r="A1722" s="442"/>
      <c r="C1722" s="49"/>
      <c r="D1722" s="2177"/>
      <c r="E1722" s="2177"/>
      <c r="F1722" s="2176" t="str">
        <f t="shared" si="223"/>
        <v>ASHP-SEER15-Replace_CAC_ElectricHeat_ER2_SF</v>
      </c>
      <c r="G1722" s="2176"/>
      <c r="H1722" s="2176"/>
      <c r="I1722" s="2176"/>
      <c r="J1722" s="986" t="str">
        <f t="shared" si="224"/>
        <v>352300_2024_12_</v>
      </c>
      <c r="K1722" s="1619">
        <v>12</v>
      </c>
      <c r="L1722" s="12"/>
      <c r="M1722" s="2222"/>
      <c r="P1722" s="248"/>
      <c r="Q1722" s="248"/>
      <c r="R1722" s="248"/>
      <c r="T1722" s="169"/>
      <c r="U1722" s="50"/>
      <c r="V1722" s="2177"/>
      <c r="W1722" s="250">
        <v>12</v>
      </c>
      <c r="X1722" s="250">
        <v>12</v>
      </c>
      <c r="Y1722" s="250">
        <v>12</v>
      </c>
      <c r="Z1722" s="250">
        <v>12</v>
      </c>
      <c r="AA1722" s="250">
        <v>12</v>
      </c>
      <c r="AB1722" s="250">
        <v>12</v>
      </c>
      <c r="AC1722" s="250">
        <v>12</v>
      </c>
      <c r="AD1722" s="250">
        <v>12</v>
      </c>
      <c r="AE1722" s="250">
        <v>12</v>
      </c>
      <c r="AF1722" s="258">
        <f t="shared" si="222"/>
        <v>12</v>
      </c>
      <c r="AG1722" s="250"/>
      <c r="DG1722" s="555"/>
      <c r="DH1722" s="151"/>
      <c r="DI1722" s="1049"/>
      <c r="DJ1722" s="1127"/>
    </row>
    <row r="1723" spans="1:115" ht="15" hidden="1" customHeight="1" outlineLevel="1" x14ac:dyDescent="0.25">
      <c r="A1723" s="442"/>
      <c r="C1723" s="49"/>
      <c r="D1723" s="2177"/>
      <c r="E1723" s="2177"/>
      <c r="F1723" s="2176" t="str">
        <f t="shared" si="223"/>
        <v>ASHP-SEER15-Replace_CAC_ElectricHeat_ER2_SF</v>
      </c>
      <c r="G1723" s="2176"/>
      <c r="H1723" s="2176"/>
      <c r="I1723" s="2176"/>
      <c r="J1723" s="986" t="str">
        <f t="shared" si="224"/>
        <v>352300_2024_12_</v>
      </c>
      <c r="K1723" s="1619">
        <v>12</v>
      </c>
      <c r="L1723" s="12"/>
      <c r="M1723" s="2222"/>
      <c r="P1723" s="248"/>
      <c r="Q1723" s="248"/>
      <c r="R1723" s="248"/>
      <c r="T1723" s="169"/>
      <c r="U1723" s="50"/>
      <c r="V1723" s="2177"/>
      <c r="W1723" s="250">
        <v>12</v>
      </c>
      <c r="X1723" s="250">
        <v>12</v>
      </c>
      <c r="Y1723" s="250">
        <v>12</v>
      </c>
      <c r="Z1723" s="250">
        <v>12</v>
      </c>
      <c r="AA1723" s="250">
        <v>12</v>
      </c>
      <c r="AB1723" s="250">
        <v>12</v>
      </c>
      <c r="AC1723" s="250">
        <v>12</v>
      </c>
      <c r="AD1723" s="250">
        <v>12</v>
      </c>
      <c r="AE1723" s="250">
        <v>12</v>
      </c>
      <c r="AF1723" s="258">
        <f t="shared" si="222"/>
        <v>12</v>
      </c>
      <c r="AG1723" s="250"/>
      <c r="DG1723" s="555"/>
      <c r="DH1723" s="151"/>
      <c r="DI1723" s="1049"/>
      <c r="DJ1723" s="1127"/>
    </row>
    <row r="1724" spans="1:115" ht="15" hidden="1" customHeight="1" outlineLevel="1" x14ac:dyDescent="0.25">
      <c r="A1724" s="442"/>
      <c r="C1724" s="49"/>
      <c r="D1724" s="2177"/>
      <c r="E1724" s="2177"/>
      <c r="F1724" s="2176" t="str">
        <f t="shared" si="223"/>
        <v>ASHP-SEER15-Replace_CAC_NonElectricHeat_ER1_SF</v>
      </c>
      <c r="G1724" s="2176"/>
      <c r="H1724" s="2176"/>
      <c r="I1724" s="2176"/>
      <c r="J1724" s="986" t="str">
        <f t="shared" si="224"/>
        <v>352310_2024_12_</v>
      </c>
      <c r="K1724" s="1619">
        <v>6</v>
      </c>
      <c r="L1724" s="12"/>
      <c r="M1724" s="2222"/>
      <c r="P1724" s="248"/>
      <c r="Q1724" s="248"/>
      <c r="R1724" s="248"/>
      <c r="T1724" s="169"/>
      <c r="U1724" s="50"/>
      <c r="V1724" s="2177"/>
      <c r="W1724" s="250"/>
      <c r="X1724" s="250"/>
      <c r="Y1724" s="250"/>
      <c r="Z1724" s="250"/>
      <c r="AA1724" s="250"/>
      <c r="AB1724" s="250"/>
      <c r="AC1724" s="987">
        <v>6</v>
      </c>
      <c r="AD1724" s="250">
        <v>6</v>
      </c>
      <c r="AE1724" s="250">
        <v>6</v>
      </c>
      <c r="AF1724" s="258">
        <f t="shared" si="222"/>
        <v>6</v>
      </c>
      <c r="AG1724" s="250"/>
      <c r="DG1724" s="555"/>
      <c r="DH1724" s="151"/>
      <c r="DI1724" s="1049"/>
      <c r="DJ1724" s="1127"/>
    </row>
    <row r="1725" spans="1:115" ht="15" hidden="1" customHeight="1" outlineLevel="1" x14ac:dyDescent="0.25">
      <c r="A1725" s="442"/>
      <c r="C1725" s="49"/>
      <c r="D1725" s="2177"/>
      <c r="E1725" s="2177"/>
      <c r="F1725" s="2176" t="str">
        <f t="shared" si="223"/>
        <v>ASHP-SEER15-Replace_CAC_NonElectricHeat_ER1_SF</v>
      </c>
      <c r="G1725" s="2176"/>
      <c r="H1725" s="2176"/>
      <c r="I1725" s="2176"/>
      <c r="J1725" s="986" t="str">
        <f t="shared" si="224"/>
        <v>352310_2024_12_</v>
      </c>
      <c r="K1725" s="1619">
        <v>6</v>
      </c>
      <c r="L1725" s="12"/>
      <c r="M1725" s="2222"/>
      <c r="P1725" s="248"/>
      <c r="Q1725" s="248"/>
      <c r="R1725" s="248"/>
      <c r="T1725" s="169"/>
      <c r="U1725" s="50"/>
      <c r="V1725" s="2177"/>
      <c r="W1725" s="250"/>
      <c r="X1725" s="250"/>
      <c r="Y1725" s="250"/>
      <c r="Z1725" s="250"/>
      <c r="AA1725" s="250"/>
      <c r="AB1725" s="250"/>
      <c r="AC1725" s="987">
        <v>6</v>
      </c>
      <c r="AD1725" s="250">
        <v>6</v>
      </c>
      <c r="AE1725" s="250">
        <v>6</v>
      </c>
      <c r="AF1725" s="258">
        <f t="shared" si="222"/>
        <v>6</v>
      </c>
      <c r="AG1725" s="250"/>
      <c r="DG1725" s="555"/>
      <c r="DH1725" s="151"/>
      <c r="DI1725" s="1049"/>
      <c r="DJ1725" s="1127"/>
    </row>
    <row r="1726" spans="1:115" ht="15" hidden="1" customHeight="1" outlineLevel="1" x14ac:dyDescent="0.25">
      <c r="A1726" s="442"/>
      <c r="C1726" s="49"/>
      <c r="D1726" s="2177"/>
      <c r="E1726" s="2177"/>
      <c r="F1726" s="2176" t="str">
        <f t="shared" si="223"/>
        <v>ASHP-SEER15-Replace_CAC_NonElectricHeat_ER2_SF</v>
      </c>
      <c r="G1726" s="2176"/>
      <c r="H1726" s="2176"/>
      <c r="I1726" s="2176"/>
      <c r="J1726" s="986" t="str">
        <f t="shared" si="224"/>
        <v>352310_2024_12_</v>
      </c>
      <c r="K1726" s="1619">
        <v>12</v>
      </c>
      <c r="L1726" s="12"/>
      <c r="M1726" s="2222"/>
      <c r="P1726" s="248"/>
      <c r="Q1726" s="248"/>
      <c r="R1726" s="248"/>
      <c r="T1726" s="169"/>
      <c r="U1726" s="50"/>
      <c r="V1726" s="2177"/>
      <c r="W1726" s="250"/>
      <c r="X1726" s="250"/>
      <c r="Y1726" s="250"/>
      <c r="Z1726" s="250"/>
      <c r="AA1726" s="250"/>
      <c r="AB1726" s="250"/>
      <c r="AC1726" s="987">
        <v>12</v>
      </c>
      <c r="AD1726" s="250">
        <v>12</v>
      </c>
      <c r="AE1726" s="250">
        <v>12</v>
      </c>
      <c r="AF1726" s="258">
        <f t="shared" si="222"/>
        <v>12</v>
      </c>
      <c r="AG1726" s="250"/>
      <c r="DG1726" s="555"/>
      <c r="DH1726" s="151"/>
      <c r="DI1726" s="1049"/>
      <c r="DJ1726" s="1127"/>
    </row>
    <row r="1727" spans="1:115" ht="15" hidden="1" customHeight="1" outlineLevel="1" x14ac:dyDescent="0.25">
      <c r="A1727" s="442"/>
      <c r="C1727" s="49"/>
      <c r="D1727" s="2177"/>
      <c r="E1727" s="2177"/>
      <c r="F1727" s="2176" t="str">
        <f t="shared" si="223"/>
        <v>ASHP-SEER15-Replace_CAC_NonElectricHeat_ER2_SF</v>
      </c>
      <c r="G1727" s="2176"/>
      <c r="H1727" s="2176"/>
      <c r="I1727" s="2176"/>
      <c r="J1727" s="986" t="str">
        <f t="shared" si="224"/>
        <v>352310_2024_12_</v>
      </c>
      <c r="K1727" s="1619">
        <v>12</v>
      </c>
      <c r="L1727" s="12"/>
      <c r="M1727" s="2222"/>
      <c r="P1727" s="248"/>
      <c r="Q1727" s="248"/>
      <c r="R1727" s="248"/>
      <c r="T1727" s="169"/>
      <c r="U1727" s="50"/>
      <c r="V1727" s="2177"/>
      <c r="W1727" s="250"/>
      <c r="X1727" s="250"/>
      <c r="Y1727" s="250"/>
      <c r="Z1727" s="250"/>
      <c r="AA1727" s="250"/>
      <c r="AB1727" s="250"/>
      <c r="AC1727" s="987">
        <v>12</v>
      </c>
      <c r="AD1727" s="250">
        <v>12</v>
      </c>
      <c r="AE1727" s="250">
        <v>12</v>
      </c>
      <c r="AF1727" s="258">
        <f t="shared" si="222"/>
        <v>12</v>
      </c>
      <c r="AG1727" s="250"/>
      <c r="DG1727" s="555"/>
      <c r="DH1727" s="151"/>
      <c r="DI1727" s="1049"/>
      <c r="DJ1727" s="1127"/>
    </row>
    <row r="1728" spans="1:115" ht="15" hidden="1" customHeight="1" outlineLevel="1" x14ac:dyDescent="0.25">
      <c r="A1728" s="442"/>
      <c r="C1728" s="49"/>
      <c r="D1728" s="2177"/>
      <c r="E1728" s="2177"/>
      <c r="F1728" s="2176" t="str">
        <f t="shared" si="223"/>
        <v>ASHP-SEER15_ER1_SF</v>
      </c>
      <c r="G1728" s="2176"/>
      <c r="H1728" s="2176"/>
      <c r="I1728" s="2176"/>
      <c r="J1728" s="986" t="str">
        <f t="shared" si="224"/>
        <v>352350_2024_12_</v>
      </c>
      <c r="K1728" s="1619">
        <v>6</v>
      </c>
      <c r="L1728" s="12"/>
      <c r="M1728" s="2222"/>
      <c r="P1728" s="248"/>
      <c r="Q1728" s="248"/>
      <c r="R1728" s="248"/>
      <c r="T1728" s="169"/>
      <c r="U1728" s="50"/>
      <c r="V1728" s="2177"/>
      <c r="W1728" s="250">
        <v>6</v>
      </c>
      <c r="X1728" s="250">
        <v>6</v>
      </c>
      <c r="Y1728" s="250">
        <v>6</v>
      </c>
      <c r="Z1728" s="250">
        <v>6</v>
      </c>
      <c r="AA1728" s="250">
        <v>6</v>
      </c>
      <c r="AB1728" s="250">
        <v>6</v>
      </c>
      <c r="AC1728" s="250">
        <v>6</v>
      </c>
      <c r="AD1728" s="250">
        <v>6</v>
      </c>
      <c r="AE1728" s="250">
        <v>6</v>
      </c>
      <c r="AF1728" s="258">
        <f t="shared" si="222"/>
        <v>6</v>
      </c>
      <c r="AG1728" s="250"/>
      <c r="DG1728" s="555"/>
      <c r="DH1728" s="151"/>
      <c r="DI1728" s="1049"/>
      <c r="DJ1728" s="1127"/>
    </row>
    <row r="1729" spans="1:114" ht="15" hidden="1" customHeight="1" outlineLevel="1" x14ac:dyDescent="0.25">
      <c r="A1729" s="442"/>
      <c r="C1729" s="49"/>
      <c r="D1729" s="2177"/>
      <c r="E1729" s="2177"/>
      <c r="F1729" s="2176" t="str">
        <f t="shared" si="223"/>
        <v>ASHP-SEER15_ER1_SF</v>
      </c>
      <c r="G1729" s="2176"/>
      <c r="H1729" s="2176"/>
      <c r="I1729" s="2176"/>
      <c r="J1729" s="986" t="str">
        <f t="shared" si="224"/>
        <v>352350_2024_12_</v>
      </c>
      <c r="K1729" s="1619">
        <v>6</v>
      </c>
      <c r="L1729" s="12"/>
      <c r="M1729" s="2222"/>
      <c r="P1729" s="248"/>
      <c r="Q1729" s="248"/>
      <c r="R1729" s="248"/>
      <c r="T1729" s="169"/>
      <c r="U1729" s="50"/>
      <c r="V1729" s="2177"/>
      <c r="W1729" s="250">
        <v>6</v>
      </c>
      <c r="X1729" s="250">
        <v>6</v>
      </c>
      <c r="Y1729" s="250">
        <v>6</v>
      </c>
      <c r="Z1729" s="250">
        <v>6</v>
      </c>
      <c r="AA1729" s="250">
        <v>6</v>
      </c>
      <c r="AB1729" s="250">
        <v>6</v>
      </c>
      <c r="AC1729" s="250">
        <v>6</v>
      </c>
      <c r="AD1729" s="250">
        <v>6</v>
      </c>
      <c r="AE1729" s="250">
        <v>6</v>
      </c>
      <c r="AF1729" s="258">
        <f t="shared" si="222"/>
        <v>6</v>
      </c>
      <c r="AG1729" s="250"/>
      <c r="DG1729" s="555"/>
      <c r="DH1729" s="151"/>
      <c r="DI1729" s="1049"/>
      <c r="DJ1729" s="1127"/>
    </row>
    <row r="1730" spans="1:114" ht="15" hidden="1" customHeight="1" outlineLevel="1" x14ac:dyDescent="0.25">
      <c r="A1730" s="442"/>
      <c r="C1730" s="49"/>
      <c r="D1730" s="2177"/>
      <c r="E1730" s="2177"/>
      <c r="F1730" s="2176" t="str">
        <f t="shared" si="223"/>
        <v>ASHP-SEER15_ER2_SF</v>
      </c>
      <c r="G1730" s="2176"/>
      <c r="H1730" s="2176"/>
      <c r="I1730" s="2176"/>
      <c r="J1730" s="986" t="str">
        <f t="shared" si="224"/>
        <v>352350_2024_12_</v>
      </c>
      <c r="K1730" s="1619">
        <v>12</v>
      </c>
      <c r="L1730" s="12"/>
      <c r="M1730" s="2222"/>
      <c r="P1730" s="248"/>
      <c r="Q1730" s="248"/>
      <c r="R1730" s="248"/>
      <c r="T1730" s="169"/>
      <c r="U1730" s="50"/>
      <c r="V1730" s="2177"/>
      <c r="W1730" s="250">
        <v>12</v>
      </c>
      <c r="X1730" s="250">
        <v>12</v>
      </c>
      <c r="Y1730" s="250">
        <v>12</v>
      </c>
      <c r="Z1730" s="250">
        <v>12</v>
      </c>
      <c r="AA1730" s="250">
        <v>12</v>
      </c>
      <c r="AB1730" s="250">
        <v>12</v>
      </c>
      <c r="AC1730" s="250">
        <v>12</v>
      </c>
      <c r="AD1730" s="250">
        <v>12</v>
      </c>
      <c r="AE1730" s="250">
        <v>12</v>
      </c>
      <c r="AF1730" s="258">
        <f t="shared" si="222"/>
        <v>12</v>
      </c>
      <c r="AG1730" s="250"/>
      <c r="DG1730" s="555"/>
      <c r="DH1730" s="151"/>
      <c r="DI1730" s="1049"/>
      <c r="DJ1730" s="1127"/>
    </row>
    <row r="1731" spans="1:114" ht="15" hidden="1" customHeight="1" outlineLevel="1" x14ac:dyDescent="0.25">
      <c r="A1731" s="442"/>
      <c r="C1731" s="49"/>
      <c r="D1731" s="2177"/>
      <c r="E1731" s="2177"/>
      <c r="F1731" s="2176" t="str">
        <f t="shared" si="223"/>
        <v>ASHP-SEER15_ER2_SF</v>
      </c>
      <c r="G1731" s="2176"/>
      <c r="H1731" s="2176"/>
      <c r="I1731" s="2176"/>
      <c r="J1731" s="986" t="str">
        <f t="shared" si="224"/>
        <v>352350_2024_12_</v>
      </c>
      <c r="K1731" s="1619">
        <v>12</v>
      </c>
      <c r="L1731" s="12"/>
      <c r="M1731" s="2222"/>
      <c r="P1731" s="248"/>
      <c r="Q1731" s="248"/>
      <c r="R1731" s="248"/>
      <c r="T1731" s="169"/>
      <c r="U1731" s="50"/>
      <c r="V1731" s="2177"/>
      <c r="W1731" s="250">
        <v>12</v>
      </c>
      <c r="X1731" s="250">
        <v>12</v>
      </c>
      <c r="Y1731" s="250">
        <v>12</v>
      </c>
      <c r="Z1731" s="250">
        <v>12</v>
      </c>
      <c r="AA1731" s="250">
        <v>12</v>
      </c>
      <c r="AB1731" s="250">
        <v>12</v>
      </c>
      <c r="AC1731" s="250">
        <v>12</v>
      </c>
      <c r="AD1731" s="250">
        <v>12</v>
      </c>
      <c r="AE1731" s="250">
        <v>12</v>
      </c>
      <c r="AF1731" s="258">
        <f t="shared" si="222"/>
        <v>12</v>
      </c>
      <c r="AG1731" s="250"/>
      <c r="DG1731" s="555"/>
      <c r="DH1731" s="151"/>
      <c r="DI1731" s="1049"/>
      <c r="DJ1731" s="1127"/>
    </row>
    <row r="1732" spans="1:114" ht="15" hidden="1" customHeight="1" outlineLevel="1" x14ac:dyDescent="0.25">
      <c r="A1732" s="442"/>
      <c r="C1732" s="49"/>
      <c r="D1732" s="2177"/>
      <c r="E1732" s="2177"/>
      <c r="F1732" s="2176" t="str">
        <f t="shared" si="223"/>
        <v>ASHP-SEER15-Replace_CAC_ElectricHeat_ROF_SF</v>
      </c>
      <c r="G1732" s="2176"/>
      <c r="H1732" s="2176"/>
      <c r="I1732" s="2176"/>
      <c r="J1732" s="986" t="str">
        <f t="shared" si="224"/>
        <v>352400_2024_12_</v>
      </c>
      <c r="K1732" s="1619">
        <v>18</v>
      </c>
      <c r="L1732" s="12"/>
      <c r="M1732" s="2222"/>
      <c r="P1732" s="248"/>
      <c r="Q1732" s="248"/>
      <c r="R1732" s="248"/>
      <c r="T1732" s="169"/>
      <c r="U1732" s="50"/>
      <c r="V1732" s="2177"/>
      <c r="W1732" s="250">
        <v>18</v>
      </c>
      <c r="X1732" s="250">
        <v>18</v>
      </c>
      <c r="Y1732" s="250">
        <v>18</v>
      </c>
      <c r="Z1732" s="250">
        <v>18</v>
      </c>
      <c r="AA1732" s="250">
        <v>18</v>
      </c>
      <c r="AB1732" s="250">
        <v>18</v>
      </c>
      <c r="AC1732" s="250">
        <v>18</v>
      </c>
      <c r="AD1732" s="250">
        <v>18</v>
      </c>
      <c r="AE1732" s="250">
        <v>18</v>
      </c>
      <c r="AF1732" s="258">
        <f t="shared" si="222"/>
        <v>18</v>
      </c>
      <c r="AG1732" s="250"/>
      <c r="DG1732" s="555"/>
      <c r="DH1732" s="151"/>
      <c r="DI1732" s="1049"/>
      <c r="DJ1732" s="1127"/>
    </row>
    <row r="1733" spans="1:114" ht="15" hidden="1" customHeight="1" outlineLevel="1" x14ac:dyDescent="0.25">
      <c r="A1733" s="442"/>
      <c r="C1733" s="49"/>
      <c r="D1733" s="2177"/>
      <c r="E1733" s="2177"/>
      <c r="F1733" s="2176" t="str">
        <f t="shared" si="223"/>
        <v>ASHP-SEER15-Replace_CAC_ElectricHeat_ROF_SF</v>
      </c>
      <c r="G1733" s="2176"/>
      <c r="H1733" s="2176"/>
      <c r="I1733" s="2176"/>
      <c r="J1733" s="986" t="str">
        <f t="shared" si="224"/>
        <v>352400_2024_12_</v>
      </c>
      <c r="K1733" s="1619">
        <v>18</v>
      </c>
      <c r="L1733" s="249"/>
      <c r="M1733" s="2222"/>
      <c r="P1733" s="248"/>
      <c r="Q1733" s="248"/>
      <c r="R1733" s="248"/>
      <c r="T1733" s="169"/>
      <c r="U1733" s="50"/>
      <c r="V1733" s="2177"/>
      <c r="W1733" s="250">
        <v>18</v>
      </c>
      <c r="X1733" s="250">
        <v>18</v>
      </c>
      <c r="Y1733" s="250">
        <v>18</v>
      </c>
      <c r="Z1733" s="250">
        <v>18</v>
      </c>
      <c r="AA1733" s="250">
        <v>18</v>
      </c>
      <c r="AB1733" s="250">
        <v>18</v>
      </c>
      <c r="AC1733" s="250">
        <v>18</v>
      </c>
      <c r="AD1733" s="250">
        <v>18</v>
      </c>
      <c r="AE1733" s="250">
        <v>18</v>
      </c>
      <c r="AF1733" s="258">
        <f t="shared" si="222"/>
        <v>18</v>
      </c>
      <c r="AG1733" s="250"/>
      <c r="DG1733" s="555"/>
      <c r="DH1733" s="151"/>
      <c r="DI1733" s="1049"/>
      <c r="DJ1733" s="1127"/>
    </row>
    <row r="1734" spans="1:114" ht="15" hidden="1" customHeight="1" outlineLevel="1" x14ac:dyDescent="0.25">
      <c r="A1734" s="442"/>
      <c r="C1734" s="49"/>
      <c r="D1734" s="2177"/>
      <c r="E1734" s="2177"/>
      <c r="F1734" s="2176" t="str">
        <f t="shared" si="223"/>
        <v>ASHP-SEER15-Replace_CAC_NonElectricHeat_ROF_SF</v>
      </c>
      <c r="G1734" s="2176"/>
      <c r="H1734" s="2176"/>
      <c r="I1734" s="2176"/>
      <c r="J1734" s="986" t="str">
        <f t="shared" si="224"/>
        <v>352410_2024_12_</v>
      </c>
      <c r="K1734" s="1619">
        <v>18</v>
      </c>
      <c r="L1734" s="249"/>
      <c r="M1734" s="2222"/>
      <c r="P1734" s="248"/>
      <c r="Q1734" s="248"/>
      <c r="R1734" s="248"/>
      <c r="T1734" s="169"/>
      <c r="U1734" s="50"/>
      <c r="V1734" s="2177"/>
      <c r="W1734" s="250"/>
      <c r="X1734" s="250"/>
      <c r="Y1734" s="250"/>
      <c r="Z1734" s="250"/>
      <c r="AA1734" s="250"/>
      <c r="AB1734" s="250"/>
      <c r="AC1734" s="987">
        <v>18</v>
      </c>
      <c r="AD1734" s="250">
        <v>18</v>
      </c>
      <c r="AE1734" s="250">
        <v>18</v>
      </c>
      <c r="AF1734" s="258">
        <f t="shared" si="222"/>
        <v>18</v>
      </c>
      <c r="AG1734" s="250"/>
      <c r="DG1734" s="555"/>
      <c r="DH1734" s="151"/>
      <c r="DI1734" s="1049"/>
      <c r="DJ1734" s="1127"/>
    </row>
    <row r="1735" spans="1:114" ht="15" hidden="1" customHeight="1" outlineLevel="1" x14ac:dyDescent="0.25">
      <c r="A1735" s="442"/>
      <c r="C1735" s="49"/>
      <c r="D1735" s="2177"/>
      <c r="E1735" s="2177"/>
      <c r="F1735" s="2176" t="str">
        <f t="shared" si="223"/>
        <v>ASHP-SEER15-Replace_CAC_NonElectricHeat_ROF_SF</v>
      </c>
      <c r="G1735" s="2176"/>
      <c r="H1735" s="2176"/>
      <c r="I1735" s="2176"/>
      <c r="J1735" s="986" t="str">
        <f t="shared" si="224"/>
        <v>352410_2024_12_</v>
      </c>
      <c r="K1735" s="1619">
        <v>18</v>
      </c>
      <c r="L1735" s="249"/>
      <c r="M1735" s="2222"/>
      <c r="P1735" s="248"/>
      <c r="Q1735" s="248"/>
      <c r="R1735" s="248"/>
      <c r="T1735" s="169"/>
      <c r="U1735" s="50"/>
      <c r="V1735" s="2177"/>
      <c r="W1735" s="250"/>
      <c r="X1735" s="250"/>
      <c r="Y1735" s="250"/>
      <c r="Z1735" s="250"/>
      <c r="AA1735" s="250"/>
      <c r="AB1735" s="250"/>
      <c r="AC1735" s="987">
        <v>18</v>
      </c>
      <c r="AD1735" s="250">
        <v>18</v>
      </c>
      <c r="AE1735" s="250">
        <v>18</v>
      </c>
      <c r="AF1735" s="258">
        <f t="shared" si="222"/>
        <v>18</v>
      </c>
      <c r="AG1735" s="250"/>
      <c r="DG1735" s="555"/>
      <c r="DH1735" s="151"/>
      <c r="DI1735" s="1049"/>
      <c r="DJ1735" s="1127"/>
    </row>
    <row r="1736" spans="1:114" ht="15" hidden="1" customHeight="1" outlineLevel="1" x14ac:dyDescent="0.25">
      <c r="A1736" s="442"/>
      <c r="C1736" s="49"/>
      <c r="D1736" s="2177"/>
      <c r="E1736" s="2177"/>
      <c r="F1736" s="2176" t="str">
        <f t="shared" si="223"/>
        <v>ASHP-SEER16-Replace_CAC_ElectricHeat_ER1_SF</v>
      </c>
      <c r="G1736" s="2176"/>
      <c r="H1736" s="2176"/>
      <c r="I1736" s="2176"/>
      <c r="J1736" s="986" t="str">
        <f t="shared" si="224"/>
        <v>352500_2024_12_</v>
      </c>
      <c r="K1736" s="1619">
        <v>6</v>
      </c>
      <c r="L1736" s="249"/>
      <c r="M1736" s="2222"/>
      <c r="P1736" s="248"/>
      <c r="Q1736" s="248"/>
      <c r="R1736" s="248"/>
      <c r="T1736" s="169"/>
      <c r="U1736" s="50"/>
      <c r="V1736" s="2177"/>
      <c r="W1736" s="250">
        <v>6</v>
      </c>
      <c r="X1736" s="250">
        <v>6</v>
      </c>
      <c r="Y1736" s="250">
        <v>6</v>
      </c>
      <c r="Z1736" s="250">
        <v>6</v>
      </c>
      <c r="AA1736" s="250">
        <v>6</v>
      </c>
      <c r="AB1736" s="250">
        <v>6</v>
      </c>
      <c r="AC1736" s="250">
        <v>6</v>
      </c>
      <c r="AD1736" s="250">
        <v>6</v>
      </c>
      <c r="AE1736" s="250">
        <v>6</v>
      </c>
      <c r="AF1736" s="258">
        <f t="shared" si="222"/>
        <v>6</v>
      </c>
      <c r="AG1736" s="250"/>
      <c r="DG1736" s="555"/>
      <c r="DH1736" s="151"/>
      <c r="DI1736" s="1049"/>
      <c r="DJ1736" s="1127"/>
    </row>
    <row r="1737" spans="1:114" ht="15" hidden="1" customHeight="1" outlineLevel="1" x14ac:dyDescent="0.25">
      <c r="A1737" s="442"/>
      <c r="C1737" s="49"/>
      <c r="D1737" s="2177"/>
      <c r="E1737" s="2177"/>
      <c r="F1737" s="2176" t="str">
        <f t="shared" si="223"/>
        <v>ASHP-SEER16-Replace_CAC_ElectricHeat_ER1_SF</v>
      </c>
      <c r="G1737" s="2176"/>
      <c r="H1737" s="2176"/>
      <c r="I1737" s="2176"/>
      <c r="J1737" s="986" t="str">
        <f t="shared" si="224"/>
        <v>352500_2024_12_</v>
      </c>
      <c r="K1737" s="1619">
        <v>6</v>
      </c>
      <c r="L1737" s="249"/>
      <c r="M1737" s="2222"/>
      <c r="P1737" s="248"/>
      <c r="Q1737" s="248"/>
      <c r="R1737" s="248"/>
      <c r="T1737" s="169"/>
      <c r="U1737" s="50"/>
      <c r="V1737" s="2177"/>
      <c r="W1737" s="250">
        <v>6</v>
      </c>
      <c r="X1737" s="250">
        <v>6</v>
      </c>
      <c r="Y1737" s="250">
        <v>6</v>
      </c>
      <c r="Z1737" s="250">
        <v>6</v>
      </c>
      <c r="AA1737" s="250">
        <v>6</v>
      </c>
      <c r="AB1737" s="250">
        <v>6</v>
      </c>
      <c r="AC1737" s="250">
        <v>6</v>
      </c>
      <c r="AD1737" s="250">
        <v>6</v>
      </c>
      <c r="AE1737" s="250">
        <v>6</v>
      </c>
      <c r="AF1737" s="258">
        <f t="shared" si="222"/>
        <v>6</v>
      </c>
      <c r="AG1737" s="250"/>
      <c r="DG1737" s="555"/>
      <c r="DH1737" s="151"/>
      <c r="DI1737" s="1049"/>
      <c r="DJ1737" s="1127"/>
    </row>
    <row r="1738" spans="1:114" ht="15" hidden="1" customHeight="1" outlineLevel="1" x14ac:dyDescent="0.25">
      <c r="A1738" s="442"/>
      <c r="C1738" s="49"/>
      <c r="D1738" s="2177"/>
      <c r="E1738" s="2177"/>
      <c r="F1738" s="2176" t="str">
        <f t="shared" si="223"/>
        <v>ASHP-SEER16-Replace_CAC_ElectricHeat_ER2_SF</v>
      </c>
      <c r="G1738" s="2176"/>
      <c r="H1738" s="2176"/>
      <c r="I1738" s="2176"/>
      <c r="J1738" s="986" t="str">
        <f t="shared" si="224"/>
        <v>352500_2024_12_</v>
      </c>
      <c r="K1738" s="1619">
        <v>12</v>
      </c>
      <c r="L1738" s="249"/>
      <c r="M1738" s="2222"/>
      <c r="P1738" s="248"/>
      <c r="Q1738" s="248"/>
      <c r="R1738" s="248"/>
      <c r="T1738" s="169"/>
      <c r="U1738" s="50"/>
      <c r="V1738" s="2177"/>
      <c r="W1738" s="250">
        <v>12</v>
      </c>
      <c r="X1738" s="250">
        <v>12</v>
      </c>
      <c r="Y1738" s="250">
        <v>12</v>
      </c>
      <c r="Z1738" s="250">
        <v>12</v>
      </c>
      <c r="AA1738" s="250">
        <v>12</v>
      </c>
      <c r="AB1738" s="250">
        <v>12</v>
      </c>
      <c r="AC1738" s="250">
        <v>12</v>
      </c>
      <c r="AD1738" s="250">
        <v>12</v>
      </c>
      <c r="AE1738" s="250">
        <v>12</v>
      </c>
      <c r="AF1738" s="258">
        <f t="shared" si="222"/>
        <v>12</v>
      </c>
      <c r="AG1738" s="250"/>
      <c r="DG1738" s="555"/>
      <c r="DH1738" s="151"/>
      <c r="DI1738" s="1049"/>
      <c r="DJ1738" s="1127"/>
    </row>
    <row r="1739" spans="1:114" ht="15" hidden="1" customHeight="1" outlineLevel="1" x14ac:dyDescent="0.25">
      <c r="A1739" s="442"/>
      <c r="C1739" s="49"/>
      <c r="D1739" s="2177"/>
      <c r="E1739" s="2177"/>
      <c r="F1739" s="2176" t="str">
        <f t="shared" si="223"/>
        <v>ASHP-SEER16-Replace_CAC_ElectricHeat_ER2_SF</v>
      </c>
      <c r="G1739" s="2176"/>
      <c r="H1739" s="2176"/>
      <c r="I1739" s="2176"/>
      <c r="J1739" s="986" t="str">
        <f t="shared" si="224"/>
        <v>352500_2024_12_</v>
      </c>
      <c r="K1739" s="1619">
        <v>12</v>
      </c>
      <c r="L1739" s="249"/>
      <c r="M1739" s="2222"/>
      <c r="P1739" s="248"/>
      <c r="Q1739" s="248"/>
      <c r="R1739" s="248"/>
      <c r="T1739" s="169"/>
      <c r="U1739" s="50"/>
      <c r="V1739" s="2177"/>
      <c r="W1739" s="250">
        <v>12</v>
      </c>
      <c r="X1739" s="250">
        <v>12</v>
      </c>
      <c r="Y1739" s="250">
        <v>12</v>
      </c>
      <c r="Z1739" s="250">
        <v>12</v>
      </c>
      <c r="AA1739" s="250">
        <v>12</v>
      </c>
      <c r="AB1739" s="250">
        <v>12</v>
      </c>
      <c r="AC1739" s="250">
        <v>12</v>
      </c>
      <c r="AD1739" s="250">
        <v>12</v>
      </c>
      <c r="AE1739" s="250">
        <v>12</v>
      </c>
      <c r="AF1739" s="258">
        <f t="shared" si="222"/>
        <v>12</v>
      </c>
      <c r="AG1739" s="250"/>
      <c r="DG1739" s="555"/>
      <c r="DH1739" s="151"/>
      <c r="DI1739" s="1049"/>
      <c r="DJ1739" s="1127"/>
    </row>
    <row r="1740" spans="1:114" ht="15" hidden="1" customHeight="1" outlineLevel="1" x14ac:dyDescent="0.25">
      <c r="A1740" s="442"/>
      <c r="C1740" s="49"/>
      <c r="D1740" s="2177"/>
      <c r="E1740" s="2177"/>
      <c r="F1740" s="2176" t="str">
        <f t="shared" si="223"/>
        <v>ASHP-SEER16-Replace_CAC_NonElectricHeat_ER1_SF</v>
      </c>
      <c r="G1740" s="2176"/>
      <c r="H1740" s="2176"/>
      <c r="I1740" s="2176"/>
      <c r="J1740" s="986" t="str">
        <f t="shared" si="224"/>
        <v>352510_2024_12_</v>
      </c>
      <c r="K1740" s="1619">
        <v>6</v>
      </c>
      <c r="L1740" s="249"/>
      <c r="M1740" s="2222"/>
      <c r="P1740" s="248"/>
      <c r="Q1740" s="248"/>
      <c r="R1740" s="248"/>
      <c r="T1740" s="169"/>
      <c r="U1740" s="50"/>
      <c r="V1740" s="2177"/>
      <c r="W1740" s="250"/>
      <c r="X1740" s="250"/>
      <c r="Y1740" s="250"/>
      <c r="Z1740" s="250"/>
      <c r="AA1740" s="250"/>
      <c r="AB1740" s="250"/>
      <c r="AC1740" s="987">
        <v>6</v>
      </c>
      <c r="AD1740" s="250">
        <v>6</v>
      </c>
      <c r="AE1740" s="250">
        <v>6</v>
      </c>
      <c r="AF1740" s="258">
        <f t="shared" si="222"/>
        <v>6</v>
      </c>
      <c r="AG1740" s="250"/>
      <c r="DG1740" s="555"/>
      <c r="DH1740" s="151"/>
      <c r="DI1740" s="1049"/>
      <c r="DJ1740" s="1127"/>
    </row>
    <row r="1741" spans="1:114" ht="15" hidden="1" customHeight="1" outlineLevel="1" x14ac:dyDescent="0.25">
      <c r="A1741" s="442"/>
      <c r="C1741" s="49"/>
      <c r="D1741" s="2177"/>
      <c r="E1741" s="2177"/>
      <c r="F1741" s="2176" t="str">
        <f t="shared" si="223"/>
        <v>ASHP-SEER16-Replace_CAC_NonElectricHeat_ER1_SF</v>
      </c>
      <c r="G1741" s="2176"/>
      <c r="H1741" s="2176"/>
      <c r="I1741" s="2176"/>
      <c r="J1741" s="986" t="str">
        <f t="shared" si="224"/>
        <v>352510_2024_12_</v>
      </c>
      <c r="K1741" s="1619">
        <v>6</v>
      </c>
      <c r="L1741" s="249"/>
      <c r="M1741" s="2222"/>
      <c r="P1741" s="248"/>
      <c r="Q1741" s="248"/>
      <c r="R1741" s="248"/>
      <c r="T1741" s="169"/>
      <c r="U1741" s="50"/>
      <c r="V1741" s="2177"/>
      <c r="W1741" s="250"/>
      <c r="X1741" s="250"/>
      <c r="Y1741" s="250"/>
      <c r="Z1741" s="250"/>
      <c r="AA1741" s="250"/>
      <c r="AB1741" s="250"/>
      <c r="AC1741" s="987">
        <v>6</v>
      </c>
      <c r="AD1741" s="250">
        <v>6</v>
      </c>
      <c r="AE1741" s="250">
        <v>6</v>
      </c>
      <c r="AF1741" s="258">
        <f t="shared" si="222"/>
        <v>6</v>
      </c>
      <c r="AG1741" s="250"/>
      <c r="DG1741" s="555"/>
      <c r="DH1741" s="151"/>
      <c r="DI1741" s="1049"/>
      <c r="DJ1741" s="1127"/>
    </row>
    <row r="1742" spans="1:114" ht="15" hidden="1" customHeight="1" outlineLevel="1" x14ac:dyDescent="0.25">
      <c r="A1742" s="442"/>
      <c r="C1742" s="49"/>
      <c r="D1742" s="2177"/>
      <c r="E1742" s="2177"/>
      <c r="F1742" s="2176" t="str">
        <f t="shared" si="223"/>
        <v>ASHP-SEER16-Replace_CAC_NonElectricHeat_ER2_SF</v>
      </c>
      <c r="G1742" s="2176"/>
      <c r="H1742" s="2176"/>
      <c r="I1742" s="2176"/>
      <c r="J1742" s="986" t="str">
        <f t="shared" si="224"/>
        <v>352510_2024_12_</v>
      </c>
      <c r="K1742" s="1619">
        <v>12</v>
      </c>
      <c r="L1742" s="249"/>
      <c r="M1742" s="2222"/>
      <c r="P1742" s="248"/>
      <c r="Q1742" s="248"/>
      <c r="R1742" s="248"/>
      <c r="T1742" s="169"/>
      <c r="U1742" s="50"/>
      <c r="V1742" s="2177"/>
      <c r="W1742" s="250"/>
      <c r="X1742" s="250"/>
      <c r="Y1742" s="250"/>
      <c r="Z1742" s="250"/>
      <c r="AA1742" s="250"/>
      <c r="AB1742" s="250"/>
      <c r="AC1742" s="987">
        <v>12</v>
      </c>
      <c r="AD1742" s="250">
        <v>12</v>
      </c>
      <c r="AE1742" s="250">
        <v>12</v>
      </c>
      <c r="AF1742" s="258">
        <f t="shared" si="222"/>
        <v>12</v>
      </c>
      <c r="AG1742" s="250"/>
      <c r="DG1742" s="555"/>
      <c r="DH1742" s="151"/>
      <c r="DI1742" s="1049"/>
      <c r="DJ1742" s="1127"/>
    </row>
    <row r="1743" spans="1:114" ht="15" hidden="1" customHeight="1" outlineLevel="1" x14ac:dyDescent="0.25">
      <c r="A1743" s="442"/>
      <c r="C1743" s="49"/>
      <c r="D1743" s="2177"/>
      <c r="E1743" s="2177"/>
      <c r="F1743" s="2176" t="str">
        <f t="shared" si="223"/>
        <v>ASHP-SEER16-Replace_CAC_NonElectricHeat_ER2_SF</v>
      </c>
      <c r="G1743" s="2176"/>
      <c r="H1743" s="2176"/>
      <c r="I1743" s="2176"/>
      <c r="J1743" s="986" t="str">
        <f t="shared" si="224"/>
        <v>352510_2024_12_</v>
      </c>
      <c r="K1743" s="1619">
        <v>12</v>
      </c>
      <c r="L1743" s="249"/>
      <c r="M1743" s="2222"/>
      <c r="P1743" s="248"/>
      <c r="Q1743" s="248"/>
      <c r="R1743" s="248"/>
      <c r="T1743" s="169"/>
      <c r="U1743" s="50"/>
      <c r="V1743" s="2177"/>
      <c r="W1743" s="250"/>
      <c r="X1743" s="250"/>
      <c r="Y1743" s="250"/>
      <c r="Z1743" s="250"/>
      <c r="AA1743" s="250"/>
      <c r="AB1743" s="250"/>
      <c r="AC1743" s="987">
        <v>12</v>
      </c>
      <c r="AD1743" s="250">
        <v>12</v>
      </c>
      <c r="AE1743" s="250">
        <v>12</v>
      </c>
      <c r="AF1743" s="258">
        <f t="shared" si="222"/>
        <v>12</v>
      </c>
      <c r="AG1743" s="250"/>
      <c r="DG1743" s="555"/>
      <c r="DH1743" s="151"/>
      <c r="DI1743" s="1049"/>
      <c r="DJ1743" s="1127"/>
    </row>
    <row r="1744" spans="1:114" ht="15" hidden="1" customHeight="1" outlineLevel="1" x14ac:dyDescent="0.25">
      <c r="A1744" s="442"/>
      <c r="C1744" s="49"/>
      <c r="D1744" s="2177"/>
      <c r="E1744" s="2177"/>
      <c r="F1744" s="2176" t="str">
        <f t="shared" si="223"/>
        <v>ASHP-SEER16_ER1_SF</v>
      </c>
      <c r="G1744" s="2176"/>
      <c r="H1744" s="2176"/>
      <c r="I1744" s="2176"/>
      <c r="J1744" s="986" t="str">
        <f t="shared" si="224"/>
        <v>352550_2024_12_</v>
      </c>
      <c r="K1744" s="1619">
        <v>6</v>
      </c>
      <c r="L1744" s="249"/>
      <c r="M1744" s="2222"/>
      <c r="P1744" s="248"/>
      <c r="Q1744" s="248"/>
      <c r="R1744" s="248"/>
      <c r="T1744" s="169"/>
      <c r="U1744" s="50"/>
      <c r="V1744" s="2177"/>
      <c r="W1744" s="250">
        <v>6</v>
      </c>
      <c r="X1744" s="250">
        <v>6</v>
      </c>
      <c r="Y1744" s="250">
        <v>6</v>
      </c>
      <c r="Z1744" s="250">
        <v>6</v>
      </c>
      <c r="AA1744" s="250">
        <v>6</v>
      </c>
      <c r="AB1744" s="250">
        <v>6</v>
      </c>
      <c r="AC1744" s="250">
        <v>6</v>
      </c>
      <c r="AD1744" s="250">
        <v>6</v>
      </c>
      <c r="AE1744" s="250">
        <v>6</v>
      </c>
      <c r="AF1744" s="258">
        <f t="shared" si="222"/>
        <v>6</v>
      </c>
      <c r="AG1744" s="250"/>
      <c r="DG1744" s="555"/>
      <c r="DH1744" s="151"/>
      <c r="DI1744" s="1049"/>
      <c r="DJ1744" s="1127"/>
    </row>
    <row r="1745" spans="1:114" ht="15" hidden="1" customHeight="1" outlineLevel="1" x14ac:dyDescent="0.25">
      <c r="A1745" s="442"/>
      <c r="C1745" s="49"/>
      <c r="D1745" s="2177"/>
      <c r="E1745" s="2177"/>
      <c r="F1745" s="2176" t="str">
        <f t="shared" si="223"/>
        <v>ASHP-SEER16_ER1_SF</v>
      </c>
      <c r="G1745" s="2176"/>
      <c r="H1745" s="2176"/>
      <c r="I1745" s="2176"/>
      <c r="J1745" s="986" t="str">
        <f t="shared" si="224"/>
        <v>352550_2024_12_</v>
      </c>
      <c r="K1745" s="1619">
        <v>6</v>
      </c>
      <c r="L1745" s="249"/>
      <c r="M1745" s="2222"/>
      <c r="P1745" s="248"/>
      <c r="Q1745" s="248"/>
      <c r="R1745" s="248"/>
      <c r="T1745" s="169"/>
      <c r="U1745" s="50"/>
      <c r="V1745" s="2177"/>
      <c r="W1745" s="250">
        <v>6</v>
      </c>
      <c r="X1745" s="250">
        <v>6</v>
      </c>
      <c r="Y1745" s="250">
        <v>6</v>
      </c>
      <c r="Z1745" s="250">
        <v>6</v>
      </c>
      <c r="AA1745" s="250">
        <v>6</v>
      </c>
      <c r="AB1745" s="250">
        <v>6</v>
      </c>
      <c r="AC1745" s="250">
        <v>6</v>
      </c>
      <c r="AD1745" s="250">
        <v>6</v>
      </c>
      <c r="AE1745" s="250">
        <v>6</v>
      </c>
      <c r="AF1745" s="258">
        <f t="shared" si="222"/>
        <v>6</v>
      </c>
      <c r="AG1745" s="250"/>
      <c r="DG1745" s="555"/>
      <c r="DH1745" s="151"/>
      <c r="DI1745" s="1049"/>
      <c r="DJ1745" s="1127"/>
    </row>
    <row r="1746" spans="1:114" ht="15" hidden="1" customHeight="1" outlineLevel="1" x14ac:dyDescent="0.25">
      <c r="A1746" s="442"/>
      <c r="C1746" s="49"/>
      <c r="D1746" s="2177"/>
      <c r="E1746" s="2177"/>
      <c r="F1746" s="2176" t="str">
        <f t="shared" si="223"/>
        <v>ASHP-SEER16_ER2_SF</v>
      </c>
      <c r="G1746" s="2176"/>
      <c r="H1746" s="2176"/>
      <c r="I1746" s="2176"/>
      <c r="J1746" s="986" t="str">
        <f t="shared" si="224"/>
        <v>352550_2024_12_</v>
      </c>
      <c r="K1746" s="1619">
        <v>12</v>
      </c>
      <c r="L1746" s="249"/>
      <c r="M1746" s="2222"/>
      <c r="P1746" s="248"/>
      <c r="Q1746" s="248"/>
      <c r="R1746" s="248"/>
      <c r="T1746" s="169"/>
      <c r="U1746" s="50"/>
      <c r="V1746" s="2177"/>
      <c r="W1746" s="250">
        <v>12</v>
      </c>
      <c r="X1746" s="250">
        <v>12</v>
      </c>
      <c r="Y1746" s="250">
        <v>12</v>
      </c>
      <c r="Z1746" s="250">
        <v>12</v>
      </c>
      <c r="AA1746" s="250">
        <v>12</v>
      </c>
      <c r="AB1746" s="250">
        <v>12</v>
      </c>
      <c r="AC1746" s="250">
        <v>12</v>
      </c>
      <c r="AD1746" s="250">
        <v>12</v>
      </c>
      <c r="AE1746" s="250">
        <v>12</v>
      </c>
      <c r="AF1746" s="258">
        <f t="shared" si="222"/>
        <v>12</v>
      </c>
      <c r="AG1746" s="250"/>
      <c r="DG1746" s="555"/>
      <c r="DH1746" s="151"/>
      <c r="DI1746" s="1049"/>
      <c r="DJ1746" s="1127"/>
    </row>
    <row r="1747" spans="1:114" ht="15" hidden="1" customHeight="1" outlineLevel="1" x14ac:dyDescent="0.25">
      <c r="A1747" s="442"/>
      <c r="C1747" s="49"/>
      <c r="D1747" s="2177"/>
      <c r="E1747" s="2177"/>
      <c r="F1747" s="2176" t="str">
        <f t="shared" si="223"/>
        <v>ASHP-SEER16_ER2_SF</v>
      </c>
      <c r="G1747" s="2176"/>
      <c r="H1747" s="2176"/>
      <c r="I1747" s="2176"/>
      <c r="J1747" s="986" t="str">
        <f t="shared" si="224"/>
        <v>352550_2024_12_</v>
      </c>
      <c r="K1747" s="1619">
        <v>12</v>
      </c>
      <c r="L1747" s="249"/>
      <c r="M1747" s="2222"/>
      <c r="P1747" s="248"/>
      <c r="Q1747" s="248"/>
      <c r="R1747" s="248"/>
      <c r="T1747" s="169"/>
      <c r="U1747" s="50"/>
      <c r="V1747" s="2177"/>
      <c r="W1747" s="250">
        <v>12</v>
      </c>
      <c r="X1747" s="250">
        <v>12</v>
      </c>
      <c r="Y1747" s="250">
        <v>12</v>
      </c>
      <c r="Z1747" s="250">
        <v>12</v>
      </c>
      <c r="AA1747" s="250">
        <v>12</v>
      </c>
      <c r="AB1747" s="250">
        <v>12</v>
      </c>
      <c r="AC1747" s="250">
        <v>12</v>
      </c>
      <c r="AD1747" s="250">
        <v>12</v>
      </c>
      <c r="AE1747" s="250">
        <v>12</v>
      </c>
      <c r="AF1747" s="258">
        <f t="shared" si="222"/>
        <v>12</v>
      </c>
      <c r="AG1747" s="250"/>
      <c r="DG1747" s="555"/>
      <c r="DH1747" s="151"/>
      <c r="DI1747" s="1049"/>
      <c r="DJ1747" s="1127"/>
    </row>
    <row r="1748" spans="1:114" ht="15" hidden="1" customHeight="1" outlineLevel="1" x14ac:dyDescent="0.25">
      <c r="A1748" s="442"/>
      <c r="C1748" s="49"/>
      <c r="D1748" s="2177"/>
      <c r="E1748" s="2177"/>
      <c r="F1748" s="2176" t="str">
        <f t="shared" si="223"/>
        <v>ASHP-SEER16-Replace_CAC_ElectricHeat_ROF_SF</v>
      </c>
      <c r="G1748" s="2176"/>
      <c r="H1748" s="2176"/>
      <c r="I1748" s="2176"/>
      <c r="J1748" s="986" t="str">
        <f t="shared" si="224"/>
        <v>352600_2024_12_</v>
      </c>
      <c r="K1748" s="1619">
        <v>18</v>
      </c>
      <c r="L1748" s="249"/>
      <c r="M1748" s="2222"/>
      <c r="P1748" s="248"/>
      <c r="Q1748" s="248"/>
      <c r="R1748" s="248"/>
      <c r="T1748" s="169"/>
      <c r="U1748" s="50"/>
      <c r="V1748" s="2177"/>
      <c r="W1748" s="250">
        <v>18</v>
      </c>
      <c r="X1748" s="250">
        <v>18</v>
      </c>
      <c r="Y1748" s="250">
        <v>18</v>
      </c>
      <c r="Z1748" s="250">
        <v>18</v>
      </c>
      <c r="AA1748" s="250">
        <v>18</v>
      </c>
      <c r="AB1748" s="250">
        <v>18</v>
      </c>
      <c r="AC1748" s="250">
        <v>18</v>
      </c>
      <c r="AD1748" s="250">
        <v>18</v>
      </c>
      <c r="AE1748" s="250">
        <v>18</v>
      </c>
      <c r="AF1748" s="258">
        <f t="shared" si="222"/>
        <v>18</v>
      </c>
      <c r="AG1748" s="250"/>
      <c r="DG1748" s="555"/>
      <c r="DH1748" s="151"/>
      <c r="DI1748" s="1049"/>
      <c r="DJ1748" s="1127"/>
    </row>
    <row r="1749" spans="1:114" ht="15" hidden="1" customHeight="1" outlineLevel="1" x14ac:dyDescent="0.25">
      <c r="A1749" s="442"/>
      <c r="C1749" s="49"/>
      <c r="D1749" s="2177"/>
      <c r="E1749" s="2177"/>
      <c r="F1749" s="2176" t="str">
        <f t="shared" si="223"/>
        <v>ASHP-SEER16-Replace_CAC_ElectricHeat_ROF_SF</v>
      </c>
      <c r="G1749" s="2176"/>
      <c r="H1749" s="2176"/>
      <c r="I1749" s="2176"/>
      <c r="J1749" s="986" t="str">
        <f t="shared" si="224"/>
        <v>352600_2024_12_</v>
      </c>
      <c r="K1749" s="1619">
        <v>18</v>
      </c>
      <c r="L1749" s="249"/>
      <c r="M1749" s="2222"/>
      <c r="P1749" s="248"/>
      <c r="Q1749" s="248"/>
      <c r="R1749" s="248"/>
      <c r="T1749" s="169"/>
      <c r="U1749" s="50"/>
      <c r="V1749" s="2177"/>
      <c r="W1749" s="250">
        <v>18</v>
      </c>
      <c r="X1749" s="250">
        <v>18</v>
      </c>
      <c r="Y1749" s="250">
        <v>18</v>
      </c>
      <c r="Z1749" s="250">
        <v>18</v>
      </c>
      <c r="AA1749" s="250">
        <v>18</v>
      </c>
      <c r="AB1749" s="250">
        <v>18</v>
      </c>
      <c r="AC1749" s="250">
        <v>18</v>
      </c>
      <c r="AD1749" s="250">
        <v>18</v>
      </c>
      <c r="AE1749" s="250">
        <v>18</v>
      </c>
      <c r="AF1749" s="258">
        <f t="shared" si="222"/>
        <v>18</v>
      </c>
      <c r="AG1749" s="250"/>
      <c r="DG1749" s="555"/>
      <c r="DH1749" s="151"/>
      <c r="DI1749" s="1049"/>
      <c r="DJ1749" s="1127"/>
    </row>
    <row r="1750" spans="1:114" ht="15" hidden="1" customHeight="1" outlineLevel="1" x14ac:dyDescent="0.25">
      <c r="A1750" s="442"/>
      <c r="C1750" s="49"/>
      <c r="D1750" s="2177"/>
      <c r="E1750" s="2177"/>
      <c r="F1750" s="2176" t="str">
        <f t="shared" si="223"/>
        <v>ASHP-SEER16-Replace_CAC_NonElectricHeat_ROF_SF</v>
      </c>
      <c r="G1750" s="2176"/>
      <c r="H1750" s="2176"/>
      <c r="I1750" s="2176"/>
      <c r="J1750" s="986" t="str">
        <f t="shared" si="224"/>
        <v>352610_2024_12_</v>
      </c>
      <c r="K1750" s="1619">
        <v>18</v>
      </c>
      <c r="L1750" s="249"/>
      <c r="M1750" s="2222"/>
      <c r="P1750" s="248"/>
      <c r="Q1750" s="248"/>
      <c r="R1750" s="248"/>
      <c r="T1750" s="169"/>
      <c r="U1750" s="50"/>
      <c r="V1750" s="2177"/>
      <c r="W1750" s="250"/>
      <c r="X1750" s="250"/>
      <c r="Y1750" s="250"/>
      <c r="Z1750" s="250"/>
      <c r="AA1750" s="250"/>
      <c r="AB1750" s="250"/>
      <c r="AC1750" s="250"/>
      <c r="AD1750" s="987">
        <v>18</v>
      </c>
      <c r="AE1750" s="250">
        <v>18</v>
      </c>
      <c r="AF1750" s="258">
        <f t="shared" si="222"/>
        <v>18</v>
      </c>
      <c r="AG1750" s="250"/>
      <c r="DG1750" s="555"/>
      <c r="DH1750" s="151"/>
      <c r="DI1750" s="1049"/>
      <c r="DJ1750" s="1127"/>
    </row>
    <row r="1751" spans="1:114" ht="15" hidden="1" customHeight="1" outlineLevel="1" x14ac:dyDescent="0.25">
      <c r="A1751" s="442"/>
      <c r="C1751" s="49"/>
      <c r="D1751" s="2177"/>
      <c r="E1751" s="2177"/>
      <c r="F1751" s="2176" t="str">
        <f t="shared" si="223"/>
        <v>ASHP-SEER16-Replace_CAC_NonElectricHeat_ROF_SF</v>
      </c>
      <c r="G1751" s="2176"/>
      <c r="H1751" s="2176"/>
      <c r="I1751" s="2176"/>
      <c r="J1751" s="986" t="str">
        <f t="shared" si="224"/>
        <v>352610_2024_12_</v>
      </c>
      <c r="K1751" s="1619">
        <v>18</v>
      </c>
      <c r="L1751" s="249"/>
      <c r="M1751" s="2222"/>
      <c r="P1751" s="248"/>
      <c r="Q1751" s="248"/>
      <c r="R1751" s="248"/>
      <c r="T1751" s="169"/>
      <c r="U1751" s="50"/>
      <c r="V1751" s="2177"/>
      <c r="W1751" s="250"/>
      <c r="X1751" s="250"/>
      <c r="Y1751" s="250"/>
      <c r="Z1751" s="250"/>
      <c r="AA1751" s="250"/>
      <c r="AB1751" s="250"/>
      <c r="AC1751" s="250"/>
      <c r="AD1751" s="987">
        <v>18</v>
      </c>
      <c r="AE1751" s="250">
        <v>18</v>
      </c>
      <c r="AF1751" s="258">
        <f t="shared" si="222"/>
        <v>18</v>
      </c>
      <c r="AG1751" s="250"/>
      <c r="DG1751" s="555"/>
      <c r="DH1751" s="151"/>
      <c r="DI1751" s="1049"/>
      <c r="DJ1751" s="1127"/>
    </row>
    <row r="1752" spans="1:114" ht="15" hidden="1" customHeight="1" outlineLevel="1" x14ac:dyDescent="0.25">
      <c r="A1752" s="442"/>
      <c r="C1752" s="49"/>
      <c r="D1752" s="2177"/>
      <c r="E1752" s="2177"/>
      <c r="F1752" s="2176" t="str">
        <f t="shared" ref="F1752:F1783" si="225">E741</f>
        <v>ASHP-SEER16_ROF_SF</v>
      </c>
      <c r="G1752" s="2176"/>
      <c r="H1752" s="2176"/>
      <c r="I1752" s="2176"/>
      <c r="J1752" s="986" t="str">
        <f t="shared" ref="J1752:J1783" si="226">C741</f>
        <v>352650_2024_12_</v>
      </c>
      <c r="K1752" s="1619">
        <v>18</v>
      </c>
      <c r="L1752" s="249"/>
      <c r="M1752" s="2222"/>
      <c r="P1752" s="248"/>
      <c r="Q1752" s="248"/>
      <c r="R1752" s="248"/>
      <c r="T1752" s="169"/>
      <c r="U1752" s="50"/>
      <c r="V1752" s="2177"/>
      <c r="W1752" s="250">
        <v>18</v>
      </c>
      <c r="X1752" s="250">
        <v>18</v>
      </c>
      <c r="Y1752" s="250">
        <v>18</v>
      </c>
      <c r="Z1752" s="250">
        <v>18</v>
      </c>
      <c r="AA1752" s="250">
        <v>18</v>
      </c>
      <c r="AB1752" s="250">
        <v>18</v>
      </c>
      <c r="AC1752" s="250">
        <v>18</v>
      </c>
      <c r="AD1752" s="250">
        <v>18</v>
      </c>
      <c r="AE1752" s="250">
        <v>18</v>
      </c>
      <c r="AF1752" s="258">
        <f t="shared" si="222"/>
        <v>18</v>
      </c>
      <c r="AG1752" s="250"/>
      <c r="DG1752" s="555"/>
      <c r="DH1752" s="151"/>
      <c r="DI1752" s="1049"/>
      <c r="DJ1752" s="1127"/>
    </row>
    <row r="1753" spans="1:114" ht="15" hidden="1" customHeight="1" outlineLevel="1" x14ac:dyDescent="0.25">
      <c r="A1753" s="442"/>
      <c r="C1753" s="49"/>
      <c r="D1753" s="2177"/>
      <c r="E1753" s="2177"/>
      <c r="F1753" s="2176" t="str">
        <f t="shared" si="225"/>
        <v>ASHP-SEER16_ROF_SF</v>
      </c>
      <c r="G1753" s="2176"/>
      <c r="H1753" s="2176"/>
      <c r="I1753" s="2176"/>
      <c r="J1753" s="986" t="str">
        <f t="shared" si="226"/>
        <v>352650_2024_12_</v>
      </c>
      <c r="K1753" s="1619">
        <v>18</v>
      </c>
      <c r="L1753" s="249"/>
      <c r="M1753" s="2222"/>
      <c r="P1753" s="248"/>
      <c r="Q1753" s="248"/>
      <c r="R1753" s="248"/>
      <c r="T1753" s="169"/>
      <c r="U1753" s="50"/>
      <c r="V1753" s="2177"/>
      <c r="W1753" s="250">
        <v>18</v>
      </c>
      <c r="X1753" s="250">
        <v>18</v>
      </c>
      <c r="Y1753" s="250">
        <v>18</v>
      </c>
      <c r="Z1753" s="250">
        <v>18</v>
      </c>
      <c r="AA1753" s="250">
        <v>18</v>
      </c>
      <c r="AB1753" s="250">
        <v>18</v>
      </c>
      <c r="AC1753" s="250">
        <v>18</v>
      </c>
      <c r="AD1753" s="250">
        <v>18</v>
      </c>
      <c r="AE1753" s="250">
        <v>18</v>
      </c>
      <c r="AF1753" s="258">
        <f t="shared" si="222"/>
        <v>18</v>
      </c>
      <c r="AG1753" s="250"/>
      <c r="DG1753" s="555"/>
      <c r="DH1753" s="151"/>
      <c r="DI1753" s="1049"/>
      <c r="DJ1753" s="1127"/>
    </row>
    <row r="1754" spans="1:114" ht="15" hidden="1" customHeight="1" outlineLevel="1" x14ac:dyDescent="0.25">
      <c r="A1754" s="442"/>
      <c r="C1754" s="49"/>
      <c r="D1754" s="2177"/>
      <c r="E1754" s="2177"/>
      <c r="F1754" s="2176" t="str">
        <f t="shared" si="225"/>
        <v>ASHP-SEER16-Replace_CAC_ElectricHeat_ER1_MF</v>
      </c>
      <c r="G1754" s="2176"/>
      <c r="H1754" s="2176"/>
      <c r="I1754" s="2176"/>
      <c r="J1754" s="986" t="str">
        <f t="shared" si="226"/>
        <v>353000_2024_12_</v>
      </c>
      <c r="K1754" s="1619">
        <v>6</v>
      </c>
      <c r="L1754" s="249"/>
      <c r="M1754" s="2222"/>
      <c r="P1754" s="248"/>
      <c r="Q1754" s="196"/>
      <c r="R1754" s="248"/>
      <c r="T1754" s="169"/>
      <c r="U1754" s="50"/>
      <c r="V1754" s="2177"/>
      <c r="W1754" s="250">
        <v>6</v>
      </c>
      <c r="X1754" s="250">
        <v>6</v>
      </c>
      <c r="Y1754" s="250">
        <v>6</v>
      </c>
      <c r="Z1754" s="250">
        <v>6</v>
      </c>
      <c r="AA1754" s="250">
        <v>6</v>
      </c>
      <c r="AB1754" s="250">
        <v>6</v>
      </c>
      <c r="AC1754" s="250">
        <v>6</v>
      </c>
      <c r="AD1754" s="250">
        <v>6</v>
      </c>
      <c r="AE1754" s="250">
        <v>6</v>
      </c>
      <c r="AF1754" s="258">
        <f t="shared" ref="AF1754:AF1761" si="227">IF(K1754&lt;&gt;"",K1754,"")</f>
        <v>6</v>
      </c>
      <c r="AG1754" s="250"/>
      <c r="DG1754" s="555"/>
      <c r="DH1754" s="151"/>
      <c r="DI1754" s="1049"/>
      <c r="DJ1754" s="1127"/>
    </row>
    <row r="1755" spans="1:114" ht="15" hidden="1" customHeight="1" outlineLevel="1" x14ac:dyDescent="0.25">
      <c r="A1755" s="442"/>
      <c r="C1755" s="49"/>
      <c r="D1755" s="2177"/>
      <c r="E1755" s="2177"/>
      <c r="F1755" s="2176" t="str">
        <f t="shared" si="225"/>
        <v>ASHP-SEER16-Replace_CAC_ElectricHeat_ER1_MF</v>
      </c>
      <c r="G1755" s="2176"/>
      <c r="H1755" s="2176"/>
      <c r="I1755" s="2176"/>
      <c r="J1755" s="986" t="str">
        <f t="shared" si="226"/>
        <v>353000_2024_12_</v>
      </c>
      <c r="K1755" s="1619">
        <v>6</v>
      </c>
      <c r="L1755" s="249"/>
      <c r="M1755" s="2222"/>
      <c r="T1755" s="50"/>
      <c r="U1755" s="50"/>
      <c r="V1755" s="2177"/>
      <c r="W1755" s="250">
        <v>6</v>
      </c>
      <c r="X1755" s="250">
        <v>6</v>
      </c>
      <c r="Y1755" s="250">
        <v>6</v>
      </c>
      <c r="Z1755" s="250">
        <v>6</v>
      </c>
      <c r="AA1755" s="250">
        <v>6</v>
      </c>
      <c r="AB1755" s="250">
        <v>6</v>
      </c>
      <c r="AC1755" s="250">
        <v>6</v>
      </c>
      <c r="AD1755" s="250">
        <v>6</v>
      </c>
      <c r="AE1755" s="250">
        <v>6</v>
      </c>
      <c r="AF1755" s="258">
        <f t="shared" si="227"/>
        <v>6</v>
      </c>
      <c r="AG1755" s="250"/>
      <c r="DG1755" s="555"/>
      <c r="DH1755" s="151"/>
      <c r="DI1755" s="1049"/>
      <c r="DJ1755" s="1127"/>
    </row>
    <row r="1756" spans="1:114" ht="15" hidden="1" customHeight="1" outlineLevel="1" x14ac:dyDescent="0.25">
      <c r="A1756" s="442"/>
      <c r="C1756" s="49"/>
      <c r="D1756" s="2177"/>
      <c r="E1756" s="2177"/>
      <c r="F1756" s="2176" t="str">
        <f t="shared" si="225"/>
        <v>ASHP-SEER16-Replace_CAC_ElectricHeat_ER2_MF</v>
      </c>
      <c r="G1756" s="2176"/>
      <c r="H1756" s="2176"/>
      <c r="I1756" s="2176"/>
      <c r="J1756" s="986" t="str">
        <f t="shared" si="226"/>
        <v>353000_2024_12_</v>
      </c>
      <c r="K1756" s="1619">
        <v>12</v>
      </c>
      <c r="L1756" s="249"/>
      <c r="M1756" s="2222"/>
      <c r="T1756" s="50"/>
      <c r="U1756" s="50"/>
      <c r="V1756" s="2177"/>
      <c r="W1756" s="250">
        <v>12</v>
      </c>
      <c r="X1756" s="250">
        <v>12</v>
      </c>
      <c r="Y1756" s="250">
        <v>12</v>
      </c>
      <c r="Z1756" s="250">
        <v>12</v>
      </c>
      <c r="AA1756" s="250">
        <v>12</v>
      </c>
      <c r="AB1756" s="250">
        <v>12</v>
      </c>
      <c r="AC1756" s="250">
        <v>12</v>
      </c>
      <c r="AD1756" s="250">
        <v>12</v>
      </c>
      <c r="AE1756" s="250">
        <v>12</v>
      </c>
      <c r="AF1756" s="258">
        <f t="shared" si="227"/>
        <v>12</v>
      </c>
      <c r="AG1756" s="250"/>
      <c r="DG1756" s="555"/>
      <c r="DH1756" s="151"/>
      <c r="DI1756" s="1049"/>
      <c r="DJ1756" s="1127"/>
    </row>
    <row r="1757" spans="1:114" ht="15" hidden="1" customHeight="1" outlineLevel="1" x14ac:dyDescent="0.25">
      <c r="A1757" s="442"/>
      <c r="C1757" s="49"/>
      <c r="D1757" s="2177"/>
      <c r="E1757" s="2177"/>
      <c r="F1757" s="2176" t="str">
        <f t="shared" si="225"/>
        <v>ASHP-SEER16-Replace_CAC_ElectricHeat_ER2_MF</v>
      </c>
      <c r="G1757" s="2176"/>
      <c r="H1757" s="2176"/>
      <c r="I1757" s="2176"/>
      <c r="J1757" s="986" t="str">
        <f t="shared" si="226"/>
        <v>353000_2024_12_</v>
      </c>
      <c r="K1757" s="1619">
        <v>12</v>
      </c>
      <c r="L1757" s="249"/>
      <c r="M1757" s="2222"/>
      <c r="P1757" s="248"/>
      <c r="Q1757" s="196"/>
      <c r="R1757" s="248"/>
      <c r="T1757" s="169"/>
      <c r="U1757" s="50"/>
      <c r="V1757" s="2177"/>
      <c r="W1757" s="250">
        <v>12</v>
      </c>
      <c r="X1757" s="250">
        <v>12</v>
      </c>
      <c r="Y1757" s="250">
        <v>12</v>
      </c>
      <c r="Z1757" s="250">
        <v>12</v>
      </c>
      <c r="AA1757" s="250">
        <v>12</v>
      </c>
      <c r="AB1757" s="250">
        <v>12</v>
      </c>
      <c r="AC1757" s="250">
        <v>12</v>
      </c>
      <c r="AD1757" s="250">
        <v>12</v>
      </c>
      <c r="AE1757" s="250">
        <v>12</v>
      </c>
      <c r="AF1757" s="258">
        <f t="shared" si="227"/>
        <v>12</v>
      </c>
      <c r="AG1757" s="250"/>
      <c r="DG1757" s="555"/>
      <c r="DH1757" s="151"/>
      <c r="DI1757" s="1049"/>
      <c r="DJ1757" s="1127"/>
    </row>
    <row r="1758" spans="1:114" ht="15" hidden="1" customHeight="1" outlineLevel="1" x14ac:dyDescent="0.25">
      <c r="A1758" s="442"/>
      <c r="C1758" s="49"/>
      <c r="D1758" s="2177"/>
      <c r="E1758" s="2177"/>
      <c r="F1758" s="2176" t="str">
        <f t="shared" si="225"/>
        <v>ASHP-SEER17-Replace_CAC_ElectricHeat_ROF_SF</v>
      </c>
      <c r="G1758" s="2176"/>
      <c r="H1758" s="2176"/>
      <c r="I1758" s="2176"/>
      <c r="J1758" s="986" t="str">
        <f t="shared" si="226"/>
        <v>353100_2024_12_</v>
      </c>
      <c r="K1758" s="1619">
        <v>18</v>
      </c>
      <c r="L1758" s="249"/>
      <c r="M1758" s="2222"/>
      <c r="T1758" s="50"/>
      <c r="U1758" s="50"/>
      <c r="V1758" s="2177"/>
      <c r="W1758" s="250">
        <v>18</v>
      </c>
      <c r="X1758" s="250">
        <v>18</v>
      </c>
      <c r="Y1758" s="250">
        <v>18</v>
      </c>
      <c r="Z1758" s="250">
        <v>18</v>
      </c>
      <c r="AA1758" s="250">
        <v>18</v>
      </c>
      <c r="AB1758" s="250">
        <v>18</v>
      </c>
      <c r="AC1758" s="250">
        <v>18</v>
      </c>
      <c r="AD1758" s="250">
        <v>18</v>
      </c>
      <c r="AE1758" s="250">
        <v>18</v>
      </c>
      <c r="AF1758" s="258">
        <f t="shared" si="227"/>
        <v>18</v>
      </c>
      <c r="AG1758" s="250"/>
      <c r="DG1758" s="555"/>
      <c r="DH1758" s="151"/>
      <c r="DI1758" s="1049"/>
      <c r="DJ1758" s="1127"/>
    </row>
    <row r="1759" spans="1:114" ht="15" hidden="1" customHeight="1" outlineLevel="1" x14ac:dyDescent="0.25">
      <c r="A1759" s="442"/>
      <c r="C1759" s="49"/>
      <c r="D1759" s="2177"/>
      <c r="E1759" s="2177"/>
      <c r="F1759" s="2176" t="str">
        <f t="shared" si="225"/>
        <v>ASHP-SEER17-Replace_CAC_ElectricHeat_ROF_SF</v>
      </c>
      <c r="G1759" s="2176"/>
      <c r="H1759" s="2176"/>
      <c r="I1759" s="2176"/>
      <c r="J1759" s="986" t="str">
        <f t="shared" si="226"/>
        <v>353100_2024_12_</v>
      </c>
      <c r="K1759" s="1619">
        <v>18</v>
      </c>
      <c r="L1759" s="249"/>
      <c r="M1759" s="2222"/>
      <c r="P1759" s="248"/>
      <c r="Q1759" s="196"/>
      <c r="R1759" s="248"/>
      <c r="T1759" s="169"/>
      <c r="U1759" s="50"/>
      <c r="V1759" s="2177"/>
      <c r="W1759" s="250">
        <v>18</v>
      </c>
      <c r="X1759" s="250">
        <v>18</v>
      </c>
      <c r="Y1759" s="250">
        <v>18</v>
      </c>
      <c r="Z1759" s="250">
        <v>18</v>
      </c>
      <c r="AA1759" s="250">
        <v>18</v>
      </c>
      <c r="AB1759" s="250">
        <v>18</v>
      </c>
      <c r="AC1759" s="250">
        <v>18</v>
      </c>
      <c r="AD1759" s="250">
        <v>18</v>
      </c>
      <c r="AE1759" s="250">
        <v>18</v>
      </c>
      <c r="AF1759" s="258">
        <f t="shared" si="227"/>
        <v>18</v>
      </c>
      <c r="AG1759" s="250"/>
      <c r="DG1759" s="555"/>
      <c r="DH1759" s="151"/>
      <c r="DI1759" s="1049"/>
      <c r="DJ1759" s="1127"/>
    </row>
    <row r="1760" spans="1:114" ht="15" hidden="1" customHeight="1" outlineLevel="1" x14ac:dyDescent="0.25">
      <c r="A1760" s="442"/>
      <c r="C1760" s="49"/>
      <c r="D1760" s="2177"/>
      <c r="E1760" s="2177"/>
      <c r="F1760" s="2176" t="str">
        <f t="shared" si="225"/>
        <v>ASHP-SEER17-Replace_CAC_NonElectricHeat_ROF_SF</v>
      </c>
      <c r="G1760" s="2176"/>
      <c r="H1760" s="2176"/>
      <c r="I1760" s="2176"/>
      <c r="J1760" s="986" t="str">
        <f t="shared" si="226"/>
        <v>353110_2024_12_</v>
      </c>
      <c r="K1760" s="1619">
        <v>18</v>
      </c>
      <c r="L1760" s="249"/>
      <c r="M1760" s="2222"/>
      <c r="P1760" s="248"/>
      <c r="Q1760" s="196"/>
      <c r="R1760" s="248"/>
      <c r="T1760" s="169"/>
      <c r="U1760" s="50"/>
      <c r="V1760" s="2177"/>
      <c r="W1760" s="250"/>
      <c r="X1760" s="250"/>
      <c r="Y1760" s="250"/>
      <c r="Z1760" s="250"/>
      <c r="AA1760" s="250"/>
      <c r="AB1760" s="250"/>
      <c r="AC1760" s="250"/>
      <c r="AD1760" s="987">
        <v>18</v>
      </c>
      <c r="AE1760" s="250">
        <v>18</v>
      </c>
      <c r="AF1760" s="258">
        <f t="shared" si="227"/>
        <v>18</v>
      </c>
      <c r="AG1760" s="250"/>
      <c r="DG1760" s="555"/>
      <c r="DH1760" s="151"/>
      <c r="DI1760" s="1049"/>
      <c r="DJ1760" s="1127"/>
    </row>
    <row r="1761" spans="1:114" ht="15" hidden="1" customHeight="1" outlineLevel="1" x14ac:dyDescent="0.25">
      <c r="A1761" s="442"/>
      <c r="C1761" s="49"/>
      <c r="D1761" s="2177"/>
      <c r="E1761" s="2177"/>
      <c r="F1761" s="2176" t="str">
        <f t="shared" si="225"/>
        <v>ASHP-SEER17-Replace_CAC_NonElectricHeat_ROF_SF</v>
      </c>
      <c r="G1761" s="2176"/>
      <c r="H1761" s="2176"/>
      <c r="I1761" s="2176"/>
      <c r="J1761" s="986" t="str">
        <f t="shared" si="226"/>
        <v>353110_2024_12_</v>
      </c>
      <c r="K1761" s="1619">
        <v>18</v>
      </c>
      <c r="L1761" s="249"/>
      <c r="M1761" s="2222"/>
      <c r="P1761" s="248"/>
      <c r="Q1761" s="196"/>
      <c r="R1761" s="248"/>
      <c r="T1761" s="169"/>
      <c r="U1761" s="50"/>
      <c r="V1761" s="2177"/>
      <c r="W1761" s="250"/>
      <c r="X1761" s="250"/>
      <c r="Y1761" s="250"/>
      <c r="Z1761" s="250"/>
      <c r="AA1761" s="250"/>
      <c r="AB1761" s="250"/>
      <c r="AC1761" s="250"/>
      <c r="AD1761" s="987">
        <v>18</v>
      </c>
      <c r="AE1761" s="250">
        <v>18</v>
      </c>
      <c r="AF1761" s="258">
        <f t="shared" si="227"/>
        <v>18</v>
      </c>
      <c r="AG1761" s="250"/>
      <c r="DG1761" s="555"/>
      <c r="DH1761" s="151"/>
      <c r="DI1761" s="1049"/>
      <c r="DJ1761" s="1127"/>
    </row>
    <row r="1762" spans="1:114" ht="15" hidden="1" customHeight="1" outlineLevel="1" x14ac:dyDescent="0.25">
      <c r="A1762" s="442"/>
      <c r="C1762" s="49"/>
      <c r="D1762" s="2177"/>
      <c r="E1762" s="2177"/>
      <c r="F1762" s="2176" t="str">
        <f t="shared" si="225"/>
        <v>ASHP-SEER18-Replace_CAC_ElectricHeat_ROF_SF</v>
      </c>
      <c r="G1762" s="2176"/>
      <c r="H1762" s="2176"/>
      <c r="I1762" s="2176"/>
      <c r="J1762" s="986" t="str">
        <f t="shared" si="226"/>
        <v>353200_2024_12_</v>
      </c>
      <c r="K1762" s="1619">
        <v>18</v>
      </c>
      <c r="L1762" s="249"/>
      <c r="M1762" s="2222"/>
      <c r="P1762" s="248"/>
      <c r="Q1762" s="196"/>
      <c r="R1762" s="248"/>
      <c r="T1762" s="169"/>
      <c r="U1762" s="50"/>
      <c r="V1762" s="2177"/>
      <c r="W1762" s="250">
        <v>18</v>
      </c>
      <c r="X1762" s="250">
        <v>18</v>
      </c>
      <c r="Y1762" s="250">
        <v>18</v>
      </c>
      <c r="Z1762" s="250">
        <v>18</v>
      </c>
      <c r="AA1762" s="250">
        <v>18</v>
      </c>
      <c r="AB1762" s="250">
        <v>18</v>
      </c>
      <c r="AC1762" s="250">
        <v>18</v>
      </c>
      <c r="AD1762" s="250">
        <v>18</v>
      </c>
      <c r="AE1762" s="250">
        <v>18</v>
      </c>
      <c r="AF1762" s="258">
        <f t="shared" ref="AF1762:AF1793" si="228">IF(K1762&lt;&gt;"",K1762,"")</f>
        <v>18</v>
      </c>
      <c r="AG1762" s="250"/>
      <c r="DG1762" s="555"/>
      <c r="DH1762" s="151"/>
      <c r="DI1762" s="1049"/>
      <c r="DJ1762" s="1127"/>
    </row>
    <row r="1763" spans="1:114" ht="15" hidden="1" customHeight="1" outlineLevel="1" x14ac:dyDescent="0.25">
      <c r="A1763" s="442"/>
      <c r="C1763" s="49"/>
      <c r="D1763" s="2177"/>
      <c r="E1763" s="2177"/>
      <c r="F1763" s="2176" t="str">
        <f t="shared" si="225"/>
        <v>ASHP-SEER18-Replace_CAC_ElectricHeat_ROF_SF</v>
      </c>
      <c r="G1763" s="2176"/>
      <c r="H1763" s="2176"/>
      <c r="I1763" s="2176"/>
      <c r="J1763" s="986" t="str">
        <f t="shared" si="226"/>
        <v>353200_2024_12_</v>
      </c>
      <c r="K1763" s="1619">
        <v>18</v>
      </c>
      <c r="L1763" s="249"/>
      <c r="M1763" s="2222"/>
      <c r="P1763" s="248"/>
      <c r="Q1763" s="196"/>
      <c r="R1763" s="248"/>
      <c r="T1763" s="169"/>
      <c r="U1763" s="50"/>
      <c r="V1763" s="2177"/>
      <c r="W1763" s="250">
        <v>18</v>
      </c>
      <c r="X1763" s="250">
        <v>18</v>
      </c>
      <c r="Y1763" s="250">
        <v>18</v>
      </c>
      <c r="Z1763" s="250">
        <v>18</v>
      </c>
      <c r="AA1763" s="250">
        <v>18</v>
      </c>
      <c r="AB1763" s="250">
        <v>18</v>
      </c>
      <c r="AC1763" s="250">
        <v>18</v>
      </c>
      <c r="AD1763" s="250">
        <v>18</v>
      </c>
      <c r="AE1763" s="250">
        <v>18</v>
      </c>
      <c r="AF1763" s="258">
        <f t="shared" si="228"/>
        <v>18</v>
      </c>
      <c r="AG1763" s="250"/>
      <c r="DG1763" s="555"/>
      <c r="DH1763" s="151"/>
      <c r="DI1763" s="1049"/>
      <c r="DJ1763" s="1127"/>
    </row>
    <row r="1764" spans="1:114" ht="15" hidden="1" customHeight="1" outlineLevel="1" x14ac:dyDescent="0.25">
      <c r="A1764" s="442"/>
      <c r="C1764" s="49"/>
      <c r="D1764" s="2177"/>
      <c r="E1764" s="2177"/>
      <c r="F1764" s="2176" t="str">
        <f t="shared" si="225"/>
        <v>ASHP-SEER18-Replace_CAC_NonElectricHeat_ROF_SF</v>
      </c>
      <c r="G1764" s="2176"/>
      <c r="H1764" s="2176"/>
      <c r="I1764" s="2176"/>
      <c r="J1764" s="986" t="str">
        <f t="shared" si="226"/>
        <v>353210_2024_12_</v>
      </c>
      <c r="K1764" s="1619">
        <v>18</v>
      </c>
      <c r="L1764" s="249"/>
      <c r="M1764" s="2222"/>
      <c r="P1764" s="248"/>
      <c r="Q1764" s="196"/>
      <c r="R1764" s="248"/>
      <c r="T1764" s="169"/>
      <c r="U1764" s="50"/>
      <c r="V1764" s="2177"/>
      <c r="W1764" s="250"/>
      <c r="X1764" s="250"/>
      <c r="Y1764" s="250"/>
      <c r="Z1764" s="250"/>
      <c r="AA1764" s="250"/>
      <c r="AB1764" s="250"/>
      <c r="AC1764" s="250"/>
      <c r="AD1764" s="987">
        <v>18</v>
      </c>
      <c r="AE1764" s="250">
        <v>18</v>
      </c>
      <c r="AF1764" s="258">
        <f t="shared" si="228"/>
        <v>18</v>
      </c>
      <c r="AG1764" s="250"/>
      <c r="DG1764" s="555"/>
      <c r="DH1764" s="151"/>
      <c r="DI1764" s="1049"/>
      <c r="DJ1764" s="1127"/>
    </row>
    <row r="1765" spans="1:114" ht="15" hidden="1" customHeight="1" outlineLevel="1" x14ac:dyDescent="0.25">
      <c r="A1765" s="442"/>
      <c r="C1765" s="49"/>
      <c r="D1765" s="2177"/>
      <c r="E1765" s="2177"/>
      <c r="F1765" s="2176" t="str">
        <f t="shared" si="225"/>
        <v>ASHP-SEER18-Replace_CAC_NonElectricHeat_ROF_SF</v>
      </c>
      <c r="G1765" s="2176"/>
      <c r="H1765" s="2176"/>
      <c r="I1765" s="2176"/>
      <c r="J1765" s="986" t="str">
        <f t="shared" si="226"/>
        <v>353210_2024_12_</v>
      </c>
      <c r="K1765" s="1619">
        <v>18</v>
      </c>
      <c r="L1765" s="249"/>
      <c r="M1765" s="2222"/>
      <c r="P1765" s="248"/>
      <c r="Q1765" s="196"/>
      <c r="R1765" s="248"/>
      <c r="T1765" s="169"/>
      <c r="U1765" s="50"/>
      <c r="V1765" s="2177"/>
      <c r="W1765" s="250"/>
      <c r="X1765" s="250"/>
      <c r="Y1765" s="250"/>
      <c r="Z1765" s="250"/>
      <c r="AA1765" s="250"/>
      <c r="AB1765" s="250"/>
      <c r="AC1765" s="250"/>
      <c r="AD1765" s="987">
        <v>18</v>
      </c>
      <c r="AE1765" s="250">
        <v>18</v>
      </c>
      <c r="AF1765" s="258">
        <f t="shared" si="228"/>
        <v>18</v>
      </c>
      <c r="AG1765" s="250"/>
      <c r="DG1765" s="555"/>
      <c r="DH1765" s="151"/>
      <c r="DI1765" s="1049"/>
      <c r="DJ1765" s="1127"/>
    </row>
    <row r="1766" spans="1:114" ht="14.65" hidden="1" customHeight="1" outlineLevel="1" x14ac:dyDescent="0.25">
      <c r="A1766" s="442"/>
      <c r="C1766" s="49"/>
      <c r="D1766" s="2177"/>
      <c r="E1766" s="2177"/>
      <c r="F1766" s="2176" t="str">
        <f t="shared" si="225"/>
        <v>ASHP-SEER19-Replace_CAC_ElectricHeat_ROF_SF</v>
      </c>
      <c r="G1766" s="2176"/>
      <c r="H1766" s="2176"/>
      <c r="I1766" s="2176"/>
      <c r="J1766" s="986" t="str">
        <f t="shared" si="226"/>
        <v>353300_2024_12_</v>
      </c>
      <c r="K1766" s="1619">
        <v>18</v>
      </c>
      <c r="L1766" s="249"/>
      <c r="M1766" s="2222"/>
      <c r="P1766" s="248"/>
      <c r="Q1766" s="196"/>
      <c r="R1766" s="248"/>
      <c r="T1766" s="169"/>
      <c r="U1766" s="50"/>
      <c r="V1766" s="2177"/>
      <c r="W1766" s="250">
        <v>18</v>
      </c>
      <c r="X1766" s="250">
        <v>18</v>
      </c>
      <c r="Y1766" s="250">
        <v>18</v>
      </c>
      <c r="Z1766" s="250">
        <v>18</v>
      </c>
      <c r="AA1766" s="250">
        <v>18</v>
      </c>
      <c r="AB1766" s="250">
        <v>18</v>
      </c>
      <c r="AC1766" s="250">
        <v>18</v>
      </c>
      <c r="AD1766" s="250">
        <v>18</v>
      </c>
      <c r="AE1766" s="250">
        <v>18</v>
      </c>
      <c r="AF1766" s="258">
        <f t="shared" si="228"/>
        <v>18</v>
      </c>
      <c r="AG1766" s="250"/>
      <c r="DG1766" s="555"/>
      <c r="DH1766" s="151"/>
      <c r="DI1766" s="1049"/>
      <c r="DJ1766" s="1127"/>
    </row>
    <row r="1767" spans="1:114" ht="14.65" hidden="1" customHeight="1" outlineLevel="1" x14ac:dyDescent="0.25">
      <c r="A1767" s="442"/>
      <c r="C1767" s="49"/>
      <c r="D1767" s="2177"/>
      <c r="E1767" s="2177"/>
      <c r="F1767" s="2176" t="str">
        <f t="shared" si="225"/>
        <v>ASHP-SEER19-Replace_CAC_ElectricHeat_ROF_SF</v>
      </c>
      <c r="G1767" s="2176"/>
      <c r="H1767" s="2176"/>
      <c r="I1767" s="2176"/>
      <c r="J1767" s="986" t="str">
        <f t="shared" si="226"/>
        <v>353300_2024_12_</v>
      </c>
      <c r="K1767" s="1619">
        <v>18</v>
      </c>
      <c r="L1767" s="249"/>
      <c r="M1767" s="2222"/>
      <c r="P1767" s="248"/>
      <c r="Q1767" s="196"/>
      <c r="R1767" s="248"/>
      <c r="T1767" s="169"/>
      <c r="U1767" s="50"/>
      <c r="V1767" s="2177"/>
      <c r="W1767" s="250">
        <v>18</v>
      </c>
      <c r="X1767" s="250">
        <v>18</v>
      </c>
      <c r="Y1767" s="250">
        <v>18</v>
      </c>
      <c r="Z1767" s="250">
        <v>18</v>
      </c>
      <c r="AA1767" s="250">
        <v>18</v>
      </c>
      <c r="AB1767" s="250">
        <v>18</v>
      </c>
      <c r="AC1767" s="250">
        <v>18</v>
      </c>
      <c r="AD1767" s="250">
        <v>18</v>
      </c>
      <c r="AE1767" s="250">
        <v>18</v>
      </c>
      <c r="AF1767" s="258">
        <f t="shared" si="228"/>
        <v>18</v>
      </c>
      <c r="AG1767" s="250"/>
      <c r="DG1767" s="555"/>
      <c r="DH1767" s="151"/>
      <c r="DI1767" s="1049"/>
      <c r="DJ1767" s="1127"/>
    </row>
    <row r="1768" spans="1:114" ht="14.65" hidden="1" customHeight="1" outlineLevel="1" x14ac:dyDescent="0.25">
      <c r="A1768" s="442"/>
      <c r="C1768" s="49"/>
      <c r="D1768" s="2177"/>
      <c r="E1768" s="2177"/>
      <c r="F1768" s="2176" t="str">
        <f t="shared" si="225"/>
        <v>ASHP-SEER19-Replace_CAC_NonElectricHeat_ROF_SF</v>
      </c>
      <c r="G1768" s="2176"/>
      <c r="H1768" s="2176"/>
      <c r="I1768" s="2176"/>
      <c r="J1768" s="986" t="str">
        <f t="shared" si="226"/>
        <v>353310_2024_12_</v>
      </c>
      <c r="K1768" s="1619">
        <v>18</v>
      </c>
      <c r="L1768" s="249"/>
      <c r="M1768" s="2222"/>
      <c r="P1768" s="248"/>
      <c r="Q1768" s="196"/>
      <c r="R1768" s="248"/>
      <c r="T1768" s="169"/>
      <c r="U1768" s="50"/>
      <c r="V1768" s="2177"/>
      <c r="W1768" s="250"/>
      <c r="X1768" s="250"/>
      <c r="Y1768" s="250"/>
      <c r="Z1768" s="250"/>
      <c r="AA1768" s="250"/>
      <c r="AB1768" s="250"/>
      <c r="AC1768" s="250"/>
      <c r="AD1768" s="987">
        <v>18</v>
      </c>
      <c r="AE1768" s="250">
        <v>18</v>
      </c>
      <c r="AF1768" s="258">
        <f t="shared" si="228"/>
        <v>18</v>
      </c>
      <c r="AG1768" s="250"/>
      <c r="DG1768" s="555"/>
      <c r="DH1768" s="151"/>
      <c r="DI1768" s="1049"/>
      <c r="DJ1768" s="1127"/>
    </row>
    <row r="1769" spans="1:114" ht="14.65" hidden="1" customHeight="1" outlineLevel="1" x14ac:dyDescent="0.25">
      <c r="A1769" s="442"/>
      <c r="C1769" s="49"/>
      <c r="D1769" s="2177"/>
      <c r="E1769" s="2177"/>
      <c r="F1769" s="2176" t="str">
        <f t="shared" si="225"/>
        <v>ASHP-SEER19-Replace_CAC_NonElectricHeat_ROF_SF</v>
      </c>
      <c r="G1769" s="2176"/>
      <c r="H1769" s="2176"/>
      <c r="I1769" s="2176"/>
      <c r="J1769" s="986" t="str">
        <f t="shared" si="226"/>
        <v>353310_2024_12_</v>
      </c>
      <c r="K1769" s="1619">
        <v>18</v>
      </c>
      <c r="L1769" s="249"/>
      <c r="M1769" s="2222"/>
      <c r="P1769" s="248"/>
      <c r="Q1769" s="196"/>
      <c r="R1769" s="248"/>
      <c r="T1769" s="169"/>
      <c r="U1769" s="50"/>
      <c r="V1769" s="2177"/>
      <c r="W1769" s="250"/>
      <c r="X1769" s="250"/>
      <c r="Y1769" s="250"/>
      <c r="Z1769" s="250"/>
      <c r="AA1769" s="250"/>
      <c r="AB1769" s="250"/>
      <c r="AC1769" s="250"/>
      <c r="AD1769" s="987">
        <v>18</v>
      </c>
      <c r="AE1769" s="250">
        <v>18</v>
      </c>
      <c r="AF1769" s="258">
        <f t="shared" si="228"/>
        <v>18</v>
      </c>
      <c r="AG1769" s="250"/>
      <c r="DG1769" s="555"/>
      <c r="DH1769" s="151"/>
      <c r="DI1769" s="1049"/>
      <c r="DJ1769" s="1127"/>
    </row>
    <row r="1770" spans="1:114" ht="14.65" hidden="1" customHeight="1" outlineLevel="1" x14ac:dyDescent="0.25">
      <c r="A1770" s="442"/>
      <c r="C1770" s="49"/>
      <c r="D1770" s="2177"/>
      <c r="E1770" s="2177"/>
      <c r="F1770" s="2176" t="str">
        <f t="shared" si="225"/>
        <v>ASHP-SEER20-Replace_CAC_ElectricHeat_ER1_SF</v>
      </c>
      <c r="G1770" s="2176"/>
      <c r="H1770" s="2176"/>
      <c r="I1770" s="2176"/>
      <c r="J1770" s="986" t="str">
        <f t="shared" si="226"/>
        <v>353400_2024_12_</v>
      </c>
      <c r="K1770" s="1619">
        <v>6</v>
      </c>
      <c r="L1770" s="249"/>
      <c r="M1770" s="2222"/>
      <c r="P1770" s="248"/>
      <c r="Q1770" s="196"/>
      <c r="R1770" s="248"/>
      <c r="T1770" s="169"/>
      <c r="U1770" s="50"/>
      <c r="V1770" s="2177"/>
      <c r="W1770" s="250">
        <v>6</v>
      </c>
      <c r="X1770" s="250">
        <v>6</v>
      </c>
      <c r="Y1770" s="250">
        <v>6</v>
      </c>
      <c r="Z1770" s="250">
        <v>6</v>
      </c>
      <c r="AA1770" s="250">
        <v>6</v>
      </c>
      <c r="AB1770" s="250">
        <v>6</v>
      </c>
      <c r="AC1770" s="250">
        <v>6</v>
      </c>
      <c r="AD1770" s="250">
        <v>6</v>
      </c>
      <c r="AE1770" s="250">
        <v>6</v>
      </c>
      <c r="AF1770" s="258">
        <f t="shared" si="228"/>
        <v>6</v>
      </c>
      <c r="AG1770" s="250"/>
      <c r="DG1770" s="555"/>
      <c r="DH1770" s="151"/>
      <c r="DI1770" s="1049"/>
      <c r="DJ1770" s="1127"/>
    </row>
    <row r="1771" spans="1:114" ht="14.65" hidden="1" customHeight="1" outlineLevel="1" x14ac:dyDescent="0.25">
      <c r="A1771" s="442"/>
      <c r="C1771" s="49"/>
      <c r="D1771" s="2177"/>
      <c r="E1771" s="2177"/>
      <c r="F1771" s="2176" t="str">
        <f t="shared" si="225"/>
        <v>ASHP-SEER20-Replace_CAC_ElectricHeat_ER1_SF</v>
      </c>
      <c r="G1771" s="2176"/>
      <c r="H1771" s="2176"/>
      <c r="I1771" s="2176"/>
      <c r="J1771" s="986" t="str">
        <f t="shared" si="226"/>
        <v>353400_2024_12_</v>
      </c>
      <c r="K1771" s="1619">
        <v>6</v>
      </c>
      <c r="L1771" s="249"/>
      <c r="M1771" s="2222"/>
      <c r="P1771" s="248"/>
      <c r="Q1771" s="196"/>
      <c r="R1771" s="248"/>
      <c r="T1771" s="169"/>
      <c r="U1771" s="50"/>
      <c r="V1771" s="2177"/>
      <c r="W1771" s="250">
        <v>6</v>
      </c>
      <c r="X1771" s="250">
        <v>6</v>
      </c>
      <c r="Y1771" s="250">
        <v>6</v>
      </c>
      <c r="Z1771" s="250">
        <v>6</v>
      </c>
      <c r="AA1771" s="250">
        <v>6</v>
      </c>
      <c r="AB1771" s="250">
        <v>6</v>
      </c>
      <c r="AC1771" s="250">
        <v>6</v>
      </c>
      <c r="AD1771" s="250">
        <v>6</v>
      </c>
      <c r="AE1771" s="250">
        <v>6</v>
      </c>
      <c r="AF1771" s="258">
        <f t="shared" si="228"/>
        <v>6</v>
      </c>
      <c r="AG1771" s="250"/>
      <c r="DG1771" s="555"/>
      <c r="DH1771" s="151"/>
      <c r="DI1771" s="1049"/>
      <c r="DJ1771" s="1127"/>
    </row>
    <row r="1772" spans="1:114" ht="14.65" hidden="1" customHeight="1" outlineLevel="1" x14ac:dyDescent="0.25">
      <c r="A1772" s="442"/>
      <c r="C1772" s="49"/>
      <c r="D1772" s="2177"/>
      <c r="E1772" s="2177"/>
      <c r="F1772" s="2176" t="str">
        <f t="shared" si="225"/>
        <v>ASHP-SEER20-Replace_CAC_ElectricHeat_ER2_SF</v>
      </c>
      <c r="G1772" s="2176"/>
      <c r="H1772" s="2176"/>
      <c r="I1772" s="2176"/>
      <c r="J1772" s="986" t="str">
        <f t="shared" si="226"/>
        <v>353400_2024_12_</v>
      </c>
      <c r="K1772" s="1619">
        <v>12</v>
      </c>
      <c r="L1772" s="249"/>
      <c r="M1772" s="2222"/>
      <c r="P1772" s="248"/>
      <c r="Q1772" s="196"/>
      <c r="R1772" s="248"/>
      <c r="T1772" s="169"/>
      <c r="U1772" s="50"/>
      <c r="V1772" s="2177"/>
      <c r="W1772" s="250">
        <v>12</v>
      </c>
      <c r="X1772" s="250">
        <v>12</v>
      </c>
      <c r="Y1772" s="250">
        <v>12</v>
      </c>
      <c r="Z1772" s="250">
        <v>12</v>
      </c>
      <c r="AA1772" s="250">
        <v>12</v>
      </c>
      <c r="AB1772" s="250">
        <v>12</v>
      </c>
      <c r="AC1772" s="250">
        <v>12</v>
      </c>
      <c r="AD1772" s="250">
        <v>12</v>
      </c>
      <c r="AE1772" s="250">
        <v>12</v>
      </c>
      <c r="AF1772" s="258">
        <f t="shared" si="228"/>
        <v>12</v>
      </c>
      <c r="AG1772" s="250"/>
      <c r="DG1772" s="555"/>
      <c r="DH1772" s="151"/>
      <c r="DI1772" s="1049"/>
      <c r="DJ1772" s="1127"/>
    </row>
    <row r="1773" spans="1:114" ht="14.65" hidden="1" customHeight="1" outlineLevel="1" x14ac:dyDescent="0.25">
      <c r="A1773" s="442"/>
      <c r="C1773" s="49"/>
      <c r="D1773" s="2177"/>
      <c r="E1773" s="2177"/>
      <c r="F1773" s="2176" t="str">
        <f t="shared" si="225"/>
        <v>ASHP-SEER20-Replace_CAC_ElectricHeat_ER2_SF</v>
      </c>
      <c r="G1773" s="2176"/>
      <c r="H1773" s="2176"/>
      <c r="I1773" s="2176"/>
      <c r="J1773" s="986" t="str">
        <f t="shared" si="226"/>
        <v>353400_2024_12_</v>
      </c>
      <c r="K1773" s="1619">
        <v>12</v>
      </c>
      <c r="L1773" s="249"/>
      <c r="M1773" s="2222"/>
      <c r="P1773" s="248"/>
      <c r="Q1773" s="196"/>
      <c r="R1773" s="248"/>
      <c r="T1773" s="169"/>
      <c r="U1773" s="50"/>
      <c r="V1773" s="2177"/>
      <c r="W1773" s="250">
        <v>12</v>
      </c>
      <c r="X1773" s="250">
        <v>12</v>
      </c>
      <c r="Y1773" s="250">
        <v>12</v>
      </c>
      <c r="Z1773" s="250">
        <v>12</v>
      </c>
      <c r="AA1773" s="250">
        <v>12</v>
      </c>
      <c r="AB1773" s="250">
        <v>12</v>
      </c>
      <c r="AC1773" s="250">
        <v>12</v>
      </c>
      <c r="AD1773" s="250">
        <v>12</v>
      </c>
      <c r="AE1773" s="250">
        <v>12</v>
      </c>
      <c r="AF1773" s="258">
        <f t="shared" si="228"/>
        <v>12</v>
      </c>
      <c r="AG1773" s="250"/>
      <c r="DG1773" s="555"/>
      <c r="DH1773" s="151"/>
      <c r="DI1773" s="1049"/>
      <c r="DJ1773" s="1127"/>
    </row>
    <row r="1774" spans="1:114" ht="14.65" hidden="1" customHeight="1" outlineLevel="1" x14ac:dyDescent="0.25">
      <c r="A1774" s="442"/>
      <c r="C1774" s="49"/>
      <c r="D1774" s="2177"/>
      <c r="E1774" s="2177"/>
      <c r="F1774" s="2176" t="str">
        <f t="shared" si="225"/>
        <v>ASHP-SEER20-Replace_CAC_NonElectricHeat_ER1_SF</v>
      </c>
      <c r="G1774" s="2176"/>
      <c r="H1774" s="2176"/>
      <c r="I1774" s="2176"/>
      <c r="J1774" s="986" t="str">
        <f t="shared" si="226"/>
        <v>353410_2024_12_</v>
      </c>
      <c r="K1774" s="1619">
        <v>6</v>
      </c>
      <c r="L1774" s="249"/>
      <c r="M1774" s="2222"/>
      <c r="P1774" s="248"/>
      <c r="Q1774" s="196"/>
      <c r="R1774" s="248"/>
      <c r="T1774" s="169"/>
      <c r="U1774" s="50"/>
      <c r="V1774" s="2177"/>
      <c r="W1774" s="250"/>
      <c r="X1774" s="250"/>
      <c r="Y1774" s="250"/>
      <c r="Z1774" s="250"/>
      <c r="AA1774" s="250"/>
      <c r="AB1774" s="250"/>
      <c r="AC1774" s="987">
        <v>6</v>
      </c>
      <c r="AD1774" s="250">
        <v>6</v>
      </c>
      <c r="AE1774" s="250">
        <v>6</v>
      </c>
      <c r="AF1774" s="258">
        <f t="shared" si="228"/>
        <v>6</v>
      </c>
      <c r="AG1774" s="250"/>
      <c r="DG1774" s="555"/>
      <c r="DH1774" s="151"/>
      <c r="DI1774" s="1049"/>
      <c r="DJ1774" s="1127"/>
    </row>
    <row r="1775" spans="1:114" ht="14.65" hidden="1" customHeight="1" outlineLevel="1" x14ac:dyDescent="0.25">
      <c r="A1775" s="442"/>
      <c r="C1775" s="49"/>
      <c r="D1775" s="2177"/>
      <c r="E1775" s="2177"/>
      <c r="F1775" s="2176" t="str">
        <f t="shared" si="225"/>
        <v>ASHP-SEER20-Replace_CAC_NonElectricHeat_ER1_SF</v>
      </c>
      <c r="G1775" s="2176"/>
      <c r="H1775" s="2176"/>
      <c r="I1775" s="2176"/>
      <c r="J1775" s="986" t="str">
        <f t="shared" si="226"/>
        <v>353410_2024_12_</v>
      </c>
      <c r="K1775" s="1619">
        <v>6</v>
      </c>
      <c r="L1775" s="249"/>
      <c r="M1775" s="2222"/>
      <c r="P1775" s="248"/>
      <c r="Q1775" s="196"/>
      <c r="R1775" s="248"/>
      <c r="T1775" s="169"/>
      <c r="U1775" s="50"/>
      <c r="V1775" s="2177"/>
      <c r="W1775" s="250"/>
      <c r="X1775" s="250"/>
      <c r="Y1775" s="250"/>
      <c r="Z1775" s="250"/>
      <c r="AA1775" s="250"/>
      <c r="AB1775" s="250"/>
      <c r="AC1775" s="987">
        <v>6</v>
      </c>
      <c r="AD1775" s="250">
        <v>6</v>
      </c>
      <c r="AE1775" s="250">
        <v>6</v>
      </c>
      <c r="AF1775" s="258">
        <f t="shared" si="228"/>
        <v>6</v>
      </c>
      <c r="AG1775" s="250"/>
      <c r="DG1775" s="555"/>
      <c r="DH1775" s="151"/>
      <c r="DI1775" s="1049"/>
      <c r="DJ1775" s="1127"/>
    </row>
    <row r="1776" spans="1:114" ht="14.65" hidden="1" customHeight="1" outlineLevel="1" x14ac:dyDescent="0.25">
      <c r="A1776" s="442"/>
      <c r="C1776" s="49"/>
      <c r="D1776" s="2177"/>
      <c r="E1776" s="2177"/>
      <c r="F1776" s="2176" t="str">
        <f t="shared" si="225"/>
        <v>ASHP-SEER20-Replace_CAC_NonElectricHeat_ER2_SF</v>
      </c>
      <c r="G1776" s="2176"/>
      <c r="H1776" s="2176"/>
      <c r="I1776" s="2176"/>
      <c r="J1776" s="986" t="str">
        <f t="shared" si="226"/>
        <v>353410_2024_12_</v>
      </c>
      <c r="K1776" s="1619">
        <v>12</v>
      </c>
      <c r="L1776" s="249"/>
      <c r="M1776" s="2222"/>
      <c r="P1776" s="248"/>
      <c r="Q1776" s="196"/>
      <c r="R1776" s="248"/>
      <c r="T1776" s="169"/>
      <c r="U1776" s="50"/>
      <c r="V1776" s="2177"/>
      <c r="W1776" s="250"/>
      <c r="X1776" s="250"/>
      <c r="Y1776" s="250"/>
      <c r="Z1776" s="250"/>
      <c r="AA1776" s="250"/>
      <c r="AB1776" s="250"/>
      <c r="AC1776" s="987">
        <v>12</v>
      </c>
      <c r="AD1776" s="250">
        <v>12</v>
      </c>
      <c r="AE1776" s="250">
        <v>12</v>
      </c>
      <c r="AF1776" s="258">
        <f t="shared" si="228"/>
        <v>12</v>
      </c>
      <c r="AG1776" s="250"/>
      <c r="DG1776" s="555"/>
      <c r="DH1776" s="151"/>
      <c r="DI1776" s="1049"/>
      <c r="DJ1776" s="1127"/>
    </row>
    <row r="1777" spans="1:114" ht="14.65" hidden="1" customHeight="1" outlineLevel="1" x14ac:dyDescent="0.25">
      <c r="A1777" s="442"/>
      <c r="C1777" s="49"/>
      <c r="D1777" s="2177"/>
      <c r="E1777" s="2177"/>
      <c r="F1777" s="2176" t="str">
        <f t="shared" si="225"/>
        <v>ASHP-SEER20-Replace_CAC_NonElectricHeat_ER2_SF</v>
      </c>
      <c r="G1777" s="2176"/>
      <c r="H1777" s="2176"/>
      <c r="I1777" s="2176"/>
      <c r="J1777" s="986" t="str">
        <f t="shared" si="226"/>
        <v>353410_2024_12_</v>
      </c>
      <c r="K1777" s="1619">
        <v>12</v>
      </c>
      <c r="L1777" s="249"/>
      <c r="M1777" s="2222"/>
      <c r="P1777" s="248"/>
      <c r="Q1777" s="196"/>
      <c r="R1777" s="248"/>
      <c r="T1777" s="169"/>
      <c r="U1777" s="50"/>
      <c r="V1777" s="2177"/>
      <c r="W1777" s="250"/>
      <c r="X1777" s="250"/>
      <c r="Y1777" s="250"/>
      <c r="Z1777" s="250"/>
      <c r="AA1777" s="250"/>
      <c r="AB1777" s="250"/>
      <c r="AC1777" s="987">
        <v>12</v>
      </c>
      <c r="AD1777" s="250">
        <v>12</v>
      </c>
      <c r="AE1777" s="250">
        <v>12</v>
      </c>
      <c r="AF1777" s="258">
        <f t="shared" si="228"/>
        <v>12</v>
      </c>
      <c r="AG1777" s="250"/>
      <c r="DG1777" s="555"/>
      <c r="DH1777" s="151"/>
      <c r="DI1777" s="1049"/>
      <c r="DJ1777" s="1127"/>
    </row>
    <row r="1778" spans="1:114" ht="14.65" hidden="1" customHeight="1" outlineLevel="1" x14ac:dyDescent="0.25">
      <c r="A1778" s="442"/>
      <c r="C1778" s="49"/>
      <c r="D1778" s="2177"/>
      <c r="E1778" s="2177"/>
      <c r="F1778" s="2176" t="str">
        <f t="shared" si="225"/>
        <v>ASHP-SEER20-Replace_CAC_ElectricHeat_ROF_SF</v>
      </c>
      <c r="G1778" s="2176"/>
      <c r="H1778" s="2176"/>
      <c r="I1778" s="2176"/>
      <c r="J1778" s="986" t="str">
        <f t="shared" si="226"/>
        <v>353450_2024_12_</v>
      </c>
      <c r="K1778" s="1619">
        <v>18</v>
      </c>
      <c r="L1778" s="249"/>
      <c r="M1778" s="2222"/>
      <c r="P1778" s="248"/>
      <c r="Q1778" s="196"/>
      <c r="R1778" s="248"/>
      <c r="T1778" s="169"/>
      <c r="U1778" s="50"/>
      <c r="V1778" s="2177"/>
      <c r="W1778" s="250">
        <v>18</v>
      </c>
      <c r="X1778" s="250">
        <v>18</v>
      </c>
      <c r="Y1778" s="250">
        <v>18</v>
      </c>
      <c r="Z1778" s="250">
        <v>18</v>
      </c>
      <c r="AA1778" s="250">
        <v>18</v>
      </c>
      <c r="AB1778" s="250">
        <v>18</v>
      </c>
      <c r="AC1778" s="250">
        <v>18</v>
      </c>
      <c r="AD1778" s="250">
        <v>18</v>
      </c>
      <c r="AE1778" s="250">
        <v>18</v>
      </c>
      <c r="AF1778" s="258">
        <f t="shared" si="228"/>
        <v>18</v>
      </c>
      <c r="AG1778" s="250"/>
      <c r="DG1778" s="555"/>
      <c r="DH1778" s="151"/>
      <c r="DI1778" s="1049"/>
      <c r="DJ1778" s="1127"/>
    </row>
    <row r="1779" spans="1:114" ht="14.65" hidden="1" customHeight="1" outlineLevel="1" x14ac:dyDescent="0.25">
      <c r="A1779" s="442"/>
      <c r="C1779" s="49"/>
      <c r="D1779" s="2177"/>
      <c r="E1779" s="2177"/>
      <c r="F1779" s="2176" t="str">
        <f t="shared" si="225"/>
        <v>ASHP-SEER20-Replace_CAC_ElectricHeat_ROF_SF</v>
      </c>
      <c r="G1779" s="2176"/>
      <c r="H1779" s="2176"/>
      <c r="I1779" s="2176"/>
      <c r="J1779" s="986" t="str">
        <f t="shared" si="226"/>
        <v>353450_2024_12_</v>
      </c>
      <c r="K1779" s="1619">
        <v>18</v>
      </c>
      <c r="L1779" s="249"/>
      <c r="M1779" s="2222"/>
      <c r="P1779" s="248"/>
      <c r="Q1779" s="196"/>
      <c r="R1779" s="248"/>
      <c r="T1779" s="169"/>
      <c r="U1779" s="50"/>
      <c r="V1779" s="2177"/>
      <c r="W1779" s="250">
        <v>18</v>
      </c>
      <c r="X1779" s="250">
        <v>18</v>
      </c>
      <c r="Y1779" s="250">
        <v>18</v>
      </c>
      <c r="Z1779" s="250">
        <v>18</v>
      </c>
      <c r="AA1779" s="250">
        <v>18</v>
      </c>
      <c r="AB1779" s="250">
        <v>18</v>
      </c>
      <c r="AC1779" s="250">
        <v>18</v>
      </c>
      <c r="AD1779" s="250">
        <v>18</v>
      </c>
      <c r="AE1779" s="250">
        <v>18</v>
      </c>
      <c r="AF1779" s="258">
        <f t="shared" si="228"/>
        <v>18</v>
      </c>
      <c r="AG1779" s="250"/>
      <c r="DG1779" s="555"/>
      <c r="DH1779" s="151"/>
      <c r="DI1779" s="1049"/>
      <c r="DJ1779" s="1127"/>
    </row>
    <row r="1780" spans="1:114" ht="14.65" hidden="1" customHeight="1" outlineLevel="1" x14ac:dyDescent="0.25">
      <c r="A1780" s="442"/>
      <c r="C1780" s="49"/>
      <c r="D1780" s="2177"/>
      <c r="E1780" s="2177"/>
      <c r="F1780" s="2176" t="str">
        <f t="shared" si="225"/>
        <v>ASHP-SEER20-Replace_CAC_NonElectricHeat_ROF_SF</v>
      </c>
      <c r="G1780" s="2176"/>
      <c r="H1780" s="2176"/>
      <c r="I1780" s="2176"/>
      <c r="J1780" s="986" t="str">
        <f t="shared" si="226"/>
        <v>353460_2024_12_</v>
      </c>
      <c r="K1780" s="1619">
        <v>18</v>
      </c>
      <c r="L1780" s="249"/>
      <c r="M1780" s="2222"/>
      <c r="P1780" s="248"/>
      <c r="Q1780" s="196"/>
      <c r="R1780" s="248"/>
      <c r="T1780" s="169"/>
      <c r="U1780" s="50"/>
      <c r="V1780" s="2177"/>
      <c r="W1780" s="250"/>
      <c r="X1780" s="250"/>
      <c r="Y1780" s="250"/>
      <c r="Z1780" s="250"/>
      <c r="AA1780" s="250"/>
      <c r="AB1780" s="250"/>
      <c r="AC1780" s="250"/>
      <c r="AD1780" s="987">
        <v>18</v>
      </c>
      <c r="AE1780" s="250">
        <v>18</v>
      </c>
      <c r="AF1780" s="258">
        <f t="shared" si="228"/>
        <v>18</v>
      </c>
      <c r="AG1780" s="250"/>
      <c r="DG1780" s="555"/>
      <c r="DH1780" s="151"/>
      <c r="DI1780" s="1049"/>
      <c r="DJ1780" s="1127"/>
    </row>
    <row r="1781" spans="1:114" ht="14.65" hidden="1" customHeight="1" outlineLevel="1" x14ac:dyDescent="0.25">
      <c r="A1781" s="442"/>
      <c r="C1781" s="49"/>
      <c r="D1781" s="2177"/>
      <c r="E1781" s="2177"/>
      <c r="F1781" s="2176" t="str">
        <f t="shared" si="225"/>
        <v>ASHP-SEER20-Replace_CAC_NonElectricHeat_ROF_SF</v>
      </c>
      <c r="G1781" s="2176"/>
      <c r="H1781" s="2176"/>
      <c r="I1781" s="2176"/>
      <c r="J1781" s="986" t="str">
        <f t="shared" si="226"/>
        <v>353460_2024_12_</v>
      </c>
      <c r="K1781" s="1619">
        <v>18</v>
      </c>
      <c r="L1781" s="249"/>
      <c r="M1781" s="2222"/>
      <c r="P1781" s="248"/>
      <c r="Q1781" s="196"/>
      <c r="R1781" s="248"/>
      <c r="T1781" s="169"/>
      <c r="U1781" s="50"/>
      <c r="V1781" s="2177"/>
      <c r="W1781" s="250"/>
      <c r="X1781" s="250"/>
      <c r="Y1781" s="250"/>
      <c r="Z1781" s="250"/>
      <c r="AA1781" s="250"/>
      <c r="AB1781" s="250"/>
      <c r="AC1781" s="250"/>
      <c r="AD1781" s="987">
        <v>18</v>
      </c>
      <c r="AE1781" s="250">
        <v>18</v>
      </c>
      <c r="AF1781" s="258">
        <f t="shared" si="228"/>
        <v>18</v>
      </c>
      <c r="AG1781" s="250"/>
      <c r="DG1781" s="555"/>
      <c r="DH1781" s="151"/>
      <c r="DI1781" s="1049"/>
      <c r="DJ1781" s="1127"/>
    </row>
    <row r="1782" spans="1:114" ht="14.65" hidden="1" customHeight="1" outlineLevel="1" x14ac:dyDescent="0.25">
      <c r="A1782" s="442"/>
      <c r="C1782" s="49"/>
      <c r="D1782" s="2177"/>
      <c r="E1782" s="2177"/>
      <c r="F1782" s="2176" t="str">
        <f t="shared" si="225"/>
        <v>ASHP-SEER21-Replace_CAC_ElectricHeat_ER1_SF</v>
      </c>
      <c r="G1782" s="2176"/>
      <c r="H1782" s="2176"/>
      <c r="I1782" s="2176"/>
      <c r="J1782" s="986" t="str">
        <f t="shared" si="226"/>
        <v>353550_2024_12_</v>
      </c>
      <c r="K1782" s="1619">
        <v>6</v>
      </c>
      <c r="L1782" s="249"/>
      <c r="M1782" s="2222"/>
      <c r="P1782" s="248"/>
      <c r="Q1782" s="196"/>
      <c r="R1782" s="248"/>
      <c r="T1782" s="169"/>
      <c r="U1782" s="50"/>
      <c r="V1782" s="2177"/>
      <c r="W1782" s="250">
        <v>6</v>
      </c>
      <c r="X1782" s="250">
        <v>6</v>
      </c>
      <c r="Y1782" s="250">
        <v>6</v>
      </c>
      <c r="Z1782" s="250">
        <v>6</v>
      </c>
      <c r="AA1782" s="250">
        <v>6</v>
      </c>
      <c r="AB1782" s="250">
        <v>6</v>
      </c>
      <c r="AC1782" s="250">
        <v>6</v>
      </c>
      <c r="AD1782" s="250">
        <v>6</v>
      </c>
      <c r="AE1782" s="250">
        <v>6</v>
      </c>
      <c r="AF1782" s="258">
        <f t="shared" si="228"/>
        <v>6</v>
      </c>
      <c r="AG1782" s="250"/>
      <c r="DG1782" s="555"/>
      <c r="DH1782" s="151"/>
      <c r="DI1782" s="1049"/>
      <c r="DJ1782" s="1127"/>
    </row>
    <row r="1783" spans="1:114" ht="14.65" hidden="1" customHeight="1" outlineLevel="1" x14ac:dyDescent="0.25">
      <c r="A1783" s="442"/>
      <c r="C1783" s="49"/>
      <c r="D1783" s="2177"/>
      <c r="E1783" s="2177"/>
      <c r="F1783" s="2176" t="str">
        <f t="shared" si="225"/>
        <v>ASHP-SEER21-Replace_CAC_ElectricHeat_ER1_SF</v>
      </c>
      <c r="G1783" s="2176"/>
      <c r="H1783" s="2176"/>
      <c r="I1783" s="2176"/>
      <c r="J1783" s="986" t="str">
        <f t="shared" si="226"/>
        <v>353550_2024_12_</v>
      </c>
      <c r="K1783" s="1619">
        <v>6</v>
      </c>
      <c r="L1783" s="249"/>
      <c r="M1783" s="2222"/>
      <c r="P1783" s="248"/>
      <c r="Q1783" s="196"/>
      <c r="R1783" s="248"/>
      <c r="T1783" s="169"/>
      <c r="U1783" s="50"/>
      <c r="V1783" s="2177"/>
      <c r="W1783" s="250">
        <v>6</v>
      </c>
      <c r="X1783" s="250">
        <v>6</v>
      </c>
      <c r="Y1783" s="250">
        <v>6</v>
      </c>
      <c r="Z1783" s="250">
        <v>6</v>
      </c>
      <c r="AA1783" s="250">
        <v>6</v>
      </c>
      <c r="AB1783" s="250">
        <v>6</v>
      </c>
      <c r="AC1783" s="250">
        <v>6</v>
      </c>
      <c r="AD1783" s="250">
        <v>6</v>
      </c>
      <c r="AE1783" s="250">
        <v>6</v>
      </c>
      <c r="AF1783" s="258">
        <f t="shared" si="228"/>
        <v>6</v>
      </c>
      <c r="AG1783" s="250"/>
      <c r="DG1783" s="555"/>
      <c r="DH1783" s="151"/>
      <c r="DI1783" s="1049"/>
      <c r="DJ1783" s="1127"/>
    </row>
    <row r="1784" spans="1:114" ht="14.65" hidden="1" customHeight="1" outlineLevel="1" x14ac:dyDescent="0.25">
      <c r="A1784" s="442"/>
      <c r="C1784" s="49"/>
      <c r="D1784" s="2177"/>
      <c r="E1784" s="2177"/>
      <c r="F1784" s="2176" t="str">
        <f t="shared" ref="F1784:F1815" si="229">E773</f>
        <v>ASHP-SEER21-Replace_CAC_ElectricHeat_ER2_SF</v>
      </c>
      <c r="G1784" s="2176"/>
      <c r="H1784" s="2176"/>
      <c r="I1784" s="2176"/>
      <c r="J1784" s="986" t="str">
        <f t="shared" ref="J1784:J1815" si="230">C773</f>
        <v>353550_2024_12_</v>
      </c>
      <c r="K1784" s="1619">
        <v>12</v>
      </c>
      <c r="L1784" s="249"/>
      <c r="M1784" s="2222"/>
      <c r="P1784" s="248"/>
      <c r="Q1784" s="196"/>
      <c r="R1784" s="248"/>
      <c r="T1784" s="169"/>
      <c r="U1784" s="50"/>
      <c r="V1784" s="2177"/>
      <c r="W1784" s="250">
        <v>12</v>
      </c>
      <c r="X1784" s="250">
        <v>12</v>
      </c>
      <c r="Y1784" s="250">
        <v>12</v>
      </c>
      <c r="Z1784" s="250">
        <v>12</v>
      </c>
      <c r="AA1784" s="250">
        <v>12</v>
      </c>
      <c r="AB1784" s="250">
        <v>12</v>
      </c>
      <c r="AC1784" s="250">
        <v>12</v>
      </c>
      <c r="AD1784" s="250">
        <v>12</v>
      </c>
      <c r="AE1784" s="250">
        <v>12</v>
      </c>
      <c r="AF1784" s="258">
        <f t="shared" si="228"/>
        <v>12</v>
      </c>
      <c r="AG1784" s="250"/>
      <c r="DG1784" s="555"/>
      <c r="DH1784" s="151"/>
      <c r="DI1784" s="1049"/>
      <c r="DJ1784" s="1127"/>
    </row>
    <row r="1785" spans="1:114" ht="14.65" hidden="1" customHeight="1" outlineLevel="1" x14ac:dyDescent="0.25">
      <c r="A1785" s="442"/>
      <c r="C1785" s="49"/>
      <c r="D1785" s="2177"/>
      <c r="E1785" s="2177"/>
      <c r="F1785" s="2176" t="str">
        <f t="shared" si="229"/>
        <v>ASHP-SEER21-Replace_CAC_ElectricHeat_ER2_SF</v>
      </c>
      <c r="G1785" s="2176"/>
      <c r="H1785" s="2176"/>
      <c r="I1785" s="2176"/>
      <c r="J1785" s="986" t="str">
        <f t="shared" si="230"/>
        <v>353550_2024_12_</v>
      </c>
      <c r="K1785" s="1619">
        <v>12</v>
      </c>
      <c r="L1785" s="249"/>
      <c r="M1785" s="2222"/>
      <c r="P1785" s="248"/>
      <c r="Q1785" s="196"/>
      <c r="R1785" s="248"/>
      <c r="T1785" s="169"/>
      <c r="U1785" s="50"/>
      <c r="V1785" s="2177"/>
      <c r="W1785" s="250">
        <v>12</v>
      </c>
      <c r="X1785" s="250">
        <v>12</v>
      </c>
      <c r="Y1785" s="250">
        <v>12</v>
      </c>
      <c r="Z1785" s="250">
        <v>12</v>
      </c>
      <c r="AA1785" s="250">
        <v>12</v>
      </c>
      <c r="AB1785" s="250">
        <v>12</v>
      </c>
      <c r="AC1785" s="250">
        <v>12</v>
      </c>
      <c r="AD1785" s="250">
        <v>12</v>
      </c>
      <c r="AE1785" s="250">
        <v>12</v>
      </c>
      <c r="AF1785" s="258">
        <f t="shared" si="228"/>
        <v>12</v>
      </c>
      <c r="AG1785" s="250"/>
      <c r="DG1785" s="555"/>
      <c r="DH1785" s="151"/>
      <c r="DI1785" s="1049"/>
      <c r="DJ1785" s="1127"/>
    </row>
    <row r="1786" spans="1:114" ht="14.65" hidden="1" customHeight="1" outlineLevel="1" x14ac:dyDescent="0.25">
      <c r="A1786" s="442"/>
      <c r="C1786" s="49"/>
      <c r="D1786" s="2177"/>
      <c r="E1786" s="2177"/>
      <c r="F1786" s="2176" t="str">
        <f t="shared" si="229"/>
        <v>ASHP-SEER21-Replace_CAC_NonElectricHeat_ER1_SF</v>
      </c>
      <c r="G1786" s="2176"/>
      <c r="H1786" s="2176"/>
      <c r="I1786" s="2176"/>
      <c r="J1786" s="986" t="str">
        <f t="shared" si="230"/>
        <v>353560_2024_12_</v>
      </c>
      <c r="K1786" s="1619">
        <v>6</v>
      </c>
      <c r="L1786" s="249"/>
      <c r="M1786" s="2222"/>
      <c r="P1786" s="248"/>
      <c r="Q1786" s="196"/>
      <c r="R1786" s="248"/>
      <c r="T1786" s="169"/>
      <c r="U1786" s="50"/>
      <c r="V1786" s="2177"/>
      <c r="W1786" s="250"/>
      <c r="X1786" s="250"/>
      <c r="Y1786" s="250"/>
      <c r="Z1786" s="250"/>
      <c r="AA1786" s="250"/>
      <c r="AB1786" s="250"/>
      <c r="AC1786" s="987">
        <v>6</v>
      </c>
      <c r="AD1786" s="250">
        <v>6</v>
      </c>
      <c r="AE1786" s="250">
        <v>6</v>
      </c>
      <c r="AF1786" s="258">
        <f t="shared" si="228"/>
        <v>6</v>
      </c>
      <c r="AG1786" s="250"/>
      <c r="DG1786" s="555"/>
      <c r="DH1786" s="151"/>
      <c r="DI1786" s="1049"/>
      <c r="DJ1786" s="1127"/>
    </row>
    <row r="1787" spans="1:114" ht="14.65" hidden="1" customHeight="1" outlineLevel="1" x14ac:dyDescent="0.25">
      <c r="A1787" s="442"/>
      <c r="C1787" s="49"/>
      <c r="D1787" s="2177"/>
      <c r="E1787" s="2177"/>
      <c r="F1787" s="2176" t="str">
        <f t="shared" si="229"/>
        <v>ASHP-SEER21-Replace_CAC_NonElectricHeat_ER1_SF</v>
      </c>
      <c r="G1787" s="2176"/>
      <c r="H1787" s="2176"/>
      <c r="I1787" s="2176"/>
      <c r="J1787" s="986" t="str">
        <f t="shared" si="230"/>
        <v>353560_2024_12_</v>
      </c>
      <c r="K1787" s="1619">
        <v>6</v>
      </c>
      <c r="L1787" s="249"/>
      <c r="M1787" s="2222"/>
      <c r="P1787" s="248"/>
      <c r="Q1787" s="196"/>
      <c r="R1787" s="248"/>
      <c r="T1787" s="169"/>
      <c r="U1787" s="50"/>
      <c r="V1787" s="2177"/>
      <c r="W1787" s="250"/>
      <c r="X1787" s="250"/>
      <c r="Y1787" s="250"/>
      <c r="Z1787" s="250"/>
      <c r="AA1787" s="250"/>
      <c r="AB1787" s="250"/>
      <c r="AC1787" s="987">
        <v>6</v>
      </c>
      <c r="AD1787" s="250">
        <v>6</v>
      </c>
      <c r="AE1787" s="250">
        <v>6</v>
      </c>
      <c r="AF1787" s="258">
        <f t="shared" si="228"/>
        <v>6</v>
      </c>
      <c r="AG1787" s="250"/>
      <c r="DG1787" s="555"/>
      <c r="DH1787" s="151"/>
      <c r="DI1787" s="1049"/>
      <c r="DJ1787" s="1127"/>
    </row>
    <row r="1788" spans="1:114" ht="14.65" hidden="1" customHeight="1" outlineLevel="1" x14ac:dyDescent="0.25">
      <c r="A1788" s="442"/>
      <c r="C1788" s="49"/>
      <c r="D1788" s="2177"/>
      <c r="E1788" s="2177"/>
      <c r="F1788" s="2176" t="str">
        <f t="shared" si="229"/>
        <v>ASHP-SEER21-Replace_CAC_NonElectricHeat_ER2_SF</v>
      </c>
      <c r="G1788" s="2176"/>
      <c r="H1788" s="2176"/>
      <c r="I1788" s="2176"/>
      <c r="J1788" s="986" t="str">
        <f t="shared" si="230"/>
        <v>353560_2024_12_</v>
      </c>
      <c r="K1788" s="1619">
        <v>12</v>
      </c>
      <c r="L1788" s="249"/>
      <c r="M1788" s="2222"/>
      <c r="P1788" s="248"/>
      <c r="Q1788" s="196"/>
      <c r="R1788" s="248"/>
      <c r="T1788" s="169"/>
      <c r="U1788" s="50"/>
      <c r="V1788" s="2177"/>
      <c r="W1788" s="250"/>
      <c r="X1788" s="250"/>
      <c r="Y1788" s="250"/>
      <c r="Z1788" s="250"/>
      <c r="AA1788" s="250"/>
      <c r="AB1788" s="250"/>
      <c r="AC1788" s="987">
        <v>12</v>
      </c>
      <c r="AD1788" s="250">
        <v>12</v>
      </c>
      <c r="AE1788" s="250">
        <v>12</v>
      </c>
      <c r="AF1788" s="258">
        <f t="shared" si="228"/>
        <v>12</v>
      </c>
      <c r="AG1788" s="250"/>
      <c r="DG1788" s="555"/>
      <c r="DH1788" s="151"/>
      <c r="DI1788" s="1049"/>
      <c r="DJ1788" s="1127"/>
    </row>
    <row r="1789" spans="1:114" ht="14.65" hidden="1" customHeight="1" outlineLevel="1" x14ac:dyDescent="0.25">
      <c r="A1789" s="442"/>
      <c r="C1789" s="49"/>
      <c r="D1789" s="2177"/>
      <c r="E1789" s="2177"/>
      <c r="F1789" s="2176" t="str">
        <f t="shared" si="229"/>
        <v>ASHP-SEER21-Replace_CAC_NonElectricHeat_ER2_SF</v>
      </c>
      <c r="G1789" s="2176"/>
      <c r="H1789" s="2176"/>
      <c r="I1789" s="2176"/>
      <c r="J1789" s="986" t="str">
        <f t="shared" si="230"/>
        <v>353560_2024_12_</v>
      </c>
      <c r="K1789" s="1619">
        <v>12</v>
      </c>
      <c r="L1789" s="249"/>
      <c r="M1789" s="2222"/>
      <c r="P1789" s="248"/>
      <c r="Q1789" s="196"/>
      <c r="R1789" s="248"/>
      <c r="T1789" s="169"/>
      <c r="U1789" s="50"/>
      <c r="V1789" s="2177"/>
      <c r="W1789" s="250"/>
      <c r="X1789" s="250"/>
      <c r="Y1789" s="250"/>
      <c r="Z1789" s="250"/>
      <c r="AA1789" s="250"/>
      <c r="AB1789" s="250"/>
      <c r="AC1789" s="987">
        <v>12</v>
      </c>
      <c r="AD1789" s="250">
        <v>12</v>
      </c>
      <c r="AE1789" s="250">
        <v>12</v>
      </c>
      <c r="AF1789" s="258">
        <f t="shared" si="228"/>
        <v>12</v>
      </c>
      <c r="AG1789" s="250"/>
      <c r="DG1789" s="555"/>
      <c r="DH1789" s="151"/>
      <c r="DI1789" s="1049"/>
      <c r="DJ1789" s="1127"/>
    </row>
    <row r="1790" spans="1:114" ht="14.65" hidden="1" customHeight="1" outlineLevel="1" x14ac:dyDescent="0.25">
      <c r="A1790" s="442"/>
      <c r="C1790" s="49"/>
      <c r="D1790" s="2177"/>
      <c r="E1790" s="2177"/>
      <c r="F1790" s="2176" t="str">
        <f t="shared" si="229"/>
        <v>ASHP-SEER21-Replace_CAC_ElectricHeat_ER1_MF</v>
      </c>
      <c r="G1790" s="2176"/>
      <c r="H1790" s="2176"/>
      <c r="I1790" s="2176"/>
      <c r="J1790" s="986" t="str">
        <f t="shared" si="230"/>
        <v>353600_2024_12_</v>
      </c>
      <c r="K1790" s="1619">
        <v>6</v>
      </c>
      <c r="L1790" s="249"/>
      <c r="M1790" s="2222"/>
      <c r="P1790" s="248"/>
      <c r="Q1790" s="196"/>
      <c r="R1790" s="248"/>
      <c r="T1790" s="169"/>
      <c r="U1790" s="50"/>
      <c r="V1790" s="2177"/>
      <c r="W1790" s="250">
        <v>6</v>
      </c>
      <c r="X1790" s="250">
        <v>6</v>
      </c>
      <c r="Y1790" s="250">
        <v>6</v>
      </c>
      <c r="Z1790" s="250">
        <v>6</v>
      </c>
      <c r="AA1790" s="250">
        <v>6</v>
      </c>
      <c r="AB1790" s="250">
        <v>6</v>
      </c>
      <c r="AC1790" s="250">
        <v>6</v>
      </c>
      <c r="AD1790" s="250">
        <v>6</v>
      </c>
      <c r="AE1790" s="250">
        <v>6</v>
      </c>
      <c r="AF1790" s="258">
        <f t="shared" si="228"/>
        <v>6</v>
      </c>
      <c r="AG1790" s="250"/>
      <c r="DG1790" s="555"/>
      <c r="DH1790" s="151"/>
      <c r="DI1790" s="1049"/>
      <c r="DJ1790" s="1127"/>
    </row>
    <row r="1791" spans="1:114" ht="14.65" hidden="1" customHeight="1" outlineLevel="1" x14ac:dyDescent="0.25">
      <c r="A1791" s="442"/>
      <c r="C1791" s="49"/>
      <c r="D1791" s="2177"/>
      <c r="E1791" s="2177"/>
      <c r="F1791" s="2176" t="str">
        <f t="shared" si="229"/>
        <v>ASHP-SEER21-Replace_CAC_ElectricHeat_ER1_MF</v>
      </c>
      <c r="G1791" s="2176"/>
      <c r="H1791" s="2176"/>
      <c r="I1791" s="2176"/>
      <c r="J1791" s="986" t="str">
        <f t="shared" si="230"/>
        <v>353600_2024_12_</v>
      </c>
      <c r="K1791" s="1619">
        <v>6</v>
      </c>
      <c r="L1791" s="249"/>
      <c r="M1791" s="2222"/>
      <c r="P1791" s="248"/>
      <c r="Q1791" s="196"/>
      <c r="R1791" s="248"/>
      <c r="T1791" s="169"/>
      <c r="U1791" s="50"/>
      <c r="V1791" s="2177"/>
      <c r="W1791" s="250">
        <v>6</v>
      </c>
      <c r="X1791" s="250">
        <v>6</v>
      </c>
      <c r="Y1791" s="250">
        <v>6</v>
      </c>
      <c r="Z1791" s="250">
        <v>6</v>
      </c>
      <c r="AA1791" s="250">
        <v>6</v>
      </c>
      <c r="AB1791" s="250">
        <v>6</v>
      </c>
      <c r="AC1791" s="250">
        <v>6</v>
      </c>
      <c r="AD1791" s="250">
        <v>6</v>
      </c>
      <c r="AE1791" s="250">
        <v>6</v>
      </c>
      <c r="AF1791" s="258">
        <f t="shared" si="228"/>
        <v>6</v>
      </c>
      <c r="AG1791" s="250"/>
      <c r="DG1791" s="555"/>
      <c r="DH1791" s="151"/>
      <c r="DI1791" s="1049"/>
      <c r="DJ1791" s="1127"/>
    </row>
    <row r="1792" spans="1:114" ht="14.65" hidden="1" customHeight="1" outlineLevel="1" x14ac:dyDescent="0.25">
      <c r="A1792" s="442"/>
      <c r="C1792" s="49"/>
      <c r="D1792" s="2177"/>
      <c r="E1792" s="2177"/>
      <c r="F1792" s="2176" t="str">
        <f t="shared" si="229"/>
        <v>ASHP-SEER21-Replace_CAC_ElectricHeat_ER2_MF</v>
      </c>
      <c r="G1792" s="2176"/>
      <c r="H1792" s="2176"/>
      <c r="I1792" s="2176"/>
      <c r="J1792" s="986" t="str">
        <f t="shared" si="230"/>
        <v>353600_2024_12_</v>
      </c>
      <c r="K1792" s="1619">
        <v>12</v>
      </c>
      <c r="L1792" s="249"/>
      <c r="M1792" s="2222"/>
      <c r="P1792" s="248"/>
      <c r="Q1792" s="196"/>
      <c r="R1792" s="248"/>
      <c r="T1792" s="169"/>
      <c r="U1792" s="50"/>
      <c r="V1792" s="2177"/>
      <c r="W1792" s="250">
        <v>12</v>
      </c>
      <c r="X1792" s="250">
        <v>12</v>
      </c>
      <c r="Y1792" s="250">
        <v>12</v>
      </c>
      <c r="Z1792" s="250">
        <v>12</v>
      </c>
      <c r="AA1792" s="250">
        <v>12</v>
      </c>
      <c r="AB1792" s="250">
        <v>12</v>
      </c>
      <c r="AC1792" s="250">
        <v>12</v>
      </c>
      <c r="AD1792" s="250">
        <v>12</v>
      </c>
      <c r="AE1792" s="250">
        <v>12</v>
      </c>
      <c r="AF1792" s="258">
        <f t="shared" si="228"/>
        <v>12</v>
      </c>
      <c r="AG1792" s="250"/>
      <c r="DG1792" s="555"/>
      <c r="DH1792" s="151"/>
      <c r="DI1792" s="1049"/>
      <c r="DJ1792" s="1127"/>
    </row>
    <row r="1793" spans="1:114" ht="14.65" hidden="1" customHeight="1" outlineLevel="1" x14ac:dyDescent="0.25">
      <c r="A1793" s="442"/>
      <c r="C1793" s="49"/>
      <c r="D1793" s="2177"/>
      <c r="E1793" s="2177"/>
      <c r="F1793" s="2176" t="str">
        <f t="shared" si="229"/>
        <v>ASHP-SEER21-Replace_CAC_ElectricHeat_ER2_MF</v>
      </c>
      <c r="G1793" s="2176"/>
      <c r="H1793" s="2176"/>
      <c r="I1793" s="2176"/>
      <c r="J1793" s="986" t="str">
        <f t="shared" si="230"/>
        <v>353600_2024_12_</v>
      </c>
      <c r="K1793" s="1619">
        <v>12</v>
      </c>
      <c r="L1793" s="249"/>
      <c r="M1793" s="2222"/>
      <c r="P1793" s="248"/>
      <c r="Q1793" s="196"/>
      <c r="R1793" s="248"/>
      <c r="T1793" s="169"/>
      <c r="U1793" s="50"/>
      <c r="V1793" s="2177"/>
      <c r="W1793" s="250">
        <v>12</v>
      </c>
      <c r="X1793" s="250">
        <v>12</v>
      </c>
      <c r="Y1793" s="250">
        <v>12</v>
      </c>
      <c r="Z1793" s="250">
        <v>12</v>
      </c>
      <c r="AA1793" s="250">
        <v>12</v>
      </c>
      <c r="AB1793" s="250">
        <v>12</v>
      </c>
      <c r="AC1793" s="250">
        <v>12</v>
      </c>
      <c r="AD1793" s="250">
        <v>12</v>
      </c>
      <c r="AE1793" s="250">
        <v>12</v>
      </c>
      <c r="AF1793" s="258">
        <f t="shared" si="228"/>
        <v>12</v>
      </c>
      <c r="AG1793" s="250"/>
      <c r="DG1793" s="555"/>
      <c r="DH1793" s="151"/>
      <c r="DI1793" s="1049"/>
      <c r="DJ1793" s="1127"/>
    </row>
    <row r="1794" spans="1:114" ht="14.65" hidden="1" customHeight="1" outlineLevel="1" x14ac:dyDescent="0.25">
      <c r="A1794" s="442"/>
      <c r="C1794" s="49"/>
      <c r="D1794" s="2177"/>
      <c r="E1794" s="2177"/>
      <c r="F1794" s="2176" t="str">
        <f t="shared" si="229"/>
        <v>ASHP-SEER21-Replace_CAC_ElectricHeat_ROF_SF</v>
      </c>
      <c r="G1794" s="2176"/>
      <c r="H1794" s="2176"/>
      <c r="I1794" s="2176"/>
      <c r="J1794" s="986" t="str">
        <f t="shared" si="230"/>
        <v>353650_2024_12_</v>
      </c>
      <c r="K1794" s="1619">
        <v>18</v>
      </c>
      <c r="L1794" s="249"/>
      <c r="M1794" s="2222"/>
      <c r="P1794" s="248"/>
      <c r="Q1794" s="196"/>
      <c r="R1794" s="248"/>
      <c r="T1794" s="169"/>
      <c r="U1794" s="50"/>
      <c r="V1794" s="2177"/>
      <c r="W1794" s="250">
        <v>18</v>
      </c>
      <c r="X1794" s="250">
        <v>18</v>
      </c>
      <c r="Y1794" s="250">
        <v>18</v>
      </c>
      <c r="Z1794" s="250">
        <v>18</v>
      </c>
      <c r="AA1794" s="250">
        <v>18</v>
      </c>
      <c r="AB1794" s="250">
        <v>18</v>
      </c>
      <c r="AC1794" s="250">
        <v>18</v>
      </c>
      <c r="AD1794" s="250">
        <v>18</v>
      </c>
      <c r="AE1794" s="250">
        <v>18</v>
      </c>
      <c r="AF1794" s="258">
        <f t="shared" ref="AF1794:AF1831" si="231">IF(K1794&lt;&gt;"",K1794,"")</f>
        <v>18</v>
      </c>
      <c r="AG1794" s="250"/>
      <c r="DG1794" s="555"/>
      <c r="DH1794" s="151"/>
      <c r="DI1794" s="1049"/>
      <c r="DJ1794" s="1127"/>
    </row>
    <row r="1795" spans="1:114" ht="14.65" hidden="1" customHeight="1" outlineLevel="1" x14ac:dyDescent="0.25">
      <c r="A1795" s="442"/>
      <c r="C1795" s="49"/>
      <c r="D1795" s="2177"/>
      <c r="E1795" s="2177"/>
      <c r="F1795" s="2176" t="str">
        <f t="shared" si="229"/>
        <v>ASHP-SEER21-Replace_CAC_ElectricHeat_ROF_SF</v>
      </c>
      <c r="G1795" s="2176"/>
      <c r="H1795" s="2176"/>
      <c r="I1795" s="2176"/>
      <c r="J1795" s="986" t="str">
        <f t="shared" si="230"/>
        <v>353650_2024_12_</v>
      </c>
      <c r="K1795" s="1619">
        <v>18</v>
      </c>
      <c r="L1795" s="249"/>
      <c r="M1795" s="2222"/>
      <c r="P1795" s="248"/>
      <c r="Q1795" s="196"/>
      <c r="R1795" s="248"/>
      <c r="T1795" s="169"/>
      <c r="U1795" s="50"/>
      <c r="V1795" s="2177"/>
      <c r="W1795" s="250">
        <v>18</v>
      </c>
      <c r="X1795" s="250">
        <v>18</v>
      </c>
      <c r="Y1795" s="250">
        <v>18</v>
      </c>
      <c r="Z1795" s="250">
        <v>18</v>
      </c>
      <c r="AA1795" s="250">
        <v>18</v>
      </c>
      <c r="AB1795" s="250">
        <v>18</v>
      </c>
      <c r="AC1795" s="250">
        <v>18</v>
      </c>
      <c r="AD1795" s="250">
        <v>18</v>
      </c>
      <c r="AE1795" s="250">
        <v>18</v>
      </c>
      <c r="AF1795" s="258">
        <f t="shared" si="231"/>
        <v>18</v>
      </c>
      <c r="AG1795" s="250"/>
      <c r="DG1795" s="555"/>
      <c r="DH1795" s="151"/>
      <c r="DI1795" s="1049"/>
      <c r="DJ1795" s="1127"/>
    </row>
    <row r="1796" spans="1:114" ht="14.65" hidden="1" customHeight="1" outlineLevel="1" x14ac:dyDescent="0.25">
      <c r="A1796" s="442"/>
      <c r="C1796" s="49"/>
      <c r="D1796" s="2177"/>
      <c r="E1796" s="2177"/>
      <c r="F1796" s="2176" t="str">
        <f t="shared" si="229"/>
        <v>ASHP-SEER21-Replace_CAC_NonElectricHeat_ROF_SF</v>
      </c>
      <c r="G1796" s="2176"/>
      <c r="H1796" s="2176"/>
      <c r="I1796" s="2176"/>
      <c r="J1796" s="986" t="str">
        <f t="shared" si="230"/>
        <v>353660_2024_12_</v>
      </c>
      <c r="K1796" s="1619">
        <v>18</v>
      </c>
      <c r="L1796" s="249"/>
      <c r="M1796" s="2222"/>
      <c r="P1796" s="248"/>
      <c r="Q1796" s="196"/>
      <c r="R1796" s="248"/>
      <c r="T1796" s="169"/>
      <c r="U1796" s="50"/>
      <c r="V1796" s="2177"/>
      <c r="W1796" s="250"/>
      <c r="X1796" s="250"/>
      <c r="Y1796" s="250"/>
      <c r="Z1796" s="250"/>
      <c r="AA1796" s="250"/>
      <c r="AB1796" s="250"/>
      <c r="AC1796" s="250"/>
      <c r="AD1796" s="987">
        <v>18</v>
      </c>
      <c r="AE1796" s="250">
        <v>18</v>
      </c>
      <c r="AF1796" s="258">
        <f t="shared" si="231"/>
        <v>18</v>
      </c>
      <c r="AG1796" s="250"/>
      <c r="DG1796" s="555"/>
      <c r="DH1796" s="151"/>
      <c r="DI1796" s="1049"/>
      <c r="DJ1796" s="1127"/>
    </row>
    <row r="1797" spans="1:114" ht="14.65" hidden="1" customHeight="1" outlineLevel="1" x14ac:dyDescent="0.25">
      <c r="A1797" s="442"/>
      <c r="C1797" s="49"/>
      <c r="D1797" s="2177"/>
      <c r="E1797" s="2177"/>
      <c r="F1797" s="2176" t="str">
        <f t="shared" si="229"/>
        <v>ASHP-SEER21-Replace_CAC_NonElectricHeat_ROF_SF</v>
      </c>
      <c r="G1797" s="2176"/>
      <c r="H1797" s="2176"/>
      <c r="I1797" s="2176"/>
      <c r="J1797" s="986" t="str">
        <f t="shared" si="230"/>
        <v>353660_2024_12_</v>
      </c>
      <c r="K1797" s="1619">
        <v>18</v>
      </c>
      <c r="L1797" s="249"/>
      <c r="M1797" s="2222"/>
      <c r="P1797" s="248"/>
      <c r="Q1797" s="196"/>
      <c r="R1797" s="248"/>
      <c r="T1797" s="169"/>
      <c r="U1797" s="50"/>
      <c r="V1797" s="2177"/>
      <c r="W1797" s="250"/>
      <c r="X1797" s="250"/>
      <c r="Y1797" s="250"/>
      <c r="Z1797" s="250"/>
      <c r="AA1797" s="250"/>
      <c r="AB1797" s="250"/>
      <c r="AC1797" s="250"/>
      <c r="AD1797" s="987">
        <v>18</v>
      </c>
      <c r="AE1797" s="250">
        <v>18</v>
      </c>
      <c r="AF1797" s="258">
        <f t="shared" si="231"/>
        <v>18</v>
      </c>
      <c r="AG1797" s="250"/>
      <c r="DG1797" s="555"/>
      <c r="DH1797" s="151"/>
      <c r="DI1797" s="1049"/>
      <c r="DJ1797" s="1127"/>
    </row>
    <row r="1798" spans="1:114" ht="14.65" hidden="1" customHeight="1" outlineLevel="1" x14ac:dyDescent="0.25">
      <c r="A1798" s="442"/>
      <c r="C1798" s="49"/>
      <c r="D1798" s="2177"/>
      <c r="E1798" s="2177"/>
      <c r="F1798" s="2176" t="str">
        <f t="shared" si="229"/>
        <v>ASHP-SEER17_ER1_SF</v>
      </c>
      <c r="G1798" s="2176"/>
      <c r="H1798" s="2176"/>
      <c r="I1798" s="2176"/>
      <c r="J1798" s="986" t="str">
        <f t="shared" si="230"/>
        <v>353750_2024_12_</v>
      </c>
      <c r="K1798" s="1619">
        <v>6</v>
      </c>
      <c r="L1798" s="249"/>
      <c r="M1798" s="2222"/>
      <c r="P1798" s="248"/>
      <c r="Q1798" s="196"/>
      <c r="R1798" s="248"/>
      <c r="T1798" s="169"/>
      <c r="U1798" s="50"/>
      <c r="V1798" s="2177"/>
      <c r="W1798" s="250">
        <v>6</v>
      </c>
      <c r="X1798" s="250">
        <v>6</v>
      </c>
      <c r="Y1798" s="250">
        <v>6</v>
      </c>
      <c r="Z1798" s="250">
        <v>6</v>
      </c>
      <c r="AA1798" s="250">
        <v>6</v>
      </c>
      <c r="AB1798" s="250">
        <v>6</v>
      </c>
      <c r="AC1798" s="250">
        <v>6</v>
      </c>
      <c r="AD1798" s="250">
        <v>6</v>
      </c>
      <c r="AE1798" s="250">
        <v>6</v>
      </c>
      <c r="AF1798" s="258">
        <f t="shared" si="231"/>
        <v>6</v>
      </c>
      <c r="AG1798" s="250"/>
      <c r="DG1798" s="555"/>
      <c r="DH1798" s="151"/>
      <c r="DI1798" s="1049"/>
      <c r="DJ1798" s="1127"/>
    </row>
    <row r="1799" spans="1:114" ht="15" hidden="1" customHeight="1" outlineLevel="1" x14ac:dyDescent="0.25">
      <c r="A1799" s="442"/>
      <c r="C1799" s="49"/>
      <c r="D1799" s="2177"/>
      <c r="E1799" s="2177"/>
      <c r="F1799" s="2176" t="str">
        <f t="shared" si="229"/>
        <v>ASHP-SEER17_ER1_SF</v>
      </c>
      <c r="G1799" s="2176"/>
      <c r="H1799" s="2176"/>
      <c r="I1799" s="2176"/>
      <c r="J1799" s="986" t="str">
        <f t="shared" si="230"/>
        <v>353750_2024_12_</v>
      </c>
      <c r="K1799" s="1619">
        <v>6</v>
      </c>
      <c r="L1799" s="249"/>
      <c r="M1799" s="2222"/>
      <c r="P1799" s="248"/>
      <c r="Q1799" s="196"/>
      <c r="R1799" s="248"/>
      <c r="T1799" s="169"/>
      <c r="U1799" s="50"/>
      <c r="V1799" s="2177"/>
      <c r="W1799" s="250">
        <v>6</v>
      </c>
      <c r="X1799" s="250">
        <v>6</v>
      </c>
      <c r="Y1799" s="250">
        <v>6</v>
      </c>
      <c r="Z1799" s="250">
        <v>6</v>
      </c>
      <c r="AA1799" s="250">
        <v>6</v>
      </c>
      <c r="AB1799" s="250">
        <v>6</v>
      </c>
      <c r="AC1799" s="250">
        <v>6</v>
      </c>
      <c r="AD1799" s="250">
        <v>6</v>
      </c>
      <c r="AE1799" s="250">
        <v>6</v>
      </c>
      <c r="AF1799" s="258">
        <f t="shared" si="231"/>
        <v>6</v>
      </c>
      <c r="AG1799" s="250"/>
      <c r="DG1799" s="555"/>
      <c r="DH1799" s="151"/>
      <c r="DI1799" s="1049"/>
      <c r="DJ1799" s="1127"/>
    </row>
    <row r="1800" spans="1:114" ht="15" hidden="1" customHeight="1" outlineLevel="1" x14ac:dyDescent="0.25">
      <c r="A1800" s="442"/>
      <c r="C1800" s="49"/>
      <c r="D1800" s="2177"/>
      <c r="E1800" s="2177"/>
      <c r="F1800" s="2176" t="str">
        <f t="shared" si="229"/>
        <v>ASHP-SEER17_ER2_SF</v>
      </c>
      <c r="G1800" s="2176"/>
      <c r="H1800" s="2176"/>
      <c r="I1800" s="2176"/>
      <c r="J1800" s="986" t="str">
        <f t="shared" si="230"/>
        <v>353750_2024_12_</v>
      </c>
      <c r="K1800" s="1619">
        <v>12</v>
      </c>
      <c r="L1800" s="249"/>
      <c r="M1800" s="2222"/>
      <c r="P1800" s="248"/>
      <c r="Q1800" s="196"/>
      <c r="R1800" s="248"/>
      <c r="T1800" s="169"/>
      <c r="U1800" s="50"/>
      <c r="V1800" s="2177"/>
      <c r="W1800" s="250">
        <v>12</v>
      </c>
      <c r="X1800" s="250">
        <v>12</v>
      </c>
      <c r="Y1800" s="250">
        <v>12</v>
      </c>
      <c r="Z1800" s="250">
        <v>12</v>
      </c>
      <c r="AA1800" s="250">
        <v>12</v>
      </c>
      <c r="AB1800" s="250">
        <v>12</v>
      </c>
      <c r="AC1800" s="250">
        <v>12</v>
      </c>
      <c r="AD1800" s="250">
        <v>12</v>
      </c>
      <c r="AE1800" s="250">
        <v>12</v>
      </c>
      <c r="AF1800" s="258">
        <f t="shared" si="231"/>
        <v>12</v>
      </c>
      <c r="AG1800" s="250"/>
      <c r="DG1800" s="555"/>
      <c r="DH1800" s="151"/>
      <c r="DI1800" s="1049"/>
      <c r="DJ1800" s="1127"/>
    </row>
    <row r="1801" spans="1:114" ht="15" hidden="1" customHeight="1" outlineLevel="1" x14ac:dyDescent="0.25">
      <c r="A1801" s="442"/>
      <c r="C1801" s="49"/>
      <c r="D1801" s="2177"/>
      <c r="E1801" s="2177"/>
      <c r="F1801" s="2176" t="str">
        <f t="shared" si="229"/>
        <v>ASHP-SEER17_ER2_SF</v>
      </c>
      <c r="G1801" s="2176"/>
      <c r="H1801" s="2176"/>
      <c r="I1801" s="2176"/>
      <c r="J1801" s="986" t="str">
        <f t="shared" si="230"/>
        <v>353750_2024_12_</v>
      </c>
      <c r="K1801" s="1619">
        <v>12</v>
      </c>
      <c r="L1801" s="249"/>
      <c r="M1801" s="2222"/>
      <c r="P1801" s="248"/>
      <c r="Q1801" s="196"/>
      <c r="R1801" s="248"/>
      <c r="T1801" s="169"/>
      <c r="U1801" s="50"/>
      <c r="V1801" s="2177"/>
      <c r="W1801" s="250">
        <v>12</v>
      </c>
      <c r="X1801" s="250">
        <v>12</v>
      </c>
      <c r="Y1801" s="250">
        <v>12</v>
      </c>
      <c r="Z1801" s="250">
        <v>12</v>
      </c>
      <c r="AA1801" s="250">
        <v>12</v>
      </c>
      <c r="AB1801" s="250">
        <v>12</v>
      </c>
      <c r="AC1801" s="250">
        <v>12</v>
      </c>
      <c r="AD1801" s="250">
        <v>12</v>
      </c>
      <c r="AE1801" s="250">
        <v>12</v>
      </c>
      <c r="AF1801" s="258">
        <f t="shared" si="231"/>
        <v>12</v>
      </c>
      <c r="AG1801" s="250"/>
      <c r="DG1801" s="555"/>
      <c r="DH1801" s="151"/>
      <c r="DI1801" s="1049"/>
      <c r="DJ1801" s="1127"/>
    </row>
    <row r="1802" spans="1:114" ht="15" hidden="1" customHeight="1" outlineLevel="1" x14ac:dyDescent="0.25">
      <c r="A1802" s="442"/>
      <c r="C1802" s="49"/>
      <c r="D1802" s="2177"/>
      <c r="E1802" s="2177"/>
      <c r="F1802" s="2176" t="str">
        <f t="shared" si="229"/>
        <v>ASHP-SEER17_ROF_SF</v>
      </c>
      <c r="G1802" s="2176"/>
      <c r="H1802" s="2176"/>
      <c r="I1802" s="2176"/>
      <c r="J1802" s="986" t="str">
        <f t="shared" si="230"/>
        <v>353800_2024_12_</v>
      </c>
      <c r="K1802" s="1619">
        <v>18</v>
      </c>
      <c r="L1802" s="249"/>
      <c r="M1802" s="2222"/>
      <c r="P1802" s="248"/>
      <c r="Q1802" s="196"/>
      <c r="R1802" s="248"/>
      <c r="T1802" s="169"/>
      <c r="U1802" s="50"/>
      <c r="V1802" s="2177"/>
      <c r="W1802" s="250">
        <v>18</v>
      </c>
      <c r="X1802" s="250">
        <v>18</v>
      </c>
      <c r="Y1802" s="250">
        <v>18</v>
      </c>
      <c r="Z1802" s="250">
        <v>18</v>
      </c>
      <c r="AA1802" s="250">
        <v>18</v>
      </c>
      <c r="AB1802" s="250">
        <v>18</v>
      </c>
      <c r="AC1802" s="250">
        <v>18</v>
      </c>
      <c r="AD1802" s="250">
        <v>18</v>
      </c>
      <c r="AE1802" s="250">
        <v>18</v>
      </c>
      <c r="AF1802" s="258">
        <f t="shared" si="231"/>
        <v>18</v>
      </c>
      <c r="AG1802" s="250"/>
      <c r="DG1802" s="555"/>
      <c r="DH1802" s="151"/>
      <c r="DI1802" s="1049"/>
      <c r="DJ1802" s="1127"/>
    </row>
    <row r="1803" spans="1:114" ht="15" hidden="1" customHeight="1" outlineLevel="1" x14ac:dyDescent="0.25">
      <c r="A1803" s="442"/>
      <c r="C1803" s="49"/>
      <c r="D1803" s="2177"/>
      <c r="E1803" s="2177"/>
      <c r="F1803" s="2176" t="str">
        <f t="shared" si="229"/>
        <v>ASHP-SEER17_ROF_SF</v>
      </c>
      <c r="G1803" s="2176"/>
      <c r="H1803" s="2176"/>
      <c r="I1803" s="2176"/>
      <c r="J1803" s="986" t="str">
        <f t="shared" si="230"/>
        <v>353800_2024_12_</v>
      </c>
      <c r="K1803" s="1619">
        <v>18</v>
      </c>
      <c r="L1803" s="12"/>
      <c r="M1803" s="2222"/>
      <c r="P1803" s="248"/>
      <c r="Q1803" s="248"/>
      <c r="R1803" s="248"/>
      <c r="T1803" s="169"/>
      <c r="U1803" s="50"/>
      <c r="V1803" s="2177"/>
      <c r="W1803" s="250">
        <v>18</v>
      </c>
      <c r="X1803" s="250">
        <v>18</v>
      </c>
      <c r="Y1803" s="250">
        <v>18</v>
      </c>
      <c r="Z1803" s="250">
        <v>18</v>
      </c>
      <c r="AA1803" s="250">
        <v>18</v>
      </c>
      <c r="AB1803" s="250">
        <v>18</v>
      </c>
      <c r="AC1803" s="250">
        <v>18</v>
      </c>
      <c r="AD1803" s="250">
        <v>18</v>
      </c>
      <c r="AE1803" s="250">
        <v>18</v>
      </c>
      <c r="AF1803" s="258">
        <f t="shared" si="231"/>
        <v>18</v>
      </c>
      <c r="AG1803" s="250"/>
      <c r="DG1803" s="555"/>
      <c r="DH1803" s="151"/>
      <c r="DI1803" s="1049"/>
      <c r="DJ1803" s="1127"/>
    </row>
    <row r="1804" spans="1:114" ht="15" hidden="1" customHeight="1" outlineLevel="1" x14ac:dyDescent="0.25">
      <c r="A1804" s="442"/>
      <c r="C1804" s="49"/>
      <c r="D1804" s="2177"/>
      <c r="E1804" s="2177"/>
      <c r="F1804" s="2176" t="str">
        <f t="shared" si="229"/>
        <v>ASHP-SEER18_ER1_SF</v>
      </c>
      <c r="G1804" s="2176"/>
      <c r="H1804" s="2176"/>
      <c r="I1804" s="2176"/>
      <c r="J1804" s="986" t="str">
        <f t="shared" si="230"/>
        <v>353850_2024_12_</v>
      </c>
      <c r="K1804" s="1619">
        <v>6</v>
      </c>
      <c r="L1804" s="12"/>
      <c r="M1804" s="2222"/>
      <c r="P1804" s="248"/>
      <c r="Q1804" s="248"/>
      <c r="R1804" s="248"/>
      <c r="T1804" s="169"/>
      <c r="U1804" s="50"/>
      <c r="V1804" s="2177"/>
      <c r="W1804" s="250">
        <v>6</v>
      </c>
      <c r="X1804" s="250">
        <v>6</v>
      </c>
      <c r="Y1804" s="250">
        <v>6</v>
      </c>
      <c r="Z1804" s="250">
        <v>6</v>
      </c>
      <c r="AA1804" s="250">
        <v>6</v>
      </c>
      <c r="AB1804" s="250">
        <v>6</v>
      </c>
      <c r="AC1804" s="250">
        <v>6</v>
      </c>
      <c r="AD1804" s="250">
        <v>6</v>
      </c>
      <c r="AE1804" s="250">
        <v>6</v>
      </c>
      <c r="AF1804" s="258">
        <f t="shared" si="231"/>
        <v>6</v>
      </c>
      <c r="AG1804" s="250"/>
      <c r="DG1804" s="555"/>
      <c r="DH1804" s="151"/>
      <c r="DI1804" s="1049"/>
      <c r="DJ1804" s="1127"/>
    </row>
    <row r="1805" spans="1:114" ht="15" hidden="1" customHeight="1" outlineLevel="1" x14ac:dyDescent="0.25">
      <c r="A1805" s="442"/>
      <c r="C1805" s="49"/>
      <c r="D1805" s="2177"/>
      <c r="E1805" s="2177"/>
      <c r="F1805" s="2176" t="str">
        <f t="shared" si="229"/>
        <v>ASHP-SEER18_ER1_SF</v>
      </c>
      <c r="G1805" s="2176"/>
      <c r="H1805" s="2176"/>
      <c r="I1805" s="2176"/>
      <c r="J1805" s="986" t="str">
        <f t="shared" si="230"/>
        <v>353850_2024_12_</v>
      </c>
      <c r="K1805" s="1619">
        <v>6</v>
      </c>
      <c r="L1805" s="12"/>
      <c r="M1805" s="2222"/>
      <c r="P1805" s="248"/>
      <c r="Q1805" s="248"/>
      <c r="R1805" s="248"/>
      <c r="T1805" s="169"/>
      <c r="U1805" s="50"/>
      <c r="V1805" s="2177"/>
      <c r="W1805" s="250">
        <v>6</v>
      </c>
      <c r="X1805" s="250">
        <v>6</v>
      </c>
      <c r="Y1805" s="250">
        <v>6</v>
      </c>
      <c r="Z1805" s="250">
        <v>6</v>
      </c>
      <c r="AA1805" s="250">
        <v>6</v>
      </c>
      <c r="AB1805" s="250">
        <v>6</v>
      </c>
      <c r="AC1805" s="250">
        <v>6</v>
      </c>
      <c r="AD1805" s="250">
        <v>6</v>
      </c>
      <c r="AE1805" s="250">
        <v>6</v>
      </c>
      <c r="AF1805" s="258">
        <f t="shared" si="231"/>
        <v>6</v>
      </c>
      <c r="AG1805" s="250"/>
      <c r="DG1805" s="555"/>
      <c r="DH1805" s="151"/>
      <c r="DI1805" s="1049"/>
      <c r="DJ1805" s="1127"/>
    </row>
    <row r="1806" spans="1:114" ht="15" hidden="1" customHeight="1" outlineLevel="1" x14ac:dyDescent="0.25">
      <c r="A1806" s="442"/>
      <c r="C1806" s="49"/>
      <c r="D1806" s="2177"/>
      <c r="E1806" s="2177"/>
      <c r="F1806" s="2176" t="str">
        <f t="shared" si="229"/>
        <v>ASHP-SEER18_ER2_SF</v>
      </c>
      <c r="G1806" s="2176"/>
      <c r="H1806" s="2176"/>
      <c r="I1806" s="2176"/>
      <c r="J1806" s="986" t="str">
        <f t="shared" si="230"/>
        <v>353850_2024_12_</v>
      </c>
      <c r="K1806" s="1619">
        <v>12</v>
      </c>
      <c r="L1806" s="12"/>
      <c r="M1806" s="2222"/>
      <c r="P1806" s="248"/>
      <c r="Q1806" s="248"/>
      <c r="R1806" s="248"/>
      <c r="T1806" s="169"/>
      <c r="U1806" s="50"/>
      <c r="V1806" s="2177"/>
      <c r="W1806" s="250">
        <v>12</v>
      </c>
      <c r="X1806" s="250">
        <v>12</v>
      </c>
      <c r="Y1806" s="250">
        <v>12</v>
      </c>
      <c r="Z1806" s="250">
        <v>12</v>
      </c>
      <c r="AA1806" s="250">
        <v>12</v>
      </c>
      <c r="AB1806" s="250">
        <v>12</v>
      </c>
      <c r="AC1806" s="250">
        <v>12</v>
      </c>
      <c r="AD1806" s="250">
        <v>12</v>
      </c>
      <c r="AE1806" s="250">
        <v>12</v>
      </c>
      <c r="AF1806" s="258">
        <f t="shared" si="231"/>
        <v>12</v>
      </c>
      <c r="AG1806" s="250"/>
      <c r="DG1806" s="555"/>
      <c r="DH1806" s="151"/>
      <c r="DI1806" s="1049"/>
      <c r="DJ1806" s="1127"/>
    </row>
    <row r="1807" spans="1:114" ht="15" hidden="1" customHeight="1" outlineLevel="1" x14ac:dyDescent="0.25">
      <c r="A1807" s="442"/>
      <c r="C1807" s="49"/>
      <c r="D1807" s="2177"/>
      <c r="E1807" s="2177"/>
      <c r="F1807" s="2176" t="str">
        <f t="shared" si="229"/>
        <v>ASHP-SEER18_ER2_SF</v>
      </c>
      <c r="G1807" s="2176"/>
      <c r="H1807" s="2176"/>
      <c r="I1807" s="2176"/>
      <c r="J1807" s="986" t="str">
        <f t="shared" si="230"/>
        <v>353850_2024_12_</v>
      </c>
      <c r="K1807" s="1619">
        <v>12</v>
      </c>
      <c r="L1807" s="12"/>
      <c r="M1807" s="2222"/>
      <c r="P1807" s="248"/>
      <c r="Q1807" s="248"/>
      <c r="R1807" s="248"/>
      <c r="T1807" s="169"/>
      <c r="U1807" s="50"/>
      <c r="V1807" s="2177"/>
      <c r="W1807" s="250">
        <v>12</v>
      </c>
      <c r="X1807" s="250">
        <v>12</v>
      </c>
      <c r="Y1807" s="250">
        <v>12</v>
      </c>
      <c r="Z1807" s="250">
        <v>12</v>
      </c>
      <c r="AA1807" s="250">
        <v>12</v>
      </c>
      <c r="AB1807" s="250">
        <v>12</v>
      </c>
      <c r="AC1807" s="250">
        <v>12</v>
      </c>
      <c r="AD1807" s="250">
        <v>12</v>
      </c>
      <c r="AE1807" s="250">
        <v>12</v>
      </c>
      <c r="AF1807" s="258">
        <f t="shared" si="231"/>
        <v>12</v>
      </c>
      <c r="AG1807" s="250"/>
      <c r="DG1807" s="555"/>
      <c r="DH1807" s="151"/>
      <c r="DI1807" s="1049"/>
      <c r="DJ1807" s="1127"/>
    </row>
    <row r="1808" spans="1:114" ht="15" hidden="1" customHeight="1" outlineLevel="1" x14ac:dyDescent="0.25">
      <c r="A1808" s="442"/>
      <c r="C1808" s="49"/>
      <c r="D1808" s="2177"/>
      <c r="E1808" s="2177"/>
      <c r="F1808" s="2176" t="str">
        <f t="shared" si="229"/>
        <v>ASHP-SEER18_ROF_SF</v>
      </c>
      <c r="G1808" s="2176"/>
      <c r="H1808" s="2176"/>
      <c r="I1808" s="2176"/>
      <c r="J1808" s="986" t="str">
        <f t="shared" si="230"/>
        <v>353950_2024_12_</v>
      </c>
      <c r="K1808" s="1619">
        <v>18</v>
      </c>
      <c r="L1808" s="12"/>
      <c r="M1808" s="2222"/>
      <c r="P1808" s="248"/>
      <c r="Q1808" s="248"/>
      <c r="R1808" s="248"/>
      <c r="T1808" s="169"/>
      <c r="U1808" s="50"/>
      <c r="V1808" s="2177"/>
      <c r="W1808" s="250">
        <v>18</v>
      </c>
      <c r="X1808" s="250">
        <v>18</v>
      </c>
      <c r="Y1808" s="250">
        <v>18</v>
      </c>
      <c r="Z1808" s="250">
        <v>18</v>
      </c>
      <c r="AA1808" s="250">
        <v>18</v>
      </c>
      <c r="AB1808" s="250">
        <v>18</v>
      </c>
      <c r="AC1808" s="250">
        <v>18</v>
      </c>
      <c r="AD1808" s="250">
        <v>18</v>
      </c>
      <c r="AE1808" s="250">
        <v>18</v>
      </c>
      <c r="AF1808" s="258">
        <f t="shared" si="231"/>
        <v>18</v>
      </c>
      <c r="AG1808" s="250"/>
      <c r="DG1808" s="555"/>
      <c r="DH1808" s="151"/>
      <c r="DI1808" s="1049"/>
      <c r="DJ1808" s="1127"/>
    </row>
    <row r="1809" spans="1:114" ht="15" hidden="1" customHeight="1" outlineLevel="1" x14ac:dyDescent="0.25">
      <c r="A1809" s="442"/>
      <c r="C1809" s="49"/>
      <c r="D1809" s="2177"/>
      <c r="E1809" s="2177"/>
      <c r="F1809" s="2176" t="str">
        <f t="shared" si="229"/>
        <v>ASHP-SEER18_ROF_SF</v>
      </c>
      <c r="G1809" s="2176"/>
      <c r="H1809" s="2176"/>
      <c r="I1809" s="2176"/>
      <c r="J1809" s="986" t="str">
        <f t="shared" si="230"/>
        <v>353950_2024_12_</v>
      </c>
      <c r="K1809" s="1619">
        <v>18</v>
      </c>
      <c r="L1809" s="249"/>
      <c r="M1809" s="2222"/>
      <c r="P1809" s="248"/>
      <c r="Q1809" s="248"/>
      <c r="R1809" s="248"/>
      <c r="T1809" s="169"/>
      <c r="U1809" s="50"/>
      <c r="V1809" s="2177"/>
      <c r="W1809" s="250">
        <v>18</v>
      </c>
      <c r="X1809" s="250">
        <v>18</v>
      </c>
      <c r="Y1809" s="250">
        <v>18</v>
      </c>
      <c r="Z1809" s="250">
        <v>18</v>
      </c>
      <c r="AA1809" s="250">
        <v>18</v>
      </c>
      <c r="AB1809" s="250">
        <v>18</v>
      </c>
      <c r="AC1809" s="250">
        <v>18</v>
      </c>
      <c r="AD1809" s="250">
        <v>18</v>
      </c>
      <c r="AE1809" s="250">
        <v>18</v>
      </c>
      <c r="AF1809" s="258">
        <f t="shared" si="231"/>
        <v>18</v>
      </c>
      <c r="AG1809" s="250"/>
      <c r="DG1809" s="555"/>
      <c r="DH1809" s="151"/>
      <c r="DI1809" s="1049"/>
      <c r="DJ1809" s="1127"/>
    </row>
    <row r="1810" spans="1:114" ht="15" hidden="1" customHeight="1" outlineLevel="1" x14ac:dyDescent="0.25">
      <c r="A1810" s="442"/>
      <c r="C1810" s="49"/>
      <c r="D1810" s="2177"/>
      <c r="E1810" s="2177"/>
      <c r="F1810" s="2176" t="str">
        <f t="shared" si="229"/>
        <v>ASHP-SEER19_ER1_SF</v>
      </c>
      <c r="G1810" s="2176"/>
      <c r="H1810" s="2176"/>
      <c r="I1810" s="2176"/>
      <c r="J1810" s="986" t="str">
        <f t="shared" si="230"/>
        <v>354000_2024_12_</v>
      </c>
      <c r="K1810" s="1619">
        <v>6</v>
      </c>
      <c r="L1810" s="249"/>
      <c r="M1810" s="2222"/>
      <c r="P1810" s="248"/>
      <c r="Q1810" s="248"/>
      <c r="R1810" s="248"/>
      <c r="T1810" s="169"/>
      <c r="U1810" s="50"/>
      <c r="V1810" s="2177"/>
      <c r="W1810" s="250">
        <v>6</v>
      </c>
      <c r="X1810" s="250">
        <v>6</v>
      </c>
      <c r="Y1810" s="250">
        <v>6</v>
      </c>
      <c r="Z1810" s="250">
        <v>6</v>
      </c>
      <c r="AA1810" s="250">
        <v>6</v>
      </c>
      <c r="AB1810" s="250">
        <v>6</v>
      </c>
      <c r="AC1810" s="250">
        <v>6</v>
      </c>
      <c r="AD1810" s="250">
        <v>6</v>
      </c>
      <c r="AE1810" s="250">
        <v>6</v>
      </c>
      <c r="AF1810" s="258">
        <f t="shared" si="231"/>
        <v>6</v>
      </c>
      <c r="AG1810" s="250"/>
      <c r="DG1810" s="555"/>
      <c r="DH1810" s="151"/>
      <c r="DI1810" s="1049"/>
      <c r="DJ1810" s="1127"/>
    </row>
    <row r="1811" spans="1:114" ht="15" hidden="1" customHeight="1" outlineLevel="1" x14ac:dyDescent="0.25">
      <c r="A1811" s="442"/>
      <c r="C1811" s="49"/>
      <c r="D1811" s="2177"/>
      <c r="E1811" s="2177"/>
      <c r="F1811" s="2176" t="str">
        <f t="shared" si="229"/>
        <v>ASHP-SEER19_ER1_SF</v>
      </c>
      <c r="G1811" s="2176"/>
      <c r="H1811" s="2176"/>
      <c r="I1811" s="2176"/>
      <c r="J1811" s="986" t="str">
        <f t="shared" si="230"/>
        <v>354000_2024_12_</v>
      </c>
      <c r="K1811" s="1619">
        <v>6</v>
      </c>
      <c r="L1811" s="249"/>
      <c r="M1811" s="2222"/>
      <c r="P1811" s="248"/>
      <c r="Q1811" s="248"/>
      <c r="R1811" s="248"/>
      <c r="T1811" s="169"/>
      <c r="U1811" s="50"/>
      <c r="V1811" s="2177"/>
      <c r="W1811" s="250">
        <v>6</v>
      </c>
      <c r="X1811" s="250">
        <v>6</v>
      </c>
      <c r="Y1811" s="250">
        <v>6</v>
      </c>
      <c r="Z1811" s="250">
        <v>6</v>
      </c>
      <c r="AA1811" s="250">
        <v>6</v>
      </c>
      <c r="AB1811" s="250">
        <v>6</v>
      </c>
      <c r="AC1811" s="250">
        <v>6</v>
      </c>
      <c r="AD1811" s="250">
        <v>6</v>
      </c>
      <c r="AE1811" s="250">
        <v>6</v>
      </c>
      <c r="AF1811" s="258">
        <f t="shared" si="231"/>
        <v>6</v>
      </c>
      <c r="AG1811" s="250"/>
      <c r="DG1811" s="555"/>
      <c r="DH1811" s="151"/>
      <c r="DI1811" s="1049"/>
      <c r="DJ1811" s="1127"/>
    </row>
    <row r="1812" spans="1:114" ht="15" hidden="1" customHeight="1" outlineLevel="1" x14ac:dyDescent="0.25">
      <c r="A1812" s="442"/>
      <c r="C1812" s="49"/>
      <c r="D1812" s="2177"/>
      <c r="E1812" s="2177"/>
      <c r="F1812" s="2176" t="str">
        <f t="shared" si="229"/>
        <v>ASHP-SEER19_ER2_SF</v>
      </c>
      <c r="G1812" s="2176"/>
      <c r="H1812" s="2176"/>
      <c r="I1812" s="2176"/>
      <c r="J1812" s="986" t="str">
        <f t="shared" si="230"/>
        <v>354000_2024_12_</v>
      </c>
      <c r="K1812" s="1619">
        <v>12</v>
      </c>
      <c r="L1812" s="249"/>
      <c r="M1812" s="2222"/>
      <c r="P1812" s="248"/>
      <c r="Q1812" s="248"/>
      <c r="R1812" s="248"/>
      <c r="T1812" s="169"/>
      <c r="U1812" s="50"/>
      <c r="V1812" s="2177"/>
      <c r="W1812" s="250">
        <v>12</v>
      </c>
      <c r="X1812" s="250">
        <v>12</v>
      </c>
      <c r="Y1812" s="250">
        <v>12</v>
      </c>
      <c r="Z1812" s="250">
        <v>12</v>
      </c>
      <c r="AA1812" s="250">
        <v>12</v>
      </c>
      <c r="AB1812" s="250">
        <v>12</v>
      </c>
      <c r="AC1812" s="250">
        <v>12</v>
      </c>
      <c r="AD1812" s="250">
        <v>12</v>
      </c>
      <c r="AE1812" s="250">
        <v>12</v>
      </c>
      <c r="AF1812" s="258">
        <f t="shared" si="231"/>
        <v>12</v>
      </c>
      <c r="AG1812" s="250"/>
      <c r="DG1812" s="555"/>
      <c r="DH1812" s="151"/>
      <c r="DI1812" s="1049"/>
      <c r="DJ1812" s="1127"/>
    </row>
    <row r="1813" spans="1:114" ht="15" hidden="1" customHeight="1" outlineLevel="1" x14ac:dyDescent="0.25">
      <c r="A1813" s="442"/>
      <c r="C1813" s="49"/>
      <c r="D1813" s="2177"/>
      <c r="E1813" s="2177"/>
      <c r="F1813" s="2176" t="str">
        <f t="shared" si="229"/>
        <v>ASHP-SEER19_ER2_SF</v>
      </c>
      <c r="G1813" s="2176"/>
      <c r="H1813" s="2176"/>
      <c r="I1813" s="2176"/>
      <c r="J1813" s="986" t="str">
        <f t="shared" si="230"/>
        <v>354000_2024_12_</v>
      </c>
      <c r="K1813" s="1619">
        <v>12</v>
      </c>
      <c r="L1813" s="249"/>
      <c r="M1813" s="2222"/>
      <c r="P1813" s="248"/>
      <c r="Q1813" s="248"/>
      <c r="R1813" s="248"/>
      <c r="T1813" s="169"/>
      <c r="U1813" s="50"/>
      <c r="V1813" s="2177"/>
      <c r="W1813" s="250">
        <v>12</v>
      </c>
      <c r="X1813" s="250">
        <v>12</v>
      </c>
      <c r="Y1813" s="250">
        <v>12</v>
      </c>
      <c r="Z1813" s="250">
        <v>12</v>
      </c>
      <c r="AA1813" s="250">
        <v>12</v>
      </c>
      <c r="AB1813" s="250">
        <v>12</v>
      </c>
      <c r="AC1813" s="250">
        <v>12</v>
      </c>
      <c r="AD1813" s="250">
        <v>12</v>
      </c>
      <c r="AE1813" s="250">
        <v>12</v>
      </c>
      <c r="AF1813" s="258">
        <f t="shared" si="231"/>
        <v>12</v>
      </c>
      <c r="AG1813" s="250"/>
      <c r="DG1813" s="555"/>
      <c r="DH1813" s="151"/>
      <c r="DI1813" s="1049"/>
      <c r="DJ1813" s="1127"/>
    </row>
    <row r="1814" spans="1:114" ht="15" hidden="1" customHeight="1" outlineLevel="1" x14ac:dyDescent="0.25">
      <c r="A1814" s="442"/>
      <c r="C1814" s="49"/>
      <c r="D1814" s="2177"/>
      <c r="E1814" s="2177"/>
      <c r="F1814" s="2176" t="str">
        <f t="shared" si="229"/>
        <v>ASHP-SEER19_ROF_SF</v>
      </c>
      <c r="G1814" s="2176"/>
      <c r="H1814" s="2176"/>
      <c r="I1814" s="2176"/>
      <c r="J1814" s="986" t="str">
        <f t="shared" si="230"/>
        <v>354050_2024_12_</v>
      </c>
      <c r="K1814" s="1619">
        <v>18</v>
      </c>
      <c r="L1814" s="249"/>
      <c r="M1814" s="2222"/>
      <c r="P1814" s="248"/>
      <c r="Q1814" s="248"/>
      <c r="R1814" s="248"/>
      <c r="T1814" s="169"/>
      <c r="U1814" s="50"/>
      <c r="V1814" s="2177"/>
      <c r="W1814" s="250">
        <v>18</v>
      </c>
      <c r="X1814" s="250">
        <v>18</v>
      </c>
      <c r="Y1814" s="250">
        <v>18</v>
      </c>
      <c r="Z1814" s="250">
        <v>18</v>
      </c>
      <c r="AA1814" s="250">
        <v>18</v>
      </c>
      <c r="AB1814" s="250">
        <v>18</v>
      </c>
      <c r="AC1814" s="250">
        <v>18</v>
      </c>
      <c r="AD1814" s="250">
        <v>18</v>
      </c>
      <c r="AE1814" s="250">
        <v>18</v>
      </c>
      <c r="AF1814" s="258">
        <f t="shared" si="231"/>
        <v>18</v>
      </c>
      <c r="AG1814" s="250"/>
      <c r="DG1814" s="555"/>
      <c r="DH1814" s="151"/>
      <c r="DI1814" s="1049"/>
      <c r="DJ1814" s="1127"/>
    </row>
    <row r="1815" spans="1:114" ht="15" hidden="1" customHeight="1" outlineLevel="1" x14ac:dyDescent="0.25">
      <c r="A1815" s="442"/>
      <c r="C1815" s="49"/>
      <c r="D1815" s="2177"/>
      <c r="E1815" s="2177"/>
      <c r="F1815" s="2176" t="str">
        <f t="shared" si="229"/>
        <v>ASHP-SEER19_ROF_SF</v>
      </c>
      <c r="G1815" s="2176"/>
      <c r="H1815" s="2176"/>
      <c r="I1815" s="2176"/>
      <c r="J1815" s="986" t="str">
        <f t="shared" si="230"/>
        <v>354050_2024_12_</v>
      </c>
      <c r="K1815" s="1619">
        <v>18</v>
      </c>
      <c r="L1815" s="249"/>
      <c r="M1815" s="2222"/>
      <c r="P1815" s="248"/>
      <c r="Q1815" s="248"/>
      <c r="R1815" s="248"/>
      <c r="T1815" s="169"/>
      <c r="U1815" s="50"/>
      <c r="V1815" s="2177"/>
      <c r="W1815" s="250">
        <v>18</v>
      </c>
      <c r="X1815" s="250">
        <v>18</v>
      </c>
      <c r="Y1815" s="250">
        <v>18</v>
      </c>
      <c r="Z1815" s="250">
        <v>18</v>
      </c>
      <c r="AA1815" s="250">
        <v>18</v>
      </c>
      <c r="AB1815" s="250">
        <v>18</v>
      </c>
      <c r="AC1815" s="250">
        <v>18</v>
      </c>
      <c r="AD1815" s="250">
        <v>18</v>
      </c>
      <c r="AE1815" s="250">
        <v>18</v>
      </c>
      <c r="AF1815" s="258">
        <f t="shared" si="231"/>
        <v>18</v>
      </c>
      <c r="AG1815" s="250"/>
      <c r="DG1815" s="555"/>
      <c r="DH1815" s="151"/>
      <c r="DI1815" s="1049"/>
      <c r="DJ1815" s="1127"/>
    </row>
    <row r="1816" spans="1:114" ht="15" hidden="1" customHeight="1" outlineLevel="1" x14ac:dyDescent="0.25">
      <c r="A1816" s="442"/>
      <c r="C1816" s="49"/>
      <c r="D1816" s="2177"/>
      <c r="E1816" s="2177"/>
      <c r="F1816" s="2176" t="str">
        <f t="shared" ref="F1816:F1847" si="232">E805</f>
        <v>ASHP-SEER17-Replace_CAC_ElectricHeat_ER1_SF</v>
      </c>
      <c r="G1816" s="2176"/>
      <c r="H1816" s="2176"/>
      <c r="I1816" s="2176"/>
      <c r="J1816" s="986" t="str">
        <f t="shared" ref="J1816:J1847" si="233">C805</f>
        <v>354100_2024_12_</v>
      </c>
      <c r="K1816" s="1619">
        <v>6</v>
      </c>
      <c r="L1816" s="249"/>
      <c r="M1816" s="2222"/>
      <c r="P1816" s="248"/>
      <c r="Q1816" s="248"/>
      <c r="R1816" s="248"/>
      <c r="T1816" s="169"/>
      <c r="U1816" s="50"/>
      <c r="V1816" s="2177"/>
      <c r="W1816" s="250">
        <v>6</v>
      </c>
      <c r="X1816" s="250">
        <v>6</v>
      </c>
      <c r="Y1816" s="250">
        <v>6</v>
      </c>
      <c r="Z1816" s="250">
        <v>6</v>
      </c>
      <c r="AA1816" s="250">
        <v>6</v>
      </c>
      <c r="AB1816" s="250">
        <v>6</v>
      </c>
      <c r="AC1816" s="250">
        <v>6</v>
      </c>
      <c r="AD1816" s="250">
        <v>6</v>
      </c>
      <c r="AE1816" s="250">
        <v>6</v>
      </c>
      <c r="AF1816" s="258">
        <f t="shared" si="231"/>
        <v>6</v>
      </c>
      <c r="AG1816" s="250"/>
      <c r="DG1816" s="555"/>
      <c r="DH1816" s="151"/>
      <c r="DI1816" s="1049"/>
      <c r="DJ1816" s="1127"/>
    </row>
    <row r="1817" spans="1:114" ht="15" hidden="1" customHeight="1" outlineLevel="1" x14ac:dyDescent="0.25">
      <c r="A1817" s="442"/>
      <c r="C1817" s="49"/>
      <c r="D1817" s="2177"/>
      <c r="E1817" s="2177"/>
      <c r="F1817" s="2176" t="str">
        <f t="shared" si="232"/>
        <v>ASHP-SEER17-Replace_CAC_ElectricHeat_ER1_SF</v>
      </c>
      <c r="G1817" s="2176"/>
      <c r="H1817" s="2176"/>
      <c r="I1817" s="2176"/>
      <c r="J1817" s="986" t="str">
        <f t="shared" si="233"/>
        <v>354100_2024_12_</v>
      </c>
      <c r="K1817" s="1619">
        <v>6</v>
      </c>
      <c r="L1817" s="249"/>
      <c r="M1817" s="2222"/>
      <c r="P1817" s="248"/>
      <c r="Q1817" s="248"/>
      <c r="R1817" s="248"/>
      <c r="T1817" s="169"/>
      <c r="U1817" s="50"/>
      <c r="V1817" s="2177"/>
      <c r="W1817" s="250">
        <v>6</v>
      </c>
      <c r="X1817" s="250">
        <v>6</v>
      </c>
      <c r="Y1817" s="250">
        <v>6</v>
      </c>
      <c r="Z1817" s="250">
        <v>6</v>
      </c>
      <c r="AA1817" s="250">
        <v>6</v>
      </c>
      <c r="AB1817" s="250">
        <v>6</v>
      </c>
      <c r="AC1817" s="250">
        <v>6</v>
      </c>
      <c r="AD1817" s="250">
        <v>6</v>
      </c>
      <c r="AE1817" s="250">
        <v>6</v>
      </c>
      <c r="AF1817" s="258">
        <f t="shared" si="231"/>
        <v>6</v>
      </c>
      <c r="AG1817" s="250"/>
      <c r="DG1817" s="555"/>
      <c r="DH1817" s="151"/>
      <c r="DI1817" s="1049"/>
      <c r="DJ1817" s="1127"/>
    </row>
    <row r="1818" spans="1:114" ht="15" hidden="1" customHeight="1" outlineLevel="1" x14ac:dyDescent="0.25">
      <c r="A1818" s="442"/>
      <c r="C1818" s="49"/>
      <c r="D1818" s="2177"/>
      <c r="E1818" s="2177"/>
      <c r="F1818" s="2176" t="str">
        <f t="shared" si="232"/>
        <v>ASHP-SEER17-Replace_CAC_ElectricHeat_ER2_SF</v>
      </c>
      <c r="G1818" s="2176"/>
      <c r="H1818" s="2176"/>
      <c r="I1818" s="2176"/>
      <c r="J1818" s="986" t="str">
        <f t="shared" si="233"/>
        <v>354100_2024_12_</v>
      </c>
      <c r="K1818" s="1619">
        <v>12</v>
      </c>
      <c r="L1818" s="249"/>
      <c r="M1818" s="2222"/>
      <c r="P1818" s="248"/>
      <c r="Q1818" s="248"/>
      <c r="R1818" s="248"/>
      <c r="T1818" s="169"/>
      <c r="U1818" s="50"/>
      <c r="V1818" s="2177"/>
      <c r="W1818" s="250">
        <v>12</v>
      </c>
      <c r="X1818" s="250">
        <v>12</v>
      </c>
      <c r="Y1818" s="250">
        <v>12</v>
      </c>
      <c r="Z1818" s="250">
        <v>12</v>
      </c>
      <c r="AA1818" s="250">
        <v>12</v>
      </c>
      <c r="AB1818" s="250">
        <v>12</v>
      </c>
      <c r="AC1818" s="250">
        <v>12</v>
      </c>
      <c r="AD1818" s="250">
        <v>12</v>
      </c>
      <c r="AE1818" s="250">
        <v>12</v>
      </c>
      <c r="AF1818" s="258">
        <f t="shared" si="231"/>
        <v>12</v>
      </c>
      <c r="AG1818" s="250"/>
      <c r="DG1818" s="555"/>
      <c r="DH1818" s="151"/>
      <c r="DI1818" s="1049"/>
      <c r="DJ1818" s="1127"/>
    </row>
    <row r="1819" spans="1:114" ht="15" hidden="1" customHeight="1" outlineLevel="1" x14ac:dyDescent="0.25">
      <c r="A1819" s="442"/>
      <c r="C1819" s="49"/>
      <c r="D1819" s="2177"/>
      <c r="E1819" s="2177"/>
      <c r="F1819" s="2176" t="str">
        <f t="shared" si="232"/>
        <v>ASHP-SEER17-Replace_CAC_ElectricHeat_ER2_SF</v>
      </c>
      <c r="G1819" s="2176"/>
      <c r="H1819" s="2176"/>
      <c r="I1819" s="2176"/>
      <c r="J1819" s="986" t="str">
        <f t="shared" si="233"/>
        <v>354100_2024_12_</v>
      </c>
      <c r="K1819" s="1619">
        <v>12</v>
      </c>
      <c r="L1819" s="249"/>
      <c r="M1819" s="2222"/>
      <c r="P1819" s="248"/>
      <c r="Q1819" s="248"/>
      <c r="R1819" s="248"/>
      <c r="T1819" s="169"/>
      <c r="U1819" s="50"/>
      <c r="V1819" s="2177"/>
      <c r="W1819" s="250">
        <v>12</v>
      </c>
      <c r="X1819" s="250">
        <v>12</v>
      </c>
      <c r="Y1819" s="250">
        <v>12</v>
      </c>
      <c r="Z1819" s="250">
        <v>12</v>
      </c>
      <c r="AA1819" s="250">
        <v>12</v>
      </c>
      <c r="AB1819" s="250">
        <v>12</v>
      </c>
      <c r="AC1819" s="250">
        <v>12</v>
      </c>
      <c r="AD1819" s="250">
        <v>12</v>
      </c>
      <c r="AE1819" s="250">
        <v>12</v>
      </c>
      <c r="AF1819" s="258">
        <f t="shared" si="231"/>
        <v>12</v>
      </c>
      <c r="AG1819" s="250"/>
      <c r="DG1819" s="555"/>
      <c r="DH1819" s="151"/>
      <c r="DI1819" s="1049"/>
      <c r="DJ1819" s="1127"/>
    </row>
    <row r="1820" spans="1:114" ht="15" hidden="1" customHeight="1" outlineLevel="1" x14ac:dyDescent="0.25">
      <c r="A1820" s="442"/>
      <c r="C1820" s="49"/>
      <c r="D1820" s="2177"/>
      <c r="E1820" s="2177"/>
      <c r="F1820" s="2176" t="str">
        <f t="shared" si="232"/>
        <v>ASHP-SEER17-Replace_CAC_NonElectricHeat_ER1_SF</v>
      </c>
      <c r="G1820" s="2176"/>
      <c r="H1820" s="2176"/>
      <c r="I1820" s="2176"/>
      <c r="J1820" s="986" t="str">
        <f t="shared" si="233"/>
        <v>354110_2024_12_</v>
      </c>
      <c r="K1820" s="1619">
        <v>6</v>
      </c>
      <c r="L1820" s="249"/>
      <c r="M1820" s="2222"/>
      <c r="P1820" s="248"/>
      <c r="Q1820" s="248"/>
      <c r="R1820" s="248"/>
      <c r="T1820" s="169"/>
      <c r="U1820" s="50"/>
      <c r="V1820" s="2177"/>
      <c r="W1820" s="250"/>
      <c r="X1820" s="250"/>
      <c r="Y1820" s="250"/>
      <c r="Z1820" s="250"/>
      <c r="AA1820" s="250"/>
      <c r="AB1820" s="250"/>
      <c r="AC1820" s="987">
        <v>6</v>
      </c>
      <c r="AD1820" s="250">
        <v>6</v>
      </c>
      <c r="AE1820" s="250">
        <v>6</v>
      </c>
      <c r="AF1820" s="258">
        <f t="shared" si="231"/>
        <v>6</v>
      </c>
      <c r="AG1820" s="250"/>
      <c r="DG1820" s="555"/>
      <c r="DH1820" s="151"/>
      <c r="DI1820" s="1049"/>
      <c r="DJ1820" s="1127"/>
    </row>
    <row r="1821" spans="1:114" ht="15" hidden="1" customHeight="1" outlineLevel="1" x14ac:dyDescent="0.25">
      <c r="A1821" s="442"/>
      <c r="C1821" s="49"/>
      <c r="D1821" s="2177"/>
      <c r="E1821" s="2177"/>
      <c r="F1821" s="2176" t="str">
        <f t="shared" si="232"/>
        <v>ASHP-SEER17-Replace_CAC_NonElectricHeat_ER1_SF</v>
      </c>
      <c r="G1821" s="2176"/>
      <c r="H1821" s="2176"/>
      <c r="I1821" s="2176"/>
      <c r="J1821" s="986" t="str">
        <f t="shared" si="233"/>
        <v>354110_2024_12_</v>
      </c>
      <c r="K1821" s="1619">
        <v>6</v>
      </c>
      <c r="L1821" s="249"/>
      <c r="M1821" s="2222"/>
      <c r="P1821" s="248"/>
      <c r="Q1821" s="248"/>
      <c r="R1821" s="248"/>
      <c r="T1821" s="169"/>
      <c r="U1821" s="50"/>
      <c r="V1821" s="2177"/>
      <c r="W1821" s="250"/>
      <c r="X1821" s="250"/>
      <c r="Y1821" s="250"/>
      <c r="Z1821" s="250"/>
      <c r="AA1821" s="250"/>
      <c r="AB1821" s="250"/>
      <c r="AC1821" s="987">
        <v>6</v>
      </c>
      <c r="AD1821" s="250">
        <v>6</v>
      </c>
      <c r="AE1821" s="250">
        <v>6</v>
      </c>
      <c r="AF1821" s="258">
        <f t="shared" si="231"/>
        <v>6</v>
      </c>
      <c r="AG1821" s="250"/>
      <c r="DG1821" s="555"/>
      <c r="DH1821" s="151"/>
      <c r="DI1821" s="1049"/>
      <c r="DJ1821" s="1127"/>
    </row>
    <row r="1822" spans="1:114" ht="15" hidden="1" customHeight="1" outlineLevel="1" x14ac:dyDescent="0.25">
      <c r="A1822" s="442"/>
      <c r="C1822" s="49"/>
      <c r="D1822" s="2177"/>
      <c r="E1822" s="2177"/>
      <c r="F1822" s="2176" t="str">
        <f t="shared" si="232"/>
        <v>ASHP-SEER17-Replace_CAC_NonElectricHeat_ER2_SF</v>
      </c>
      <c r="G1822" s="2176"/>
      <c r="H1822" s="2176"/>
      <c r="I1822" s="2176"/>
      <c r="J1822" s="986" t="str">
        <f t="shared" si="233"/>
        <v>354110_2024_12_</v>
      </c>
      <c r="K1822" s="1619">
        <v>12</v>
      </c>
      <c r="L1822" s="249"/>
      <c r="M1822" s="2222"/>
      <c r="P1822" s="248"/>
      <c r="Q1822" s="248"/>
      <c r="R1822" s="248"/>
      <c r="T1822" s="169"/>
      <c r="U1822" s="50"/>
      <c r="V1822" s="2177"/>
      <c r="W1822" s="250"/>
      <c r="X1822" s="250"/>
      <c r="Y1822" s="250"/>
      <c r="Z1822" s="250"/>
      <c r="AA1822" s="250"/>
      <c r="AB1822" s="250"/>
      <c r="AC1822" s="987">
        <v>12</v>
      </c>
      <c r="AD1822" s="250">
        <v>12</v>
      </c>
      <c r="AE1822" s="250">
        <v>12</v>
      </c>
      <c r="AF1822" s="258">
        <f t="shared" si="231"/>
        <v>12</v>
      </c>
      <c r="AG1822" s="250"/>
      <c r="DG1822" s="555"/>
      <c r="DH1822" s="151"/>
      <c r="DI1822" s="1049"/>
      <c r="DJ1822" s="1127"/>
    </row>
    <row r="1823" spans="1:114" ht="15" hidden="1" customHeight="1" outlineLevel="1" x14ac:dyDescent="0.25">
      <c r="A1823" s="442"/>
      <c r="C1823" s="49"/>
      <c r="D1823" s="2177"/>
      <c r="E1823" s="2177"/>
      <c r="F1823" s="2176" t="str">
        <f t="shared" si="232"/>
        <v>ASHP-SEER17-Replace_CAC_NonElectricHeat_ER2_SF</v>
      </c>
      <c r="G1823" s="2176"/>
      <c r="H1823" s="2176"/>
      <c r="I1823" s="2176"/>
      <c r="J1823" s="986" t="str">
        <f t="shared" si="233"/>
        <v>354110_2024_12_</v>
      </c>
      <c r="K1823" s="1619">
        <v>12</v>
      </c>
      <c r="L1823" s="249"/>
      <c r="M1823" s="2222"/>
      <c r="P1823" s="248"/>
      <c r="Q1823" s="248"/>
      <c r="R1823" s="248"/>
      <c r="T1823" s="169"/>
      <c r="U1823" s="50"/>
      <c r="V1823" s="2177"/>
      <c r="W1823" s="250"/>
      <c r="X1823" s="250"/>
      <c r="Y1823" s="250"/>
      <c r="Z1823" s="250"/>
      <c r="AA1823" s="250"/>
      <c r="AB1823" s="250"/>
      <c r="AC1823" s="987">
        <v>12</v>
      </c>
      <c r="AD1823" s="250">
        <v>12</v>
      </c>
      <c r="AE1823" s="250">
        <v>12</v>
      </c>
      <c r="AF1823" s="258">
        <f t="shared" si="231"/>
        <v>12</v>
      </c>
      <c r="AG1823" s="250"/>
      <c r="DG1823" s="555"/>
      <c r="DH1823" s="151"/>
      <c r="DI1823" s="1049"/>
      <c r="DJ1823" s="1127"/>
    </row>
    <row r="1824" spans="1:114" ht="15" hidden="1" customHeight="1" outlineLevel="1" x14ac:dyDescent="0.25">
      <c r="A1824" s="442"/>
      <c r="C1824" s="49"/>
      <c r="D1824" s="2177"/>
      <c r="E1824" s="2177"/>
      <c r="F1824" s="2176" t="str">
        <f t="shared" si="232"/>
        <v>ASHP-SEER17-Replace_CAC_ElectricHeat_ER1_MF</v>
      </c>
      <c r="G1824" s="2176"/>
      <c r="H1824" s="2176"/>
      <c r="I1824" s="2176"/>
      <c r="J1824" s="986" t="str">
        <f t="shared" si="233"/>
        <v>354150_2024_12_</v>
      </c>
      <c r="K1824" s="1619">
        <v>6</v>
      </c>
      <c r="L1824" s="249"/>
      <c r="M1824" s="2222"/>
      <c r="P1824" s="248"/>
      <c r="Q1824" s="248"/>
      <c r="R1824" s="248"/>
      <c r="T1824" s="169"/>
      <c r="U1824" s="50"/>
      <c r="V1824" s="2177"/>
      <c r="W1824" s="250">
        <v>6</v>
      </c>
      <c r="X1824" s="250">
        <v>6</v>
      </c>
      <c r="Y1824" s="250">
        <v>6</v>
      </c>
      <c r="Z1824" s="250">
        <v>6</v>
      </c>
      <c r="AA1824" s="250">
        <v>6</v>
      </c>
      <c r="AB1824" s="250">
        <v>6</v>
      </c>
      <c r="AC1824" s="250">
        <v>6</v>
      </c>
      <c r="AD1824" s="250">
        <v>6</v>
      </c>
      <c r="AE1824" s="250">
        <v>6</v>
      </c>
      <c r="AF1824" s="258">
        <f t="shared" si="231"/>
        <v>6</v>
      </c>
      <c r="AG1824" s="250"/>
      <c r="DG1824" s="555"/>
      <c r="DH1824" s="151"/>
      <c r="DI1824" s="1049"/>
      <c r="DJ1824" s="1127"/>
    </row>
    <row r="1825" spans="1:114" ht="15" hidden="1" customHeight="1" outlineLevel="1" x14ac:dyDescent="0.25">
      <c r="A1825" s="442"/>
      <c r="C1825" s="49"/>
      <c r="D1825" s="2177"/>
      <c r="E1825" s="2177"/>
      <c r="F1825" s="2176" t="str">
        <f t="shared" si="232"/>
        <v>ASHP-SEER17-Replace_CAC_ElectricHeat_ER1_MF</v>
      </c>
      <c r="G1825" s="2176"/>
      <c r="H1825" s="2176"/>
      <c r="I1825" s="2176"/>
      <c r="J1825" s="986" t="str">
        <f t="shared" si="233"/>
        <v>354150_2024_12_</v>
      </c>
      <c r="K1825" s="1619">
        <v>6</v>
      </c>
      <c r="L1825" s="249"/>
      <c r="M1825" s="2222"/>
      <c r="P1825" s="248"/>
      <c r="Q1825" s="248"/>
      <c r="R1825" s="248"/>
      <c r="T1825" s="169"/>
      <c r="U1825" s="50"/>
      <c r="V1825" s="2177"/>
      <c r="W1825" s="250">
        <v>6</v>
      </c>
      <c r="X1825" s="250">
        <v>6</v>
      </c>
      <c r="Y1825" s="250">
        <v>6</v>
      </c>
      <c r="Z1825" s="250">
        <v>6</v>
      </c>
      <c r="AA1825" s="250">
        <v>6</v>
      </c>
      <c r="AB1825" s="250">
        <v>6</v>
      </c>
      <c r="AC1825" s="250">
        <v>6</v>
      </c>
      <c r="AD1825" s="250">
        <v>6</v>
      </c>
      <c r="AE1825" s="250">
        <v>6</v>
      </c>
      <c r="AF1825" s="258">
        <f t="shared" si="231"/>
        <v>6</v>
      </c>
      <c r="AG1825" s="250"/>
      <c r="DG1825" s="555"/>
      <c r="DH1825" s="151"/>
      <c r="DI1825" s="1049"/>
      <c r="DJ1825" s="1127"/>
    </row>
    <row r="1826" spans="1:114" ht="15" hidden="1" customHeight="1" outlineLevel="1" x14ac:dyDescent="0.25">
      <c r="A1826" s="442"/>
      <c r="C1826" s="49"/>
      <c r="D1826" s="2177"/>
      <c r="E1826" s="2177"/>
      <c r="F1826" s="2176" t="str">
        <f t="shared" si="232"/>
        <v>ASHP-SEER17-Replace_CAC_ElectricHeat_ER2_MF</v>
      </c>
      <c r="G1826" s="2176"/>
      <c r="H1826" s="2176"/>
      <c r="I1826" s="2176"/>
      <c r="J1826" s="986" t="str">
        <f t="shared" si="233"/>
        <v>354150_2024_12_</v>
      </c>
      <c r="K1826" s="1619">
        <v>12</v>
      </c>
      <c r="L1826" s="249"/>
      <c r="M1826" s="2222"/>
      <c r="P1826" s="248"/>
      <c r="Q1826" s="248"/>
      <c r="R1826" s="248"/>
      <c r="T1826" s="169"/>
      <c r="U1826" s="50"/>
      <c r="V1826" s="2177"/>
      <c r="W1826" s="250">
        <v>12</v>
      </c>
      <c r="X1826" s="250">
        <v>12</v>
      </c>
      <c r="Y1826" s="250">
        <v>12</v>
      </c>
      <c r="Z1826" s="250">
        <v>12</v>
      </c>
      <c r="AA1826" s="250">
        <v>12</v>
      </c>
      <c r="AB1826" s="250">
        <v>12</v>
      </c>
      <c r="AC1826" s="250">
        <v>12</v>
      </c>
      <c r="AD1826" s="250">
        <v>12</v>
      </c>
      <c r="AE1826" s="250">
        <v>12</v>
      </c>
      <c r="AF1826" s="258">
        <f t="shared" si="231"/>
        <v>12</v>
      </c>
      <c r="AG1826" s="250"/>
      <c r="DG1826" s="555"/>
      <c r="DH1826" s="151"/>
      <c r="DI1826" s="1049"/>
      <c r="DJ1826" s="1127"/>
    </row>
    <row r="1827" spans="1:114" ht="15" hidden="1" customHeight="1" outlineLevel="1" x14ac:dyDescent="0.25">
      <c r="A1827" s="442"/>
      <c r="C1827" s="49"/>
      <c r="D1827" s="2177"/>
      <c r="E1827" s="2177"/>
      <c r="F1827" s="2176" t="str">
        <f t="shared" si="232"/>
        <v>ASHP-SEER17-Replace_CAC_ElectricHeat_ER2_MF</v>
      </c>
      <c r="G1827" s="2176"/>
      <c r="H1827" s="2176"/>
      <c r="I1827" s="2176"/>
      <c r="J1827" s="986" t="str">
        <f t="shared" si="233"/>
        <v>354150_2024_12_</v>
      </c>
      <c r="K1827" s="1619">
        <v>12</v>
      </c>
      <c r="L1827" s="249"/>
      <c r="M1827" s="2222"/>
      <c r="P1827" s="248"/>
      <c r="Q1827" s="248"/>
      <c r="R1827" s="248"/>
      <c r="T1827" s="169"/>
      <c r="U1827" s="50"/>
      <c r="V1827" s="2177"/>
      <c r="W1827" s="250">
        <v>12</v>
      </c>
      <c r="X1827" s="250">
        <v>12</v>
      </c>
      <c r="Y1827" s="250">
        <v>12</v>
      </c>
      <c r="Z1827" s="250">
        <v>12</v>
      </c>
      <c r="AA1827" s="250">
        <v>12</v>
      </c>
      <c r="AB1827" s="250">
        <v>12</v>
      </c>
      <c r="AC1827" s="250">
        <v>12</v>
      </c>
      <c r="AD1827" s="250">
        <v>12</v>
      </c>
      <c r="AE1827" s="250">
        <v>12</v>
      </c>
      <c r="AF1827" s="258">
        <f t="shared" si="231"/>
        <v>12</v>
      </c>
      <c r="AG1827" s="250"/>
      <c r="DG1827" s="555"/>
      <c r="DH1827" s="151"/>
      <c r="DI1827" s="1049"/>
      <c r="DJ1827" s="1127"/>
    </row>
    <row r="1828" spans="1:114" ht="15" hidden="1" customHeight="1" outlineLevel="1" x14ac:dyDescent="0.25">
      <c r="A1828" s="442"/>
      <c r="C1828" s="49"/>
      <c r="D1828" s="2177"/>
      <c r="E1828" s="2177"/>
      <c r="F1828" s="2176" t="str">
        <f t="shared" si="232"/>
        <v>ASHP-SEER17_ER1_MF</v>
      </c>
      <c r="G1828" s="2176"/>
      <c r="H1828" s="2176"/>
      <c r="I1828" s="2176"/>
      <c r="J1828" s="986" t="str">
        <f t="shared" si="233"/>
        <v>354200_2024_12_</v>
      </c>
      <c r="K1828" s="1619">
        <v>6</v>
      </c>
      <c r="L1828" s="249"/>
      <c r="M1828" s="2222"/>
      <c r="P1828" s="248"/>
      <c r="Q1828" s="248"/>
      <c r="R1828" s="248"/>
      <c r="T1828" s="169"/>
      <c r="U1828" s="50"/>
      <c r="V1828" s="2177"/>
      <c r="W1828" s="250">
        <v>6</v>
      </c>
      <c r="X1828" s="250">
        <v>6</v>
      </c>
      <c r="Y1828" s="250">
        <v>6</v>
      </c>
      <c r="Z1828" s="250">
        <v>6</v>
      </c>
      <c r="AA1828" s="250">
        <v>6</v>
      </c>
      <c r="AB1828" s="250">
        <v>6</v>
      </c>
      <c r="AC1828" s="250">
        <v>6</v>
      </c>
      <c r="AD1828" s="250">
        <v>6</v>
      </c>
      <c r="AE1828" s="250">
        <v>6</v>
      </c>
      <c r="AF1828" s="258">
        <f t="shared" si="231"/>
        <v>6</v>
      </c>
      <c r="AG1828" s="250"/>
      <c r="DG1828" s="555"/>
      <c r="DH1828" s="151"/>
      <c r="DI1828" s="1049"/>
      <c r="DJ1828" s="1127"/>
    </row>
    <row r="1829" spans="1:114" ht="15" hidden="1" customHeight="1" outlineLevel="1" x14ac:dyDescent="0.25">
      <c r="A1829" s="442"/>
      <c r="C1829" s="49"/>
      <c r="D1829" s="2177"/>
      <c r="E1829" s="2177"/>
      <c r="F1829" s="2176" t="str">
        <f t="shared" si="232"/>
        <v>ASHP-SEER17_ER1_MF</v>
      </c>
      <c r="G1829" s="2176"/>
      <c r="H1829" s="2176"/>
      <c r="I1829" s="2176"/>
      <c r="J1829" s="986" t="str">
        <f t="shared" si="233"/>
        <v>354200_2024_12_</v>
      </c>
      <c r="K1829" s="1619">
        <v>6</v>
      </c>
      <c r="L1829" s="249"/>
      <c r="M1829" s="2222"/>
      <c r="P1829" s="248"/>
      <c r="Q1829" s="248"/>
      <c r="R1829" s="248"/>
      <c r="T1829" s="169"/>
      <c r="U1829" s="50"/>
      <c r="V1829" s="2177"/>
      <c r="W1829" s="250">
        <v>6</v>
      </c>
      <c r="X1829" s="250">
        <v>6</v>
      </c>
      <c r="Y1829" s="250">
        <v>6</v>
      </c>
      <c r="Z1829" s="250">
        <v>6</v>
      </c>
      <c r="AA1829" s="250">
        <v>6</v>
      </c>
      <c r="AB1829" s="250">
        <v>6</v>
      </c>
      <c r="AC1829" s="250">
        <v>6</v>
      </c>
      <c r="AD1829" s="250">
        <v>6</v>
      </c>
      <c r="AE1829" s="250">
        <v>6</v>
      </c>
      <c r="AF1829" s="258">
        <f t="shared" si="231"/>
        <v>6</v>
      </c>
      <c r="AG1829" s="250"/>
      <c r="DG1829" s="555"/>
      <c r="DH1829" s="151"/>
      <c r="DI1829" s="1049"/>
      <c r="DJ1829" s="1127"/>
    </row>
    <row r="1830" spans="1:114" ht="15" hidden="1" customHeight="1" outlineLevel="1" x14ac:dyDescent="0.25">
      <c r="A1830" s="442"/>
      <c r="C1830" s="49"/>
      <c r="D1830" s="2177"/>
      <c r="E1830" s="2177"/>
      <c r="F1830" s="2176" t="str">
        <f t="shared" si="232"/>
        <v>ASHP-SEER17_ER2_MF</v>
      </c>
      <c r="G1830" s="2176"/>
      <c r="H1830" s="2176"/>
      <c r="I1830" s="2176"/>
      <c r="J1830" s="986" t="str">
        <f t="shared" si="233"/>
        <v>354200_2024_12_</v>
      </c>
      <c r="K1830" s="1619">
        <v>12</v>
      </c>
      <c r="L1830" s="249"/>
      <c r="M1830" s="2222"/>
      <c r="P1830" s="248"/>
      <c r="Q1830" s="248"/>
      <c r="R1830" s="248"/>
      <c r="T1830" s="169"/>
      <c r="U1830" s="50"/>
      <c r="V1830" s="2177"/>
      <c r="W1830" s="250">
        <v>12</v>
      </c>
      <c r="X1830" s="250">
        <v>12</v>
      </c>
      <c r="Y1830" s="250">
        <v>12</v>
      </c>
      <c r="Z1830" s="250">
        <v>12</v>
      </c>
      <c r="AA1830" s="250">
        <v>12</v>
      </c>
      <c r="AB1830" s="250">
        <v>12</v>
      </c>
      <c r="AC1830" s="250">
        <v>12</v>
      </c>
      <c r="AD1830" s="250">
        <v>12</v>
      </c>
      <c r="AE1830" s="250">
        <v>12</v>
      </c>
      <c r="AF1830" s="258">
        <f t="shared" si="231"/>
        <v>12</v>
      </c>
      <c r="AG1830" s="250"/>
      <c r="DG1830" s="555"/>
      <c r="DH1830" s="151"/>
      <c r="DI1830" s="1049"/>
      <c r="DJ1830" s="1127"/>
    </row>
    <row r="1831" spans="1:114" ht="15" hidden="1" customHeight="1" outlineLevel="1" x14ac:dyDescent="0.25">
      <c r="A1831" s="442"/>
      <c r="C1831" s="49"/>
      <c r="D1831" s="2177"/>
      <c r="E1831" s="2177"/>
      <c r="F1831" s="2176" t="str">
        <f t="shared" si="232"/>
        <v>ASHP-SEER17_ER2_MF</v>
      </c>
      <c r="G1831" s="2176"/>
      <c r="H1831" s="2176"/>
      <c r="I1831" s="2176"/>
      <c r="J1831" s="986" t="str">
        <f t="shared" si="233"/>
        <v>354200_2024_12_</v>
      </c>
      <c r="K1831" s="1619">
        <v>12</v>
      </c>
      <c r="L1831" s="249"/>
      <c r="M1831" s="2222"/>
      <c r="P1831" s="248"/>
      <c r="Q1831" s="248"/>
      <c r="R1831" s="248"/>
      <c r="T1831" s="169"/>
      <c r="U1831" s="50"/>
      <c r="V1831" s="2177"/>
      <c r="W1831" s="250">
        <v>12</v>
      </c>
      <c r="X1831" s="250">
        <v>12</v>
      </c>
      <c r="Y1831" s="250">
        <v>12</v>
      </c>
      <c r="Z1831" s="250">
        <v>12</v>
      </c>
      <c r="AA1831" s="250">
        <v>12</v>
      </c>
      <c r="AB1831" s="250">
        <v>12</v>
      </c>
      <c r="AC1831" s="250">
        <v>12</v>
      </c>
      <c r="AD1831" s="250">
        <v>12</v>
      </c>
      <c r="AE1831" s="250">
        <v>12</v>
      </c>
      <c r="AF1831" s="258">
        <f t="shared" si="231"/>
        <v>12</v>
      </c>
      <c r="AG1831" s="250"/>
      <c r="DG1831" s="555"/>
      <c r="DH1831" s="151"/>
      <c r="DI1831" s="1049"/>
      <c r="DJ1831" s="1127"/>
    </row>
    <row r="1832" spans="1:114" ht="15" hidden="1" customHeight="1" outlineLevel="1" x14ac:dyDescent="0.25">
      <c r="A1832" s="442"/>
      <c r="C1832" s="49"/>
      <c r="D1832" s="2177"/>
      <c r="E1832" s="2177"/>
      <c r="F1832" s="2176" t="str">
        <f t="shared" si="232"/>
        <v>ASHP-SEER18-Replace_CAC_ElectricHeat_ER1_SF</v>
      </c>
      <c r="G1832" s="2176"/>
      <c r="H1832" s="2176"/>
      <c r="I1832" s="2176"/>
      <c r="J1832" s="986" t="str">
        <f t="shared" si="233"/>
        <v>354250_2024_12_</v>
      </c>
      <c r="K1832" s="1619">
        <v>6</v>
      </c>
      <c r="L1832" s="249"/>
      <c r="M1832" s="2222"/>
      <c r="P1832" s="248"/>
      <c r="Q1832" s="248"/>
      <c r="R1832" s="248"/>
      <c r="T1832" s="169"/>
      <c r="U1832" s="50"/>
      <c r="V1832" s="2177"/>
      <c r="W1832" s="250">
        <v>6</v>
      </c>
      <c r="X1832" s="250">
        <v>6</v>
      </c>
      <c r="Y1832" s="250">
        <v>6</v>
      </c>
      <c r="Z1832" s="250">
        <v>6</v>
      </c>
      <c r="AA1832" s="250">
        <v>6</v>
      </c>
      <c r="AB1832" s="250">
        <v>6</v>
      </c>
      <c r="AC1832" s="250">
        <v>6</v>
      </c>
      <c r="AD1832" s="250">
        <v>6</v>
      </c>
      <c r="AE1832" s="250">
        <v>6</v>
      </c>
      <c r="AF1832" s="258">
        <f t="shared" ref="AF1832:AF1863" si="234">IF(K1832&lt;&gt;"",K1832,"")</f>
        <v>6</v>
      </c>
      <c r="AG1832" s="250"/>
      <c r="DG1832" s="555"/>
      <c r="DH1832" s="151"/>
      <c r="DI1832" s="1049"/>
      <c r="DJ1832" s="1127"/>
    </row>
    <row r="1833" spans="1:114" ht="15" hidden="1" customHeight="1" outlineLevel="1" x14ac:dyDescent="0.25">
      <c r="A1833" s="442"/>
      <c r="C1833" s="49"/>
      <c r="D1833" s="2177"/>
      <c r="E1833" s="2177"/>
      <c r="F1833" s="2176" t="str">
        <f t="shared" si="232"/>
        <v>ASHP-SEER18-Replace_CAC_ElectricHeat_ER1_SF</v>
      </c>
      <c r="G1833" s="2176"/>
      <c r="H1833" s="2176"/>
      <c r="I1833" s="2176"/>
      <c r="J1833" s="986" t="str">
        <f t="shared" si="233"/>
        <v>354250_2024_12_</v>
      </c>
      <c r="K1833" s="1619">
        <v>6</v>
      </c>
      <c r="L1833" s="249"/>
      <c r="M1833" s="2222"/>
      <c r="P1833" s="248"/>
      <c r="Q1833" s="248"/>
      <c r="R1833" s="248"/>
      <c r="T1833" s="169"/>
      <c r="U1833" s="50"/>
      <c r="V1833" s="2177"/>
      <c r="W1833" s="250">
        <v>6</v>
      </c>
      <c r="X1833" s="250">
        <v>6</v>
      </c>
      <c r="Y1833" s="250">
        <v>6</v>
      </c>
      <c r="Z1833" s="250">
        <v>6</v>
      </c>
      <c r="AA1833" s="250">
        <v>6</v>
      </c>
      <c r="AB1833" s="250">
        <v>6</v>
      </c>
      <c r="AC1833" s="250">
        <v>6</v>
      </c>
      <c r="AD1833" s="250">
        <v>6</v>
      </c>
      <c r="AE1833" s="250">
        <v>6</v>
      </c>
      <c r="AF1833" s="258">
        <f t="shared" si="234"/>
        <v>6</v>
      </c>
      <c r="AG1833" s="250"/>
      <c r="DG1833" s="555"/>
      <c r="DH1833" s="151"/>
      <c r="DI1833" s="1049"/>
      <c r="DJ1833" s="1127"/>
    </row>
    <row r="1834" spans="1:114" ht="15" hidden="1" customHeight="1" outlineLevel="1" x14ac:dyDescent="0.25">
      <c r="A1834" s="442"/>
      <c r="C1834" s="49"/>
      <c r="D1834" s="2177"/>
      <c r="E1834" s="2177"/>
      <c r="F1834" s="2176" t="str">
        <f t="shared" si="232"/>
        <v>ASHP-SEER18-Replace_CAC_ElectricHeat_ER2_SF</v>
      </c>
      <c r="G1834" s="2176"/>
      <c r="H1834" s="2176"/>
      <c r="I1834" s="2176"/>
      <c r="J1834" s="986" t="str">
        <f t="shared" si="233"/>
        <v>354250_2024_12_</v>
      </c>
      <c r="K1834" s="1619">
        <v>12</v>
      </c>
      <c r="L1834" s="249"/>
      <c r="M1834" s="2222"/>
      <c r="P1834" s="248"/>
      <c r="Q1834" s="248"/>
      <c r="R1834" s="248"/>
      <c r="T1834" s="169"/>
      <c r="U1834" s="50"/>
      <c r="V1834" s="2177"/>
      <c r="W1834" s="250">
        <v>12</v>
      </c>
      <c r="X1834" s="250">
        <v>12</v>
      </c>
      <c r="Y1834" s="250">
        <v>12</v>
      </c>
      <c r="Z1834" s="250">
        <v>12</v>
      </c>
      <c r="AA1834" s="250">
        <v>12</v>
      </c>
      <c r="AB1834" s="250">
        <v>12</v>
      </c>
      <c r="AC1834" s="250">
        <v>12</v>
      </c>
      <c r="AD1834" s="250">
        <v>12</v>
      </c>
      <c r="AE1834" s="250">
        <v>12</v>
      </c>
      <c r="AF1834" s="258">
        <f t="shared" si="234"/>
        <v>12</v>
      </c>
      <c r="AG1834" s="250"/>
      <c r="DG1834" s="555"/>
      <c r="DH1834" s="151"/>
      <c r="DI1834" s="1049"/>
      <c r="DJ1834" s="1127"/>
    </row>
    <row r="1835" spans="1:114" ht="15" hidden="1" customHeight="1" outlineLevel="1" x14ac:dyDescent="0.25">
      <c r="A1835" s="442"/>
      <c r="C1835" s="49"/>
      <c r="D1835" s="2177"/>
      <c r="E1835" s="2177"/>
      <c r="F1835" s="2176" t="str">
        <f t="shared" si="232"/>
        <v>ASHP-SEER18-Replace_CAC_ElectricHeat_ER2_SF</v>
      </c>
      <c r="G1835" s="2176"/>
      <c r="H1835" s="2176"/>
      <c r="I1835" s="2176"/>
      <c r="J1835" s="986" t="str">
        <f t="shared" si="233"/>
        <v>354250_2024_12_</v>
      </c>
      <c r="K1835" s="1619">
        <v>12</v>
      </c>
      <c r="L1835" s="249"/>
      <c r="M1835" s="2222"/>
      <c r="P1835" s="248"/>
      <c r="Q1835" s="248"/>
      <c r="R1835" s="248"/>
      <c r="T1835" s="169"/>
      <c r="U1835" s="50"/>
      <c r="V1835" s="2177"/>
      <c r="W1835" s="250">
        <v>12</v>
      </c>
      <c r="X1835" s="250">
        <v>12</v>
      </c>
      <c r="Y1835" s="250">
        <v>12</v>
      </c>
      <c r="Z1835" s="250">
        <v>12</v>
      </c>
      <c r="AA1835" s="250">
        <v>12</v>
      </c>
      <c r="AB1835" s="250">
        <v>12</v>
      </c>
      <c r="AC1835" s="250">
        <v>12</v>
      </c>
      <c r="AD1835" s="250">
        <v>12</v>
      </c>
      <c r="AE1835" s="250">
        <v>12</v>
      </c>
      <c r="AF1835" s="258">
        <f t="shared" si="234"/>
        <v>12</v>
      </c>
      <c r="AG1835" s="250"/>
      <c r="DG1835" s="555"/>
      <c r="DH1835" s="151"/>
      <c r="DI1835" s="1049"/>
      <c r="DJ1835" s="1127"/>
    </row>
    <row r="1836" spans="1:114" ht="15" hidden="1" customHeight="1" outlineLevel="1" x14ac:dyDescent="0.25">
      <c r="A1836" s="442"/>
      <c r="C1836" s="49"/>
      <c r="D1836" s="2177"/>
      <c r="E1836" s="2177"/>
      <c r="F1836" s="2176" t="str">
        <f t="shared" si="232"/>
        <v>ASHP-SEER18-Replace_CAC_NonElectricHeat_ER1_SF</v>
      </c>
      <c r="G1836" s="2176"/>
      <c r="H1836" s="2176"/>
      <c r="I1836" s="2176"/>
      <c r="J1836" s="986" t="str">
        <f t="shared" si="233"/>
        <v>354260_2024_12_</v>
      </c>
      <c r="K1836" s="1619">
        <v>6</v>
      </c>
      <c r="L1836" s="249"/>
      <c r="M1836" s="2222"/>
      <c r="P1836" s="248"/>
      <c r="Q1836" s="248"/>
      <c r="R1836" s="248"/>
      <c r="T1836" s="169"/>
      <c r="U1836" s="50"/>
      <c r="V1836" s="2177"/>
      <c r="W1836" s="250"/>
      <c r="X1836" s="250"/>
      <c r="Y1836" s="250"/>
      <c r="Z1836" s="250"/>
      <c r="AA1836" s="250"/>
      <c r="AB1836" s="250"/>
      <c r="AC1836" s="987">
        <v>6</v>
      </c>
      <c r="AD1836" s="250">
        <v>6</v>
      </c>
      <c r="AE1836" s="250">
        <v>6</v>
      </c>
      <c r="AF1836" s="258">
        <f t="shared" si="234"/>
        <v>6</v>
      </c>
      <c r="AG1836" s="250"/>
      <c r="DG1836" s="555"/>
      <c r="DH1836" s="151"/>
      <c r="DI1836" s="1049"/>
      <c r="DJ1836" s="1127"/>
    </row>
    <row r="1837" spans="1:114" ht="15" hidden="1" customHeight="1" outlineLevel="1" x14ac:dyDescent="0.25">
      <c r="A1837" s="442"/>
      <c r="C1837" s="49"/>
      <c r="D1837" s="2177"/>
      <c r="E1837" s="2177"/>
      <c r="F1837" s="2176" t="str">
        <f t="shared" si="232"/>
        <v>ASHP-SEER18-Replace_CAC_NonElectricHeat_ER1_SF</v>
      </c>
      <c r="G1837" s="2176"/>
      <c r="H1837" s="2176"/>
      <c r="I1837" s="2176"/>
      <c r="J1837" s="986" t="str">
        <f t="shared" si="233"/>
        <v>354260_2024_12_</v>
      </c>
      <c r="K1837" s="1619">
        <v>6</v>
      </c>
      <c r="L1837" s="249"/>
      <c r="M1837" s="2222"/>
      <c r="P1837" s="248"/>
      <c r="Q1837" s="248"/>
      <c r="R1837" s="248"/>
      <c r="T1837" s="169"/>
      <c r="U1837" s="50"/>
      <c r="V1837" s="2177"/>
      <c r="W1837" s="250"/>
      <c r="X1837" s="250"/>
      <c r="Y1837" s="250"/>
      <c r="Z1837" s="250"/>
      <c r="AA1837" s="250"/>
      <c r="AB1837" s="250"/>
      <c r="AC1837" s="987">
        <v>6</v>
      </c>
      <c r="AD1837" s="250">
        <v>6</v>
      </c>
      <c r="AE1837" s="250">
        <v>6</v>
      </c>
      <c r="AF1837" s="258">
        <f t="shared" si="234"/>
        <v>6</v>
      </c>
      <c r="AG1837" s="250"/>
      <c r="DG1837" s="555"/>
      <c r="DH1837" s="151"/>
      <c r="DI1837" s="1049"/>
      <c r="DJ1837" s="1127"/>
    </row>
    <row r="1838" spans="1:114" ht="15" hidden="1" customHeight="1" outlineLevel="1" x14ac:dyDescent="0.25">
      <c r="A1838" s="442"/>
      <c r="C1838" s="49"/>
      <c r="D1838" s="2177"/>
      <c r="E1838" s="2177"/>
      <c r="F1838" s="2176" t="str">
        <f t="shared" si="232"/>
        <v>ASHP-SEER18-Replace_CAC_NonElectricHeat_ER2_SF</v>
      </c>
      <c r="G1838" s="2176"/>
      <c r="H1838" s="2176"/>
      <c r="I1838" s="2176"/>
      <c r="J1838" s="986" t="str">
        <f t="shared" si="233"/>
        <v>354260_2024_12_</v>
      </c>
      <c r="K1838" s="1619">
        <v>12</v>
      </c>
      <c r="L1838" s="249"/>
      <c r="M1838" s="2222"/>
      <c r="P1838" s="248"/>
      <c r="Q1838" s="248"/>
      <c r="R1838" s="248"/>
      <c r="T1838" s="169"/>
      <c r="U1838" s="50"/>
      <c r="V1838" s="2177"/>
      <c r="W1838" s="250"/>
      <c r="X1838" s="250"/>
      <c r="Y1838" s="250"/>
      <c r="Z1838" s="250"/>
      <c r="AA1838" s="250"/>
      <c r="AB1838" s="250"/>
      <c r="AC1838" s="987">
        <v>12</v>
      </c>
      <c r="AD1838" s="250">
        <v>12</v>
      </c>
      <c r="AE1838" s="250">
        <v>12</v>
      </c>
      <c r="AF1838" s="258">
        <f t="shared" si="234"/>
        <v>12</v>
      </c>
      <c r="AG1838" s="250"/>
      <c r="DG1838" s="555"/>
      <c r="DH1838" s="151"/>
      <c r="DI1838" s="1049"/>
      <c r="DJ1838" s="1127"/>
    </row>
    <row r="1839" spans="1:114" ht="15" hidden="1" customHeight="1" outlineLevel="1" x14ac:dyDescent="0.25">
      <c r="A1839" s="442"/>
      <c r="C1839" s="49"/>
      <c r="D1839" s="2177"/>
      <c r="E1839" s="2177"/>
      <c r="F1839" s="2176" t="str">
        <f t="shared" si="232"/>
        <v>ASHP-SEER18-Replace_CAC_NonElectricHeat_ER2_SF</v>
      </c>
      <c r="G1839" s="2176"/>
      <c r="H1839" s="2176"/>
      <c r="I1839" s="2176"/>
      <c r="J1839" s="986" t="str">
        <f t="shared" si="233"/>
        <v>354260_2024_12_</v>
      </c>
      <c r="K1839" s="1619">
        <v>12</v>
      </c>
      <c r="L1839" s="249"/>
      <c r="M1839" s="2222"/>
      <c r="P1839" s="248"/>
      <c r="Q1839" s="248"/>
      <c r="R1839" s="248"/>
      <c r="T1839" s="169"/>
      <c r="U1839" s="50"/>
      <c r="V1839" s="2177"/>
      <c r="W1839" s="250"/>
      <c r="X1839" s="250"/>
      <c r="Y1839" s="250"/>
      <c r="Z1839" s="250"/>
      <c r="AA1839" s="250"/>
      <c r="AB1839" s="250"/>
      <c r="AC1839" s="987">
        <v>12</v>
      </c>
      <c r="AD1839" s="250">
        <v>12</v>
      </c>
      <c r="AE1839" s="250">
        <v>12</v>
      </c>
      <c r="AF1839" s="258">
        <f t="shared" si="234"/>
        <v>12</v>
      </c>
      <c r="AG1839" s="250"/>
      <c r="DG1839" s="555"/>
      <c r="DH1839" s="151"/>
      <c r="DI1839" s="1049"/>
      <c r="DJ1839" s="1127"/>
    </row>
    <row r="1840" spans="1:114" ht="15" hidden="1" customHeight="1" outlineLevel="1" x14ac:dyDescent="0.25">
      <c r="A1840" s="442"/>
      <c r="C1840" s="49"/>
      <c r="D1840" s="2177"/>
      <c r="E1840" s="2177"/>
      <c r="F1840" s="2176" t="str">
        <f t="shared" si="232"/>
        <v>ASHP-SEER18-Replace_CAC_ElectricHeat_ER1_MF</v>
      </c>
      <c r="G1840" s="2176"/>
      <c r="H1840" s="2176"/>
      <c r="I1840" s="2176"/>
      <c r="J1840" s="986" t="str">
        <f t="shared" si="233"/>
        <v>354300_2024_12_</v>
      </c>
      <c r="K1840" s="1619">
        <v>6</v>
      </c>
      <c r="L1840" s="249"/>
      <c r="M1840" s="2222"/>
      <c r="P1840" s="248"/>
      <c r="Q1840" s="248"/>
      <c r="R1840" s="248"/>
      <c r="T1840" s="169"/>
      <c r="U1840" s="50"/>
      <c r="V1840" s="2177"/>
      <c r="W1840" s="250">
        <v>6</v>
      </c>
      <c r="X1840" s="250">
        <v>6</v>
      </c>
      <c r="Y1840" s="250">
        <v>6</v>
      </c>
      <c r="Z1840" s="250">
        <v>6</v>
      </c>
      <c r="AA1840" s="250">
        <v>6</v>
      </c>
      <c r="AB1840" s="250">
        <v>6</v>
      </c>
      <c r="AC1840" s="250">
        <v>6</v>
      </c>
      <c r="AD1840" s="250">
        <v>6</v>
      </c>
      <c r="AE1840" s="250">
        <v>6</v>
      </c>
      <c r="AF1840" s="258">
        <f t="shared" si="234"/>
        <v>6</v>
      </c>
      <c r="AG1840" s="250"/>
      <c r="DG1840" s="555"/>
      <c r="DH1840" s="151"/>
      <c r="DI1840" s="1049"/>
      <c r="DJ1840" s="1127"/>
    </row>
    <row r="1841" spans="1:114" ht="15" hidden="1" customHeight="1" outlineLevel="1" x14ac:dyDescent="0.25">
      <c r="A1841" s="442"/>
      <c r="C1841" s="49"/>
      <c r="D1841" s="2177"/>
      <c r="E1841" s="2177"/>
      <c r="F1841" s="2176" t="str">
        <f t="shared" si="232"/>
        <v>ASHP-SEER18-Replace_CAC_ElectricHeat_ER1_MF</v>
      </c>
      <c r="G1841" s="2176"/>
      <c r="H1841" s="2176"/>
      <c r="I1841" s="2176"/>
      <c r="J1841" s="986" t="str">
        <f t="shared" si="233"/>
        <v>354300_2024_12_</v>
      </c>
      <c r="K1841" s="1619">
        <v>6</v>
      </c>
      <c r="L1841" s="249"/>
      <c r="M1841" s="2222"/>
      <c r="P1841" s="248"/>
      <c r="Q1841" s="248"/>
      <c r="R1841" s="248"/>
      <c r="T1841" s="169"/>
      <c r="U1841" s="50"/>
      <c r="V1841" s="2177"/>
      <c r="W1841" s="250">
        <v>6</v>
      </c>
      <c r="X1841" s="250">
        <v>6</v>
      </c>
      <c r="Y1841" s="250">
        <v>6</v>
      </c>
      <c r="Z1841" s="250">
        <v>6</v>
      </c>
      <c r="AA1841" s="250">
        <v>6</v>
      </c>
      <c r="AB1841" s="250">
        <v>6</v>
      </c>
      <c r="AC1841" s="250">
        <v>6</v>
      </c>
      <c r="AD1841" s="250">
        <v>6</v>
      </c>
      <c r="AE1841" s="250">
        <v>6</v>
      </c>
      <c r="AF1841" s="258">
        <f t="shared" si="234"/>
        <v>6</v>
      </c>
      <c r="AG1841" s="250"/>
      <c r="DG1841" s="555"/>
      <c r="DH1841" s="151"/>
      <c r="DI1841" s="1049"/>
      <c r="DJ1841" s="1127"/>
    </row>
    <row r="1842" spans="1:114" ht="15" hidden="1" customHeight="1" outlineLevel="1" x14ac:dyDescent="0.25">
      <c r="A1842" s="442"/>
      <c r="C1842" s="49"/>
      <c r="D1842" s="2177"/>
      <c r="E1842" s="2177"/>
      <c r="F1842" s="2176" t="str">
        <f t="shared" si="232"/>
        <v>ASHP-SEER18-Replace_CAC_ElectricHeat_ER2_MF</v>
      </c>
      <c r="G1842" s="2176"/>
      <c r="H1842" s="2176"/>
      <c r="I1842" s="2176"/>
      <c r="J1842" s="986" t="str">
        <f t="shared" si="233"/>
        <v>354300_2024_12_</v>
      </c>
      <c r="K1842" s="1619">
        <v>12</v>
      </c>
      <c r="L1842" s="249"/>
      <c r="M1842" s="2222"/>
      <c r="P1842" s="248"/>
      <c r="Q1842" s="248"/>
      <c r="R1842" s="248"/>
      <c r="T1842" s="169"/>
      <c r="U1842" s="50"/>
      <c r="V1842" s="2177"/>
      <c r="W1842" s="250">
        <v>12</v>
      </c>
      <c r="X1842" s="250">
        <v>12</v>
      </c>
      <c r="Y1842" s="250">
        <v>12</v>
      </c>
      <c r="Z1842" s="250">
        <v>12</v>
      </c>
      <c r="AA1842" s="250">
        <v>12</v>
      </c>
      <c r="AB1842" s="250">
        <v>12</v>
      </c>
      <c r="AC1842" s="250">
        <v>12</v>
      </c>
      <c r="AD1842" s="250">
        <v>12</v>
      </c>
      <c r="AE1842" s="250">
        <v>12</v>
      </c>
      <c r="AF1842" s="258">
        <f t="shared" si="234"/>
        <v>12</v>
      </c>
      <c r="AG1842" s="250"/>
      <c r="DG1842" s="555"/>
      <c r="DH1842" s="151"/>
      <c r="DI1842" s="1049"/>
      <c r="DJ1842" s="1127"/>
    </row>
    <row r="1843" spans="1:114" ht="15" hidden="1" customHeight="1" outlineLevel="1" x14ac:dyDescent="0.25">
      <c r="A1843" s="442"/>
      <c r="C1843" s="49"/>
      <c r="D1843" s="2177"/>
      <c r="E1843" s="2177"/>
      <c r="F1843" s="2176" t="str">
        <f t="shared" si="232"/>
        <v>ASHP-SEER18-Replace_CAC_ElectricHeat_ER2_MF</v>
      </c>
      <c r="G1843" s="2176"/>
      <c r="H1843" s="2176"/>
      <c r="I1843" s="2176"/>
      <c r="J1843" s="986" t="str">
        <f t="shared" si="233"/>
        <v>354300_2024_12_</v>
      </c>
      <c r="K1843" s="1619">
        <v>12</v>
      </c>
      <c r="L1843" s="249"/>
      <c r="M1843" s="2222"/>
      <c r="P1843" s="248"/>
      <c r="Q1843" s="196"/>
      <c r="R1843" s="248"/>
      <c r="T1843" s="169"/>
      <c r="U1843" s="50"/>
      <c r="V1843" s="2177"/>
      <c r="W1843" s="250">
        <v>12</v>
      </c>
      <c r="X1843" s="250">
        <v>12</v>
      </c>
      <c r="Y1843" s="250">
        <v>12</v>
      </c>
      <c r="Z1843" s="250">
        <v>12</v>
      </c>
      <c r="AA1843" s="250">
        <v>12</v>
      </c>
      <c r="AB1843" s="250">
        <v>12</v>
      </c>
      <c r="AC1843" s="250">
        <v>12</v>
      </c>
      <c r="AD1843" s="250">
        <v>12</v>
      </c>
      <c r="AE1843" s="250">
        <v>12</v>
      </c>
      <c r="AF1843" s="258">
        <f t="shared" si="234"/>
        <v>12</v>
      </c>
      <c r="AG1843" s="250"/>
      <c r="DG1843" s="555"/>
      <c r="DH1843" s="151"/>
      <c r="DI1843" s="1049"/>
      <c r="DJ1843" s="1127"/>
    </row>
    <row r="1844" spans="1:114" ht="15" hidden="1" customHeight="1" outlineLevel="1" x14ac:dyDescent="0.25">
      <c r="A1844" s="442"/>
      <c r="C1844" s="49"/>
      <c r="D1844" s="2177"/>
      <c r="E1844" s="2177"/>
      <c r="F1844" s="2176" t="str">
        <f t="shared" si="232"/>
        <v>ASHP-SEER18_ER1_MF</v>
      </c>
      <c r="G1844" s="2176"/>
      <c r="H1844" s="2176"/>
      <c r="I1844" s="2176"/>
      <c r="J1844" s="986" t="str">
        <f t="shared" si="233"/>
        <v>354350_2024_12_</v>
      </c>
      <c r="K1844" s="1619">
        <v>6</v>
      </c>
      <c r="L1844" s="249"/>
      <c r="M1844" s="2222"/>
      <c r="P1844" s="248"/>
      <c r="Q1844" s="196"/>
      <c r="R1844" s="248"/>
      <c r="T1844" s="169"/>
      <c r="U1844" s="50"/>
      <c r="V1844" s="2177"/>
      <c r="W1844" s="250">
        <v>6</v>
      </c>
      <c r="X1844" s="250">
        <v>6</v>
      </c>
      <c r="Y1844" s="250">
        <v>6</v>
      </c>
      <c r="Z1844" s="250">
        <v>6</v>
      </c>
      <c r="AA1844" s="250">
        <v>6</v>
      </c>
      <c r="AB1844" s="250">
        <v>6</v>
      </c>
      <c r="AC1844" s="250">
        <v>6</v>
      </c>
      <c r="AD1844" s="250">
        <v>6</v>
      </c>
      <c r="AE1844" s="250">
        <v>6</v>
      </c>
      <c r="AF1844" s="258">
        <f t="shared" si="234"/>
        <v>6</v>
      </c>
      <c r="AG1844" s="250"/>
      <c r="DG1844" s="555"/>
      <c r="DH1844" s="151"/>
      <c r="DI1844" s="1049"/>
      <c r="DJ1844" s="1127"/>
    </row>
    <row r="1845" spans="1:114" ht="15" hidden="1" customHeight="1" outlineLevel="1" x14ac:dyDescent="0.25">
      <c r="A1845" s="442"/>
      <c r="C1845" s="49"/>
      <c r="D1845" s="2177"/>
      <c r="E1845" s="2177"/>
      <c r="F1845" s="2176" t="str">
        <f t="shared" si="232"/>
        <v>ASHP-SEER18_ER1_MF</v>
      </c>
      <c r="G1845" s="2176"/>
      <c r="H1845" s="2176"/>
      <c r="I1845" s="2176"/>
      <c r="J1845" s="986" t="str">
        <f t="shared" si="233"/>
        <v>354350_2024_12_</v>
      </c>
      <c r="K1845" s="1619">
        <v>6</v>
      </c>
      <c r="L1845" s="249"/>
      <c r="M1845" s="2222"/>
      <c r="P1845" s="248"/>
      <c r="Q1845" s="196"/>
      <c r="R1845" s="248"/>
      <c r="T1845" s="169"/>
      <c r="U1845" s="50"/>
      <c r="V1845" s="2177"/>
      <c r="W1845" s="250">
        <v>6</v>
      </c>
      <c r="X1845" s="250">
        <v>6</v>
      </c>
      <c r="Y1845" s="250">
        <v>6</v>
      </c>
      <c r="Z1845" s="250">
        <v>6</v>
      </c>
      <c r="AA1845" s="250">
        <v>6</v>
      </c>
      <c r="AB1845" s="250">
        <v>6</v>
      </c>
      <c r="AC1845" s="250">
        <v>6</v>
      </c>
      <c r="AD1845" s="250">
        <v>6</v>
      </c>
      <c r="AE1845" s="250">
        <v>6</v>
      </c>
      <c r="AF1845" s="258">
        <f t="shared" si="234"/>
        <v>6</v>
      </c>
      <c r="AG1845" s="250"/>
      <c r="DG1845" s="555"/>
      <c r="DH1845" s="151"/>
      <c r="DI1845" s="1049"/>
      <c r="DJ1845" s="1127"/>
    </row>
    <row r="1846" spans="1:114" ht="15" hidden="1" customHeight="1" outlineLevel="1" x14ac:dyDescent="0.25">
      <c r="A1846" s="442"/>
      <c r="C1846" s="49"/>
      <c r="D1846" s="2177"/>
      <c r="E1846" s="2177"/>
      <c r="F1846" s="2176" t="str">
        <f t="shared" si="232"/>
        <v>ASHP-SEER18_ER2_MF</v>
      </c>
      <c r="G1846" s="2176"/>
      <c r="H1846" s="2176"/>
      <c r="I1846" s="2176"/>
      <c r="J1846" s="986" t="str">
        <f t="shared" si="233"/>
        <v>354350_2024_12_</v>
      </c>
      <c r="K1846" s="1619">
        <v>12</v>
      </c>
      <c r="L1846" s="249"/>
      <c r="M1846" s="2222"/>
      <c r="P1846" s="248"/>
      <c r="Q1846" s="196"/>
      <c r="R1846" s="248"/>
      <c r="T1846" s="169"/>
      <c r="U1846" s="50"/>
      <c r="V1846" s="2177"/>
      <c r="W1846" s="250">
        <v>12</v>
      </c>
      <c r="X1846" s="250">
        <v>12</v>
      </c>
      <c r="Y1846" s="250">
        <v>12</v>
      </c>
      <c r="Z1846" s="250">
        <v>12</v>
      </c>
      <c r="AA1846" s="250">
        <v>12</v>
      </c>
      <c r="AB1846" s="250">
        <v>12</v>
      </c>
      <c r="AC1846" s="250">
        <v>12</v>
      </c>
      <c r="AD1846" s="250">
        <v>12</v>
      </c>
      <c r="AE1846" s="250">
        <v>12</v>
      </c>
      <c r="AF1846" s="258">
        <f t="shared" si="234"/>
        <v>12</v>
      </c>
      <c r="AG1846" s="250"/>
      <c r="DG1846" s="555"/>
      <c r="DH1846" s="151"/>
      <c r="DI1846" s="1049"/>
      <c r="DJ1846" s="1127"/>
    </row>
    <row r="1847" spans="1:114" ht="15" hidden="1" customHeight="1" outlineLevel="1" x14ac:dyDescent="0.25">
      <c r="A1847" s="442"/>
      <c r="C1847" s="49"/>
      <c r="D1847" s="2177"/>
      <c r="E1847" s="2177"/>
      <c r="F1847" s="2176" t="str">
        <f t="shared" si="232"/>
        <v>ASHP-SEER18_ER2_MF</v>
      </c>
      <c r="G1847" s="2176"/>
      <c r="H1847" s="2176"/>
      <c r="I1847" s="2176"/>
      <c r="J1847" s="986" t="str">
        <f t="shared" si="233"/>
        <v>354350_2024_12_</v>
      </c>
      <c r="K1847" s="1619">
        <v>12</v>
      </c>
      <c r="L1847" s="249"/>
      <c r="M1847" s="2222"/>
      <c r="P1847" s="248"/>
      <c r="Q1847" s="196"/>
      <c r="R1847" s="248"/>
      <c r="T1847" s="169"/>
      <c r="U1847" s="50"/>
      <c r="V1847" s="2177"/>
      <c r="W1847" s="250">
        <v>12</v>
      </c>
      <c r="X1847" s="250">
        <v>12</v>
      </c>
      <c r="Y1847" s="250">
        <v>12</v>
      </c>
      <c r="Z1847" s="250">
        <v>12</v>
      </c>
      <c r="AA1847" s="250">
        <v>12</v>
      </c>
      <c r="AB1847" s="250">
        <v>12</v>
      </c>
      <c r="AC1847" s="250">
        <v>12</v>
      </c>
      <c r="AD1847" s="250">
        <v>12</v>
      </c>
      <c r="AE1847" s="250">
        <v>12</v>
      </c>
      <c r="AF1847" s="258">
        <f t="shared" si="234"/>
        <v>12</v>
      </c>
      <c r="AG1847" s="250"/>
      <c r="DG1847" s="555"/>
      <c r="DH1847" s="151"/>
      <c r="DI1847" s="1049"/>
      <c r="DJ1847" s="1127"/>
    </row>
    <row r="1848" spans="1:114" ht="15" hidden="1" customHeight="1" outlineLevel="1" x14ac:dyDescent="0.25">
      <c r="A1848" s="442"/>
      <c r="C1848" s="49"/>
      <c r="D1848" s="2177"/>
      <c r="E1848" s="2177"/>
      <c r="F1848" s="2176" t="str">
        <f t="shared" ref="F1848:F1879" si="235">E837</f>
        <v>ASHP-SEER19-Replace_CAC_ElectricHeat_ER1_SF</v>
      </c>
      <c r="G1848" s="2176"/>
      <c r="H1848" s="2176"/>
      <c r="I1848" s="2176"/>
      <c r="J1848" s="986" t="str">
        <f t="shared" ref="J1848:J1879" si="236">C837</f>
        <v>354400_2024_12_</v>
      </c>
      <c r="K1848" s="1619">
        <v>6</v>
      </c>
      <c r="L1848" s="249"/>
      <c r="M1848" s="2222"/>
      <c r="P1848" s="248"/>
      <c r="Q1848" s="196"/>
      <c r="R1848" s="248"/>
      <c r="T1848" s="169"/>
      <c r="U1848" s="50"/>
      <c r="V1848" s="2177"/>
      <c r="W1848" s="250">
        <v>6</v>
      </c>
      <c r="X1848" s="250">
        <v>6</v>
      </c>
      <c r="Y1848" s="250">
        <v>6</v>
      </c>
      <c r="Z1848" s="250">
        <v>6</v>
      </c>
      <c r="AA1848" s="250">
        <v>6</v>
      </c>
      <c r="AB1848" s="250">
        <v>6</v>
      </c>
      <c r="AC1848" s="250">
        <v>6</v>
      </c>
      <c r="AD1848" s="250">
        <v>6</v>
      </c>
      <c r="AE1848" s="250">
        <v>6</v>
      </c>
      <c r="AF1848" s="258">
        <f t="shared" si="234"/>
        <v>6</v>
      </c>
      <c r="AG1848" s="250"/>
      <c r="DG1848" s="555"/>
      <c r="DH1848" s="151"/>
      <c r="DI1848" s="1049"/>
      <c r="DJ1848" s="1127"/>
    </row>
    <row r="1849" spans="1:114" ht="15" hidden="1" customHeight="1" outlineLevel="1" x14ac:dyDescent="0.25">
      <c r="A1849" s="442"/>
      <c r="C1849" s="49"/>
      <c r="D1849" s="2177"/>
      <c r="E1849" s="2177"/>
      <c r="F1849" s="2176" t="str">
        <f t="shared" si="235"/>
        <v>ASHP-SEER19-Replace_CAC_ElectricHeat_ER1_SF</v>
      </c>
      <c r="G1849" s="2176"/>
      <c r="H1849" s="2176"/>
      <c r="I1849" s="2176"/>
      <c r="J1849" s="986" t="str">
        <f t="shared" si="236"/>
        <v>354400_2024_12_</v>
      </c>
      <c r="K1849" s="1619">
        <v>6</v>
      </c>
      <c r="L1849" s="249"/>
      <c r="M1849" s="2222"/>
      <c r="T1849" s="50"/>
      <c r="U1849" s="50"/>
      <c r="V1849" s="2177"/>
      <c r="W1849" s="250">
        <v>6</v>
      </c>
      <c r="X1849" s="250">
        <v>6</v>
      </c>
      <c r="Y1849" s="250">
        <v>6</v>
      </c>
      <c r="Z1849" s="250">
        <v>6</v>
      </c>
      <c r="AA1849" s="250">
        <v>6</v>
      </c>
      <c r="AB1849" s="250">
        <v>6</v>
      </c>
      <c r="AC1849" s="250">
        <v>6</v>
      </c>
      <c r="AD1849" s="250">
        <v>6</v>
      </c>
      <c r="AE1849" s="250">
        <v>6</v>
      </c>
      <c r="AF1849" s="258">
        <f t="shared" si="234"/>
        <v>6</v>
      </c>
      <c r="AG1849" s="250"/>
      <c r="DG1849" s="555"/>
      <c r="DH1849" s="151"/>
      <c r="DI1849" s="1049"/>
      <c r="DJ1849" s="1127"/>
    </row>
    <row r="1850" spans="1:114" ht="15" hidden="1" customHeight="1" outlineLevel="1" x14ac:dyDescent="0.25">
      <c r="A1850" s="442"/>
      <c r="C1850" s="49"/>
      <c r="D1850" s="2177"/>
      <c r="E1850" s="2177"/>
      <c r="F1850" s="2176" t="str">
        <f t="shared" si="235"/>
        <v>ASHP-SEER19-Replace_CAC_ElectricHeat_ER2_SF</v>
      </c>
      <c r="G1850" s="2176"/>
      <c r="H1850" s="2176"/>
      <c r="I1850" s="2176"/>
      <c r="J1850" s="986" t="str">
        <f t="shared" si="236"/>
        <v>354400_2024_12_</v>
      </c>
      <c r="K1850" s="1619">
        <v>12</v>
      </c>
      <c r="L1850" s="249"/>
      <c r="M1850" s="2222"/>
      <c r="P1850" s="248"/>
      <c r="Q1850" s="196"/>
      <c r="R1850" s="248"/>
      <c r="T1850" s="169"/>
      <c r="U1850" s="50"/>
      <c r="V1850" s="2177"/>
      <c r="W1850" s="250">
        <v>12</v>
      </c>
      <c r="X1850" s="250">
        <v>12</v>
      </c>
      <c r="Y1850" s="250">
        <v>12</v>
      </c>
      <c r="Z1850" s="250">
        <v>12</v>
      </c>
      <c r="AA1850" s="250">
        <v>12</v>
      </c>
      <c r="AB1850" s="250">
        <v>12</v>
      </c>
      <c r="AC1850" s="250">
        <v>12</v>
      </c>
      <c r="AD1850" s="250">
        <v>12</v>
      </c>
      <c r="AE1850" s="250">
        <v>12</v>
      </c>
      <c r="AF1850" s="258">
        <f t="shared" si="234"/>
        <v>12</v>
      </c>
      <c r="AG1850" s="250"/>
      <c r="DG1850" s="555"/>
      <c r="DH1850" s="151"/>
      <c r="DI1850" s="1049"/>
      <c r="DJ1850" s="1127"/>
    </row>
    <row r="1851" spans="1:114" ht="15" hidden="1" customHeight="1" outlineLevel="1" x14ac:dyDescent="0.25">
      <c r="A1851" s="442"/>
      <c r="C1851" s="49"/>
      <c r="D1851" s="2177"/>
      <c r="E1851" s="2177"/>
      <c r="F1851" s="2176" t="str">
        <f t="shared" si="235"/>
        <v>ASHP-SEER19-Replace_CAC_ElectricHeat_ER2_SF</v>
      </c>
      <c r="G1851" s="2176"/>
      <c r="H1851" s="2176"/>
      <c r="I1851" s="2176"/>
      <c r="J1851" s="986" t="str">
        <f t="shared" si="236"/>
        <v>354400_2024_12_</v>
      </c>
      <c r="K1851" s="1619">
        <v>12</v>
      </c>
      <c r="L1851" s="249"/>
      <c r="M1851" s="2222"/>
      <c r="T1851" s="50"/>
      <c r="U1851" s="50"/>
      <c r="V1851" s="2177"/>
      <c r="W1851" s="250">
        <v>12</v>
      </c>
      <c r="X1851" s="250">
        <v>12</v>
      </c>
      <c r="Y1851" s="250">
        <v>12</v>
      </c>
      <c r="Z1851" s="250">
        <v>12</v>
      </c>
      <c r="AA1851" s="250">
        <v>12</v>
      </c>
      <c r="AB1851" s="250">
        <v>12</v>
      </c>
      <c r="AC1851" s="250">
        <v>12</v>
      </c>
      <c r="AD1851" s="250">
        <v>12</v>
      </c>
      <c r="AE1851" s="250">
        <v>12</v>
      </c>
      <c r="AF1851" s="258">
        <f t="shared" si="234"/>
        <v>12</v>
      </c>
      <c r="AG1851" s="250"/>
      <c r="DG1851" s="555"/>
      <c r="DH1851" s="151"/>
      <c r="DI1851" s="1049"/>
      <c r="DJ1851" s="1127"/>
    </row>
    <row r="1852" spans="1:114" ht="15" hidden="1" customHeight="1" outlineLevel="1" x14ac:dyDescent="0.25">
      <c r="A1852" s="442"/>
      <c r="C1852" s="49"/>
      <c r="D1852" s="2177"/>
      <c r="E1852" s="2177"/>
      <c r="F1852" s="2176" t="str">
        <f t="shared" si="235"/>
        <v>ASHP-SEER19-Replace_CAC_NonElectricHeat_ER1_SF</v>
      </c>
      <c r="G1852" s="2176"/>
      <c r="H1852" s="2176"/>
      <c r="I1852" s="2176"/>
      <c r="J1852" s="986" t="str">
        <f t="shared" si="236"/>
        <v>354410_2024_12_</v>
      </c>
      <c r="K1852" s="1619">
        <v>6</v>
      </c>
      <c r="L1852" s="249"/>
      <c r="M1852" s="2222"/>
      <c r="T1852" s="50"/>
      <c r="U1852" s="50"/>
      <c r="V1852" s="2177"/>
      <c r="W1852" s="250"/>
      <c r="X1852" s="250"/>
      <c r="Y1852" s="250"/>
      <c r="Z1852" s="250"/>
      <c r="AA1852" s="250"/>
      <c r="AB1852" s="250"/>
      <c r="AC1852" s="987">
        <v>6</v>
      </c>
      <c r="AD1852" s="250">
        <v>6</v>
      </c>
      <c r="AE1852" s="250">
        <v>6</v>
      </c>
      <c r="AF1852" s="258">
        <f t="shared" si="234"/>
        <v>6</v>
      </c>
      <c r="AG1852" s="250"/>
      <c r="DG1852" s="555"/>
      <c r="DH1852" s="151"/>
      <c r="DI1852" s="1049"/>
      <c r="DJ1852" s="1127"/>
    </row>
    <row r="1853" spans="1:114" ht="15" hidden="1" customHeight="1" outlineLevel="1" x14ac:dyDescent="0.25">
      <c r="A1853" s="442"/>
      <c r="C1853" s="49"/>
      <c r="D1853" s="2177"/>
      <c r="E1853" s="2177"/>
      <c r="F1853" s="2176" t="str">
        <f t="shared" si="235"/>
        <v>ASHP-SEER19-Replace_CAC_NonElectricHeat_ER1_SF</v>
      </c>
      <c r="G1853" s="2176"/>
      <c r="H1853" s="2176"/>
      <c r="I1853" s="2176"/>
      <c r="J1853" s="986" t="str">
        <f t="shared" si="236"/>
        <v>354410_2024_12_</v>
      </c>
      <c r="K1853" s="1619">
        <v>6</v>
      </c>
      <c r="L1853" s="249"/>
      <c r="M1853" s="2222"/>
      <c r="T1853" s="50"/>
      <c r="U1853" s="50"/>
      <c r="V1853" s="2177"/>
      <c r="W1853" s="250"/>
      <c r="X1853" s="250"/>
      <c r="Y1853" s="250"/>
      <c r="Z1853" s="250"/>
      <c r="AA1853" s="250"/>
      <c r="AB1853" s="250"/>
      <c r="AC1853" s="987">
        <v>6</v>
      </c>
      <c r="AD1853" s="250">
        <v>6</v>
      </c>
      <c r="AE1853" s="250">
        <v>6</v>
      </c>
      <c r="AF1853" s="258">
        <f t="shared" si="234"/>
        <v>6</v>
      </c>
      <c r="AG1853" s="250"/>
      <c r="DG1853" s="555"/>
      <c r="DH1853" s="151"/>
      <c r="DI1853" s="1049"/>
      <c r="DJ1853" s="1127"/>
    </row>
    <row r="1854" spans="1:114" ht="15" hidden="1" customHeight="1" outlineLevel="1" x14ac:dyDescent="0.25">
      <c r="A1854" s="442"/>
      <c r="C1854" s="49"/>
      <c r="D1854" s="2177"/>
      <c r="E1854" s="2177"/>
      <c r="F1854" s="2176" t="str">
        <f t="shared" si="235"/>
        <v>ASHP-SEER19-Replace_CAC_NonElectricHeat_ER2_SF</v>
      </c>
      <c r="G1854" s="2176"/>
      <c r="H1854" s="2176"/>
      <c r="I1854" s="2176"/>
      <c r="J1854" s="986" t="str">
        <f t="shared" si="236"/>
        <v>354410_2024_12_</v>
      </c>
      <c r="K1854" s="1619">
        <v>12</v>
      </c>
      <c r="L1854" s="249"/>
      <c r="M1854" s="2222"/>
      <c r="T1854" s="50"/>
      <c r="U1854" s="50"/>
      <c r="V1854" s="2177"/>
      <c r="W1854" s="250"/>
      <c r="X1854" s="250"/>
      <c r="Y1854" s="250"/>
      <c r="Z1854" s="250"/>
      <c r="AA1854" s="250"/>
      <c r="AB1854" s="250"/>
      <c r="AC1854" s="987">
        <v>12</v>
      </c>
      <c r="AD1854" s="250">
        <v>12</v>
      </c>
      <c r="AE1854" s="250">
        <v>12</v>
      </c>
      <c r="AF1854" s="258">
        <f t="shared" si="234"/>
        <v>12</v>
      </c>
      <c r="AG1854" s="250"/>
      <c r="DG1854" s="555"/>
      <c r="DH1854" s="151"/>
      <c r="DI1854" s="1049"/>
      <c r="DJ1854" s="1127"/>
    </row>
    <row r="1855" spans="1:114" ht="15" hidden="1" customHeight="1" outlineLevel="1" x14ac:dyDescent="0.25">
      <c r="A1855" s="442"/>
      <c r="C1855" s="49"/>
      <c r="D1855" s="2177"/>
      <c r="E1855" s="2177"/>
      <c r="F1855" s="2176" t="str">
        <f t="shared" si="235"/>
        <v>ASHP-SEER19-Replace_CAC_NonElectricHeat_ER2_SF</v>
      </c>
      <c r="G1855" s="2176"/>
      <c r="H1855" s="2176"/>
      <c r="I1855" s="2176"/>
      <c r="J1855" s="986" t="str">
        <f t="shared" si="236"/>
        <v>354410_2024_12_</v>
      </c>
      <c r="K1855" s="1619">
        <v>12</v>
      </c>
      <c r="L1855" s="249"/>
      <c r="M1855" s="2222"/>
      <c r="T1855" s="50"/>
      <c r="U1855" s="50"/>
      <c r="V1855" s="2177"/>
      <c r="W1855" s="250"/>
      <c r="X1855" s="250"/>
      <c r="Y1855" s="250"/>
      <c r="Z1855" s="250"/>
      <c r="AA1855" s="250"/>
      <c r="AB1855" s="250"/>
      <c r="AC1855" s="987">
        <v>12</v>
      </c>
      <c r="AD1855" s="250">
        <v>12</v>
      </c>
      <c r="AE1855" s="250">
        <v>12</v>
      </c>
      <c r="AF1855" s="258">
        <f t="shared" si="234"/>
        <v>12</v>
      </c>
      <c r="AG1855" s="250"/>
      <c r="DG1855" s="555"/>
      <c r="DH1855" s="151"/>
      <c r="DI1855" s="1049"/>
      <c r="DJ1855" s="1127"/>
    </row>
    <row r="1856" spans="1:114" ht="15" hidden="1" customHeight="1" outlineLevel="1" x14ac:dyDescent="0.25">
      <c r="A1856" s="442"/>
      <c r="C1856" s="49"/>
      <c r="D1856" s="2177"/>
      <c r="E1856" s="2177"/>
      <c r="F1856" s="2176" t="str">
        <f t="shared" si="235"/>
        <v>ASHP-SEER19-Replace_CAC_ElectricHeat_ER1_MF</v>
      </c>
      <c r="G1856" s="2176"/>
      <c r="H1856" s="2176"/>
      <c r="I1856" s="2176"/>
      <c r="J1856" s="986" t="str">
        <f t="shared" si="236"/>
        <v>354450_2024_12_</v>
      </c>
      <c r="K1856" s="1619">
        <v>6</v>
      </c>
      <c r="L1856" s="249"/>
      <c r="M1856" s="2222"/>
      <c r="P1856" s="248"/>
      <c r="Q1856" s="196"/>
      <c r="R1856" s="248"/>
      <c r="T1856" s="169"/>
      <c r="U1856" s="50"/>
      <c r="V1856" s="2177"/>
      <c r="W1856" s="250">
        <v>6</v>
      </c>
      <c r="X1856" s="250">
        <v>6</v>
      </c>
      <c r="Y1856" s="250">
        <v>6</v>
      </c>
      <c r="Z1856" s="250">
        <v>6</v>
      </c>
      <c r="AA1856" s="250">
        <v>6</v>
      </c>
      <c r="AB1856" s="250">
        <v>6</v>
      </c>
      <c r="AC1856" s="250">
        <v>6</v>
      </c>
      <c r="AD1856" s="250">
        <v>6</v>
      </c>
      <c r="AE1856" s="250">
        <v>6</v>
      </c>
      <c r="AF1856" s="258">
        <f t="shared" si="234"/>
        <v>6</v>
      </c>
      <c r="AG1856" s="250"/>
      <c r="DG1856" s="555"/>
      <c r="DH1856" s="151"/>
      <c r="DI1856" s="1049"/>
      <c r="DJ1856" s="1127"/>
    </row>
    <row r="1857" spans="1:114" ht="15" hidden="1" customHeight="1" outlineLevel="1" x14ac:dyDescent="0.25">
      <c r="A1857" s="442"/>
      <c r="C1857" s="49"/>
      <c r="D1857" s="2177"/>
      <c r="E1857" s="2177"/>
      <c r="F1857" s="2176" t="str">
        <f t="shared" si="235"/>
        <v>ASHP-SEER19-Replace_CAC_ElectricHeat_ER1_MF</v>
      </c>
      <c r="G1857" s="2176"/>
      <c r="H1857" s="2176"/>
      <c r="I1857" s="2176"/>
      <c r="J1857" s="986" t="str">
        <f t="shared" si="236"/>
        <v>354450_2024_12_</v>
      </c>
      <c r="K1857" s="1619">
        <v>6</v>
      </c>
      <c r="L1857" s="249"/>
      <c r="M1857" s="2222"/>
      <c r="T1857" s="50"/>
      <c r="U1857" s="50"/>
      <c r="V1857" s="2177"/>
      <c r="W1857" s="250">
        <v>6</v>
      </c>
      <c r="X1857" s="250">
        <v>6</v>
      </c>
      <c r="Y1857" s="250">
        <v>6</v>
      </c>
      <c r="Z1857" s="250">
        <v>6</v>
      </c>
      <c r="AA1857" s="250">
        <v>6</v>
      </c>
      <c r="AB1857" s="250">
        <v>6</v>
      </c>
      <c r="AC1857" s="250">
        <v>6</v>
      </c>
      <c r="AD1857" s="250">
        <v>6</v>
      </c>
      <c r="AE1857" s="250">
        <v>6</v>
      </c>
      <c r="AF1857" s="258">
        <f t="shared" si="234"/>
        <v>6</v>
      </c>
      <c r="AG1857" s="250"/>
      <c r="DG1857" s="555"/>
      <c r="DH1857" s="151"/>
      <c r="DI1857" s="1049"/>
      <c r="DJ1857" s="1127"/>
    </row>
    <row r="1858" spans="1:114" ht="15" hidden="1" customHeight="1" outlineLevel="1" x14ac:dyDescent="0.25">
      <c r="A1858" s="442"/>
      <c r="C1858" s="49"/>
      <c r="D1858" s="2177"/>
      <c r="E1858" s="2177"/>
      <c r="F1858" s="2176" t="str">
        <f t="shared" si="235"/>
        <v>ASHP-SEER19-Replace_CAC_ElectricHeat_ER2_MF</v>
      </c>
      <c r="G1858" s="2176"/>
      <c r="H1858" s="2176"/>
      <c r="I1858" s="2176"/>
      <c r="J1858" s="986" t="str">
        <f t="shared" si="236"/>
        <v>354450_2024_12_</v>
      </c>
      <c r="K1858" s="1619">
        <v>12</v>
      </c>
      <c r="L1858" s="249"/>
      <c r="M1858" s="2222"/>
      <c r="T1858" s="50"/>
      <c r="U1858" s="50"/>
      <c r="V1858" s="2177"/>
      <c r="W1858" s="250">
        <v>12</v>
      </c>
      <c r="X1858" s="250">
        <v>12</v>
      </c>
      <c r="Y1858" s="250">
        <v>12</v>
      </c>
      <c r="Z1858" s="250">
        <v>12</v>
      </c>
      <c r="AA1858" s="250">
        <v>12</v>
      </c>
      <c r="AB1858" s="250">
        <v>12</v>
      </c>
      <c r="AC1858" s="250">
        <v>12</v>
      </c>
      <c r="AD1858" s="250">
        <v>12</v>
      </c>
      <c r="AE1858" s="250">
        <v>12</v>
      </c>
      <c r="AF1858" s="258">
        <f t="shared" si="234"/>
        <v>12</v>
      </c>
      <c r="AG1858" s="250"/>
      <c r="DG1858" s="555"/>
      <c r="DH1858" s="151"/>
      <c r="DI1858" s="1049"/>
      <c r="DJ1858" s="1127"/>
    </row>
    <row r="1859" spans="1:114" ht="15" hidden="1" customHeight="1" outlineLevel="1" x14ac:dyDescent="0.25">
      <c r="A1859" s="442"/>
      <c r="C1859" s="49"/>
      <c r="D1859" s="2177"/>
      <c r="E1859" s="2177"/>
      <c r="F1859" s="2176" t="str">
        <f t="shared" si="235"/>
        <v>ASHP-SEER19-Replace_CAC_ElectricHeat_ER2_MF</v>
      </c>
      <c r="G1859" s="2176"/>
      <c r="H1859" s="2176"/>
      <c r="I1859" s="2176"/>
      <c r="J1859" s="986" t="str">
        <f t="shared" si="236"/>
        <v>354450_2024_12_</v>
      </c>
      <c r="K1859" s="1619">
        <v>12</v>
      </c>
      <c r="L1859" s="249"/>
      <c r="M1859" s="2222"/>
      <c r="P1859" s="248"/>
      <c r="Q1859" s="196"/>
      <c r="R1859" s="248"/>
      <c r="T1859" s="169"/>
      <c r="U1859" s="50"/>
      <c r="V1859" s="2177"/>
      <c r="W1859" s="250">
        <v>12</v>
      </c>
      <c r="X1859" s="250">
        <v>12</v>
      </c>
      <c r="Y1859" s="250">
        <v>12</v>
      </c>
      <c r="Z1859" s="250">
        <v>12</v>
      </c>
      <c r="AA1859" s="250">
        <v>12</v>
      </c>
      <c r="AB1859" s="250">
        <v>12</v>
      </c>
      <c r="AC1859" s="250">
        <v>12</v>
      </c>
      <c r="AD1859" s="250">
        <v>12</v>
      </c>
      <c r="AE1859" s="250">
        <v>12</v>
      </c>
      <c r="AF1859" s="258">
        <f t="shared" si="234"/>
        <v>12</v>
      </c>
      <c r="AG1859" s="250"/>
      <c r="DG1859" s="555"/>
      <c r="DH1859" s="151"/>
      <c r="DI1859" s="1049"/>
      <c r="DJ1859" s="1127"/>
    </row>
    <row r="1860" spans="1:114" ht="15" hidden="1" customHeight="1" outlineLevel="1" x14ac:dyDescent="0.25">
      <c r="A1860" s="442"/>
      <c r="C1860" s="49"/>
      <c r="D1860" s="2177"/>
      <c r="E1860" s="2177"/>
      <c r="F1860" s="2176" t="str">
        <f t="shared" si="235"/>
        <v>ASHP-SEER19_ER1_MF</v>
      </c>
      <c r="G1860" s="2176"/>
      <c r="H1860" s="2176"/>
      <c r="I1860" s="2176"/>
      <c r="J1860" s="986" t="str">
        <f t="shared" si="236"/>
        <v>354500_2024_12_</v>
      </c>
      <c r="K1860" s="1619">
        <v>6</v>
      </c>
      <c r="L1860" s="249"/>
      <c r="M1860" s="2222"/>
      <c r="P1860" s="248"/>
      <c r="Q1860" s="196"/>
      <c r="R1860" s="248"/>
      <c r="T1860" s="169"/>
      <c r="U1860" s="50"/>
      <c r="V1860" s="2177"/>
      <c r="W1860" s="250">
        <v>6</v>
      </c>
      <c r="X1860" s="250">
        <v>6</v>
      </c>
      <c r="Y1860" s="250">
        <v>6</v>
      </c>
      <c r="Z1860" s="250">
        <v>6</v>
      </c>
      <c r="AA1860" s="250">
        <v>6</v>
      </c>
      <c r="AB1860" s="250">
        <v>6</v>
      </c>
      <c r="AC1860" s="250">
        <v>6</v>
      </c>
      <c r="AD1860" s="250">
        <v>6</v>
      </c>
      <c r="AE1860" s="250">
        <v>6</v>
      </c>
      <c r="AF1860" s="258">
        <f t="shared" si="234"/>
        <v>6</v>
      </c>
      <c r="AG1860" s="250"/>
      <c r="DG1860" s="555"/>
      <c r="DH1860" s="151"/>
      <c r="DI1860" s="1049"/>
      <c r="DJ1860" s="1127"/>
    </row>
    <row r="1861" spans="1:114" ht="15" hidden="1" customHeight="1" outlineLevel="1" x14ac:dyDescent="0.25">
      <c r="A1861" s="442"/>
      <c r="C1861" s="49"/>
      <c r="D1861" s="2177"/>
      <c r="E1861" s="2177"/>
      <c r="F1861" s="2176" t="str">
        <f t="shared" si="235"/>
        <v>ASHP-SEER19_ER1_MF</v>
      </c>
      <c r="G1861" s="2176"/>
      <c r="H1861" s="2176"/>
      <c r="I1861" s="2176"/>
      <c r="J1861" s="986" t="str">
        <f t="shared" si="236"/>
        <v>354500_2024_12_</v>
      </c>
      <c r="K1861" s="1619">
        <v>6</v>
      </c>
      <c r="L1861" s="249"/>
      <c r="M1861" s="2222"/>
      <c r="T1861" s="50"/>
      <c r="U1861" s="50"/>
      <c r="V1861" s="2177"/>
      <c r="W1861" s="250">
        <v>6</v>
      </c>
      <c r="X1861" s="250">
        <v>6</v>
      </c>
      <c r="Y1861" s="250">
        <v>6</v>
      </c>
      <c r="Z1861" s="250">
        <v>6</v>
      </c>
      <c r="AA1861" s="250">
        <v>6</v>
      </c>
      <c r="AB1861" s="250">
        <v>6</v>
      </c>
      <c r="AC1861" s="250">
        <v>6</v>
      </c>
      <c r="AD1861" s="250">
        <v>6</v>
      </c>
      <c r="AE1861" s="250">
        <v>6</v>
      </c>
      <c r="AF1861" s="258">
        <f t="shared" si="234"/>
        <v>6</v>
      </c>
      <c r="AG1861" s="250"/>
      <c r="DG1861" s="555"/>
      <c r="DH1861" s="151"/>
      <c r="DI1861" s="1049"/>
      <c r="DJ1861" s="1127"/>
    </row>
    <row r="1862" spans="1:114" ht="15" hidden="1" customHeight="1" outlineLevel="1" x14ac:dyDescent="0.25">
      <c r="A1862" s="442"/>
      <c r="C1862" s="49"/>
      <c r="D1862" s="2177"/>
      <c r="E1862" s="2177"/>
      <c r="F1862" s="2176" t="str">
        <f t="shared" si="235"/>
        <v>ASHP-SEER19_ER2_MF</v>
      </c>
      <c r="G1862" s="2176"/>
      <c r="H1862" s="2176"/>
      <c r="I1862" s="2176"/>
      <c r="J1862" s="986" t="str">
        <f t="shared" si="236"/>
        <v>354500_2024_12_</v>
      </c>
      <c r="K1862" s="1619">
        <v>12</v>
      </c>
      <c r="L1862" s="249"/>
      <c r="M1862" s="2222"/>
      <c r="T1862" s="50"/>
      <c r="U1862" s="50"/>
      <c r="V1862" s="2177"/>
      <c r="W1862" s="250">
        <v>12</v>
      </c>
      <c r="X1862" s="250">
        <v>12</v>
      </c>
      <c r="Y1862" s="250">
        <v>12</v>
      </c>
      <c r="Z1862" s="250">
        <v>12</v>
      </c>
      <c r="AA1862" s="250">
        <v>12</v>
      </c>
      <c r="AB1862" s="250">
        <v>12</v>
      </c>
      <c r="AC1862" s="250">
        <v>12</v>
      </c>
      <c r="AD1862" s="250">
        <v>12</v>
      </c>
      <c r="AE1862" s="250">
        <v>12</v>
      </c>
      <c r="AF1862" s="258">
        <f t="shared" si="234"/>
        <v>12</v>
      </c>
      <c r="AG1862" s="250"/>
      <c r="DG1862" s="555"/>
      <c r="DH1862" s="151"/>
      <c r="DI1862" s="1049"/>
      <c r="DJ1862" s="1127"/>
    </row>
    <row r="1863" spans="1:114" ht="15" hidden="1" customHeight="1" outlineLevel="1" x14ac:dyDescent="0.25">
      <c r="A1863" s="442"/>
      <c r="C1863" s="49"/>
      <c r="D1863" s="2177"/>
      <c r="E1863" s="2177"/>
      <c r="F1863" s="2176" t="str">
        <f t="shared" si="235"/>
        <v>ASHP-SEER19_ER2_MF</v>
      </c>
      <c r="G1863" s="2176"/>
      <c r="H1863" s="2176"/>
      <c r="I1863" s="2176"/>
      <c r="J1863" s="986" t="str">
        <f t="shared" si="236"/>
        <v>354500_2024_12_</v>
      </c>
      <c r="K1863" s="1619">
        <v>12</v>
      </c>
      <c r="L1863" s="249"/>
      <c r="M1863" s="2222"/>
      <c r="P1863" s="248"/>
      <c r="Q1863" s="196"/>
      <c r="R1863" s="248"/>
      <c r="T1863" s="169"/>
      <c r="U1863" s="50"/>
      <c r="V1863" s="2177"/>
      <c r="W1863" s="250">
        <v>12</v>
      </c>
      <c r="X1863" s="250">
        <v>12</v>
      </c>
      <c r="Y1863" s="250">
        <v>12</v>
      </c>
      <c r="Z1863" s="250">
        <v>12</v>
      </c>
      <c r="AA1863" s="250">
        <v>12</v>
      </c>
      <c r="AB1863" s="250">
        <v>12</v>
      </c>
      <c r="AC1863" s="250">
        <v>12</v>
      </c>
      <c r="AD1863" s="250">
        <v>12</v>
      </c>
      <c r="AE1863" s="250">
        <v>12</v>
      </c>
      <c r="AF1863" s="258">
        <f t="shared" si="234"/>
        <v>12</v>
      </c>
      <c r="AG1863" s="250"/>
      <c r="DG1863" s="555"/>
      <c r="DH1863" s="151"/>
      <c r="DI1863" s="1049"/>
      <c r="DJ1863" s="1127"/>
    </row>
    <row r="1864" spans="1:114" ht="15" hidden="1" customHeight="1" outlineLevel="1" x14ac:dyDescent="0.25">
      <c r="A1864" s="442"/>
      <c r="C1864" s="49"/>
      <c r="D1864" s="2177"/>
      <c r="E1864" s="2177"/>
      <c r="F1864" s="2176" t="str">
        <f t="shared" si="235"/>
        <v>ASHP-SEER20_ER1_SF</v>
      </c>
      <c r="G1864" s="2176"/>
      <c r="H1864" s="2176"/>
      <c r="I1864" s="2176"/>
      <c r="J1864" s="986" t="str">
        <f t="shared" si="236"/>
        <v>354550_2024_12_</v>
      </c>
      <c r="K1864" s="1619">
        <v>6</v>
      </c>
      <c r="L1864" s="249"/>
      <c r="M1864" s="2222"/>
      <c r="P1864" s="248"/>
      <c r="Q1864" s="196"/>
      <c r="R1864" s="248"/>
      <c r="T1864" s="169"/>
      <c r="U1864" s="50"/>
      <c r="V1864" s="2177"/>
      <c r="W1864" s="250">
        <v>6</v>
      </c>
      <c r="X1864" s="250">
        <v>6</v>
      </c>
      <c r="Y1864" s="250">
        <v>6</v>
      </c>
      <c r="Z1864" s="250">
        <v>6</v>
      </c>
      <c r="AA1864" s="250">
        <v>6</v>
      </c>
      <c r="AB1864" s="250">
        <v>6</v>
      </c>
      <c r="AC1864" s="250">
        <v>6</v>
      </c>
      <c r="AD1864" s="250">
        <v>6</v>
      </c>
      <c r="AE1864" s="250">
        <v>6</v>
      </c>
      <c r="AF1864" s="258">
        <f t="shared" ref="AF1864:AF1893" si="237">IF(K1864&lt;&gt;"",K1864,"")</f>
        <v>6</v>
      </c>
      <c r="AG1864" s="250"/>
      <c r="DG1864" s="555"/>
      <c r="DH1864" s="151"/>
      <c r="DI1864" s="1049"/>
      <c r="DJ1864" s="1127"/>
    </row>
    <row r="1865" spans="1:114" ht="15" hidden="1" customHeight="1" outlineLevel="1" x14ac:dyDescent="0.25">
      <c r="A1865" s="442"/>
      <c r="C1865" s="49"/>
      <c r="D1865" s="2177"/>
      <c r="E1865" s="2177"/>
      <c r="F1865" s="2176" t="str">
        <f t="shared" si="235"/>
        <v>ASHP-SEER20_ER1_SF</v>
      </c>
      <c r="G1865" s="2176"/>
      <c r="H1865" s="2176"/>
      <c r="I1865" s="2176"/>
      <c r="J1865" s="986" t="str">
        <f t="shared" si="236"/>
        <v>354550_2024_12_</v>
      </c>
      <c r="K1865" s="1619">
        <v>6</v>
      </c>
      <c r="L1865" s="249"/>
      <c r="M1865" s="2222"/>
      <c r="P1865" s="248"/>
      <c r="Q1865" s="196"/>
      <c r="R1865" s="248"/>
      <c r="T1865" s="169"/>
      <c r="U1865" s="50"/>
      <c r="V1865" s="2177"/>
      <c r="W1865" s="250">
        <v>6</v>
      </c>
      <c r="X1865" s="250">
        <v>6</v>
      </c>
      <c r="Y1865" s="250">
        <v>6</v>
      </c>
      <c r="Z1865" s="250">
        <v>6</v>
      </c>
      <c r="AA1865" s="250">
        <v>6</v>
      </c>
      <c r="AB1865" s="250">
        <v>6</v>
      </c>
      <c r="AC1865" s="250">
        <v>6</v>
      </c>
      <c r="AD1865" s="250">
        <v>6</v>
      </c>
      <c r="AE1865" s="250">
        <v>6</v>
      </c>
      <c r="AF1865" s="258">
        <f t="shared" si="237"/>
        <v>6</v>
      </c>
      <c r="AG1865" s="250"/>
      <c r="DG1865" s="555"/>
      <c r="DH1865" s="151"/>
      <c r="DI1865" s="1049"/>
      <c r="DJ1865" s="1127"/>
    </row>
    <row r="1866" spans="1:114" ht="15" hidden="1" customHeight="1" outlineLevel="1" x14ac:dyDescent="0.25">
      <c r="A1866" s="442"/>
      <c r="C1866" s="49"/>
      <c r="D1866" s="2177"/>
      <c r="E1866" s="2177"/>
      <c r="F1866" s="2176" t="str">
        <f t="shared" si="235"/>
        <v>ASHP-SEER20_ER2_SF</v>
      </c>
      <c r="G1866" s="2176"/>
      <c r="H1866" s="2176"/>
      <c r="I1866" s="2176"/>
      <c r="J1866" s="986" t="str">
        <f t="shared" si="236"/>
        <v>354550_2024_12_</v>
      </c>
      <c r="K1866" s="1619">
        <v>12</v>
      </c>
      <c r="L1866" s="249"/>
      <c r="M1866" s="2222"/>
      <c r="P1866" s="248"/>
      <c r="Q1866" s="196"/>
      <c r="R1866" s="248"/>
      <c r="T1866" s="169"/>
      <c r="U1866" s="50"/>
      <c r="V1866" s="2177"/>
      <c r="W1866" s="250">
        <v>12</v>
      </c>
      <c r="X1866" s="250">
        <v>12</v>
      </c>
      <c r="Y1866" s="250">
        <v>12</v>
      </c>
      <c r="Z1866" s="250">
        <v>12</v>
      </c>
      <c r="AA1866" s="250">
        <v>12</v>
      </c>
      <c r="AB1866" s="250">
        <v>12</v>
      </c>
      <c r="AC1866" s="250">
        <v>12</v>
      </c>
      <c r="AD1866" s="250">
        <v>12</v>
      </c>
      <c r="AE1866" s="250">
        <v>12</v>
      </c>
      <c r="AF1866" s="258">
        <f t="shared" si="237"/>
        <v>12</v>
      </c>
      <c r="AG1866" s="250"/>
      <c r="DG1866" s="555"/>
      <c r="DH1866" s="151"/>
      <c r="DI1866" s="1049"/>
      <c r="DJ1866" s="1127"/>
    </row>
    <row r="1867" spans="1:114" ht="15" hidden="1" customHeight="1" outlineLevel="1" x14ac:dyDescent="0.25">
      <c r="A1867" s="442"/>
      <c r="C1867" s="49"/>
      <c r="D1867" s="2177"/>
      <c r="E1867" s="2177"/>
      <c r="F1867" s="2176" t="str">
        <f t="shared" si="235"/>
        <v>ASHP-SEER20_ER2_SF</v>
      </c>
      <c r="G1867" s="2176"/>
      <c r="H1867" s="2176"/>
      <c r="I1867" s="2176"/>
      <c r="J1867" s="986" t="str">
        <f t="shared" si="236"/>
        <v>354550_2024_12_</v>
      </c>
      <c r="K1867" s="1619">
        <v>12</v>
      </c>
      <c r="L1867" s="249"/>
      <c r="M1867" s="2222"/>
      <c r="P1867" s="248"/>
      <c r="Q1867" s="196"/>
      <c r="R1867" s="248"/>
      <c r="T1867" s="169"/>
      <c r="U1867" s="50"/>
      <c r="V1867" s="2177"/>
      <c r="W1867" s="250">
        <v>12</v>
      </c>
      <c r="X1867" s="250">
        <v>12</v>
      </c>
      <c r="Y1867" s="250">
        <v>12</v>
      </c>
      <c r="Z1867" s="250">
        <v>12</v>
      </c>
      <c r="AA1867" s="250">
        <v>12</v>
      </c>
      <c r="AB1867" s="250">
        <v>12</v>
      </c>
      <c r="AC1867" s="250">
        <v>12</v>
      </c>
      <c r="AD1867" s="250">
        <v>12</v>
      </c>
      <c r="AE1867" s="250">
        <v>12</v>
      </c>
      <c r="AF1867" s="258">
        <f t="shared" si="237"/>
        <v>12</v>
      </c>
      <c r="AG1867" s="250"/>
      <c r="DG1867" s="555"/>
      <c r="DH1867" s="151"/>
      <c r="DI1867" s="1049"/>
      <c r="DJ1867" s="1127"/>
    </row>
    <row r="1868" spans="1:114" ht="15" hidden="1" customHeight="1" outlineLevel="1" x14ac:dyDescent="0.25">
      <c r="A1868" s="442"/>
      <c r="C1868" s="49"/>
      <c r="D1868" s="2177"/>
      <c r="E1868" s="2177"/>
      <c r="F1868" s="2176" t="str">
        <f t="shared" si="235"/>
        <v>ASHP-SEER20_ROF_SF</v>
      </c>
      <c r="G1868" s="2176"/>
      <c r="H1868" s="2176"/>
      <c r="I1868" s="2176"/>
      <c r="J1868" s="986" t="str">
        <f t="shared" si="236"/>
        <v>354600_2024_12_</v>
      </c>
      <c r="K1868" s="1619">
        <v>18</v>
      </c>
      <c r="L1868" s="249"/>
      <c r="M1868" s="2222"/>
      <c r="P1868" s="248"/>
      <c r="Q1868" s="196"/>
      <c r="R1868" s="248"/>
      <c r="T1868" s="169"/>
      <c r="U1868" s="50"/>
      <c r="V1868" s="2177"/>
      <c r="W1868" s="250">
        <v>18</v>
      </c>
      <c r="X1868" s="250">
        <v>18</v>
      </c>
      <c r="Y1868" s="250">
        <v>18</v>
      </c>
      <c r="Z1868" s="250">
        <v>18</v>
      </c>
      <c r="AA1868" s="250">
        <v>18</v>
      </c>
      <c r="AB1868" s="250">
        <v>18</v>
      </c>
      <c r="AC1868" s="250">
        <v>18</v>
      </c>
      <c r="AD1868" s="250">
        <v>18</v>
      </c>
      <c r="AE1868" s="250">
        <v>18</v>
      </c>
      <c r="AF1868" s="258">
        <f t="shared" si="237"/>
        <v>18</v>
      </c>
      <c r="AG1868" s="250"/>
      <c r="DG1868" s="555"/>
      <c r="DH1868" s="151"/>
      <c r="DI1868" s="1049"/>
      <c r="DJ1868" s="1127"/>
    </row>
    <row r="1869" spans="1:114" ht="15" hidden="1" customHeight="1" outlineLevel="1" x14ac:dyDescent="0.25">
      <c r="A1869" s="442"/>
      <c r="C1869" s="49"/>
      <c r="D1869" s="2177"/>
      <c r="E1869" s="2177"/>
      <c r="F1869" s="2176" t="str">
        <f t="shared" si="235"/>
        <v>ASHP-SEER20_ROF_SF</v>
      </c>
      <c r="G1869" s="2176"/>
      <c r="H1869" s="2176"/>
      <c r="I1869" s="2176"/>
      <c r="J1869" s="986" t="str">
        <f t="shared" si="236"/>
        <v>354600_2024_12_</v>
      </c>
      <c r="K1869" s="1619">
        <v>18</v>
      </c>
      <c r="L1869" s="249"/>
      <c r="M1869" s="2222"/>
      <c r="P1869" s="248"/>
      <c r="Q1869" s="196"/>
      <c r="R1869" s="248"/>
      <c r="T1869" s="169"/>
      <c r="U1869" s="50"/>
      <c r="V1869" s="2177"/>
      <c r="W1869" s="250">
        <v>18</v>
      </c>
      <c r="X1869" s="250">
        <v>18</v>
      </c>
      <c r="Y1869" s="250">
        <v>18</v>
      </c>
      <c r="Z1869" s="250">
        <v>18</v>
      </c>
      <c r="AA1869" s="250">
        <v>18</v>
      </c>
      <c r="AB1869" s="250">
        <v>18</v>
      </c>
      <c r="AC1869" s="250">
        <v>18</v>
      </c>
      <c r="AD1869" s="250">
        <v>18</v>
      </c>
      <c r="AE1869" s="250">
        <v>18</v>
      </c>
      <c r="AF1869" s="258">
        <f t="shared" si="237"/>
        <v>18</v>
      </c>
      <c r="AG1869" s="250"/>
      <c r="DG1869" s="555"/>
      <c r="DH1869" s="151"/>
      <c r="DI1869" s="1049"/>
      <c r="DJ1869" s="1127"/>
    </row>
    <row r="1870" spans="1:114" ht="14.65" hidden="1" customHeight="1" outlineLevel="1" x14ac:dyDescent="0.25">
      <c r="A1870" s="442"/>
      <c r="C1870" s="49"/>
      <c r="D1870" s="2177"/>
      <c r="E1870" s="2177"/>
      <c r="F1870" s="2176" t="str">
        <f t="shared" si="235"/>
        <v>ASHP-SEER20-Replace_CAC_ElectricHeat_ER1_MF</v>
      </c>
      <c r="G1870" s="2176"/>
      <c r="H1870" s="2176"/>
      <c r="I1870" s="2176"/>
      <c r="J1870" s="986" t="str">
        <f t="shared" si="236"/>
        <v>354650_2024_12_</v>
      </c>
      <c r="K1870" s="1619">
        <v>6</v>
      </c>
      <c r="L1870" s="249"/>
      <c r="M1870" s="2222"/>
      <c r="P1870" s="248"/>
      <c r="Q1870" s="196"/>
      <c r="R1870" s="248"/>
      <c r="T1870" s="169"/>
      <c r="U1870" s="50"/>
      <c r="V1870" s="2177"/>
      <c r="W1870" s="250">
        <v>6</v>
      </c>
      <c r="X1870" s="250">
        <v>6</v>
      </c>
      <c r="Y1870" s="250">
        <v>6</v>
      </c>
      <c r="Z1870" s="250">
        <v>6</v>
      </c>
      <c r="AA1870" s="250">
        <v>6</v>
      </c>
      <c r="AB1870" s="250">
        <v>6</v>
      </c>
      <c r="AC1870" s="250">
        <v>6</v>
      </c>
      <c r="AD1870" s="250">
        <v>6</v>
      </c>
      <c r="AE1870" s="250">
        <v>6</v>
      </c>
      <c r="AF1870" s="258">
        <f t="shared" si="237"/>
        <v>6</v>
      </c>
      <c r="AG1870" s="250"/>
      <c r="DG1870" s="555"/>
      <c r="DH1870" s="151"/>
      <c r="DI1870" s="1049"/>
      <c r="DJ1870" s="1127"/>
    </row>
    <row r="1871" spans="1:114" ht="14.65" hidden="1" customHeight="1" outlineLevel="1" x14ac:dyDescent="0.25">
      <c r="A1871" s="442"/>
      <c r="C1871" s="49"/>
      <c r="D1871" s="2177"/>
      <c r="E1871" s="2177"/>
      <c r="F1871" s="2176" t="str">
        <f t="shared" si="235"/>
        <v>ASHP-SEER20-Replace_CAC_ElectricHeat_ER1_MF</v>
      </c>
      <c r="G1871" s="2176"/>
      <c r="H1871" s="2176"/>
      <c r="I1871" s="2176"/>
      <c r="J1871" s="986" t="str">
        <f t="shared" si="236"/>
        <v>354650_2024_12_</v>
      </c>
      <c r="K1871" s="1619">
        <v>6</v>
      </c>
      <c r="L1871" s="249"/>
      <c r="M1871" s="2222"/>
      <c r="P1871" s="248"/>
      <c r="Q1871" s="196"/>
      <c r="R1871" s="248"/>
      <c r="T1871" s="169"/>
      <c r="U1871" s="50"/>
      <c r="V1871" s="2177"/>
      <c r="W1871" s="250">
        <v>6</v>
      </c>
      <c r="X1871" s="250">
        <v>6</v>
      </c>
      <c r="Y1871" s="250">
        <v>6</v>
      </c>
      <c r="Z1871" s="250">
        <v>6</v>
      </c>
      <c r="AA1871" s="250">
        <v>6</v>
      </c>
      <c r="AB1871" s="250">
        <v>6</v>
      </c>
      <c r="AC1871" s="250">
        <v>6</v>
      </c>
      <c r="AD1871" s="250">
        <v>6</v>
      </c>
      <c r="AE1871" s="250">
        <v>6</v>
      </c>
      <c r="AF1871" s="258">
        <f t="shared" si="237"/>
        <v>6</v>
      </c>
      <c r="AG1871" s="250"/>
      <c r="DG1871" s="555"/>
      <c r="DH1871" s="151"/>
      <c r="DI1871" s="1049"/>
      <c r="DJ1871" s="1127"/>
    </row>
    <row r="1872" spans="1:114" ht="14.65" hidden="1" customHeight="1" outlineLevel="1" x14ac:dyDescent="0.25">
      <c r="A1872" s="442"/>
      <c r="C1872" s="49"/>
      <c r="D1872" s="2177"/>
      <c r="E1872" s="2177"/>
      <c r="F1872" s="2176" t="str">
        <f t="shared" si="235"/>
        <v>ASHP-SEER20-Replace_CAC_ElectricHeat_ER2_MF</v>
      </c>
      <c r="G1872" s="2176"/>
      <c r="H1872" s="2176"/>
      <c r="I1872" s="2176"/>
      <c r="J1872" s="986" t="str">
        <f t="shared" si="236"/>
        <v>354650_2024_12_</v>
      </c>
      <c r="K1872" s="1619">
        <v>12</v>
      </c>
      <c r="L1872" s="249"/>
      <c r="M1872" s="2222"/>
      <c r="P1872" s="248"/>
      <c r="Q1872" s="196"/>
      <c r="R1872" s="248"/>
      <c r="T1872" s="169"/>
      <c r="U1872" s="50"/>
      <c r="V1872" s="2177"/>
      <c r="W1872" s="250">
        <v>12</v>
      </c>
      <c r="X1872" s="250">
        <v>12</v>
      </c>
      <c r="Y1872" s="250">
        <v>12</v>
      </c>
      <c r="Z1872" s="250">
        <v>12</v>
      </c>
      <c r="AA1872" s="250">
        <v>12</v>
      </c>
      <c r="AB1872" s="250">
        <v>12</v>
      </c>
      <c r="AC1872" s="250">
        <v>12</v>
      </c>
      <c r="AD1872" s="250">
        <v>12</v>
      </c>
      <c r="AE1872" s="250">
        <v>12</v>
      </c>
      <c r="AF1872" s="258">
        <f t="shared" si="237"/>
        <v>12</v>
      </c>
      <c r="AG1872" s="250"/>
      <c r="DG1872" s="555"/>
      <c r="DH1872" s="151"/>
      <c r="DI1872" s="1049"/>
      <c r="DJ1872" s="1127"/>
    </row>
    <row r="1873" spans="1:114" ht="14.65" hidden="1" customHeight="1" outlineLevel="1" x14ac:dyDescent="0.25">
      <c r="A1873" s="442"/>
      <c r="C1873" s="49"/>
      <c r="D1873" s="2177"/>
      <c r="E1873" s="2177"/>
      <c r="F1873" s="2176" t="str">
        <f t="shared" si="235"/>
        <v>ASHP-SEER20-Replace_CAC_ElectricHeat_ER2_MF</v>
      </c>
      <c r="G1873" s="2176"/>
      <c r="H1873" s="2176"/>
      <c r="I1873" s="2176"/>
      <c r="J1873" s="986" t="str">
        <f t="shared" si="236"/>
        <v>354650_2024_12_</v>
      </c>
      <c r="K1873" s="1619">
        <v>12</v>
      </c>
      <c r="L1873" s="249"/>
      <c r="M1873" s="2222"/>
      <c r="P1873" s="248"/>
      <c r="Q1873" s="196"/>
      <c r="R1873" s="248"/>
      <c r="T1873" s="169"/>
      <c r="U1873" s="50"/>
      <c r="V1873" s="2177"/>
      <c r="W1873" s="250">
        <v>12</v>
      </c>
      <c r="X1873" s="250">
        <v>12</v>
      </c>
      <c r="Y1873" s="250">
        <v>12</v>
      </c>
      <c r="Z1873" s="250">
        <v>12</v>
      </c>
      <c r="AA1873" s="250">
        <v>12</v>
      </c>
      <c r="AB1873" s="250">
        <v>12</v>
      </c>
      <c r="AC1873" s="250">
        <v>12</v>
      </c>
      <c r="AD1873" s="250">
        <v>12</v>
      </c>
      <c r="AE1873" s="250">
        <v>12</v>
      </c>
      <c r="AF1873" s="258">
        <f t="shared" si="237"/>
        <v>12</v>
      </c>
      <c r="AG1873" s="250"/>
      <c r="DG1873" s="555"/>
      <c r="DH1873" s="151"/>
      <c r="DI1873" s="1049"/>
      <c r="DJ1873" s="1127"/>
    </row>
    <row r="1874" spans="1:114" ht="14.65" hidden="1" customHeight="1" outlineLevel="1" x14ac:dyDescent="0.25">
      <c r="A1874" s="442"/>
      <c r="C1874" s="49"/>
      <c r="D1874" s="2177"/>
      <c r="E1874" s="2177"/>
      <c r="F1874" s="2176" t="str">
        <f t="shared" si="235"/>
        <v>ASHP-SEER20_ER1_MF</v>
      </c>
      <c r="G1874" s="2176"/>
      <c r="H1874" s="2176"/>
      <c r="I1874" s="2176"/>
      <c r="J1874" s="986" t="str">
        <f t="shared" si="236"/>
        <v>354700_2024_12_</v>
      </c>
      <c r="K1874" s="1619">
        <v>6</v>
      </c>
      <c r="L1874" s="249"/>
      <c r="M1874" s="2222"/>
      <c r="P1874" s="248"/>
      <c r="Q1874" s="196"/>
      <c r="R1874" s="248"/>
      <c r="T1874" s="169"/>
      <c r="U1874" s="50"/>
      <c r="V1874" s="2177"/>
      <c r="W1874" s="250">
        <v>6</v>
      </c>
      <c r="X1874" s="250">
        <v>6</v>
      </c>
      <c r="Y1874" s="250">
        <v>6</v>
      </c>
      <c r="Z1874" s="250">
        <v>6</v>
      </c>
      <c r="AA1874" s="250">
        <v>6</v>
      </c>
      <c r="AB1874" s="250">
        <v>6</v>
      </c>
      <c r="AC1874" s="250">
        <v>6</v>
      </c>
      <c r="AD1874" s="250">
        <v>6</v>
      </c>
      <c r="AE1874" s="250">
        <v>6</v>
      </c>
      <c r="AF1874" s="258">
        <f t="shared" si="237"/>
        <v>6</v>
      </c>
      <c r="AG1874" s="250"/>
      <c r="DG1874" s="555"/>
      <c r="DH1874" s="151"/>
      <c r="DI1874" s="1049"/>
      <c r="DJ1874" s="1127"/>
    </row>
    <row r="1875" spans="1:114" ht="14.65" hidden="1" customHeight="1" outlineLevel="1" x14ac:dyDescent="0.25">
      <c r="A1875" s="442"/>
      <c r="C1875" s="49"/>
      <c r="D1875" s="2177"/>
      <c r="E1875" s="2177"/>
      <c r="F1875" s="2176" t="str">
        <f t="shared" si="235"/>
        <v>ASHP-SEER20_ER1_MF</v>
      </c>
      <c r="G1875" s="2176"/>
      <c r="H1875" s="2176"/>
      <c r="I1875" s="2176"/>
      <c r="J1875" s="986" t="str">
        <f t="shared" si="236"/>
        <v>354700_2024_12_</v>
      </c>
      <c r="K1875" s="1619">
        <v>6</v>
      </c>
      <c r="L1875" s="249"/>
      <c r="M1875" s="2222"/>
      <c r="P1875" s="248"/>
      <c r="Q1875" s="196"/>
      <c r="R1875" s="248"/>
      <c r="T1875" s="169"/>
      <c r="U1875" s="50"/>
      <c r="V1875" s="2177"/>
      <c r="W1875" s="250">
        <v>6</v>
      </c>
      <c r="X1875" s="250">
        <v>6</v>
      </c>
      <c r="Y1875" s="250">
        <v>6</v>
      </c>
      <c r="Z1875" s="250">
        <v>6</v>
      </c>
      <c r="AA1875" s="250">
        <v>6</v>
      </c>
      <c r="AB1875" s="250">
        <v>6</v>
      </c>
      <c r="AC1875" s="250">
        <v>6</v>
      </c>
      <c r="AD1875" s="250">
        <v>6</v>
      </c>
      <c r="AE1875" s="250">
        <v>6</v>
      </c>
      <c r="AF1875" s="258">
        <f t="shared" si="237"/>
        <v>6</v>
      </c>
      <c r="AG1875" s="250"/>
      <c r="DG1875" s="555"/>
      <c r="DH1875" s="151"/>
      <c r="DI1875" s="1049"/>
      <c r="DJ1875" s="1127"/>
    </row>
    <row r="1876" spans="1:114" ht="14.65" hidden="1" customHeight="1" outlineLevel="1" x14ac:dyDescent="0.25">
      <c r="A1876" s="442"/>
      <c r="C1876" s="49"/>
      <c r="D1876" s="2177"/>
      <c r="E1876" s="2177"/>
      <c r="F1876" s="2176" t="str">
        <f t="shared" si="235"/>
        <v>ASHP-SEER20_ER2_MF</v>
      </c>
      <c r="G1876" s="2176"/>
      <c r="H1876" s="2176"/>
      <c r="I1876" s="2176"/>
      <c r="J1876" s="986" t="str">
        <f t="shared" si="236"/>
        <v>354700_2024_12_</v>
      </c>
      <c r="K1876" s="1619">
        <v>12</v>
      </c>
      <c r="L1876" s="249"/>
      <c r="M1876" s="2222"/>
      <c r="P1876" s="248"/>
      <c r="Q1876" s="196"/>
      <c r="R1876" s="248"/>
      <c r="T1876" s="169"/>
      <c r="U1876" s="50"/>
      <c r="V1876" s="2177"/>
      <c r="W1876" s="250">
        <v>12</v>
      </c>
      <c r="X1876" s="250">
        <v>12</v>
      </c>
      <c r="Y1876" s="250">
        <v>12</v>
      </c>
      <c r="Z1876" s="250">
        <v>12</v>
      </c>
      <c r="AA1876" s="250">
        <v>12</v>
      </c>
      <c r="AB1876" s="250">
        <v>12</v>
      </c>
      <c r="AC1876" s="250">
        <v>12</v>
      </c>
      <c r="AD1876" s="250">
        <v>12</v>
      </c>
      <c r="AE1876" s="250">
        <v>12</v>
      </c>
      <c r="AF1876" s="258">
        <f t="shared" si="237"/>
        <v>12</v>
      </c>
      <c r="AG1876" s="250"/>
      <c r="DG1876" s="555"/>
      <c r="DH1876" s="151"/>
      <c r="DI1876" s="1049"/>
      <c r="DJ1876" s="1127"/>
    </row>
    <row r="1877" spans="1:114" ht="14.65" hidden="1" customHeight="1" outlineLevel="1" x14ac:dyDescent="0.25">
      <c r="A1877" s="442"/>
      <c r="C1877" s="49"/>
      <c r="D1877" s="2177"/>
      <c r="E1877" s="2177"/>
      <c r="F1877" s="2176" t="str">
        <f t="shared" si="235"/>
        <v>ASHP-SEER20_ER2_MF</v>
      </c>
      <c r="G1877" s="2176"/>
      <c r="H1877" s="2176"/>
      <c r="I1877" s="2176"/>
      <c r="J1877" s="986" t="str">
        <f t="shared" si="236"/>
        <v>354700_2024_12_</v>
      </c>
      <c r="K1877" s="1619">
        <v>12</v>
      </c>
      <c r="L1877" s="249"/>
      <c r="M1877" s="2222"/>
      <c r="P1877" s="248"/>
      <c r="Q1877" s="196"/>
      <c r="R1877" s="248"/>
      <c r="T1877" s="169"/>
      <c r="U1877" s="50"/>
      <c r="V1877" s="2177"/>
      <c r="W1877" s="250">
        <v>12</v>
      </c>
      <c r="X1877" s="250">
        <v>12</v>
      </c>
      <c r="Y1877" s="250">
        <v>12</v>
      </c>
      <c r="Z1877" s="250">
        <v>12</v>
      </c>
      <c r="AA1877" s="250">
        <v>12</v>
      </c>
      <c r="AB1877" s="250">
        <v>12</v>
      </c>
      <c r="AC1877" s="250">
        <v>12</v>
      </c>
      <c r="AD1877" s="250">
        <v>12</v>
      </c>
      <c r="AE1877" s="250">
        <v>12</v>
      </c>
      <c r="AF1877" s="258">
        <f t="shared" si="237"/>
        <v>12</v>
      </c>
      <c r="AG1877" s="250"/>
      <c r="DG1877" s="555"/>
      <c r="DH1877" s="151"/>
      <c r="DI1877" s="1049"/>
      <c r="DJ1877" s="1127"/>
    </row>
    <row r="1878" spans="1:114" ht="14.65" hidden="1" customHeight="1" outlineLevel="1" x14ac:dyDescent="0.25">
      <c r="A1878" s="442"/>
      <c r="C1878" s="49"/>
      <c r="D1878" s="2177"/>
      <c r="E1878" s="2177"/>
      <c r="F1878" s="2176" t="str">
        <f t="shared" si="235"/>
        <v>ASHP-SEER21_ER1_SF</v>
      </c>
      <c r="G1878" s="2176"/>
      <c r="H1878" s="2176"/>
      <c r="I1878" s="2176"/>
      <c r="J1878" s="986" t="str">
        <f t="shared" si="236"/>
        <v>354750_2024_12_</v>
      </c>
      <c r="K1878" s="1619">
        <v>6</v>
      </c>
      <c r="L1878" s="249"/>
      <c r="M1878" s="2222"/>
      <c r="P1878" s="248"/>
      <c r="Q1878" s="196"/>
      <c r="R1878" s="248"/>
      <c r="T1878" s="169"/>
      <c r="U1878" s="50"/>
      <c r="V1878" s="2177"/>
      <c r="W1878" s="250">
        <v>6</v>
      </c>
      <c r="X1878" s="250">
        <v>6</v>
      </c>
      <c r="Y1878" s="250">
        <v>6</v>
      </c>
      <c r="Z1878" s="250">
        <v>6</v>
      </c>
      <c r="AA1878" s="250">
        <v>6</v>
      </c>
      <c r="AB1878" s="250">
        <v>6</v>
      </c>
      <c r="AC1878" s="250">
        <v>6</v>
      </c>
      <c r="AD1878" s="250">
        <v>6</v>
      </c>
      <c r="AE1878" s="250">
        <v>6</v>
      </c>
      <c r="AF1878" s="258">
        <f t="shared" si="237"/>
        <v>6</v>
      </c>
      <c r="AG1878" s="250"/>
      <c r="DG1878" s="555"/>
      <c r="DH1878" s="151"/>
      <c r="DI1878" s="1049"/>
      <c r="DJ1878" s="1127"/>
    </row>
    <row r="1879" spans="1:114" ht="14.65" hidden="1" customHeight="1" outlineLevel="1" x14ac:dyDescent="0.25">
      <c r="A1879" s="442"/>
      <c r="C1879" s="49"/>
      <c r="D1879" s="2177"/>
      <c r="E1879" s="2177"/>
      <c r="F1879" s="2176" t="str">
        <f t="shared" si="235"/>
        <v>ASHP-SEER21_ER1_SF</v>
      </c>
      <c r="G1879" s="2176"/>
      <c r="H1879" s="2176"/>
      <c r="I1879" s="2176"/>
      <c r="J1879" s="986" t="str">
        <f t="shared" si="236"/>
        <v>354750_2024_12_</v>
      </c>
      <c r="K1879" s="1619">
        <v>6</v>
      </c>
      <c r="L1879" s="249"/>
      <c r="M1879" s="2222"/>
      <c r="P1879" s="248"/>
      <c r="Q1879" s="196"/>
      <c r="R1879" s="248"/>
      <c r="T1879" s="169"/>
      <c r="U1879" s="50"/>
      <c r="V1879" s="2177"/>
      <c r="W1879" s="250">
        <v>6</v>
      </c>
      <c r="X1879" s="250">
        <v>6</v>
      </c>
      <c r="Y1879" s="250">
        <v>6</v>
      </c>
      <c r="Z1879" s="250">
        <v>6</v>
      </c>
      <c r="AA1879" s="250">
        <v>6</v>
      </c>
      <c r="AB1879" s="250">
        <v>6</v>
      </c>
      <c r="AC1879" s="250">
        <v>6</v>
      </c>
      <c r="AD1879" s="250">
        <v>6</v>
      </c>
      <c r="AE1879" s="250">
        <v>6</v>
      </c>
      <c r="AF1879" s="258">
        <f t="shared" si="237"/>
        <v>6</v>
      </c>
      <c r="AG1879" s="250"/>
      <c r="DG1879" s="555"/>
      <c r="DH1879" s="151"/>
      <c r="DI1879" s="1049"/>
      <c r="DJ1879" s="1127"/>
    </row>
    <row r="1880" spans="1:114" ht="14.65" hidden="1" customHeight="1" outlineLevel="1" x14ac:dyDescent="0.25">
      <c r="A1880" s="442"/>
      <c r="C1880" s="49"/>
      <c r="D1880" s="2177"/>
      <c r="E1880" s="2177"/>
      <c r="F1880" s="2176" t="str">
        <f t="shared" ref="F1880:F1899" si="238">E869</f>
        <v>ASHP-SEER21_ER2_SF</v>
      </c>
      <c r="G1880" s="2176"/>
      <c r="H1880" s="2176"/>
      <c r="I1880" s="2176"/>
      <c r="J1880" s="986" t="str">
        <f t="shared" ref="J1880:J1899" si="239">C869</f>
        <v>354750_2024_12_</v>
      </c>
      <c r="K1880" s="1619">
        <v>12</v>
      </c>
      <c r="L1880" s="249"/>
      <c r="M1880" s="2222"/>
      <c r="P1880" s="248"/>
      <c r="Q1880" s="196"/>
      <c r="R1880" s="248"/>
      <c r="T1880" s="169"/>
      <c r="U1880" s="50"/>
      <c r="V1880" s="2177"/>
      <c r="W1880" s="250">
        <v>12</v>
      </c>
      <c r="X1880" s="250">
        <v>12</v>
      </c>
      <c r="Y1880" s="250">
        <v>12</v>
      </c>
      <c r="Z1880" s="250">
        <v>12</v>
      </c>
      <c r="AA1880" s="250">
        <v>12</v>
      </c>
      <c r="AB1880" s="250">
        <v>12</v>
      </c>
      <c r="AC1880" s="250">
        <v>12</v>
      </c>
      <c r="AD1880" s="250">
        <v>12</v>
      </c>
      <c r="AE1880" s="250">
        <v>12</v>
      </c>
      <c r="AF1880" s="258">
        <f t="shared" si="237"/>
        <v>12</v>
      </c>
      <c r="AG1880" s="250"/>
      <c r="DG1880" s="555"/>
      <c r="DH1880" s="151"/>
      <c r="DI1880" s="1049"/>
      <c r="DJ1880" s="1127"/>
    </row>
    <row r="1881" spans="1:114" ht="14.65" hidden="1" customHeight="1" outlineLevel="1" x14ac:dyDescent="0.25">
      <c r="A1881" s="442"/>
      <c r="C1881" s="49"/>
      <c r="D1881" s="2177"/>
      <c r="E1881" s="2177"/>
      <c r="F1881" s="2176" t="str">
        <f t="shared" si="238"/>
        <v>ASHP-SEER21_ER2_SF</v>
      </c>
      <c r="G1881" s="2176"/>
      <c r="H1881" s="2176"/>
      <c r="I1881" s="2176"/>
      <c r="J1881" s="986" t="str">
        <f t="shared" si="239"/>
        <v>354750_2024_12_</v>
      </c>
      <c r="K1881" s="1619">
        <v>12</v>
      </c>
      <c r="L1881" s="249"/>
      <c r="M1881" s="2222"/>
      <c r="P1881" s="248"/>
      <c r="Q1881" s="196"/>
      <c r="R1881" s="248"/>
      <c r="T1881" s="169"/>
      <c r="U1881" s="50"/>
      <c r="V1881" s="2177"/>
      <c r="W1881" s="250">
        <v>12</v>
      </c>
      <c r="X1881" s="250">
        <v>12</v>
      </c>
      <c r="Y1881" s="250">
        <v>12</v>
      </c>
      <c r="Z1881" s="250">
        <v>12</v>
      </c>
      <c r="AA1881" s="250">
        <v>12</v>
      </c>
      <c r="AB1881" s="250">
        <v>12</v>
      </c>
      <c r="AC1881" s="250">
        <v>12</v>
      </c>
      <c r="AD1881" s="250">
        <v>12</v>
      </c>
      <c r="AE1881" s="250">
        <v>12</v>
      </c>
      <c r="AF1881" s="258">
        <f t="shared" si="237"/>
        <v>12</v>
      </c>
      <c r="AG1881" s="250"/>
      <c r="DG1881" s="555"/>
      <c r="DH1881" s="151"/>
      <c r="DI1881" s="1049"/>
      <c r="DJ1881" s="1127"/>
    </row>
    <row r="1882" spans="1:114" ht="14.65" hidden="1" customHeight="1" outlineLevel="1" x14ac:dyDescent="0.25">
      <c r="A1882" s="442"/>
      <c r="C1882" s="49"/>
      <c r="D1882" s="2177"/>
      <c r="E1882" s="2177"/>
      <c r="F1882" s="2176" t="str">
        <f t="shared" si="238"/>
        <v>ASHP-SEER21_ROF_SF</v>
      </c>
      <c r="G1882" s="2176"/>
      <c r="H1882" s="2176"/>
      <c r="I1882" s="2176"/>
      <c r="J1882" s="986" t="str">
        <f t="shared" si="239"/>
        <v>354800_2024_12_</v>
      </c>
      <c r="K1882" s="1619">
        <v>18</v>
      </c>
      <c r="L1882" s="249"/>
      <c r="M1882" s="2222"/>
      <c r="P1882" s="248"/>
      <c r="Q1882" s="196"/>
      <c r="R1882" s="248"/>
      <c r="T1882" s="169"/>
      <c r="U1882" s="50"/>
      <c r="V1882" s="2177"/>
      <c r="W1882" s="250">
        <v>18</v>
      </c>
      <c r="X1882" s="250">
        <v>18</v>
      </c>
      <c r="Y1882" s="250">
        <v>18</v>
      </c>
      <c r="Z1882" s="250">
        <v>18</v>
      </c>
      <c r="AA1882" s="250">
        <v>18</v>
      </c>
      <c r="AB1882" s="250">
        <v>18</v>
      </c>
      <c r="AC1882" s="250">
        <v>18</v>
      </c>
      <c r="AD1882" s="250">
        <v>18</v>
      </c>
      <c r="AE1882" s="250">
        <v>18</v>
      </c>
      <c r="AF1882" s="258">
        <f t="shared" si="237"/>
        <v>18</v>
      </c>
      <c r="AG1882" s="250"/>
      <c r="DG1882" s="555"/>
      <c r="DH1882" s="151"/>
      <c r="DI1882" s="1049"/>
      <c r="DJ1882" s="1127"/>
    </row>
    <row r="1883" spans="1:114" ht="14.65" hidden="1" customHeight="1" outlineLevel="1" x14ac:dyDescent="0.25">
      <c r="A1883" s="442"/>
      <c r="C1883" s="49"/>
      <c r="D1883" s="2177"/>
      <c r="E1883" s="2177"/>
      <c r="F1883" s="2176" t="str">
        <f t="shared" si="238"/>
        <v>ASHP-SEER21_ROF_SF</v>
      </c>
      <c r="G1883" s="2176"/>
      <c r="H1883" s="2176"/>
      <c r="I1883" s="2176"/>
      <c r="J1883" s="986" t="str">
        <f t="shared" si="239"/>
        <v>354800_2024_12_</v>
      </c>
      <c r="K1883" s="1619">
        <v>18</v>
      </c>
      <c r="L1883" s="249"/>
      <c r="M1883" s="2222"/>
      <c r="P1883" s="248"/>
      <c r="Q1883" s="196"/>
      <c r="R1883" s="248"/>
      <c r="T1883" s="169"/>
      <c r="U1883" s="50"/>
      <c r="V1883" s="2177"/>
      <c r="W1883" s="250">
        <v>18</v>
      </c>
      <c r="X1883" s="250">
        <v>18</v>
      </c>
      <c r="Y1883" s="250">
        <v>18</v>
      </c>
      <c r="Z1883" s="250">
        <v>18</v>
      </c>
      <c r="AA1883" s="250">
        <v>18</v>
      </c>
      <c r="AB1883" s="250">
        <v>18</v>
      </c>
      <c r="AC1883" s="250">
        <v>18</v>
      </c>
      <c r="AD1883" s="250">
        <v>18</v>
      </c>
      <c r="AE1883" s="250">
        <v>18</v>
      </c>
      <c r="AF1883" s="258">
        <f t="shared" si="237"/>
        <v>18</v>
      </c>
      <c r="AG1883" s="250"/>
      <c r="DG1883" s="555"/>
      <c r="DH1883" s="151"/>
      <c r="DI1883" s="1049"/>
      <c r="DJ1883" s="1127"/>
    </row>
    <row r="1884" spans="1:114" ht="14.65" hidden="1" customHeight="1" outlineLevel="1" x14ac:dyDescent="0.25">
      <c r="A1884" s="442"/>
      <c r="C1884" s="49"/>
      <c r="D1884" s="2177"/>
      <c r="E1884" s="2177"/>
      <c r="F1884" s="2176" t="str">
        <f t="shared" si="238"/>
        <v>ASHP-SEER21-Replace_CAC_ElectricHeat_ROF_MF</v>
      </c>
      <c r="G1884" s="2176"/>
      <c r="H1884" s="2176"/>
      <c r="I1884" s="2176"/>
      <c r="J1884" s="986" t="str">
        <f t="shared" si="239"/>
        <v>354850_2024_12_</v>
      </c>
      <c r="K1884" s="1619">
        <v>18</v>
      </c>
      <c r="L1884" s="249"/>
      <c r="M1884" s="2222"/>
      <c r="P1884" s="248"/>
      <c r="Q1884" s="196"/>
      <c r="R1884" s="248"/>
      <c r="T1884" s="169"/>
      <c r="U1884" s="50"/>
      <c r="V1884" s="2177"/>
      <c r="W1884" s="250">
        <v>18</v>
      </c>
      <c r="X1884" s="250">
        <v>18</v>
      </c>
      <c r="Y1884" s="250">
        <v>18</v>
      </c>
      <c r="Z1884" s="250">
        <v>18</v>
      </c>
      <c r="AA1884" s="250">
        <v>18</v>
      </c>
      <c r="AB1884" s="250">
        <v>18</v>
      </c>
      <c r="AC1884" s="250">
        <v>18</v>
      </c>
      <c r="AD1884" s="250">
        <v>18</v>
      </c>
      <c r="AE1884" s="250">
        <v>18</v>
      </c>
      <c r="AF1884" s="258">
        <f t="shared" si="237"/>
        <v>18</v>
      </c>
      <c r="AG1884" s="250"/>
      <c r="DG1884" s="555"/>
      <c r="DH1884" s="151"/>
      <c r="DI1884" s="1049"/>
      <c r="DJ1884" s="1127"/>
    </row>
    <row r="1885" spans="1:114" ht="14.65" hidden="1" customHeight="1" outlineLevel="1" x14ac:dyDescent="0.25">
      <c r="A1885" s="442"/>
      <c r="C1885" s="49"/>
      <c r="D1885" s="2177"/>
      <c r="E1885" s="2177"/>
      <c r="F1885" s="2176" t="str">
        <f t="shared" si="238"/>
        <v>ASHP-SEER21-Replace_CAC_ElectricHeat_ROF_MF</v>
      </c>
      <c r="G1885" s="2176"/>
      <c r="H1885" s="2176"/>
      <c r="I1885" s="2176"/>
      <c r="J1885" s="986" t="str">
        <f t="shared" si="239"/>
        <v>354850_2024_12_</v>
      </c>
      <c r="K1885" s="1619">
        <v>18</v>
      </c>
      <c r="L1885" s="249"/>
      <c r="M1885" s="2222"/>
      <c r="P1885" s="248"/>
      <c r="Q1885" s="196"/>
      <c r="R1885" s="248"/>
      <c r="T1885" s="169"/>
      <c r="U1885" s="50"/>
      <c r="V1885" s="2177"/>
      <c r="W1885" s="250">
        <v>18</v>
      </c>
      <c r="X1885" s="250">
        <v>18</v>
      </c>
      <c r="Y1885" s="250">
        <v>18</v>
      </c>
      <c r="Z1885" s="250">
        <v>18</v>
      </c>
      <c r="AA1885" s="250">
        <v>18</v>
      </c>
      <c r="AB1885" s="250">
        <v>18</v>
      </c>
      <c r="AC1885" s="250">
        <v>18</v>
      </c>
      <c r="AD1885" s="250">
        <v>18</v>
      </c>
      <c r="AE1885" s="250">
        <v>18</v>
      </c>
      <c r="AF1885" s="258">
        <f t="shared" si="237"/>
        <v>18</v>
      </c>
      <c r="AG1885" s="250"/>
      <c r="DG1885" s="555"/>
      <c r="DH1885" s="151"/>
      <c r="DI1885" s="1049"/>
      <c r="DJ1885" s="1127"/>
    </row>
    <row r="1886" spans="1:114" ht="14.65" hidden="1" customHeight="1" outlineLevel="1" x14ac:dyDescent="0.25">
      <c r="A1886" s="442"/>
      <c r="C1886" s="49"/>
      <c r="D1886" s="2177"/>
      <c r="E1886" s="2177"/>
      <c r="F1886" s="2176" t="str">
        <f t="shared" si="238"/>
        <v>ASHP-SEER21_ER1_MF</v>
      </c>
      <c r="G1886" s="2176"/>
      <c r="H1886" s="2176"/>
      <c r="I1886" s="2176"/>
      <c r="J1886" s="986" t="str">
        <f t="shared" si="239"/>
        <v>354900_2024_12_</v>
      </c>
      <c r="K1886" s="1619">
        <v>6</v>
      </c>
      <c r="L1886" s="249"/>
      <c r="M1886" s="2222"/>
      <c r="P1886" s="248"/>
      <c r="Q1886" s="196"/>
      <c r="R1886" s="248"/>
      <c r="T1886" s="169"/>
      <c r="U1886" s="50"/>
      <c r="V1886" s="2177"/>
      <c r="W1886" s="250">
        <v>6</v>
      </c>
      <c r="X1886" s="250">
        <v>6</v>
      </c>
      <c r="Y1886" s="250">
        <v>6</v>
      </c>
      <c r="Z1886" s="250">
        <v>6</v>
      </c>
      <c r="AA1886" s="250">
        <v>6</v>
      </c>
      <c r="AB1886" s="250">
        <v>6</v>
      </c>
      <c r="AC1886" s="250">
        <v>6</v>
      </c>
      <c r="AD1886" s="250">
        <v>6</v>
      </c>
      <c r="AE1886" s="250">
        <v>6</v>
      </c>
      <c r="AF1886" s="258">
        <f t="shared" si="237"/>
        <v>6</v>
      </c>
      <c r="AG1886" s="250"/>
      <c r="DG1886" s="555"/>
      <c r="DH1886" s="151"/>
      <c r="DI1886" s="1049"/>
      <c r="DJ1886" s="1127"/>
    </row>
    <row r="1887" spans="1:114" ht="14.65" hidden="1" customHeight="1" outlineLevel="1" x14ac:dyDescent="0.25">
      <c r="A1887" s="442"/>
      <c r="C1887" s="49"/>
      <c r="D1887" s="2177"/>
      <c r="E1887" s="2177"/>
      <c r="F1887" s="2176" t="str">
        <f t="shared" si="238"/>
        <v>ASHP-SEER21_ER1_MF</v>
      </c>
      <c r="G1887" s="2176"/>
      <c r="H1887" s="2176"/>
      <c r="I1887" s="2176"/>
      <c r="J1887" s="986" t="str">
        <f t="shared" si="239"/>
        <v>354900_2024_12_</v>
      </c>
      <c r="K1887" s="1619">
        <v>6</v>
      </c>
      <c r="L1887" s="249"/>
      <c r="M1887" s="2222"/>
      <c r="P1887" s="248"/>
      <c r="Q1887" s="196"/>
      <c r="R1887" s="248"/>
      <c r="T1887" s="169"/>
      <c r="U1887" s="50"/>
      <c r="V1887" s="2177"/>
      <c r="W1887" s="250">
        <v>6</v>
      </c>
      <c r="X1887" s="250">
        <v>6</v>
      </c>
      <c r="Y1887" s="250">
        <v>6</v>
      </c>
      <c r="Z1887" s="250">
        <v>6</v>
      </c>
      <c r="AA1887" s="250">
        <v>6</v>
      </c>
      <c r="AB1887" s="250">
        <v>6</v>
      </c>
      <c r="AC1887" s="250">
        <v>6</v>
      </c>
      <c r="AD1887" s="250">
        <v>6</v>
      </c>
      <c r="AE1887" s="250">
        <v>6</v>
      </c>
      <c r="AF1887" s="258">
        <f t="shared" si="237"/>
        <v>6</v>
      </c>
      <c r="AG1887" s="250"/>
      <c r="DG1887" s="555"/>
      <c r="DH1887" s="151"/>
      <c r="DI1887" s="1049"/>
      <c r="DJ1887" s="1127"/>
    </row>
    <row r="1888" spans="1:114" ht="14.65" hidden="1" customHeight="1" outlineLevel="1" x14ac:dyDescent="0.25">
      <c r="A1888" s="442"/>
      <c r="C1888" s="49"/>
      <c r="D1888" s="2177"/>
      <c r="E1888" s="2177"/>
      <c r="F1888" s="2176" t="str">
        <f t="shared" si="238"/>
        <v>ASHP-SEER21_ER2_MF</v>
      </c>
      <c r="G1888" s="2176"/>
      <c r="H1888" s="2176"/>
      <c r="I1888" s="2176"/>
      <c r="J1888" s="986" t="str">
        <f t="shared" si="239"/>
        <v>354900_2024_12_</v>
      </c>
      <c r="K1888" s="1619">
        <v>12</v>
      </c>
      <c r="L1888" s="249"/>
      <c r="M1888" s="2222"/>
      <c r="P1888" s="248"/>
      <c r="Q1888" s="196"/>
      <c r="R1888" s="248"/>
      <c r="T1888" s="169"/>
      <c r="U1888" s="50"/>
      <c r="V1888" s="2177"/>
      <c r="W1888" s="250">
        <v>12</v>
      </c>
      <c r="X1888" s="250">
        <v>12</v>
      </c>
      <c r="Y1888" s="250">
        <v>12</v>
      </c>
      <c r="Z1888" s="250">
        <v>12</v>
      </c>
      <c r="AA1888" s="250">
        <v>12</v>
      </c>
      <c r="AB1888" s="250">
        <v>12</v>
      </c>
      <c r="AC1888" s="250">
        <v>12</v>
      </c>
      <c r="AD1888" s="250">
        <v>12</v>
      </c>
      <c r="AE1888" s="250">
        <v>12</v>
      </c>
      <c r="AF1888" s="258">
        <f t="shared" si="237"/>
        <v>12</v>
      </c>
      <c r="AG1888" s="250"/>
      <c r="DG1888" s="555"/>
      <c r="DH1888" s="151"/>
      <c r="DI1888" s="1049"/>
      <c r="DJ1888" s="1127"/>
    </row>
    <row r="1889" spans="1:114" ht="14.65" hidden="1" customHeight="1" outlineLevel="1" x14ac:dyDescent="0.25">
      <c r="A1889" s="442"/>
      <c r="C1889" s="49"/>
      <c r="D1889" s="2177"/>
      <c r="E1889" s="2177"/>
      <c r="F1889" s="2176" t="str">
        <f t="shared" si="238"/>
        <v>ASHP-SEER21_ER2_MF</v>
      </c>
      <c r="G1889" s="2176"/>
      <c r="H1889" s="2176"/>
      <c r="I1889" s="2176"/>
      <c r="J1889" s="986" t="str">
        <f t="shared" si="239"/>
        <v>354900_2024_12_</v>
      </c>
      <c r="K1889" s="1619">
        <v>12</v>
      </c>
      <c r="L1889" s="249"/>
      <c r="M1889" s="2222"/>
      <c r="P1889" s="248"/>
      <c r="Q1889" s="196"/>
      <c r="R1889" s="248"/>
      <c r="T1889" s="169"/>
      <c r="U1889" s="50"/>
      <c r="V1889" s="2177"/>
      <c r="W1889" s="250">
        <v>12</v>
      </c>
      <c r="X1889" s="250">
        <v>12</v>
      </c>
      <c r="Y1889" s="250">
        <v>12</v>
      </c>
      <c r="Z1889" s="250">
        <v>12</v>
      </c>
      <c r="AA1889" s="250">
        <v>12</v>
      </c>
      <c r="AB1889" s="250">
        <v>12</v>
      </c>
      <c r="AC1889" s="250">
        <v>12</v>
      </c>
      <c r="AD1889" s="250">
        <v>12</v>
      </c>
      <c r="AE1889" s="250">
        <v>12</v>
      </c>
      <c r="AF1889" s="258">
        <f t="shared" si="237"/>
        <v>12</v>
      </c>
      <c r="AG1889" s="250"/>
      <c r="DG1889" s="555"/>
      <c r="DH1889" s="151"/>
      <c r="DI1889" s="1049"/>
      <c r="DJ1889" s="1127"/>
    </row>
    <row r="1890" spans="1:114" ht="14.65" hidden="1" customHeight="1" outlineLevel="1" x14ac:dyDescent="0.25">
      <c r="A1890" s="442"/>
      <c r="C1890" s="49"/>
      <c r="D1890" s="2177"/>
      <c r="E1890" s="2177"/>
      <c r="F1890" s="2176" t="str">
        <f t="shared" si="238"/>
        <v>ASHP-SEER17_ROF_MF</v>
      </c>
      <c r="G1890" s="2176"/>
      <c r="H1890" s="2176"/>
      <c r="I1890" s="2176"/>
      <c r="J1890" s="986" t="str">
        <f t="shared" si="239"/>
        <v>354950_2024_12_</v>
      </c>
      <c r="K1890" s="1619">
        <v>18</v>
      </c>
      <c r="L1890" s="249"/>
      <c r="M1890" s="2222"/>
      <c r="P1890" s="248"/>
      <c r="Q1890" s="196"/>
      <c r="R1890" s="248"/>
      <c r="T1890" s="169"/>
      <c r="U1890" s="50"/>
      <c r="V1890" s="2177"/>
      <c r="W1890" s="250">
        <v>18</v>
      </c>
      <c r="X1890" s="250">
        <v>18</v>
      </c>
      <c r="Y1890" s="250">
        <v>18</v>
      </c>
      <c r="Z1890" s="250">
        <v>18</v>
      </c>
      <c r="AA1890" s="250">
        <v>18</v>
      </c>
      <c r="AB1890" s="250">
        <v>18</v>
      </c>
      <c r="AC1890" s="250">
        <v>18</v>
      </c>
      <c r="AD1890" s="250">
        <v>18</v>
      </c>
      <c r="AE1890" s="250">
        <v>18</v>
      </c>
      <c r="AF1890" s="258">
        <f t="shared" si="237"/>
        <v>18</v>
      </c>
      <c r="AG1890" s="250"/>
      <c r="DG1890" s="555"/>
      <c r="DH1890" s="151"/>
      <c r="DI1890" s="1049"/>
      <c r="DJ1890" s="1127"/>
    </row>
    <row r="1891" spans="1:114" ht="14.65" hidden="1" customHeight="1" outlineLevel="1" x14ac:dyDescent="0.25">
      <c r="A1891" s="442"/>
      <c r="C1891" s="49"/>
      <c r="D1891" s="2177"/>
      <c r="E1891" s="2177"/>
      <c r="F1891" s="2176" t="str">
        <f t="shared" si="238"/>
        <v>ASHP-SEER17_ROF_MF</v>
      </c>
      <c r="G1891" s="2176"/>
      <c r="H1891" s="2176"/>
      <c r="I1891" s="2176"/>
      <c r="J1891" s="986" t="str">
        <f t="shared" si="239"/>
        <v>354950_2024_12_</v>
      </c>
      <c r="K1891" s="1619">
        <v>18</v>
      </c>
      <c r="L1891" s="249"/>
      <c r="M1891" s="2222"/>
      <c r="P1891" s="248"/>
      <c r="Q1891" s="196"/>
      <c r="R1891" s="248"/>
      <c r="T1891" s="169"/>
      <c r="U1891" s="50"/>
      <c r="V1891" s="2177"/>
      <c r="W1891" s="250">
        <v>18</v>
      </c>
      <c r="X1891" s="250">
        <v>18</v>
      </c>
      <c r="Y1891" s="250">
        <v>18</v>
      </c>
      <c r="Z1891" s="250">
        <v>18</v>
      </c>
      <c r="AA1891" s="250">
        <v>18</v>
      </c>
      <c r="AB1891" s="250">
        <v>18</v>
      </c>
      <c r="AC1891" s="250">
        <v>18</v>
      </c>
      <c r="AD1891" s="250">
        <v>18</v>
      </c>
      <c r="AE1891" s="250">
        <v>18</v>
      </c>
      <c r="AF1891" s="258">
        <f t="shared" si="237"/>
        <v>18</v>
      </c>
      <c r="AG1891" s="250"/>
      <c r="DG1891" s="555"/>
      <c r="DH1891" s="151"/>
      <c r="DI1891" s="1049"/>
      <c r="DJ1891" s="1127"/>
    </row>
    <row r="1892" spans="1:114" ht="14.65" hidden="1" customHeight="1" outlineLevel="1" x14ac:dyDescent="0.25">
      <c r="A1892" s="442"/>
      <c r="C1892" s="49"/>
      <c r="D1892" s="2177"/>
      <c r="E1892" s="2177"/>
      <c r="F1892" s="2176" t="str">
        <f t="shared" si="238"/>
        <v>ASHP-SEER18_ROF_MF</v>
      </c>
      <c r="G1892" s="2176"/>
      <c r="H1892" s="2176"/>
      <c r="I1892" s="2176"/>
      <c r="J1892" s="986" t="str">
        <f t="shared" si="239"/>
        <v>355000_2024_12_</v>
      </c>
      <c r="K1892" s="1619">
        <v>18</v>
      </c>
      <c r="L1892" s="249"/>
      <c r="M1892" s="2222"/>
      <c r="P1892" s="248"/>
      <c r="Q1892" s="196"/>
      <c r="R1892" s="248"/>
      <c r="T1892" s="169"/>
      <c r="U1892" s="50"/>
      <c r="V1892" s="2177"/>
      <c r="W1892" s="250">
        <v>18</v>
      </c>
      <c r="X1892" s="250">
        <v>18</v>
      </c>
      <c r="Y1892" s="250">
        <v>18</v>
      </c>
      <c r="Z1892" s="250">
        <v>18</v>
      </c>
      <c r="AA1892" s="250">
        <v>18</v>
      </c>
      <c r="AB1892" s="250">
        <v>18</v>
      </c>
      <c r="AC1892" s="250">
        <v>18</v>
      </c>
      <c r="AD1892" s="250">
        <v>18</v>
      </c>
      <c r="AE1892" s="250">
        <v>18</v>
      </c>
      <c r="AF1892" s="258">
        <f t="shared" si="237"/>
        <v>18</v>
      </c>
      <c r="AG1892" s="250"/>
      <c r="DG1892" s="555"/>
      <c r="DH1892" s="151"/>
      <c r="DI1892" s="1049"/>
      <c r="DJ1892" s="1127"/>
    </row>
    <row r="1893" spans="1:114" ht="14.65" hidden="1" customHeight="1" outlineLevel="1" x14ac:dyDescent="0.25">
      <c r="A1893" s="442"/>
      <c r="C1893" s="49"/>
      <c r="D1893" s="2177"/>
      <c r="E1893" s="2177"/>
      <c r="F1893" s="2176" t="str">
        <f t="shared" si="238"/>
        <v>ASHP-SEER18_ROF_MF</v>
      </c>
      <c r="G1893" s="2176"/>
      <c r="H1893" s="2176"/>
      <c r="I1893" s="2176"/>
      <c r="J1893" s="986" t="str">
        <f t="shared" si="239"/>
        <v>355000_2024_12_</v>
      </c>
      <c r="K1893" s="1619">
        <v>18</v>
      </c>
      <c r="L1893" s="249"/>
      <c r="M1893" s="2222"/>
      <c r="P1893" s="248"/>
      <c r="Q1893" s="196"/>
      <c r="R1893" s="248"/>
      <c r="T1893" s="169"/>
      <c r="U1893" s="50"/>
      <c r="V1893" s="2177"/>
      <c r="W1893" s="250">
        <v>18</v>
      </c>
      <c r="X1893" s="250">
        <v>18</v>
      </c>
      <c r="Y1893" s="250">
        <v>18</v>
      </c>
      <c r="Z1893" s="250">
        <v>18</v>
      </c>
      <c r="AA1893" s="250">
        <v>18</v>
      </c>
      <c r="AB1893" s="250">
        <v>18</v>
      </c>
      <c r="AC1893" s="250">
        <v>18</v>
      </c>
      <c r="AD1893" s="250">
        <v>18</v>
      </c>
      <c r="AE1893" s="250">
        <v>18</v>
      </c>
      <c r="AF1893" s="258">
        <f t="shared" si="237"/>
        <v>18</v>
      </c>
      <c r="AG1893" s="250"/>
      <c r="DG1893" s="555"/>
      <c r="DH1893" s="151"/>
      <c r="DI1893" s="1049"/>
      <c r="DJ1893" s="1127"/>
    </row>
    <row r="1894" spans="1:114" ht="14.65" hidden="1" customHeight="1" outlineLevel="1" x14ac:dyDescent="0.25">
      <c r="A1894" s="442"/>
      <c r="C1894" s="49"/>
      <c r="D1894" s="2177"/>
      <c r="E1894" s="2177"/>
      <c r="F1894" s="2176" t="str">
        <f t="shared" si="238"/>
        <v>ASHP-SEER19_ROF_MF</v>
      </c>
      <c r="G1894" s="2176"/>
      <c r="H1894" s="2176"/>
      <c r="I1894" s="2176"/>
      <c r="J1894" s="986" t="str">
        <f t="shared" si="239"/>
        <v>355050_2024_12_</v>
      </c>
      <c r="K1894" s="1619">
        <v>18</v>
      </c>
      <c r="L1894" s="249"/>
      <c r="M1894" s="2222"/>
      <c r="P1894" s="248"/>
      <c r="Q1894" s="196"/>
      <c r="R1894" s="248"/>
      <c r="T1894" s="169"/>
      <c r="U1894" s="50"/>
      <c r="V1894" s="2177"/>
      <c r="W1894" s="250">
        <v>18</v>
      </c>
      <c r="X1894" s="250">
        <v>18</v>
      </c>
      <c r="Y1894" s="250">
        <v>18</v>
      </c>
      <c r="Z1894" s="250">
        <v>18</v>
      </c>
      <c r="AA1894" s="250">
        <v>18</v>
      </c>
      <c r="AB1894" s="250">
        <v>18</v>
      </c>
      <c r="AC1894" s="250">
        <v>18</v>
      </c>
      <c r="AD1894" s="250">
        <v>18</v>
      </c>
      <c r="AE1894" s="250">
        <v>18</v>
      </c>
      <c r="AF1894" s="258">
        <f t="shared" ref="AF1894:AF1933" si="240">IF(K1894&lt;&gt;"",K1894,"")</f>
        <v>18</v>
      </c>
      <c r="AG1894" s="250"/>
      <c r="DG1894" s="555"/>
      <c r="DH1894" s="151"/>
      <c r="DI1894" s="1049"/>
      <c r="DJ1894" s="1127"/>
    </row>
    <row r="1895" spans="1:114" ht="15" hidden="1" customHeight="1" outlineLevel="1" x14ac:dyDescent="0.25">
      <c r="A1895" s="442"/>
      <c r="C1895" s="49"/>
      <c r="D1895" s="2177"/>
      <c r="E1895" s="2177"/>
      <c r="F1895" s="2176" t="str">
        <f t="shared" si="238"/>
        <v>ASHP-SEER19_ROF_MF</v>
      </c>
      <c r="G1895" s="2176"/>
      <c r="H1895" s="2176"/>
      <c r="I1895" s="2176"/>
      <c r="J1895" s="986" t="str">
        <f t="shared" si="239"/>
        <v>355050_2024_12_</v>
      </c>
      <c r="K1895" s="1619">
        <v>18</v>
      </c>
      <c r="L1895" s="249"/>
      <c r="M1895" s="2222"/>
      <c r="P1895" s="248"/>
      <c r="Q1895" s="196"/>
      <c r="R1895" s="248"/>
      <c r="T1895" s="169"/>
      <c r="U1895" s="50"/>
      <c r="V1895" s="2177"/>
      <c r="W1895" s="250">
        <v>18</v>
      </c>
      <c r="X1895" s="250">
        <v>18</v>
      </c>
      <c r="Y1895" s="250">
        <v>18</v>
      </c>
      <c r="Z1895" s="250">
        <v>18</v>
      </c>
      <c r="AA1895" s="250">
        <v>18</v>
      </c>
      <c r="AB1895" s="250">
        <v>18</v>
      </c>
      <c r="AC1895" s="250">
        <v>18</v>
      </c>
      <c r="AD1895" s="250">
        <v>18</v>
      </c>
      <c r="AE1895" s="250">
        <v>18</v>
      </c>
      <c r="AF1895" s="258">
        <f t="shared" si="240"/>
        <v>18</v>
      </c>
      <c r="AG1895" s="250"/>
      <c r="DG1895" s="555"/>
      <c r="DH1895" s="151"/>
      <c r="DI1895" s="1049"/>
      <c r="DJ1895" s="1127"/>
    </row>
    <row r="1896" spans="1:114" ht="15" hidden="1" customHeight="1" outlineLevel="1" x14ac:dyDescent="0.25">
      <c r="A1896" s="442"/>
      <c r="C1896" s="49"/>
      <c r="D1896" s="2177"/>
      <c r="E1896" s="2177"/>
      <c r="F1896" s="2176" t="str">
        <f t="shared" si="238"/>
        <v>ASHP-SEER20_ROF_MF</v>
      </c>
      <c r="G1896" s="2176"/>
      <c r="H1896" s="2176"/>
      <c r="I1896" s="2176"/>
      <c r="J1896" s="986" t="str">
        <f t="shared" si="239"/>
        <v>355100_2024_12_</v>
      </c>
      <c r="K1896" s="1619">
        <v>18</v>
      </c>
      <c r="L1896" s="249"/>
      <c r="M1896" s="2222"/>
      <c r="P1896" s="248"/>
      <c r="Q1896" s="196"/>
      <c r="R1896" s="248"/>
      <c r="T1896" s="169"/>
      <c r="U1896" s="50"/>
      <c r="V1896" s="2177"/>
      <c r="W1896" s="250">
        <v>18</v>
      </c>
      <c r="X1896" s="250">
        <v>18</v>
      </c>
      <c r="Y1896" s="250">
        <v>18</v>
      </c>
      <c r="Z1896" s="250">
        <v>18</v>
      </c>
      <c r="AA1896" s="250">
        <v>18</v>
      </c>
      <c r="AB1896" s="250">
        <v>18</v>
      </c>
      <c r="AC1896" s="250">
        <v>18</v>
      </c>
      <c r="AD1896" s="250">
        <v>18</v>
      </c>
      <c r="AE1896" s="250">
        <v>18</v>
      </c>
      <c r="AF1896" s="258">
        <f t="shared" si="240"/>
        <v>18</v>
      </c>
      <c r="AG1896" s="250"/>
      <c r="DG1896" s="555"/>
      <c r="DH1896" s="151"/>
      <c r="DI1896" s="1049"/>
      <c r="DJ1896" s="1127"/>
    </row>
    <row r="1897" spans="1:114" ht="15" hidden="1" customHeight="1" outlineLevel="1" x14ac:dyDescent="0.25">
      <c r="A1897" s="442"/>
      <c r="C1897" s="49"/>
      <c r="D1897" s="2177"/>
      <c r="E1897" s="2177"/>
      <c r="F1897" s="2176" t="str">
        <f t="shared" si="238"/>
        <v>ASHP-SEER20_ROF_MF</v>
      </c>
      <c r="G1897" s="2176"/>
      <c r="H1897" s="2176"/>
      <c r="I1897" s="2176"/>
      <c r="J1897" s="986" t="str">
        <f t="shared" si="239"/>
        <v>355100_2024_12_</v>
      </c>
      <c r="K1897" s="1619">
        <v>18</v>
      </c>
      <c r="L1897" s="249"/>
      <c r="M1897" s="2222"/>
      <c r="P1897" s="248"/>
      <c r="Q1897" s="196"/>
      <c r="R1897" s="248"/>
      <c r="T1897" s="169"/>
      <c r="U1897" s="50"/>
      <c r="V1897" s="2177"/>
      <c r="W1897" s="250">
        <v>18</v>
      </c>
      <c r="X1897" s="250">
        <v>18</v>
      </c>
      <c r="Y1897" s="250">
        <v>18</v>
      </c>
      <c r="Z1897" s="250">
        <v>18</v>
      </c>
      <c r="AA1897" s="250">
        <v>18</v>
      </c>
      <c r="AB1897" s="250">
        <v>18</v>
      </c>
      <c r="AC1897" s="250">
        <v>18</v>
      </c>
      <c r="AD1897" s="250">
        <v>18</v>
      </c>
      <c r="AE1897" s="250">
        <v>18</v>
      </c>
      <c r="AF1897" s="258">
        <f t="shared" si="240"/>
        <v>18</v>
      </c>
      <c r="AG1897" s="250"/>
      <c r="DG1897" s="555"/>
      <c r="DH1897" s="151"/>
      <c r="DI1897" s="1049"/>
      <c r="DJ1897" s="1127"/>
    </row>
    <row r="1898" spans="1:114" ht="15" hidden="1" customHeight="1" outlineLevel="1" x14ac:dyDescent="0.25">
      <c r="A1898" s="442"/>
      <c r="C1898" s="49"/>
      <c r="D1898" s="2177"/>
      <c r="E1898" s="2177"/>
      <c r="F1898" s="2176" t="str">
        <f t="shared" si="238"/>
        <v>ASHP-SEER21_ROF_MF</v>
      </c>
      <c r="G1898" s="2176"/>
      <c r="H1898" s="2176"/>
      <c r="I1898" s="2176"/>
      <c r="J1898" s="986" t="str">
        <f t="shared" si="239"/>
        <v>355150_2024_12_</v>
      </c>
      <c r="K1898" s="1619">
        <v>18</v>
      </c>
      <c r="L1898" s="249"/>
      <c r="M1898" s="2222"/>
      <c r="P1898" s="248"/>
      <c r="Q1898" s="196"/>
      <c r="R1898" s="248"/>
      <c r="T1898" s="169"/>
      <c r="U1898" s="50"/>
      <c r="V1898" s="2177"/>
      <c r="W1898" s="250">
        <v>18</v>
      </c>
      <c r="X1898" s="250">
        <v>18</v>
      </c>
      <c r="Y1898" s="250">
        <v>18</v>
      </c>
      <c r="Z1898" s="250">
        <v>18</v>
      </c>
      <c r="AA1898" s="250">
        <v>18</v>
      </c>
      <c r="AB1898" s="250">
        <v>18</v>
      </c>
      <c r="AC1898" s="250">
        <v>18</v>
      </c>
      <c r="AD1898" s="250">
        <v>18</v>
      </c>
      <c r="AE1898" s="250">
        <v>18</v>
      </c>
      <c r="AF1898" s="258">
        <f t="shared" si="240"/>
        <v>18</v>
      </c>
      <c r="AG1898" s="250"/>
      <c r="DG1898" s="555"/>
      <c r="DH1898" s="151"/>
      <c r="DI1898" s="1049"/>
      <c r="DJ1898" s="1127"/>
    </row>
    <row r="1899" spans="1:114" ht="15.75" hidden="1" customHeight="1" outlineLevel="1" x14ac:dyDescent="0.25">
      <c r="A1899" s="442"/>
      <c r="C1899" s="49"/>
      <c r="D1899" s="2177"/>
      <c r="E1899" s="2177"/>
      <c r="F1899" s="2176" t="str">
        <f t="shared" si="238"/>
        <v>ASHP-SEER21_ROF_MF</v>
      </c>
      <c r="G1899" s="2176"/>
      <c r="H1899" s="2176"/>
      <c r="I1899" s="2176"/>
      <c r="J1899" s="986" t="str">
        <f t="shared" si="239"/>
        <v>355150_2024_12_</v>
      </c>
      <c r="K1899" s="1619">
        <v>18</v>
      </c>
      <c r="L1899" s="249"/>
      <c r="M1899" s="2222"/>
      <c r="P1899" s="248"/>
      <c r="Q1899" s="196"/>
      <c r="R1899" s="248"/>
      <c r="T1899" s="169"/>
      <c r="U1899" s="50"/>
      <c r="V1899" s="2177"/>
      <c r="W1899" s="250">
        <v>18</v>
      </c>
      <c r="X1899" s="250">
        <v>18</v>
      </c>
      <c r="Y1899" s="250">
        <v>18</v>
      </c>
      <c r="Z1899" s="250">
        <v>18</v>
      </c>
      <c r="AA1899" s="250">
        <v>18</v>
      </c>
      <c r="AB1899" s="250">
        <v>18</v>
      </c>
      <c r="AC1899" s="250">
        <v>18</v>
      </c>
      <c r="AD1899" s="250">
        <v>18</v>
      </c>
      <c r="AE1899" s="250">
        <v>18</v>
      </c>
      <c r="AF1899" s="258">
        <f t="shared" si="240"/>
        <v>18</v>
      </c>
      <c r="AG1899" s="250"/>
      <c r="DG1899" s="555"/>
      <c r="DH1899" s="151"/>
      <c r="DI1899" s="1049"/>
      <c r="DJ1899" s="1127"/>
    </row>
    <row r="1900" spans="1:114" ht="14.65" hidden="1" customHeight="1" outlineLevel="1" x14ac:dyDescent="0.25">
      <c r="A1900" s="442"/>
      <c r="C1900" s="49"/>
      <c r="D1900" s="2177" t="s">
        <v>50</v>
      </c>
      <c r="E1900" s="2177" t="s">
        <v>819</v>
      </c>
      <c r="F1900" s="2176" t="str">
        <f t="shared" ref="F1900:F1931" si="241">E709</f>
        <v>ASHP-SEER15-Replace_CAC_ElectricHeat_ER1_SF</v>
      </c>
      <c r="G1900" s="2176"/>
      <c r="H1900" s="2176"/>
      <c r="I1900" s="2176"/>
      <c r="J1900" s="986" t="str">
        <f t="shared" ref="J1900:J1931" si="242">C709</f>
        <v>352300_2024_12_</v>
      </c>
      <c r="K1900" s="1588">
        <f>(S$910+L1900*T$910)-((S$921+L1900*T$921)*S$926)</f>
        <v>3236.3220917485878</v>
      </c>
      <c r="L1900" s="45">
        <f>VLOOKUP(J1900,$J$909:$L$998,3,FALSE)*M1900</f>
        <v>2.5726507669889709</v>
      </c>
      <c r="M1900" s="1581">
        <f>VLOOKUP(J1900,$J$1629:$K$1718,2,FALSE)</f>
        <v>1</v>
      </c>
      <c r="N1900" s="535"/>
      <c r="P1900" s="248"/>
      <c r="Q1900" s="248"/>
      <c r="R1900" s="248"/>
      <c r="T1900" s="169"/>
      <c r="U1900" s="50"/>
      <c r="V1900" s="2217" t="s">
        <v>50</v>
      </c>
      <c r="W1900" s="796">
        <v>2365.1309007383738</v>
      </c>
      <c r="X1900" s="797">
        <f>$T$913*(X$909/12000)*X$1629</f>
        <v>1836</v>
      </c>
      <c r="Y1900" s="797">
        <v>1119.3961863407253</v>
      </c>
      <c r="Z1900" s="796">
        <v>1119.3961863407253</v>
      </c>
      <c r="AA1900" s="796">
        <v>1119.3961863407253</v>
      </c>
      <c r="AB1900" s="797">
        <v>989.09301697589126</v>
      </c>
      <c r="AC1900" s="797">
        <v>991.06005994555017</v>
      </c>
      <c r="AD1900" s="797">
        <v>952.43682540301188</v>
      </c>
      <c r="AE1900" s="797">
        <v>1004.8579885650197</v>
      </c>
      <c r="AF1900" s="258">
        <f t="shared" si="240"/>
        <v>3236.3220917485878</v>
      </c>
      <c r="AG1900" s="227"/>
      <c r="DG1900" s="555"/>
      <c r="DH1900" s="151"/>
      <c r="DI1900" s="1049"/>
      <c r="DJ1900" s="1127"/>
    </row>
    <row r="1901" spans="1:114" ht="15" hidden="1" customHeight="1" outlineLevel="1" x14ac:dyDescent="0.25">
      <c r="A1901" s="442"/>
      <c r="C1901" s="49"/>
      <c r="D1901" s="2177"/>
      <c r="E1901" s="2177"/>
      <c r="F1901" s="2176" t="str">
        <f t="shared" si="241"/>
        <v>ASHP-SEER15-Replace_CAC_ElectricHeat_ER1_SF</v>
      </c>
      <c r="G1901" s="2176"/>
      <c r="H1901" s="2176"/>
      <c r="I1901" s="2176"/>
      <c r="J1901" s="986" t="str">
        <f t="shared" si="242"/>
        <v>352300_2024_12_</v>
      </c>
      <c r="K1901" s="155"/>
      <c r="L1901" s="45"/>
      <c r="M1901" s="1581" t="str">
        <f>IF(K1901&gt;0,VLOOKUP(J1901,$J$1629:$K$1718,2,FALSE),"")</f>
        <v/>
      </c>
      <c r="P1901" s="248"/>
      <c r="Q1901" s="248"/>
      <c r="R1901" s="248"/>
      <c r="T1901" s="169"/>
      <c r="U1901" s="50"/>
      <c r="V1901" s="2177"/>
      <c r="W1901" s="155"/>
      <c r="X1901" s="157"/>
      <c r="Y1901" s="155"/>
      <c r="Z1901" s="155"/>
      <c r="AA1901" s="155"/>
      <c r="AB1901" s="157"/>
      <c r="AC1901" s="155"/>
      <c r="AD1901" s="155"/>
      <c r="AE1901" s="155"/>
      <c r="AF1901" s="258" t="str">
        <f t="shared" si="240"/>
        <v/>
      </c>
      <c r="AG1901" s="228"/>
      <c r="DG1901" s="555"/>
      <c r="DH1901" s="151"/>
      <c r="DI1901" s="1049"/>
      <c r="DJ1901" s="1127"/>
    </row>
    <row r="1902" spans="1:114" ht="15" hidden="1" customHeight="1" outlineLevel="1" x14ac:dyDescent="0.25">
      <c r="A1902" s="442"/>
      <c r="C1902" s="49"/>
      <c r="D1902" s="2177"/>
      <c r="E1902" s="2177"/>
      <c r="F1902" s="2176" t="str">
        <f t="shared" si="241"/>
        <v>ASHP-SEER15-Replace_CAC_ElectricHeat_ER2_SF</v>
      </c>
      <c r="G1902" s="2176"/>
      <c r="H1902" s="2176"/>
      <c r="I1902" s="2176"/>
      <c r="J1902" s="986" t="str">
        <f t="shared" si="242"/>
        <v>352300_2024_12_</v>
      </c>
      <c r="K1902" s="155"/>
      <c r="L1902" s="45"/>
      <c r="M1902" s="1581" t="str">
        <f>IF(K1902&gt;0,VLOOKUP(J1902,$J$1629:$K$1718,2,FALSE),"")</f>
        <v/>
      </c>
      <c r="P1902" s="248"/>
      <c r="Q1902" s="248"/>
      <c r="R1902" s="248"/>
      <c r="T1902" s="169"/>
      <c r="U1902" s="50"/>
      <c r="V1902" s="2177"/>
      <c r="W1902" s="155"/>
      <c r="X1902" s="157"/>
      <c r="Y1902" s="155"/>
      <c r="Z1902" s="155"/>
      <c r="AA1902" s="155"/>
      <c r="AB1902" s="157"/>
      <c r="AC1902" s="155"/>
      <c r="AD1902" s="155"/>
      <c r="AE1902" s="155"/>
      <c r="AF1902" s="258" t="str">
        <f t="shared" si="240"/>
        <v/>
      </c>
      <c r="AG1902" s="228"/>
      <c r="DG1902" s="555"/>
      <c r="DH1902" s="151"/>
      <c r="DI1902" s="1049"/>
      <c r="DJ1902" s="1127"/>
    </row>
    <row r="1903" spans="1:114" ht="15" hidden="1" customHeight="1" outlineLevel="1" x14ac:dyDescent="0.25">
      <c r="A1903" s="442"/>
      <c r="C1903" s="49"/>
      <c r="D1903" s="2177"/>
      <c r="E1903" s="2177"/>
      <c r="F1903" s="2176" t="str">
        <f t="shared" si="241"/>
        <v>ASHP-SEER15-Replace_CAC_ElectricHeat_ER2_SF</v>
      </c>
      <c r="G1903" s="2176"/>
      <c r="H1903" s="2176"/>
      <c r="I1903" s="2176"/>
      <c r="J1903" s="986" t="str">
        <f t="shared" si="242"/>
        <v>352300_2024_12_</v>
      </c>
      <c r="K1903" s="155"/>
      <c r="L1903" s="45"/>
      <c r="M1903" s="1581" t="str">
        <f>IF(K1903&gt;0,VLOOKUP(J1903,$J$1629:$K$1718,2,FALSE),"")</f>
        <v/>
      </c>
      <c r="P1903" s="248"/>
      <c r="Q1903" s="248"/>
      <c r="R1903" s="248"/>
      <c r="T1903" s="169"/>
      <c r="U1903" s="50"/>
      <c r="V1903" s="2177"/>
      <c r="W1903" s="155"/>
      <c r="X1903" s="157"/>
      <c r="Y1903" s="155"/>
      <c r="Z1903" s="155"/>
      <c r="AA1903" s="155"/>
      <c r="AB1903" s="157"/>
      <c r="AC1903" s="155"/>
      <c r="AD1903" s="155"/>
      <c r="AE1903" s="155"/>
      <c r="AF1903" s="258" t="str">
        <f t="shared" si="240"/>
        <v/>
      </c>
      <c r="AG1903" s="228"/>
      <c r="DG1903" s="555"/>
      <c r="DH1903" s="151"/>
      <c r="DI1903" s="1049"/>
      <c r="DJ1903" s="1127"/>
    </row>
    <row r="1904" spans="1:114" ht="15" hidden="1" customHeight="1" outlineLevel="1" x14ac:dyDescent="0.25">
      <c r="A1904" s="442"/>
      <c r="C1904" s="49"/>
      <c r="D1904" s="2177"/>
      <c r="E1904" s="2177"/>
      <c r="F1904" s="2176" t="str">
        <f t="shared" si="241"/>
        <v>ASHP-SEER15-Replace_CAC_NonElectricHeat_ER1_SF</v>
      </c>
      <c r="G1904" s="2176"/>
      <c r="H1904" s="2176"/>
      <c r="I1904" s="2176"/>
      <c r="J1904" s="986" t="str">
        <f t="shared" si="242"/>
        <v>352310_2024_12_</v>
      </c>
      <c r="K1904" s="1588">
        <f>((S$910+L1904*T$910)-((S$921+L1904*T$921)*S$926))*VLOOKUP(J1904,$J$2082:$K$2095,2,FALSE)</f>
        <v>389.45085461679935</v>
      </c>
      <c r="L1904" s="45">
        <f>VLOOKUP(J1904,$J$909:$L$998,3,FALSE)*M1904</f>
        <v>2.5726507669889709</v>
      </c>
      <c r="M1904" s="1581">
        <f>VLOOKUP(J1904,$J$1629:$K$1718,2,FALSE)</f>
        <v>1</v>
      </c>
      <c r="N1904" s="535"/>
      <c r="P1904" s="248"/>
      <c r="Q1904" s="248"/>
      <c r="R1904" s="248"/>
      <c r="T1904" s="169"/>
      <c r="U1904" s="50"/>
      <c r="V1904" s="2177"/>
      <c r="W1904" s="155"/>
      <c r="X1904" s="157"/>
      <c r="Y1904" s="155"/>
      <c r="Z1904" s="155"/>
      <c r="AA1904" s="155"/>
      <c r="AB1904" s="157"/>
      <c r="AC1904" s="157">
        <v>991.06005994555017</v>
      </c>
      <c r="AD1904" s="157">
        <v>952.43682540301188</v>
      </c>
      <c r="AE1904" s="157">
        <v>1004.8579885650197</v>
      </c>
      <c r="AF1904" s="258">
        <f t="shared" si="240"/>
        <v>389.45085461679935</v>
      </c>
      <c r="AG1904" s="228"/>
      <c r="DG1904" s="555"/>
      <c r="DH1904" s="151"/>
      <c r="DI1904" s="1049"/>
      <c r="DJ1904" s="1127"/>
    </row>
    <row r="1905" spans="1:114" ht="15" hidden="1" customHeight="1" outlineLevel="1" x14ac:dyDescent="0.25">
      <c r="A1905" s="442"/>
      <c r="C1905" s="49"/>
      <c r="D1905" s="2177"/>
      <c r="E1905" s="2177"/>
      <c r="F1905" s="2176" t="str">
        <f t="shared" si="241"/>
        <v>ASHP-SEER15-Replace_CAC_NonElectricHeat_ER1_SF</v>
      </c>
      <c r="G1905" s="2176"/>
      <c r="H1905" s="2176"/>
      <c r="I1905" s="2176"/>
      <c r="J1905" s="986" t="str">
        <f t="shared" si="242"/>
        <v>352310_2024_12_</v>
      </c>
      <c r="K1905" s="155"/>
      <c r="L1905" s="45"/>
      <c r="M1905" s="1581"/>
      <c r="P1905" s="248"/>
      <c r="Q1905" s="248"/>
      <c r="R1905" s="248"/>
      <c r="T1905" s="169"/>
      <c r="U1905" s="50"/>
      <c r="V1905" s="2177"/>
      <c r="W1905" s="155"/>
      <c r="X1905" s="157"/>
      <c r="Y1905" s="155"/>
      <c r="Z1905" s="155"/>
      <c r="AA1905" s="155"/>
      <c r="AB1905" s="157"/>
      <c r="AC1905" s="155"/>
      <c r="AD1905" s="155"/>
      <c r="AE1905" s="155"/>
      <c r="AF1905" s="258" t="str">
        <f t="shared" si="240"/>
        <v/>
      </c>
      <c r="AG1905" s="228"/>
      <c r="DG1905" s="555"/>
      <c r="DH1905" s="151"/>
      <c r="DI1905" s="1049"/>
      <c r="DJ1905" s="1127"/>
    </row>
    <row r="1906" spans="1:114" ht="15" hidden="1" customHeight="1" outlineLevel="1" x14ac:dyDescent="0.25">
      <c r="A1906" s="442"/>
      <c r="C1906" s="49"/>
      <c r="D1906" s="2177"/>
      <c r="E1906" s="2177"/>
      <c r="F1906" s="2176" t="str">
        <f t="shared" si="241"/>
        <v>ASHP-SEER15-Replace_CAC_NonElectricHeat_ER2_SF</v>
      </c>
      <c r="G1906" s="2176"/>
      <c r="H1906" s="2176"/>
      <c r="I1906" s="2176"/>
      <c r="J1906" s="986" t="str">
        <f t="shared" si="242"/>
        <v>352310_2024_12_</v>
      </c>
      <c r="K1906" s="155"/>
      <c r="L1906" s="45"/>
      <c r="M1906" s="1581"/>
      <c r="P1906" s="248"/>
      <c r="Q1906" s="248"/>
      <c r="R1906" s="248"/>
      <c r="T1906" s="169"/>
      <c r="U1906" s="50"/>
      <c r="V1906" s="2177"/>
      <c r="W1906" s="155"/>
      <c r="X1906" s="157"/>
      <c r="Y1906" s="155"/>
      <c r="Z1906" s="155"/>
      <c r="AA1906" s="155"/>
      <c r="AB1906" s="157"/>
      <c r="AC1906" s="155"/>
      <c r="AD1906" s="155"/>
      <c r="AE1906" s="155"/>
      <c r="AF1906" s="258" t="str">
        <f t="shared" si="240"/>
        <v/>
      </c>
      <c r="AG1906" s="228"/>
      <c r="DG1906" s="555"/>
      <c r="DH1906" s="151"/>
      <c r="DI1906" s="1049"/>
      <c r="DJ1906" s="1127"/>
    </row>
    <row r="1907" spans="1:114" ht="15" hidden="1" customHeight="1" outlineLevel="1" x14ac:dyDescent="0.25">
      <c r="A1907" s="442"/>
      <c r="C1907" s="49"/>
      <c r="D1907" s="2177"/>
      <c r="E1907" s="2177"/>
      <c r="F1907" s="2176" t="str">
        <f t="shared" si="241"/>
        <v>ASHP-SEER15-Replace_CAC_NonElectricHeat_ER2_SF</v>
      </c>
      <c r="G1907" s="2176"/>
      <c r="H1907" s="2176"/>
      <c r="I1907" s="2176"/>
      <c r="J1907" s="986" t="str">
        <f t="shared" si="242"/>
        <v>352310_2024_12_</v>
      </c>
      <c r="K1907" s="155"/>
      <c r="L1907" s="45"/>
      <c r="M1907" s="1581"/>
      <c r="P1907" s="248"/>
      <c r="Q1907" s="248"/>
      <c r="R1907" s="248"/>
      <c r="T1907" s="169"/>
      <c r="U1907" s="50"/>
      <c r="V1907" s="2177"/>
      <c r="W1907" s="155"/>
      <c r="X1907" s="157"/>
      <c r="Y1907" s="155"/>
      <c r="Z1907" s="155"/>
      <c r="AA1907" s="155"/>
      <c r="AB1907" s="157"/>
      <c r="AC1907" s="155"/>
      <c r="AD1907" s="155"/>
      <c r="AE1907" s="155"/>
      <c r="AF1907" s="258" t="str">
        <f t="shared" si="240"/>
        <v/>
      </c>
      <c r="AG1907" s="228"/>
      <c r="DG1907" s="555"/>
      <c r="DH1907" s="151"/>
      <c r="DI1907" s="1049"/>
      <c r="DJ1907" s="1127"/>
    </row>
    <row r="1908" spans="1:114" ht="15" hidden="1" customHeight="1" outlineLevel="1" x14ac:dyDescent="0.25">
      <c r="A1908" s="442"/>
      <c r="C1908" s="49"/>
      <c r="D1908" s="2177"/>
      <c r="E1908" s="2177"/>
      <c r="F1908" s="2176" t="str">
        <f t="shared" si="241"/>
        <v>ASHP-SEER15_ER1_SF</v>
      </c>
      <c r="G1908" s="2176"/>
      <c r="H1908" s="2176"/>
      <c r="I1908" s="2176"/>
      <c r="J1908" s="986" t="str">
        <f t="shared" si="242"/>
        <v>352350_2024_12_</v>
      </c>
      <c r="K1908" s="1588">
        <f>(S$910+L1908*T$910)-(S$920+L1908*T$920)*S$926</f>
        <v>131.69764772075905</v>
      </c>
      <c r="L1908" s="45">
        <f>VLOOKUP(J1908,$J$909:$L$998,3,FALSE)*M1908</f>
        <v>2.5726507669889709</v>
      </c>
      <c r="M1908" s="1581">
        <f>VLOOKUP(J1908,$J$1629:$K$1718,2,FALSE)</f>
        <v>1</v>
      </c>
      <c r="N1908" s="535"/>
      <c r="P1908" s="248"/>
      <c r="Q1908" s="248"/>
      <c r="R1908" s="248"/>
      <c r="T1908" s="169"/>
      <c r="U1908" s="50"/>
      <c r="V1908" s="2177"/>
      <c r="W1908" s="155">
        <v>2618.5377829603426</v>
      </c>
      <c r="X1908" s="157">
        <f>$T$913*(X$913/12000)*X$1633</f>
        <v>1836</v>
      </c>
      <c r="Y1908" s="157">
        <v>1127.8416641304575</v>
      </c>
      <c r="Z1908" s="155">
        <v>1127.8416641304575</v>
      </c>
      <c r="AA1908" s="155">
        <v>1127.8416641304575</v>
      </c>
      <c r="AB1908" s="157">
        <v>1044.1498640171662</v>
      </c>
      <c r="AC1908" s="157">
        <v>1049.2929470045315</v>
      </c>
      <c r="AD1908" s="157">
        <v>952.43682540301188</v>
      </c>
      <c r="AE1908" s="157">
        <v>1004.8579885650197</v>
      </c>
      <c r="AF1908" s="258">
        <f t="shared" si="240"/>
        <v>131.69764772075905</v>
      </c>
      <c r="AG1908" s="228"/>
      <c r="DG1908" s="555"/>
      <c r="DH1908" s="151"/>
      <c r="DI1908" s="1049"/>
      <c r="DJ1908" s="1127"/>
    </row>
    <row r="1909" spans="1:114" ht="15" hidden="1" customHeight="1" outlineLevel="1" x14ac:dyDescent="0.25">
      <c r="A1909" s="442"/>
      <c r="C1909" s="49"/>
      <c r="D1909" s="2177"/>
      <c r="E1909" s="2177"/>
      <c r="F1909" s="2176" t="str">
        <f t="shared" si="241"/>
        <v>ASHP-SEER15_ER1_SF</v>
      </c>
      <c r="G1909" s="2176"/>
      <c r="H1909" s="2176"/>
      <c r="I1909" s="2176"/>
      <c r="J1909" s="986" t="str">
        <f t="shared" si="242"/>
        <v>352350_2024_12_</v>
      </c>
      <c r="K1909" s="155"/>
      <c r="L1909" s="45" t="str">
        <f>IF(K1909&gt;0,VLOOKUP(J1909,$J$909:$L$998,3,FALSE),"")</f>
        <v/>
      </c>
      <c r="M1909" s="1581" t="str">
        <f>IF(K1909&gt;0,VLOOKUP(J1909,$J$1629:$K$1718,2,FALSE),"")</f>
        <v/>
      </c>
      <c r="P1909" s="248"/>
      <c r="Q1909" s="248"/>
      <c r="R1909" s="248"/>
      <c r="T1909" s="169"/>
      <c r="U1909" s="50"/>
      <c r="V1909" s="2177"/>
      <c r="W1909" s="155"/>
      <c r="X1909" s="157"/>
      <c r="Y1909" s="157"/>
      <c r="Z1909" s="155"/>
      <c r="AA1909" s="155"/>
      <c r="AB1909" s="155"/>
      <c r="AC1909" s="155"/>
      <c r="AD1909" s="155"/>
      <c r="AE1909" s="155"/>
      <c r="AF1909" s="258" t="str">
        <f t="shared" si="240"/>
        <v/>
      </c>
      <c r="AG1909" s="228"/>
      <c r="DG1909" s="555"/>
      <c r="DH1909" s="151"/>
      <c r="DI1909" s="1049"/>
      <c r="DJ1909" s="1127"/>
    </row>
    <row r="1910" spans="1:114" ht="15" hidden="1" customHeight="1" outlineLevel="1" x14ac:dyDescent="0.25">
      <c r="A1910" s="442"/>
      <c r="C1910" s="49"/>
      <c r="D1910" s="2177"/>
      <c r="E1910" s="2177"/>
      <c r="F1910" s="2176" t="str">
        <f t="shared" si="241"/>
        <v>ASHP-SEER15_ER2_SF</v>
      </c>
      <c r="G1910" s="2176"/>
      <c r="H1910" s="2176"/>
      <c r="I1910" s="2176"/>
      <c r="J1910" s="986" t="str">
        <f t="shared" si="242"/>
        <v>352350_2024_12_</v>
      </c>
      <c r="K1910" s="155"/>
      <c r="L1910" s="45" t="str">
        <f>IF(K1910&gt;0,VLOOKUP(J1910,$J$909:$L$998,3,FALSE),"")</f>
        <v/>
      </c>
      <c r="M1910" s="1581" t="str">
        <f>IF(K1910&gt;0,VLOOKUP(J1910,$J$1629:$K$1718,2,FALSE),"")</f>
        <v/>
      </c>
      <c r="P1910" s="248"/>
      <c r="Q1910" s="248"/>
      <c r="R1910" s="248"/>
      <c r="T1910" s="169"/>
      <c r="U1910" s="50"/>
      <c r="V1910" s="2177"/>
      <c r="W1910" s="155"/>
      <c r="X1910" s="157"/>
      <c r="Y1910" s="157"/>
      <c r="Z1910" s="155"/>
      <c r="AA1910" s="155"/>
      <c r="AB1910" s="155"/>
      <c r="AC1910" s="155"/>
      <c r="AD1910" s="155"/>
      <c r="AE1910" s="155"/>
      <c r="AF1910" s="258" t="str">
        <f t="shared" si="240"/>
        <v/>
      </c>
      <c r="AG1910" s="228"/>
      <c r="DG1910" s="555"/>
      <c r="DH1910" s="151"/>
      <c r="DI1910" s="1049"/>
      <c r="DJ1910" s="1127"/>
    </row>
    <row r="1911" spans="1:114" ht="15" hidden="1" customHeight="1" outlineLevel="1" x14ac:dyDescent="0.25">
      <c r="A1911" s="442"/>
      <c r="C1911" s="49"/>
      <c r="D1911" s="2177"/>
      <c r="E1911" s="2177"/>
      <c r="F1911" s="2176" t="str">
        <f t="shared" si="241"/>
        <v>ASHP-SEER15_ER2_SF</v>
      </c>
      <c r="G1911" s="2176"/>
      <c r="H1911" s="2176"/>
      <c r="I1911" s="2176"/>
      <c r="J1911" s="986" t="str">
        <f t="shared" si="242"/>
        <v>352350_2024_12_</v>
      </c>
      <c r="K1911" s="155"/>
      <c r="L1911" s="45" t="str">
        <f>IF(K1911&gt;0,VLOOKUP(J1911,$J$909:$L$998,3,FALSE),"")</f>
        <v/>
      </c>
      <c r="M1911" s="1581" t="str">
        <f>IF(K1911&gt;0,VLOOKUP(J1911,$J$1629:$K$1718,2,FALSE),"")</f>
        <v/>
      </c>
      <c r="P1911" s="248"/>
      <c r="Q1911" s="248"/>
      <c r="R1911" s="248"/>
      <c r="T1911" s="169"/>
      <c r="U1911" s="50"/>
      <c r="V1911" s="2177"/>
      <c r="W1911" s="155"/>
      <c r="X1911" s="157"/>
      <c r="Y1911" s="157"/>
      <c r="Z1911" s="155"/>
      <c r="AA1911" s="155"/>
      <c r="AB1911" s="155"/>
      <c r="AC1911" s="155"/>
      <c r="AD1911" s="155"/>
      <c r="AE1911" s="155"/>
      <c r="AF1911" s="258" t="str">
        <f t="shared" si="240"/>
        <v/>
      </c>
      <c r="AG1911" s="228"/>
      <c r="DG1911" s="555"/>
      <c r="DH1911" s="151"/>
      <c r="DI1911" s="1049"/>
      <c r="DJ1911" s="1127"/>
    </row>
    <row r="1912" spans="1:114" ht="15" hidden="1" customHeight="1" outlineLevel="1" x14ac:dyDescent="0.25">
      <c r="A1912" s="442"/>
      <c r="C1912" s="49"/>
      <c r="D1912" s="2177"/>
      <c r="E1912" s="2177"/>
      <c r="F1912" s="2176" t="str">
        <f t="shared" si="241"/>
        <v>ASHP-SEER15-Replace_CAC_ElectricHeat_ROF_SF</v>
      </c>
      <c r="G1912" s="2176"/>
      <c r="H1912" s="2176"/>
      <c r="I1912" s="2176"/>
      <c r="J1912" s="986" t="str">
        <f t="shared" si="242"/>
        <v>352400_2024_12_</v>
      </c>
      <c r="K1912" s="1588">
        <f>(S$910+L1912*T$910)-(S$919+L1912*T$919)</f>
        <v>3334.5954220882886</v>
      </c>
      <c r="L1912" s="45">
        <f>VLOOKUP(J1912,$J$909:$L$998,3,FALSE)*M1912</f>
        <v>2.8059923701471465</v>
      </c>
      <c r="M1912" s="1581">
        <f>VLOOKUP(J1912,$J$1629:$K$1718,2,FALSE)</f>
        <v>1</v>
      </c>
      <c r="N1912" s="535"/>
      <c r="P1912" s="248"/>
      <c r="Q1912" s="248"/>
      <c r="R1912" s="248"/>
      <c r="T1912" s="169"/>
      <c r="U1912" s="50"/>
      <c r="V1912" s="2177"/>
      <c r="W1912" s="155">
        <v>787.8</v>
      </c>
      <c r="X1912" s="157">
        <v>927.18000000000006</v>
      </c>
      <c r="Y1912" s="157">
        <v>303</v>
      </c>
      <c r="Z1912" s="155">
        <v>303</v>
      </c>
      <c r="AA1912" s="155">
        <v>303</v>
      </c>
      <c r="AB1912" s="155">
        <v>303</v>
      </c>
      <c r="AC1912" s="155">
        <v>303</v>
      </c>
      <c r="AD1912" s="155">
        <v>303</v>
      </c>
      <c r="AE1912" s="155">
        <v>303</v>
      </c>
      <c r="AF1912" s="258">
        <f t="shared" si="240"/>
        <v>3334.5954220882886</v>
      </c>
      <c r="AG1912" s="228"/>
      <c r="DG1912" s="555"/>
      <c r="DH1912" s="151"/>
      <c r="DI1912" s="1049"/>
      <c r="DJ1912" s="1127"/>
    </row>
    <row r="1913" spans="1:114" ht="15" hidden="1" customHeight="1" outlineLevel="1" x14ac:dyDescent="0.25">
      <c r="A1913" s="442"/>
      <c r="C1913" s="49"/>
      <c r="D1913" s="2177"/>
      <c r="E1913" s="2177"/>
      <c r="F1913" s="2176" t="str">
        <f t="shared" si="241"/>
        <v>ASHP-SEER15-Replace_CAC_ElectricHeat_ROF_SF</v>
      </c>
      <c r="G1913" s="2176"/>
      <c r="H1913" s="2176"/>
      <c r="I1913" s="2176"/>
      <c r="J1913" s="986" t="str">
        <f t="shared" si="242"/>
        <v>352400_2024_12_</v>
      </c>
      <c r="K1913" s="155"/>
      <c r="L1913" s="45" t="str">
        <f>IF(K1913&gt;0,VLOOKUP(J1913,$J$909:$L$998,3,FALSE),"")</f>
        <v/>
      </c>
      <c r="M1913" s="1581" t="str">
        <f>IF(K1913&gt;0,VLOOKUP(J1913,$J$1629:$K$1718,2,FALSE),"")</f>
        <v/>
      </c>
      <c r="P1913" s="248"/>
      <c r="Q1913" s="248"/>
      <c r="R1913" s="248"/>
      <c r="T1913" s="169"/>
      <c r="U1913" s="50"/>
      <c r="V1913" s="2177"/>
      <c r="W1913" s="155"/>
      <c r="X1913" s="157"/>
      <c r="Y1913" s="157"/>
      <c r="Z1913" s="155"/>
      <c r="AA1913" s="155"/>
      <c r="AB1913" s="155"/>
      <c r="AC1913" s="155"/>
      <c r="AD1913" s="155"/>
      <c r="AE1913" s="155"/>
      <c r="AF1913" s="258" t="str">
        <f t="shared" si="240"/>
        <v/>
      </c>
      <c r="AG1913" s="228"/>
      <c r="DG1913" s="555"/>
      <c r="DH1913" s="151"/>
      <c r="DI1913" s="1049"/>
      <c r="DJ1913" s="1127"/>
    </row>
    <row r="1914" spans="1:114" ht="15" hidden="1" customHeight="1" outlineLevel="1" x14ac:dyDescent="0.25">
      <c r="A1914" s="442"/>
      <c r="C1914" s="49"/>
      <c r="D1914" s="2177"/>
      <c r="E1914" s="2177"/>
      <c r="F1914" s="2176" t="str">
        <f t="shared" si="241"/>
        <v>ASHP-SEER15-Replace_CAC_NonElectricHeat_ROF_SF</v>
      </c>
      <c r="G1914" s="2176"/>
      <c r="H1914" s="2176"/>
      <c r="I1914" s="2176"/>
      <c r="J1914" s="986" t="str">
        <f t="shared" si="242"/>
        <v>352410_2024_12_</v>
      </c>
      <c r="K1914" s="1588">
        <f>((S$910+L1914*T$910)-(S$919+L1914*T$919))*VLOOKUP(J1914,$J$2082:$K$2095,2,FALSE)</f>
        <v>98.842449430922628</v>
      </c>
      <c r="L1914" s="45">
        <f>VLOOKUP(J1914,$J$909:$L$998,3,FALSE)*M1914</f>
        <v>2.8059923701471465</v>
      </c>
      <c r="M1914" s="1581">
        <f>VLOOKUP(J1914,$J$1629:$K$1718,2,FALSE)</f>
        <v>1</v>
      </c>
      <c r="N1914" s="535"/>
      <c r="P1914" s="248"/>
      <c r="Q1914" s="248"/>
      <c r="R1914" s="248"/>
      <c r="T1914" s="169"/>
      <c r="U1914" s="50"/>
      <c r="V1914" s="2177"/>
      <c r="W1914" s="155"/>
      <c r="X1914" s="157"/>
      <c r="Y1914" s="157"/>
      <c r="Z1914" s="155"/>
      <c r="AA1914" s="155"/>
      <c r="AB1914" s="155"/>
      <c r="AC1914" s="157">
        <v>303</v>
      </c>
      <c r="AD1914" s="155">
        <v>303</v>
      </c>
      <c r="AE1914" s="155">
        <v>303</v>
      </c>
      <c r="AF1914" s="258">
        <f t="shared" si="240"/>
        <v>98.842449430922628</v>
      </c>
      <c r="AG1914" s="228"/>
      <c r="DG1914" s="555"/>
      <c r="DH1914" s="151"/>
      <c r="DI1914" s="1049"/>
      <c r="DJ1914" s="1127"/>
    </row>
    <row r="1915" spans="1:114" ht="15" hidden="1" customHeight="1" outlineLevel="1" x14ac:dyDescent="0.25">
      <c r="A1915" s="442"/>
      <c r="C1915" s="49"/>
      <c r="D1915" s="2177"/>
      <c r="E1915" s="2177"/>
      <c r="F1915" s="2176" t="str">
        <f t="shared" si="241"/>
        <v>ASHP-SEER15-Replace_CAC_NonElectricHeat_ROF_SF</v>
      </c>
      <c r="G1915" s="2176"/>
      <c r="H1915" s="2176"/>
      <c r="I1915" s="2176"/>
      <c r="J1915" s="986" t="str">
        <f t="shared" si="242"/>
        <v>352410_2024_12_</v>
      </c>
      <c r="K1915" s="155"/>
      <c r="L1915" s="45"/>
      <c r="M1915" s="1581"/>
      <c r="P1915" s="248"/>
      <c r="Q1915" s="248"/>
      <c r="R1915" s="248"/>
      <c r="T1915" s="169"/>
      <c r="U1915" s="50"/>
      <c r="V1915" s="2177"/>
      <c r="W1915" s="155"/>
      <c r="X1915" s="157"/>
      <c r="Y1915" s="157"/>
      <c r="Z1915" s="155"/>
      <c r="AA1915" s="155"/>
      <c r="AB1915" s="155"/>
      <c r="AC1915" s="155"/>
      <c r="AD1915" s="155"/>
      <c r="AE1915" s="155"/>
      <c r="AF1915" s="258" t="str">
        <f t="shared" si="240"/>
        <v/>
      </c>
      <c r="AG1915" s="228"/>
      <c r="DG1915" s="555"/>
      <c r="DH1915" s="151"/>
      <c r="DI1915" s="1049"/>
      <c r="DJ1915" s="1127"/>
    </row>
    <row r="1916" spans="1:114" ht="15" hidden="1" customHeight="1" outlineLevel="1" x14ac:dyDescent="0.25">
      <c r="A1916" s="442"/>
      <c r="C1916" s="49"/>
      <c r="D1916" s="2177"/>
      <c r="E1916" s="2177"/>
      <c r="F1916" s="2176" t="str">
        <f t="shared" si="241"/>
        <v>ASHP-SEER16-Replace_CAC_ElectricHeat_ER1_SF</v>
      </c>
      <c r="G1916" s="2176"/>
      <c r="H1916" s="2176"/>
      <c r="I1916" s="2176"/>
      <c r="J1916" s="986" t="str">
        <f t="shared" si="242"/>
        <v>352500_2024_12_</v>
      </c>
      <c r="K1916" s="1588">
        <f>(S$911+L1916*T$911)-((S$921+L1916*T$921)*S$926)</f>
        <v>3497.3493799102171</v>
      </c>
      <c r="L1916" s="45">
        <f>VLOOKUP(J1916,$J$909:$L$998,3,FALSE)*M1916</f>
        <v>2.5310295805916874</v>
      </c>
      <c r="M1916" s="1581">
        <f>VLOOKUP(J1916,$J$1629:$K$1718,2,FALSE)</f>
        <v>1</v>
      </c>
      <c r="N1916" s="535"/>
      <c r="P1916" s="248"/>
      <c r="Q1916" s="248"/>
      <c r="R1916" s="248"/>
      <c r="T1916" s="169"/>
      <c r="U1916" s="50"/>
      <c r="V1916" s="2177"/>
      <c r="W1916" s="155">
        <v>2896.6077829603428</v>
      </c>
      <c r="X1916" s="157">
        <v>3844.7226619038656</v>
      </c>
      <c r="Y1916" s="157">
        <v>1287.9206457115542</v>
      </c>
      <c r="Z1916" s="155">
        <v>1287.9206457115542</v>
      </c>
      <c r="AA1916" s="155">
        <v>1287.9206457115542</v>
      </c>
      <c r="AB1916" s="157">
        <v>1142.384378503531</v>
      </c>
      <c r="AC1916" s="157">
        <v>1136.2940995261133</v>
      </c>
      <c r="AD1916" s="157">
        <v>1096.0970591411706</v>
      </c>
      <c r="AE1916" s="157">
        <v>1128.5031002368705</v>
      </c>
      <c r="AF1916" s="258">
        <f t="shared" si="240"/>
        <v>3497.3493799102171</v>
      </c>
      <c r="AG1916" s="228"/>
      <c r="DG1916" s="555"/>
      <c r="DH1916" s="151"/>
      <c r="DI1916" s="1049"/>
      <c r="DJ1916" s="1127"/>
    </row>
    <row r="1917" spans="1:114" ht="15" hidden="1" customHeight="1" outlineLevel="1" x14ac:dyDescent="0.25">
      <c r="A1917" s="442"/>
      <c r="C1917" s="49"/>
      <c r="D1917" s="2177"/>
      <c r="E1917" s="2177"/>
      <c r="F1917" s="2176" t="str">
        <f t="shared" si="241"/>
        <v>ASHP-SEER16-Replace_CAC_ElectricHeat_ER1_SF</v>
      </c>
      <c r="G1917" s="2176"/>
      <c r="H1917" s="2176"/>
      <c r="I1917" s="2176"/>
      <c r="J1917" s="986" t="str">
        <f t="shared" si="242"/>
        <v>352500_2024_12_</v>
      </c>
      <c r="K1917" s="155"/>
      <c r="L1917" s="45" t="str">
        <f>IF(K1917&gt;0,VLOOKUP(J1917,$J$909:$L$998,3,FALSE),"")</f>
        <v/>
      </c>
      <c r="M1917" s="1581" t="str">
        <f>IF(K1917&gt;0,VLOOKUP(J1917,$J$1629:$K$1718,2,FALSE),"")</f>
        <v/>
      </c>
      <c r="P1917" s="248"/>
      <c r="Q1917" s="248"/>
      <c r="R1917" s="248"/>
      <c r="T1917" s="169"/>
      <c r="U1917" s="50"/>
      <c r="V1917" s="2177"/>
      <c r="W1917" s="155"/>
      <c r="X1917" s="157"/>
      <c r="Y1917" s="157"/>
      <c r="Z1917" s="155"/>
      <c r="AA1917" s="155"/>
      <c r="AB1917" s="155"/>
      <c r="AC1917" s="155"/>
      <c r="AD1917" s="155"/>
      <c r="AE1917" s="155"/>
      <c r="AF1917" s="258" t="str">
        <f t="shared" si="240"/>
        <v/>
      </c>
      <c r="AG1917" s="228"/>
      <c r="DG1917" s="555"/>
      <c r="DH1917" s="151"/>
      <c r="DI1917" s="1049"/>
      <c r="DJ1917" s="1127"/>
    </row>
    <row r="1918" spans="1:114" ht="15" hidden="1" customHeight="1" outlineLevel="1" x14ac:dyDescent="0.25">
      <c r="A1918" s="442"/>
      <c r="C1918" s="49"/>
      <c r="D1918" s="2177"/>
      <c r="E1918" s="2177"/>
      <c r="F1918" s="2176" t="str">
        <f t="shared" si="241"/>
        <v>ASHP-SEER16-Replace_CAC_ElectricHeat_ER2_SF</v>
      </c>
      <c r="G1918" s="2176"/>
      <c r="H1918" s="2176"/>
      <c r="I1918" s="2176"/>
      <c r="J1918" s="986" t="str">
        <f t="shared" si="242"/>
        <v>352500_2024_12_</v>
      </c>
      <c r="K1918" s="155"/>
      <c r="L1918" s="45" t="str">
        <f>IF(K1918&gt;0,VLOOKUP(J1918,$J$909:$L$998,3,FALSE),"")</f>
        <v/>
      </c>
      <c r="M1918" s="1581" t="str">
        <f>IF(K1918&gt;0,VLOOKUP(J1918,$J$1629:$K$1718,2,FALSE),"")</f>
        <v/>
      </c>
      <c r="P1918" s="248"/>
      <c r="Q1918" s="248"/>
      <c r="R1918" s="248"/>
      <c r="T1918" s="169"/>
      <c r="U1918" s="50"/>
      <c r="V1918" s="2177"/>
      <c r="W1918" s="155"/>
      <c r="X1918" s="157"/>
      <c r="Y1918" s="157"/>
      <c r="Z1918" s="155"/>
      <c r="AA1918" s="155"/>
      <c r="AB1918" s="155"/>
      <c r="AC1918" s="155"/>
      <c r="AD1918" s="155"/>
      <c r="AE1918" s="155"/>
      <c r="AF1918" s="258" t="str">
        <f t="shared" si="240"/>
        <v/>
      </c>
      <c r="AG1918" s="228"/>
      <c r="DG1918" s="555"/>
      <c r="DH1918" s="151"/>
      <c r="DI1918" s="1049"/>
      <c r="DJ1918" s="1127"/>
    </row>
    <row r="1919" spans="1:114" ht="15" hidden="1" customHeight="1" outlineLevel="1" x14ac:dyDescent="0.25">
      <c r="A1919" s="442"/>
      <c r="C1919" s="49"/>
      <c r="D1919" s="2177"/>
      <c r="E1919" s="2177"/>
      <c r="F1919" s="2176" t="str">
        <f t="shared" si="241"/>
        <v>ASHP-SEER16-Replace_CAC_ElectricHeat_ER2_SF</v>
      </c>
      <c r="G1919" s="2176"/>
      <c r="H1919" s="2176"/>
      <c r="I1919" s="2176"/>
      <c r="J1919" s="986" t="str">
        <f t="shared" si="242"/>
        <v>352500_2024_12_</v>
      </c>
      <c r="K1919" s="155"/>
      <c r="L1919" s="45" t="str">
        <f>IF(K1919&gt;0,VLOOKUP(J1919,$J$909:$L$998,3,FALSE),"")</f>
        <v/>
      </c>
      <c r="M1919" s="1581" t="str">
        <f>IF(K1919&gt;0,VLOOKUP(J1919,$J$1629:$K$1718,2,FALSE),"")</f>
        <v/>
      </c>
      <c r="P1919" s="248"/>
      <c r="Q1919" s="248"/>
      <c r="R1919" s="248"/>
      <c r="T1919" s="169"/>
      <c r="U1919" s="50"/>
      <c r="V1919" s="2177"/>
      <c r="W1919" s="155"/>
      <c r="X1919" s="157"/>
      <c r="Y1919" s="157"/>
      <c r="Z1919" s="155"/>
      <c r="AA1919" s="155"/>
      <c r="AB1919" s="155"/>
      <c r="AC1919" s="155"/>
      <c r="AD1919" s="155"/>
      <c r="AE1919" s="155"/>
      <c r="AF1919" s="258" t="str">
        <f t="shared" si="240"/>
        <v/>
      </c>
      <c r="AG1919" s="228"/>
      <c r="DG1919" s="555"/>
      <c r="DH1919" s="151"/>
      <c r="DI1919" s="1049"/>
      <c r="DJ1919" s="1127"/>
    </row>
    <row r="1920" spans="1:114" ht="15" hidden="1" customHeight="1" outlineLevel="1" x14ac:dyDescent="0.25">
      <c r="A1920" s="442"/>
      <c r="C1920" s="49"/>
      <c r="D1920" s="2177"/>
      <c r="E1920" s="2177"/>
      <c r="F1920" s="2176" t="str">
        <f t="shared" si="241"/>
        <v>ASHP-SEER16-Replace_CAC_NonElectricHeat_ER1_SF</v>
      </c>
      <c r="G1920" s="2176"/>
      <c r="H1920" s="2176"/>
      <c r="I1920" s="2176"/>
      <c r="J1920" s="986" t="str">
        <f t="shared" si="242"/>
        <v>352510_2024_12_</v>
      </c>
      <c r="K1920" s="1588">
        <f>((S$911+L1920*T$911)-((S$921+L1920*T$921)*S$926))*VLOOKUP(J1920,$J$2082:$K$2095,2,FALSE)</f>
        <v>461.50538007420482</v>
      </c>
      <c r="L1920" s="45">
        <f>VLOOKUP(J1920,$J$909:$L$998,3,FALSE)*M1920</f>
        <v>2.5310295805916874</v>
      </c>
      <c r="M1920" s="1581">
        <f>VLOOKUP(J1920,$J$1629:$K$1718,2,FALSE)</f>
        <v>1</v>
      </c>
      <c r="N1920" s="535"/>
      <c r="P1920" s="248"/>
      <c r="Q1920" s="248"/>
      <c r="R1920" s="248"/>
      <c r="T1920" s="169"/>
      <c r="U1920" s="50"/>
      <c r="V1920" s="2177"/>
      <c r="W1920" s="155"/>
      <c r="X1920" s="157"/>
      <c r="Y1920" s="157"/>
      <c r="Z1920" s="155"/>
      <c r="AA1920" s="155"/>
      <c r="AB1920" s="155"/>
      <c r="AC1920" s="157">
        <v>1136.2940995261133</v>
      </c>
      <c r="AD1920" s="157">
        <v>1096.0970591411706</v>
      </c>
      <c r="AE1920" s="157">
        <v>1128.5031002368705</v>
      </c>
      <c r="AF1920" s="258">
        <f t="shared" si="240"/>
        <v>461.50538007420482</v>
      </c>
      <c r="AG1920" s="228"/>
      <c r="DG1920" s="555"/>
      <c r="DH1920" s="151"/>
      <c r="DI1920" s="1049"/>
      <c r="DJ1920" s="1127"/>
    </row>
    <row r="1921" spans="1:114" ht="15" hidden="1" customHeight="1" outlineLevel="1" x14ac:dyDescent="0.25">
      <c r="A1921" s="442"/>
      <c r="C1921" s="49"/>
      <c r="D1921" s="2177"/>
      <c r="E1921" s="2177"/>
      <c r="F1921" s="2176" t="str">
        <f t="shared" si="241"/>
        <v>ASHP-SEER16-Replace_CAC_NonElectricHeat_ER1_SF</v>
      </c>
      <c r="G1921" s="2176"/>
      <c r="H1921" s="2176"/>
      <c r="I1921" s="2176"/>
      <c r="J1921" s="986" t="str">
        <f t="shared" si="242"/>
        <v>352510_2024_12_</v>
      </c>
      <c r="K1921" s="155"/>
      <c r="L1921" s="45"/>
      <c r="M1921" s="1581"/>
      <c r="P1921" s="248"/>
      <c r="Q1921" s="248"/>
      <c r="R1921" s="248"/>
      <c r="T1921" s="169"/>
      <c r="U1921" s="50"/>
      <c r="V1921" s="2177"/>
      <c r="W1921" s="155"/>
      <c r="X1921" s="157"/>
      <c r="Y1921" s="157"/>
      <c r="Z1921" s="155"/>
      <c r="AA1921" s="155"/>
      <c r="AB1921" s="155"/>
      <c r="AC1921" s="155"/>
      <c r="AD1921" s="155"/>
      <c r="AE1921" s="155"/>
      <c r="AF1921" s="258" t="str">
        <f t="shared" si="240"/>
        <v/>
      </c>
      <c r="AG1921" s="228"/>
      <c r="DG1921" s="555"/>
      <c r="DH1921" s="151"/>
      <c r="DI1921" s="1049"/>
      <c r="DJ1921" s="1127"/>
    </row>
    <row r="1922" spans="1:114" ht="15" hidden="1" customHeight="1" outlineLevel="1" x14ac:dyDescent="0.25">
      <c r="A1922" s="442"/>
      <c r="C1922" s="49"/>
      <c r="D1922" s="2177"/>
      <c r="E1922" s="2177"/>
      <c r="F1922" s="2176" t="str">
        <f t="shared" si="241"/>
        <v>ASHP-SEER16-Replace_CAC_NonElectricHeat_ER2_SF</v>
      </c>
      <c r="G1922" s="2176"/>
      <c r="H1922" s="2176"/>
      <c r="I1922" s="2176"/>
      <c r="J1922" s="986" t="str">
        <f t="shared" si="242"/>
        <v>352510_2024_12_</v>
      </c>
      <c r="K1922" s="155"/>
      <c r="L1922" s="45"/>
      <c r="M1922" s="1581"/>
      <c r="P1922" s="248"/>
      <c r="Q1922" s="248"/>
      <c r="R1922" s="248"/>
      <c r="T1922" s="169"/>
      <c r="U1922" s="50"/>
      <c r="V1922" s="2177"/>
      <c r="W1922" s="155"/>
      <c r="X1922" s="157"/>
      <c r="Y1922" s="157"/>
      <c r="Z1922" s="155"/>
      <c r="AA1922" s="155"/>
      <c r="AB1922" s="155"/>
      <c r="AC1922" s="155"/>
      <c r="AD1922" s="155"/>
      <c r="AE1922" s="155"/>
      <c r="AF1922" s="258" t="str">
        <f t="shared" si="240"/>
        <v/>
      </c>
      <c r="AG1922" s="228"/>
      <c r="DG1922" s="555"/>
      <c r="DH1922" s="151"/>
      <c r="DI1922" s="1049"/>
      <c r="DJ1922" s="1127"/>
    </row>
    <row r="1923" spans="1:114" ht="15" hidden="1" customHeight="1" outlineLevel="1" x14ac:dyDescent="0.25">
      <c r="A1923" s="442"/>
      <c r="C1923" s="49"/>
      <c r="D1923" s="2177"/>
      <c r="E1923" s="2177"/>
      <c r="F1923" s="2176" t="str">
        <f t="shared" si="241"/>
        <v>ASHP-SEER16-Replace_CAC_NonElectricHeat_ER2_SF</v>
      </c>
      <c r="G1923" s="2176"/>
      <c r="H1923" s="2176"/>
      <c r="I1923" s="2176"/>
      <c r="J1923" s="986" t="str">
        <f t="shared" si="242"/>
        <v>352510_2024_12_</v>
      </c>
      <c r="K1923" s="155"/>
      <c r="L1923" s="45"/>
      <c r="M1923" s="1581"/>
      <c r="P1923" s="248"/>
      <c r="Q1923" s="248"/>
      <c r="R1923" s="248"/>
      <c r="T1923" s="169"/>
      <c r="U1923" s="50"/>
      <c r="V1923" s="2177"/>
      <c r="W1923" s="155"/>
      <c r="X1923" s="157"/>
      <c r="Y1923" s="157"/>
      <c r="Z1923" s="155"/>
      <c r="AA1923" s="155"/>
      <c r="AB1923" s="155"/>
      <c r="AC1923" s="155"/>
      <c r="AD1923" s="155"/>
      <c r="AE1923" s="155"/>
      <c r="AF1923" s="258" t="str">
        <f t="shared" si="240"/>
        <v/>
      </c>
      <c r="AG1923" s="228"/>
      <c r="DG1923" s="555"/>
      <c r="DH1923" s="151"/>
      <c r="DI1923" s="1049"/>
      <c r="DJ1923" s="1127"/>
    </row>
    <row r="1924" spans="1:114" ht="15" hidden="1" customHeight="1" outlineLevel="1" x14ac:dyDescent="0.25">
      <c r="A1924" s="442"/>
      <c r="C1924" s="49"/>
      <c r="D1924" s="2177"/>
      <c r="E1924" s="2177"/>
      <c r="F1924" s="2176" t="str">
        <f t="shared" si="241"/>
        <v>ASHP-SEER16_ER1_SF</v>
      </c>
      <c r="G1924" s="2176"/>
      <c r="H1924" s="2176"/>
      <c r="I1924" s="2176"/>
      <c r="J1924" s="986" t="str">
        <f t="shared" si="242"/>
        <v>352550_2024_12_</v>
      </c>
      <c r="K1924" s="1588">
        <f>(S$911+L1924*T$911)-(S$920+L1924*T$920)*S$926</f>
        <v>417.68019891621225</v>
      </c>
      <c r="L1924" s="45">
        <f>VLOOKUP(J1924,$J$909:$L$998,3,FALSE)*M1924</f>
        <v>2.5310295805916874</v>
      </c>
      <c r="M1924" s="1581">
        <f>VLOOKUP(J1924,$J$1629:$K$1718,2,FALSE)</f>
        <v>1</v>
      </c>
      <c r="N1924" s="535"/>
      <c r="P1924" s="248"/>
      <c r="Q1924" s="248"/>
      <c r="R1924" s="248"/>
      <c r="T1924" s="169"/>
      <c r="U1924" s="50"/>
      <c r="V1924" s="2177"/>
      <c r="W1924" s="155">
        <v>3083.4857044416549</v>
      </c>
      <c r="X1924" s="157">
        <v>3844.7226619038656</v>
      </c>
      <c r="Y1924" s="157">
        <v>1279.4751679218225</v>
      </c>
      <c r="Z1924" s="155">
        <v>1279.4751679218225</v>
      </c>
      <c r="AA1924" s="155">
        <v>1279.4751679218225</v>
      </c>
      <c r="AB1924" s="157">
        <v>1181.0521038690172</v>
      </c>
      <c r="AC1924" s="157">
        <v>1165.4895470570027</v>
      </c>
      <c r="AD1924" s="157">
        <v>1096.0970591411706</v>
      </c>
      <c r="AE1924" s="157">
        <v>1128.5031002368705</v>
      </c>
      <c r="AF1924" s="258">
        <f t="shared" si="240"/>
        <v>417.68019891621225</v>
      </c>
      <c r="AG1924" s="228"/>
      <c r="DG1924" s="555"/>
      <c r="DH1924" s="151"/>
      <c r="DI1924" s="1049"/>
      <c r="DJ1924" s="1127"/>
    </row>
    <row r="1925" spans="1:114" ht="15" hidden="1" customHeight="1" outlineLevel="1" x14ac:dyDescent="0.25">
      <c r="A1925" s="442"/>
      <c r="C1925" s="49"/>
      <c r="D1925" s="2177"/>
      <c r="E1925" s="2177"/>
      <c r="F1925" s="2176" t="str">
        <f t="shared" si="241"/>
        <v>ASHP-SEER16_ER1_SF</v>
      </c>
      <c r="G1925" s="2176"/>
      <c r="H1925" s="2176"/>
      <c r="I1925" s="2176"/>
      <c r="J1925" s="986" t="str">
        <f t="shared" si="242"/>
        <v>352550_2024_12_</v>
      </c>
      <c r="K1925" s="155"/>
      <c r="L1925" s="45" t="str">
        <f>IF(K1925&gt;0,VLOOKUP(J1925,$J$909:$L$998,3,FALSE),"")</f>
        <v/>
      </c>
      <c r="M1925" s="1581" t="str">
        <f>IF(K1925&gt;0,VLOOKUP(J1925,$J$1629:$K$1718,2,FALSE),"")</f>
        <v/>
      </c>
      <c r="P1925" s="248"/>
      <c r="Q1925" s="248"/>
      <c r="R1925" s="248"/>
      <c r="T1925" s="169"/>
      <c r="U1925" s="50"/>
      <c r="V1925" s="2177"/>
      <c r="W1925" s="155"/>
      <c r="X1925" s="157"/>
      <c r="Y1925" s="157"/>
      <c r="Z1925" s="155"/>
      <c r="AA1925" s="155"/>
      <c r="AB1925" s="157"/>
      <c r="AC1925" s="155"/>
      <c r="AD1925" s="155"/>
      <c r="AE1925" s="155"/>
      <c r="AF1925" s="258" t="str">
        <f t="shared" si="240"/>
        <v/>
      </c>
      <c r="AG1925" s="228"/>
      <c r="DG1925" s="555"/>
      <c r="DH1925" s="151"/>
      <c r="DI1925" s="1049"/>
      <c r="DJ1925" s="1127"/>
    </row>
    <row r="1926" spans="1:114" ht="15" hidden="1" customHeight="1" outlineLevel="1" x14ac:dyDescent="0.25">
      <c r="A1926" s="442"/>
      <c r="C1926" s="49"/>
      <c r="D1926" s="2177"/>
      <c r="E1926" s="2177"/>
      <c r="F1926" s="2176" t="str">
        <f t="shared" si="241"/>
        <v>ASHP-SEER16_ER2_SF</v>
      </c>
      <c r="G1926" s="2176"/>
      <c r="H1926" s="2176"/>
      <c r="I1926" s="2176"/>
      <c r="J1926" s="986" t="str">
        <f t="shared" si="242"/>
        <v>352550_2024_12_</v>
      </c>
      <c r="K1926" s="155"/>
      <c r="L1926" s="45" t="str">
        <f>IF(K1926&gt;0,VLOOKUP(J1926,$J$909:$L$998,3,FALSE),"")</f>
        <v/>
      </c>
      <c r="M1926" s="1581" t="str">
        <f>IF(K1926&gt;0,VLOOKUP(J1926,$J$1629:$K$1718,2,FALSE),"")</f>
        <v/>
      </c>
      <c r="P1926" s="248"/>
      <c r="Q1926" s="248"/>
      <c r="R1926" s="248"/>
      <c r="T1926" s="169"/>
      <c r="U1926" s="50"/>
      <c r="V1926" s="2177"/>
      <c r="W1926" s="155"/>
      <c r="X1926" s="157"/>
      <c r="Y1926" s="157"/>
      <c r="Z1926" s="155"/>
      <c r="AA1926" s="155"/>
      <c r="AB1926" s="157"/>
      <c r="AC1926" s="155"/>
      <c r="AD1926" s="155"/>
      <c r="AE1926" s="155"/>
      <c r="AF1926" s="258" t="str">
        <f t="shared" si="240"/>
        <v/>
      </c>
      <c r="AG1926" s="228"/>
      <c r="DG1926" s="555"/>
      <c r="DH1926" s="151"/>
      <c r="DI1926" s="1049"/>
      <c r="DJ1926" s="1127"/>
    </row>
    <row r="1927" spans="1:114" ht="15" hidden="1" customHeight="1" outlineLevel="1" x14ac:dyDescent="0.25">
      <c r="A1927" s="442"/>
      <c r="C1927" s="49"/>
      <c r="D1927" s="2177"/>
      <c r="E1927" s="2177"/>
      <c r="F1927" s="2176" t="str">
        <f t="shared" si="241"/>
        <v>ASHP-SEER16_ER2_SF</v>
      </c>
      <c r="G1927" s="2176"/>
      <c r="H1927" s="2176"/>
      <c r="I1927" s="2176"/>
      <c r="J1927" s="986" t="str">
        <f t="shared" si="242"/>
        <v>352550_2024_12_</v>
      </c>
      <c r="K1927" s="155"/>
      <c r="L1927" s="45" t="str">
        <f>IF(K1927&gt;0,VLOOKUP(J1927,$J$909:$L$998,3,FALSE),"")</f>
        <v/>
      </c>
      <c r="M1927" s="1581" t="str">
        <f>IF(K1927&gt;0,VLOOKUP(J1927,$J$1629:$K$1718,2,FALSE),"")</f>
        <v/>
      </c>
      <c r="P1927" s="248"/>
      <c r="Q1927" s="248"/>
      <c r="R1927" s="248"/>
      <c r="T1927" s="169"/>
      <c r="U1927" s="50"/>
      <c r="V1927" s="2177"/>
      <c r="W1927" s="155"/>
      <c r="X1927" s="157"/>
      <c r="Y1927" s="157"/>
      <c r="Z1927" s="155"/>
      <c r="AA1927" s="155"/>
      <c r="AB1927" s="157"/>
      <c r="AC1927" s="155"/>
      <c r="AD1927" s="155"/>
      <c r="AE1927" s="155"/>
      <c r="AF1927" s="258" t="str">
        <f t="shared" si="240"/>
        <v/>
      </c>
      <c r="AG1927" s="228"/>
      <c r="DG1927" s="555"/>
      <c r="DH1927" s="151"/>
      <c r="DI1927" s="1049"/>
      <c r="DJ1927" s="1127"/>
    </row>
    <row r="1928" spans="1:114" ht="15" hidden="1" customHeight="1" outlineLevel="1" x14ac:dyDescent="0.25">
      <c r="A1928" s="442"/>
      <c r="C1928" s="49"/>
      <c r="D1928" s="2177"/>
      <c r="E1928" s="2177"/>
      <c r="F1928" s="2176" t="str">
        <f t="shared" si="241"/>
        <v>ASHP-SEER16-Replace_CAC_ElectricHeat_ROF_SF</v>
      </c>
      <c r="G1928" s="2176"/>
      <c r="H1928" s="2176"/>
      <c r="I1928" s="2176"/>
      <c r="J1928" s="986" t="str">
        <f t="shared" si="242"/>
        <v>352600_2024_12_</v>
      </c>
      <c r="K1928" s="1588">
        <f>(S$911+L1928*T$911)-(S$919+L1928*T$919)</f>
        <v>3623.261297181818</v>
      </c>
      <c r="L1928" s="45">
        <f>VLOOKUP(J1928,$J$909:$L$998,3,FALSE)*M1928</f>
        <v>2.8104354953030306</v>
      </c>
      <c r="M1928" s="1581">
        <f>VLOOKUP(J1928,$J$1629:$K$1718,2,FALSE)</f>
        <v>1</v>
      </c>
      <c r="N1928" s="535"/>
      <c r="P1928" s="248"/>
      <c r="Q1928" s="248"/>
      <c r="R1928" s="248"/>
      <c r="T1928" s="169"/>
      <c r="U1928" s="50"/>
      <c r="V1928" s="2177"/>
      <c r="W1928" s="155">
        <v>1256.6400000000001</v>
      </c>
      <c r="X1928" s="157">
        <v>1340.28</v>
      </c>
      <c r="Y1928" s="157">
        <v>392.7</v>
      </c>
      <c r="Z1928" s="155">
        <v>392.7</v>
      </c>
      <c r="AA1928" s="155">
        <v>392.7</v>
      </c>
      <c r="AB1928" s="157">
        <v>438</v>
      </c>
      <c r="AC1928" s="155">
        <v>438</v>
      </c>
      <c r="AD1928" s="155">
        <v>438</v>
      </c>
      <c r="AE1928" s="155">
        <v>438</v>
      </c>
      <c r="AF1928" s="258">
        <f t="shared" si="240"/>
        <v>3623.261297181818</v>
      </c>
      <c r="AG1928" s="228"/>
      <c r="DG1928" s="555"/>
      <c r="DH1928" s="151"/>
      <c r="DI1928" s="1049"/>
      <c r="DJ1928" s="1127"/>
    </row>
    <row r="1929" spans="1:114" ht="15" hidden="1" customHeight="1" outlineLevel="1" x14ac:dyDescent="0.25">
      <c r="A1929" s="442"/>
      <c r="C1929" s="49"/>
      <c r="D1929" s="2177"/>
      <c r="E1929" s="2177"/>
      <c r="F1929" s="2176" t="str">
        <f t="shared" si="241"/>
        <v>ASHP-SEER16-Replace_CAC_ElectricHeat_ROF_SF</v>
      </c>
      <c r="G1929" s="2176"/>
      <c r="H1929" s="2176"/>
      <c r="I1929" s="2176"/>
      <c r="J1929" s="986" t="str">
        <f t="shared" si="242"/>
        <v>352600_2024_12_</v>
      </c>
      <c r="K1929" s="155"/>
      <c r="L1929" s="45" t="str">
        <f>IF(K1929&gt;0,VLOOKUP(J1929,$J$909:$L$998,3,FALSE),"")</f>
        <v/>
      </c>
      <c r="M1929" s="1581" t="str">
        <f>IF(K1929&gt;0,VLOOKUP(J1929,$J$1629:$K$1718,2,FALSE),"")</f>
        <v/>
      </c>
      <c r="P1929" s="248"/>
      <c r="Q1929" s="248"/>
      <c r="R1929" s="248"/>
      <c r="T1929" s="169"/>
      <c r="U1929" s="50"/>
      <c r="V1929" s="2177"/>
      <c r="W1929" s="155"/>
      <c r="X1929" s="157"/>
      <c r="Y1929" s="157"/>
      <c r="Z1929" s="155"/>
      <c r="AA1929" s="155"/>
      <c r="AB1929" s="157"/>
      <c r="AC1929" s="155"/>
      <c r="AD1929" s="155"/>
      <c r="AE1929" s="155"/>
      <c r="AF1929" s="258" t="str">
        <f t="shared" si="240"/>
        <v/>
      </c>
      <c r="AG1929" s="228"/>
      <c r="DG1929" s="555"/>
      <c r="DH1929" s="151"/>
      <c r="DI1929" s="1049"/>
      <c r="DJ1929" s="1127"/>
    </row>
    <row r="1930" spans="1:114" ht="15" hidden="1" customHeight="1" outlineLevel="1" x14ac:dyDescent="0.25">
      <c r="A1930" s="442"/>
      <c r="C1930" s="49"/>
      <c r="D1930" s="2177"/>
      <c r="E1930" s="2177"/>
      <c r="F1930" s="2176" t="str">
        <f t="shared" si="241"/>
        <v>ASHP-SEER16-Replace_CAC_NonElectricHeat_ROF_SF</v>
      </c>
      <c r="G1930" s="2176"/>
      <c r="H1930" s="2176"/>
      <c r="I1930" s="2176"/>
      <c r="J1930" s="986" t="str">
        <f t="shared" si="242"/>
        <v>352610_2024_12_</v>
      </c>
      <c r="K1930" s="1588">
        <f>((S$911+L1930*T$911)-(S$919+L1930*T$919))*VLOOKUP(J1930,$J$2082:$K$2095,2,FALSE)</f>
        <v>149.4416492480305</v>
      </c>
      <c r="L1930" s="45">
        <f>VLOOKUP(J1930,$J$909:$L$998,3,FALSE)*M1930</f>
        <v>2.8104354953030306</v>
      </c>
      <c r="M1930" s="1581">
        <f>VLOOKUP(J1930,$J$1629:$K$1718,2,FALSE)</f>
        <v>1</v>
      </c>
      <c r="N1930" s="535"/>
      <c r="P1930" s="248"/>
      <c r="Q1930" s="248"/>
      <c r="R1930" s="248"/>
      <c r="T1930" s="169"/>
      <c r="U1930" s="50"/>
      <c r="V1930" s="2177"/>
      <c r="W1930" s="155"/>
      <c r="X1930" s="157"/>
      <c r="Y1930" s="157"/>
      <c r="Z1930" s="155"/>
      <c r="AA1930" s="155"/>
      <c r="AB1930" s="157"/>
      <c r="AC1930" s="155"/>
      <c r="AD1930" s="157">
        <v>438</v>
      </c>
      <c r="AE1930" s="155">
        <v>438</v>
      </c>
      <c r="AF1930" s="258">
        <f t="shared" si="240"/>
        <v>149.4416492480305</v>
      </c>
      <c r="AG1930" s="228"/>
      <c r="DG1930" s="555"/>
      <c r="DH1930" s="151"/>
      <c r="DI1930" s="1049"/>
      <c r="DJ1930" s="1127"/>
    </row>
    <row r="1931" spans="1:114" ht="15" hidden="1" customHeight="1" outlineLevel="1" x14ac:dyDescent="0.25">
      <c r="A1931" s="442"/>
      <c r="C1931" s="49"/>
      <c r="D1931" s="2177"/>
      <c r="E1931" s="2177"/>
      <c r="F1931" s="2176" t="str">
        <f t="shared" si="241"/>
        <v>ASHP-SEER16-Replace_CAC_NonElectricHeat_ROF_SF</v>
      </c>
      <c r="G1931" s="2176"/>
      <c r="H1931" s="2176"/>
      <c r="I1931" s="2176"/>
      <c r="J1931" s="986" t="str">
        <f t="shared" si="242"/>
        <v>352610_2024_12_</v>
      </c>
      <c r="K1931" s="155"/>
      <c r="L1931" s="45" t="str">
        <f>IF(K1931&gt;0,VLOOKUP(J1931,$J$909:$L$998,3,FALSE),"")</f>
        <v/>
      </c>
      <c r="M1931" s="1581" t="str">
        <f>IF(K1931&gt;0,VLOOKUP(J1931,$J$1629:$K$1718,2,FALSE),"")</f>
        <v/>
      </c>
      <c r="P1931" s="248"/>
      <c r="Q1931" s="248"/>
      <c r="R1931" s="248"/>
      <c r="T1931" s="169"/>
      <c r="U1931" s="50"/>
      <c r="V1931" s="2177"/>
      <c r="W1931" s="155"/>
      <c r="X1931" s="157"/>
      <c r="Y1931" s="157"/>
      <c r="Z1931" s="155"/>
      <c r="AA1931" s="155"/>
      <c r="AB1931" s="157"/>
      <c r="AC1931" s="155"/>
      <c r="AD1931" s="155"/>
      <c r="AE1931" s="155"/>
      <c r="AF1931" s="258" t="str">
        <f t="shared" si="240"/>
        <v/>
      </c>
      <c r="AG1931" s="228"/>
      <c r="DG1931" s="555"/>
      <c r="DH1931" s="151"/>
      <c r="DI1931" s="1049"/>
      <c r="DJ1931" s="1127"/>
    </row>
    <row r="1932" spans="1:114" ht="15" hidden="1" customHeight="1" outlineLevel="1" x14ac:dyDescent="0.25">
      <c r="A1932" s="442"/>
      <c r="C1932" s="49"/>
      <c r="D1932" s="2177"/>
      <c r="E1932" s="2177"/>
      <c r="F1932" s="2176" t="str">
        <f t="shared" ref="F1932:F1963" si="243">E741</f>
        <v>ASHP-SEER16_ROF_SF</v>
      </c>
      <c r="G1932" s="2176"/>
      <c r="H1932" s="2176"/>
      <c r="I1932" s="2176"/>
      <c r="J1932" s="986" t="str">
        <f t="shared" ref="J1932:J1963" si="244">C741</f>
        <v>352650_2024_12_</v>
      </c>
      <c r="K1932" s="1588">
        <f>(S$911+L1932*T$911)-(S$918+L1932*T$918)</f>
        <v>421</v>
      </c>
      <c r="L1932" s="45">
        <f>VLOOKUP(J1932,$J$909:$L$998,3,FALSE)*M1932</f>
        <v>2.8104354953030306</v>
      </c>
      <c r="M1932" s="1581">
        <f>VLOOKUP(J1932,$J$1629:$K$1718,2,FALSE)</f>
        <v>1</v>
      </c>
      <c r="N1932" s="535"/>
      <c r="P1932" s="248"/>
      <c r="Q1932" s="248"/>
      <c r="R1932" s="248"/>
      <c r="T1932" s="169"/>
      <c r="U1932" s="50"/>
      <c r="V1932" s="2177"/>
      <c r="W1932" s="155">
        <v>999.9</v>
      </c>
      <c r="X1932" s="157">
        <v>927.18000000000006</v>
      </c>
      <c r="Y1932" s="157">
        <v>392.7</v>
      </c>
      <c r="Z1932" s="155">
        <v>392.7</v>
      </c>
      <c r="AA1932" s="155">
        <v>392.7</v>
      </c>
      <c r="AB1932" s="157">
        <v>438</v>
      </c>
      <c r="AC1932" s="155">
        <v>438</v>
      </c>
      <c r="AD1932" s="155">
        <v>438</v>
      </c>
      <c r="AE1932" s="155">
        <v>438</v>
      </c>
      <c r="AF1932" s="258">
        <f t="shared" si="240"/>
        <v>421</v>
      </c>
      <c r="AG1932" s="228"/>
      <c r="DG1932" s="555"/>
      <c r="DH1932" s="151"/>
      <c r="DI1932" s="1049"/>
      <c r="DJ1932" s="1127"/>
    </row>
    <row r="1933" spans="1:114" ht="15" hidden="1" customHeight="1" outlineLevel="1" x14ac:dyDescent="0.25">
      <c r="A1933" s="442"/>
      <c r="C1933" s="49"/>
      <c r="D1933" s="2177"/>
      <c r="E1933" s="2177"/>
      <c r="F1933" s="2176" t="str">
        <f t="shared" si="243"/>
        <v>ASHP-SEER16_ROF_SF</v>
      </c>
      <c r="G1933" s="2176"/>
      <c r="H1933" s="2176"/>
      <c r="I1933" s="2176"/>
      <c r="J1933" s="986" t="str">
        <f t="shared" si="244"/>
        <v>352650_2024_12_</v>
      </c>
      <c r="K1933" s="155"/>
      <c r="L1933" s="45" t="str">
        <f>IF(K1933&gt;0,VLOOKUP(J1933,$J$909:$L$998,3,FALSE),"")</f>
        <v/>
      </c>
      <c r="M1933" s="1581" t="str">
        <f>IF(K1933&gt;0,VLOOKUP(J1933,$J$1629:$K$1718,2,FALSE),"")</f>
        <v/>
      </c>
      <c r="P1933" s="248"/>
      <c r="Q1933" s="248"/>
      <c r="R1933" s="248"/>
      <c r="T1933" s="169"/>
      <c r="U1933" s="50"/>
      <c r="V1933" s="2177"/>
      <c r="W1933" s="155"/>
      <c r="X1933" s="157"/>
      <c r="Y1933" s="157"/>
      <c r="Z1933" s="155"/>
      <c r="AA1933" s="155"/>
      <c r="AB1933" s="157"/>
      <c r="AC1933" s="155"/>
      <c r="AD1933" s="155"/>
      <c r="AE1933" s="155"/>
      <c r="AF1933" s="258" t="str">
        <f t="shared" si="240"/>
        <v/>
      </c>
      <c r="AG1933" s="228"/>
      <c r="DG1933" s="555"/>
      <c r="DH1933" s="151"/>
      <c r="DI1933" s="1049"/>
      <c r="DJ1933" s="1127"/>
    </row>
    <row r="1934" spans="1:114" ht="15" hidden="1" customHeight="1" outlineLevel="1" x14ac:dyDescent="0.25">
      <c r="A1934" s="442"/>
      <c r="C1934" s="49"/>
      <c r="D1934" s="2177"/>
      <c r="E1934" s="2177"/>
      <c r="F1934" s="2176" t="str">
        <f t="shared" si="243"/>
        <v>ASHP-SEER16-Replace_CAC_ElectricHeat_ER1_MF</v>
      </c>
      <c r="G1934" s="2176"/>
      <c r="H1934" s="2176"/>
      <c r="I1934" s="2176"/>
      <c r="J1934" s="986" t="str">
        <f t="shared" si="244"/>
        <v>353000_2024_12_</v>
      </c>
      <c r="K1934" s="1588">
        <f>(S$911+L1934*T$911)-((S$921+L1934*T$921)*S$926)</f>
        <v>3682.0649648885365</v>
      </c>
      <c r="L1934" s="45">
        <f>VLOOKUP(J1934,$J$909:$L$998,3,FALSE)*M1934</f>
        <v>2.8388888888888886</v>
      </c>
      <c r="M1934" s="1581">
        <f>VLOOKUP(J1934,$J$1629:$K$1718,2,FALSE)</f>
        <v>1</v>
      </c>
      <c r="N1934" s="535"/>
      <c r="P1934" s="248"/>
      <c r="Q1934" s="196"/>
      <c r="R1934" s="248"/>
      <c r="T1934" s="169"/>
      <c r="U1934" s="50"/>
      <c r="V1934" s="2177"/>
      <c r="W1934" s="155">
        <v>2896.6077829603428</v>
      </c>
      <c r="X1934" s="157">
        <v>2531.737308410552</v>
      </c>
      <c r="Y1934" s="157">
        <v>959.95459154364198</v>
      </c>
      <c r="Z1934" s="155">
        <v>959.95459154364198</v>
      </c>
      <c r="AA1934" s="155">
        <v>959.95459154364198</v>
      </c>
      <c r="AB1934" s="157">
        <v>950.52172387527389</v>
      </c>
      <c r="AC1934" s="157">
        <v>748.6192265910754</v>
      </c>
      <c r="AD1934" s="157">
        <v>878.90673552233147</v>
      </c>
      <c r="AE1934" s="157">
        <v>1212.4917696882567</v>
      </c>
      <c r="AF1934" s="258">
        <f t="shared" ref="AF1934:AF1941" si="245">IF(K1934&lt;&gt;"",K1934,"")</f>
        <v>3682.0649648885365</v>
      </c>
      <c r="AG1934" s="228"/>
      <c r="DG1934" s="555"/>
      <c r="DH1934" s="151"/>
      <c r="DI1934" s="1049"/>
      <c r="DJ1934" s="1127"/>
    </row>
    <row r="1935" spans="1:114" ht="15" hidden="1" customHeight="1" outlineLevel="1" x14ac:dyDescent="0.25">
      <c r="A1935" s="442"/>
      <c r="C1935" s="49"/>
      <c r="D1935" s="2177"/>
      <c r="E1935" s="2177"/>
      <c r="F1935" s="2176" t="str">
        <f t="shared" si="243"/>
        <v>ASHP-SEER16-Replace_CAC_ElectricHeat_ER1_MF</v>
      </c>
      <c r="G1935" s="2176"/>
      <c r="H1935" s="2176"/>
      <c r="I1935" s="2176"/>
      <c r="J1935" s="986" t="str">
        <f t="shared" si="244"/>
        <v>353000_2024_12_</v>
      </c>
      <c r="K1935" s="155"/>
      <c r="L1935" s="45" t="str">
        <f>IF(K1935&gt;0,VLOOKUP(J1935,$J$909:$L$998,3,FALSE),"")</f>
        <v/>
      </c>
      <c r="M1935" s="1581" t="str">
        <f>IF(K1935&gt;0,VLOOKUP(J1935,$J$1629:$K$1718,2,FALSE),"")</f>
        <v/>
      </c>
      <c r="P1935" s="248"/>
      <c r="T1935" s="50"/>
      <c r="U1935" s="50"/>
      <c r="V1935" s="2177"/>
      <c r="W1935" s="155"/>
      <c r="X1935" s="157"/>
      <c r="Y1935" s="157"/>
      <c r="Z1935" s="155"/>
      <c r="AA1935" s="155"/>
      <c r="AB1935" s="157"/>
      <c r="AC1935" s="155"/>
      <c r="AD1935" s="155"/>
      <c r="AE1935" s="155"/>
      <c r="AF1935" s="258" t="str">
        <f t="shared" si="245"/>
        <v/>
      </c>
      <c r="AG1935" s="228"/>
      <c r="DG1935" s="555"/>
      <c r="DH1935" s="151"/>
      <c r="DI1935" s="1049"/>
      <c r="DJ1935" s="1127"/>
    </row>
    <row r="1936" spans="1:114" ht="15" hidden="1" customHeight="1" outlineLevel="1" x14ac:dyDescent="0.25">
      <c r="A1936" s="442"/>
      <c r="C1936" s="49"/>
      <c r="D1936" s="2177"/>
      <c r="E1936" s="2177"/>
      <c r="F1936" s="2176" t="str">
        <f t="shared" si="243"/>
        <v>ASHP-SEER16-Replace_CAC_ElectricHeat_ER2_MF</v>
      </c>
      <c r="G1936" s="2176"/>
      <c r="H1936" s="2176"/>
      <c r="I1936" s="2176"/>
      <c r="J1936" s="986" t="str">
        <f t="shared" si="244"/>
        <v>353000_2024_12_</v>
      </c>
      <c r="K1936" s="155"/>
      <c r="L1936" s="45" t="str">
        <f>IF(K1936&gt;0,VLOOKUP(J1936,$J$909:$L$998,3,FALSE),"")</f>
        <v/>
      </c>
      <c r="M1936" s="1581" t="str">
        <f>IF(K1936&gt;0,VLOOKUP(J1936,$J$1629:$K$1718,2,FALSE),"")</f>
        <v/>
      </c>
      <c r="P1936" s="248"/>
      <c r="T1936" s="50"/>
      <c r="U1936" s="50"/>
      <c r="V1936" s="2177"/>
      <c r="W1936" s="155"/>
      <c r="X1936" s="157"/>
      <c r="Y1936" s="157"/>
      <c r="Z1936" s="155"/>
      <c r="AA1936" s="155"/>
      <c r="AB1936" s="157"/>
      <c r="AC1936" s="155"/>
      <c r="AD1936" s="155"/>
      <c r="AE1936" s="155"/>
      <c r="AF1936" s="258" t="str">
        <f t="shared" si="245"/>
        <v/>
      </c>
      <c r="AG1936" s="228"/>
      <c r="DG1936" s="555"/>
      <c r="DH1936" s="151"/>
      <c r="DI1936" s="1049"/>
      <c r="DJ1936" s="1127"/>
    </row>
    <row r="1937" spans="1:114" ht="15" hidden="1" customHeight="1" outlineLevel="1" x14ac:dyDescent="0.25">
      <c r="A1937" s="442"/>
      <c r="C1937" s="49"/>
      <c r="D1937" s="2177"/>
      <c r="E1937" s="2177"/>
      <c r="F1937" s="2176" t="str">
        <f t="shared" si="243"/>
        <v>ASHP-SEER16-Replace_CAC_ElectricHeat_ER2_MF</v>
      </c>
      <c r="G1937" s="2176"/>
      <c r="H1937" s="2176"/>
      <c r="I1937" s="2176"/>
      <c r="J1937" s="986" t="str">
        <f t="shared" si="244"/>
        <v>353000_2024_12_</v>
      </c>
      <c r="K1937" s="155"/>
      <c r="L1937" s="45" t="str">
        <f>IF(K1937&gt;0,VLOOKUP(J1937,$J$909:$L$998,3,FALSE),"")</f>
        <v/>
      </c>
      <c r="M1937" s="1581" t="str">
        <f>IF(K1937&gt;0,VLOOKUP(J1937,$J$1629:$K$1718,2,FALSE),"")</f>
        <v/>
      </c>
      <c r="P1937" s="248"/>
      <c r="Q1937" s="196"/>
      <c r="R1937" s="248"/>
      <c r="T1937" s="169"/>
      <c r="U1937" s="50"/>
      <c r="V1937" s="2177"/>
      <c r="W1937" s="155"/>
      <c r="X1937" s="157"/>
      <c r="Y1937" s="157"/>
      <c r="Z1937" s="155"/>
      <c r="AA1937" s="155"/>
      <c r="AB1937" s="155"/>
      <c r="AC1937" s="155"/>
      <c r="AD1937" s="155"/>
      <c r="AE1937" s="155"/>
      <c r="AF1937" s="258" t="str">
        <f t="shared" si="245"/>
        <v/>
      </c>
      <c r="AG1937" s="228"/>
      <c r="DG1937" s="555"/>
      <c r="DH1937" s="151"/>
      <c r="DI1937" s="1049"/>
      <c r="DJ1937" s="1127"/>
    </row>
    <row r="1938" spans="1:114" ht="15" hidden="1" customHeight="1" outlineLevel="1" x14ac:dyDescent="0.25">
      <c r="A1938" s="442"/>
      <c r="C1938" s="49"/>
      <c r="D1938" s="2177"/>
      <c r="E1938" s="2177"/>
      <c r="F1938" s="2176" t="str">
        <f t="shared" si="243"/>
        <v>ASHP-SEER17-Replace_CAC_ElectricHeat_ROF_SF</v>
      </c>
      <c r="G1938" s="2176"/>
      <c r="H1938" s="2176"/>
      <c r="I1938" s="2176"/>
      <c r="J1938" s="986" t="str">
        <f t="shared" si="244"/>
        <v>353100_2024_12_</v>
      </c>
      <c r="K1938" s="1588">
        <f>(S$912+L1938*T$912)-(S$919+L1938*T$919)</f>
        <v>4073.1981423529414</v>
      </c>
      <c r="L1938" s="45">
        <f>VLOOKUP(J1938,$J$909:$L$998,3,FALSE)*M1938</f>
        <v>3.2119969039215692</v>
      </c>
      <c r="M1938" s="1581">
        <f>VLOOKUP(J1938,$J$1629:$K$1718,2,FALSE)</f>
        <v>1</v>
      </c>
      <c r="N1938" s="535"/>
      <c r="P1938" s="248"/>
      <c r="T1938" s="50"/>
      <c r="U1938" s="50"/>
      <c r="V1938" s="2177"/>
      <c r="W1938" s="155">
        <v>1624</v>
      </c>
      <c r="X1938" s="157">
        <v>2027.1999999999998</v>
      </c>
      <c r="Y1938" s="157">
        <v>580</v>
      </c>
      <c r="Z1938" s="155">
        <v>580</v>
      </c>
      <c r="AA1938" s="155">
        <v>580</v>
      </c>
      <c r="AB1938" s="157">
        <v>724</v>
      </c>
      <c r="AC1938" s="155">
        <v>724</v>
      </c>
      <c r="AD1938" s="155">
        <v>724</v>
      </c>
      <c r="AE1938" s="155">
        <v>724</v>
      </c>
      <c r="AF1938" s="258">
        <f t="shared" si="245"/>
        <v>4073.1981423529414</v>
      </c>
      <c r="AG1938" s="228"/>
      <c r="DG1938" s="555"/>
      <c r="DH1938" s="151"/>
      <c r="DI1938" s="1049"/>
      <c r="DJ1938" s="1127"/>
    </row>
    <row r="1939" spans="1:114" ht="15" hidden="1" customHeight="1" outlineLevel="1" x14ac:dyDescent="0.25">
      <c r="A1939" s="442"/>
      <c r="C1939" s="49"/>
      <c r="D1939" s="2177"/>
      <c r="E1939" s="2177"/>
      <c r="F1939" s="2176" t="str">
        <f t="shared" si="243"/>
        <v>ASHP-SEER17-Replace_CAC_ElectricHeat_ROF_SF</v>
      </c>
      <c r="G1939" s="2176"/>
      <c r="H1939" s="2176"/>
      <c r="I1939" s="2176"/>
      <c r="J1939" s="986" t="str">
        <f t="shared" si="244"/>
        <v>353100_2024_12_</v>
      </c>
      <c r="K1939" s="155"/>
      <c r="L1939" s="45" t="str">
        <f>IF(K1939&gt;0,VLOOKUP(J1939,$J$909:$L$998,3,FALSE),"")</f>
        <v/>
      </c>
      <c r="M1939" s="1581" t="str">
        <f>IF(K1939&gt;0,VLOOKUP(J1939,$J$1629:$K$1718,2,FALSE),"")</f>
        <v/>
      </c>
      <c r="P1939" s="248"/>
      <c r="Q1939" s="196"/>
      <c r="R1939" s="248"/>
      <c r="T1939" s="169"/>
      <c r="U1939" s="50"/>
      <c r="V1939" s="2177"/>
      <c r="W1939" s="155"/>
      <c r="X1939" s="157"/>
      <c r="Y1939" s="157"/>
      <c r="Z1939" s="155"/>
      <c r="AA1939" s="155"/>
      <c r="AB1939" s="157"/>
      <c r="AC1939" s="155"/>
      <c r="AD1939" s="155"/>
      <c r="AE1939" s="155"/>
      <c r="AF1939" s="258" t="str">
        <f t="shared" si="245"/>
        <v/>
      </c>
      <c r="AG1939" s="228"/>
      <c r="DG1939" s="555"/>
      <c r="DH1939" s="151"/>
      <c r="DI1939" s="1049"/>
      <c r="DJ1939" s="1127"/>
    </row>
    <row r="1940" spans="1:114" ht="15" hidden="1" customHeight="1" outlineLevel="1" x14ac:dyDescent="0.25">
      <c r="A1940" s="442"/>
      <c r="C1940" s="49"/>
      <c r="D1940" s="2177"/>
      <c r="E1940" s="2177"/>
      <c r="F1940" s="2176" t="str">
        <f t="shared" si="243"/>
        <v>ASHP-SEER17-Replace_CAC_NonElectricHeat_ROF_SF</v>
      </c>
      <c r="G1940" s="2176"/>
      <c r="H1940" s="2176"/>
      <c r="I1940" s="2176"/>
      <c r="J1940" s="986" t="str">
        <f t="shared" si="244"/>
        <v>353110_2024_12_</v>
      </c>
      <c r="K1940" s="1588">
        <f>((S$912+L1940*T$912)-(S$919+L1940*T$919))*VLOOKUP(J1940,$J$2082:$K$2095,2,FALSE)</f>
        <v>183.91380808343658</v>
      </c>
      <c r="L1940" s="45">
        <f>VLOOKUP(J1940,$J$909:$L$998,3,FALSE)*M1940</f>
        <v>3.2119969039215692</v>
      </c>
      <c r="M1940" s="1581">
        <f>VLOOKUP(J1940,$J$1629:$K$1718,2,FALSE)</f>
        <v>1</v>
      </c>
      <c r="N1940" s="535"/>
      <c r="P1940" s="248"/>
      <c r="Q1940" s="196"/>
      <c r="R1940" s="248"/>
      <c r="T1940" s="169"/>
      <c r="U1940" s="50"/>
      <c r="V1940" s="2177"/>
      <c r="W1940" s="155"/>
      <c r="X1940" s="157"/>
      <c r="Y1940" s="157"/>
      <c r="Z1940" s="155"/>
      <c r="AA1940" s="155"/>
      <c r="AB1940" s="157"/>
      <c r="AC1940" s="155"/>
      <c r="AD1940" s="157">
        <v>724</v>
      </c>
      <c r="AE1940" s="155">
        <v>724</v>
      </c>
      <c r="AF1940" s="258">
        <f t="shared" si="245"/>
        <v>183.91380808343658</v>
      </c>
      <c r="AG1940" s="228"/>
      <c r="DG1940" s="555"/>
      <c r="DH1940" s="151"/>
      <c r="DI1940" s="1049"/>
      <c r="DJ1940" s="1127"/>
    </row>
    <row r="1941" spans="1:114" ht="15" hidden="1" customHeight="1" outlineLevel="1" x14ac:dyDescent="0.25">
      <c r="A1941" s="442"/>
      <c r="C1941" s="49"/>
      <c r="D1941" s="2177"/>
      <c r="E1941" s="2177"/>
      <c r="F1941" s="2176" t="str">
        <f t="shared" si="243"/>
        <v>ASHP-SEER17-Replace_CAC_NonElectricHeat_ROF_SF</v>
      </c>
      <c r="G1941" s="2176"/>
      <c r="H1941" s="2176"/>
      <c r="I1941" s="2176"/>
      <c r="J1941" s="986" t="str">
        <f t="shared" si="244"/>
        <v>353110_2024_12_</v>
      </c>
      <c r="K1941" s="155"/>
      <c r="L1941" s="45" t="str">
        <f>IF(K1941&gt;0,VLOOKUP(J1941,$J$909:$L$998,3,FALSE),"")</f>
        <v/>
      </c>
      <c r="M1941" s="1581" t="str">
        <f>IF(K1941&gt;0,VLOOKUP(J1941,$J$1629:$K$1718,2,FALSE),"")</f>
        <v/>
      </c>
      <c r="P1941" s="248"/>
      <c r="Q1941" s="196"/>
      <c r="R1941" s="248"/>
      <c r="T1941" s="169"/>
      <c r="U1941" s="50"/>
      <c r="V1941" s="2177"/>
      <c r="W1941" s="155"/>
      <c r="X1941" s="157"/>
      <c r="Y1941" s="157"/>
      <c r="Z1941" s="155"/>
      <c r="AA1941" s="155"/>
      <c r="AB1941" s="157"/>
      <c r="AC1941" s="155"/>
      <c r="AD1941" s="155"/>
      <c r="AE1941" s="155"/>
      <c r="AF1941" s="258" t="str">
        <f t="shared" si="245"/>
        <v/>
      </c>
      <c r="AG1941" s="228"/>
      <c r="DG1941" s="555"/>
      <c r="DH1941" s="151"/>
      <c r="DI1941" s="1049"/>
      <c r="DJ1941" s="1127"/>
    </row>
    <row r="1942" spans="1:114" ht="15" hidden="1" customHeight="1" outlineLevel="1" x14ac:dyDescent="0.25">
      <c r="A1942" s="442"/>
      <c r="C1942" s="49"/>
      <c r="D1942" s="2177"/>
      <c r="E1942" s="2177"/>
      <c r="F1942" s="2176" t="str">
        <f t="shared" si="243"/>
        <v>ASHP-SEER18-Replace_CAC_ElectricHeat_ROF_SF</v>
      </c>
      <c r="G1942" s="2176"/>
      <c r="H1942" s="2176"/>
      <c r="I1942" s="2176"/>
      <c r="J1942" s="986" t="str">
        <f t="shared" si="244"/>
        <v>353200_2024_12_</v>
      </c>
      <c r="K1942" s="1588">
        <f>(S$913+L1942*T$913)-(S$919+L1942*T$919)</f>
        <v>4172.2222220000003</v>
      </c>
      <c r="L1942" s="45">
        <f>VLOOKUP(J1942,$J$909:$L$998,3,FALSE)*M1942</f>
        <v>3.0020370366666667</v>
      </c>
      <c r="M1942" s="1581">
        <f>VLOOKUP(J1942,$J$1629:$K$1718,2,FALSE)</f>
        <v>1</v>
      </c>
      <c r="N1942" s="535"/>
      <c r="P1942" s="248"/>
      <c r="Q1942" s="196"/>
      <c r="R1942" s="248"/>
      <c r="T1942" s="169"/>
      <c r="U1942" s="50"/>
      <c r="V1942" s="2177"/>
      <c r="W1942" s="155">
        <v>1997.3333333333333</v>
      </c>
      <c r="X1942" s="157">
        <v>2696.1759999999999</v>
      </c>
      <c r="Y1942" s="157">
        <v>713.33333333333337</v>
      </c>
      <c r="Z1942" s="155">
        <v>713.33333333333337</v>
      </c>
      <c r="AA1942" s="155">
        <v>713.33333333333337</v>
      </c>
      <c r="AB1942" s="157">
        <v>962.92000000000007</v>
      </c>
      <c r="AC1942" s="155">
        <v>962.92000000000007</v>
      </c>
      <c r="AD1942" s="155">
        <v>962.92000000000007</v>
      </c>
      <c r="AE1942" s="155">
        <v>962.92000000000007</v>
      </c>
      <c r="AF1942" s="258">
        <f t="shared" ref="AF1942:AF1973" si="246">IF(K1942&lt;&gt;"",K1942,"")</f>
        <v>4172.2222220000003</v>
      </c>
      <c r="AG1942" s="228"/>
      <c r="DG1942" s="555"/>
      <c r="DH1942" s="151"/>
      <c r="DI1942" s="1049"/>
      <c r="DJ1942" s="1127"/>
    </row>
    <row r="1943" spans="1:114" ht="15" hidden="1" customHeight="1" outlineLevel="1" x14ac:dyDescent="0.25">
      <c r="A1943" s="442"/>
      <c r="C1943" s="49"/>
      <c r="D1943" s="2177"/>
      <c r="E1943" s="2177"/>
      <c r="F1943" s="2176" t="str">
        <f t="shared" si="243"/>
        <v>ASHP-SEER18-Replace_CAC_ElectricHeat_ROF_SF</v>
      </c>
      <c r="G1943" s="2176"/>
      <c r="H1943" s="2176"/>
      <c r="I1943" s="2176"/>
      <c r="J1943" s="986" t="str">
        <f t="shared" si="244"/>
        <v>353200_2024_12_</v>
      </c>
      <c r="K1943" s="155"/>
      <c r="L1943" s="45" t="str">
        <f>IF(K1943&gt;0,VLOOKUP(J1943,$J$909:$L$998,3,FALSE),"")</f>
        <v/>
      </c>
      <c r="M1943" s="1581" t="str">
        <f>IF(K1943&gt;0,VLOOKUP(J1943,$J$1629:$K$1718,2,FALSE),"")</f>
        <v/>
      </c>
      <c r="P1943" s="248"/>
      <c r="Q1943" s="196"/>
      <c r="R1943" s="248"/>
      <c r="T1943" s="169"/>
      <c r="U1943" s="50"/>
      <c r="V1943" s="2177"/>
      <c r="W1943" s="155"/>
      <c r="X1943" s="157"/>
      <c r="Y1943" s="157"/>
      <c r="Z1943" s="155"/>
      <c r="AA1943" s="155"/>
      <c r="AB1943" s="157"/>
      <c r="AC1943" s="155"/>
      <c r="AD1943" s="155"/>
      <c r="AE1943" s="155"/>
      <c r="AF1943" s="258" t="str">
        <f t="shared" si="246"/>
        <v/>
      </c>
      <c r="AG1943" s="228"/>
      <c r="DG1943" s="555"/>
      <c r="DH1943" s="151"/>
      <c r="DI1943" s="1049"/>
      <c r="DJ1943" s="1127"/>
    </row>
    <row r="1944" spans="1:114" ht="15" hidden="1" customHeight="1" outlineLevel="1" x14ac:dyDescent="0.25">
      <c r="A1944" s="442"/>
      <c r="C1944" s="49"/>
      <c r="D1944" s="2177"/>
      <c r="E1944" s="2177"/>
      <c r="F1944" s="2176" t="str">
        <f t="shared" si="243"/>
        <v>ASHP-SEER18-Replace_CAC_NonElectricHeat_ROF_SF</v>
      </c>
      <c r="G1944" s="2176"/>
      <c r="H1944" s="2176"/>
      <c r="I1944" s="2176"/>
      <c r="J1944" s="986" t="str">
        <f t="shared" si="244"/>
        <v>353210_2024_12_</v>
      </c>
      <c r="K1944" s="1588">
        <f>((S$913+L1944*T$913)-(S$919+L1944*T$919))*VLOOKUP(J1944,$J$2082:$K$2095,2,FALSE)</f>
        <v>264.28036762775952</v>
      </c>
      <c r="L1944" s="45">
        <f>VLOOKUP(J1944,$J$909:$L$998,3,FALSE)*M1944</f>
        <v>3.0020370366666667</v>
      </c>
      <c r="M1944" s="1581">
        <f>VLOOKUP(J1944,$J$1629:$K$1718,2,FALSE)</f>
        <v>1</v>
      </c>
      <c r="N1944" s="535"/>
      <c r="P1944" s="248"/>
      <c r="Q1944" s="196"/>
      <c r="R1944" s="248"/>
      <c r="T1944" s="169"/>
      <c r="U1944" s="50"/>
      <c r="V1944" s="2177"/>
      <c r="W1944" s="155"/>
      <c r="X1944" s="157"/>
      <c r="Y1944" s="157"/>
      <c r="Z1944" s="155"/>
      <c r="AA1944" s="155"/>
      <c r="AB1944" s="157"/>
      <c r="AC1944" s="155"/>
      <c r="AD1944" s="157">
        <v>962.92000000000007</v>
      </c>
      <c r="AE1944" s="155">
        <v>962.92000000000007</v>
      </c>
      <c r="AF1944" s="258">
        <f t="shared" si="246"/>
        <v>264.28036762775952</v>
      </c>
      <c r="AG1944" s="228"/>
      <c r="DG1944" s="555"/>
      <c r="DH1944" s="151"/>
      <c r="DI1944" s="1049"/>
      <c r="DJ1944" s="1127"/>
    </row>
    <row r="1945" spans="1:114" ht="15" hidden="1" customHeight="1" outlineLevel="1" x14ac:dyDescent="0.25">
      <c r="A1945" s="442"/>
      <c r="C1945" s="49"/>
      <c r="D1945" s="2177"/>
      <c r="E1945" s="2177"/>
      <c r="F1945" s="2176" t="str">
        <f t="shared" si="243"/>
        <v>ASHP-SEER18-Replace_CAC_NonElectricHeat_ROF_SF</v>
      </c>
      <c r="G1945" s="2176"/>
      <c r="H1945" s="2176"/>
      <c r="I1945" s="2176"/>
      <c r="J1945" s="986" t="str">
        <f t="shared" si="244"/>
        <v>353210_2024_12_</v>
      </c>
      <c r="K1945" s="155"/>
      <c r="L1945" s="45" t="str">
        <f>IF(K1945&gt;0,VLOOKUP(J1945,$J$909:$L$998,3,FALSE),"")</f>
        <v/>
      </c>
      <c r="M1945" s="1581" t="str">
        <f>IF(K1945&gt;0,VLOOKUP(J1945,$J$1629:$K$1718,2,FALSE),"")</f>
        <v/>
      </c>
      <c r="P1945" s="248"/>
      <c r="Q1945" s="196"/>
      <c r="R1945" s="248"/>
      <c r="T1945" s="169"/>
      <c r="U1945" s="50"/>
      <c r="V1945" s="2177"/>
      <c r="W1945" s="155"/>
      <c r="X1945" s="157"/>
      <c r="Y1945" s="157"/>
      <c r="Z1945" s="155"/>
      <c r="AA1945" s="155"/>
      <c r="AB1945" s="157"/>
      <c r="AC1945" s="155"/>
      <c r="AD1945" s="155"/>
      <c r="AE1945" s="155"/>
      <c r="AF1945" s="258" t="str">
        <f t="shared" si="246"/>
        <v/>
      </c>
      <c r="AG1945" s="228"/>
      <c r="DG1945" s="555"/>
      <c r="DH1945" s="151"/>
      <c r="DI1945" s="1049"/>
      <c r="DJ1945" s="1127"/>
    </row>
    <row r="1946" spans="1:114" ht="14.65" hidden="1" customHeight="1" outlineLevel="1" x14ac:dyDescent="0.25">
      <c r="A1946" s="442"/>
      <c r="C1946" s="49"/>
      <c r="D1946" s="2177"/>
      <c r="E1946" s="2177"/>
      <c r="F1946" s="2176" t="str">
        <f t="shared" si="243"/>
        <v>ASHP-SEER19-Replace_CAC_ElectricHeat_ROF_SF</v>
      </c>
      <c r="G1946" s="2176"/>
      <c r="H1946" s="2176"/>
      <c r="I1946" s="2176"/>
      <c r="J1946" s="986" t="str">
        <f t="shared" si="244"/>
        <v>353300_2024_12_</v>
      </c>
      <c r="K1946" s="1588">
        <f>(S$914+L1946*T$914)-(S$919+L1946*T$919)</f>
        <v>4392.2197803846157</v>
      </c>
      <c r="L1946" s="45">
        <f>VLOOKUP(J1946,$J$909:$L$998,3,FALSE)*M1946</f>
        <v>2.9920329673076922</v>
      </c>
      <c r="M1946" s="1581">
        <f>VLOOKUP(J1946,$J$1629:$K$1718,2,FALSE)</f>
        <v>1</v>
      </c>
      <c r="N1946" s="535"/>
      <c r="P1946" s="248"/>
      <c r="Q1946" s="196"/>
      <c r="R1946" s="248"/>
      <c r="T1946" s="169"/>
      <c r="U1946" s="50"/>
      <c r="V1946" s="2177"/>
      <c r="W1946" s="155">
        <v>2277.3333333333335</v>
      </c>
      <c r="X1946" s="157">
        <v>3370.2200000000007</v>
      </c>
      <c r="Y1946" s="157">
        <v>813.33333333333337</v>
      </c>
      <c r="Z1946" s="155">
        <v>813.33333333333337</v>
      </c>
      <c r="AA1946" s="155">
        <v>813.33333333333337</v>
      </c>
      <c r="AB1946" s="157">
        <v>1203.6500000000003</v>
      </c>
      <c r="AC1946" s="155">
        <v>1203.6500000000003</v>
      </c>
      <c r="AD1946" s="155">
        <v>1203.6500000000003</v>
      </c>
      <c r="AE1946" s="155">
        <v>1203.6500000000003</v>
      </c>
      <c r="AF1946" s="258">
        <f t="shared" si="246"/>
        <v>4392.2197803846157</v>
      </c>
      <c r="AG1946" s="228"/>
      <c r="DG1946" s="555"/>
      <c r="DH1946" s="151"/>
      <c r="DI1946" s="1049"/>
      <c r="DJ1946" s="1127"/>
    </row>
    <row r="1947" spans="1:114" ht="14.65" hidden="1" customHeight="1" outlineLevel="1" x14ac:dyDescent="0.25">
      <c r="A1947" s="442"/>
      <c r="C1947" s="49"/>
      <c r="D1947" s="2177"/>
      <c r="E1947" s="2177"/>
      <c r="F1947" s="2176" t="str">
        <f t="shared" si="243"/>
        <v>ASHP-SEER19-Replace_CAC_ElectricHeat_ROF_SF</v>
      </c>
      <c r="G1947" s="2176"/>
      <c r="H1947" s="2176"/>
      <c r="I1947" s="2176"/>
      <c r="J1947" s="986" t="str">
        <f t="shared" si="244"/>
        <v>353300_2024_12_</v>
      </c>
      <c r="K1947" s="155"/>
      <c r="L1947" s="45" t="str">
        <f>IF(K1947&gt;0,VLOOKUP(J1947,$J$909:$L$998,3,FALSE),"")</f>
        <v/>
      </c>
      <c r="M1947" s="1581" t="str">
        <f>IF(K1947&gt;0,VLOOKUP(J1947,$J$1629:$K$1718,2,FALSE),"")</f>
        <v/>
      </c>
      <c r="P1947" s="248"/>
      <c r="Q1947" s="196"/>
      <c r="R1947" s="248"/>
      <c r="T1947" s="169"/>
      <c r="U1947" s="50"/>
      <c r="V1947" s="2177"/>
      <c r="W1947" s="155"/>
      <c r="X1947" s="157"/>
      <c r="Y1947" s="157"/>
      <c r="Z1947" s="155"/>
      <c r="AA1947" s="155"/>
      <c r="AB1947" s="157"/>
      <c r="AC1947" s="155"/>
      <c r="AD1947" s="155"/>
      <c r="AE1947" s="155"/>
      <c r="AF1947" s="258" t="str">
        <f t="shared" si="246"/>
        <v/>
      </c>
      <c r="AG1947" s="228"/>
      <c r="DG1947" s="555"/>
      <c r="DH1947" s="151"/>
      <c r="DI1947" s="1049"/>
      <c r="DJ1947" s="1127"/>
    </row>
    <row r="1948" spans="1:114" ht="14.65" hidden="1" customHeight="1" outlineLevel="1" x14ac:dyDescent="0.25">
      <c r="A1948" s="442"/>
      <c r="C1948" s="49"/>
      <c r="D1948" s="2177"/>
      <c r="E1948" s="2177"/>
      <c r="F1948" s="2176" t="str">
        <f t="shared" si="243"/>
        <v>ASHP-SEER19-Replace_CAC_NonElectricHeat_ROF_SF</v>
      </c>
      <c r="G1948" s="2176"/>
      <c r="H1948" s="2176"/>
      <c r="I1948" s="2176"/>
      <c r="J1948" s="986" t="str">
        <f t="shared" si="244"/>
        <v>353310_2024_12_</v>
      </c>
      <c r="K1948" s="1588">
        <f>((S$914+L1948*T$914)-(S$919+L1948*T$919))*VLOOKUP(J1948,$J$2082:$K$2095,2,FALSE)</f>
        <v>326.35323489724897</v>
      </c>
      <c r="L1948" s="45">
        <f>VLOOKUP(J1948,$J$909:$L$998,3,FALSE)*M1948</f>
        <v>2.9920329673076922</v>
      </c>
      <c r="M1948" s="1581">
        <f>VLOOKUP(J1948,$J$1629:$K$1718,2,FALSE)</f>
        <v>1</v>
      </c>
      <c r="N1948" s="535"/>
      <c r="P1948" s="248"/>
      <c r="Q1948" s="196"/>
      <c r="R1948" s="248"/>
      <c r="T1948" s="169"/>
      <c r="U1948" s="50"/>
      <c r="V1948" s="2177"/>
      <c r="W1948" s="155"/>
      <c r="X1948" s="157"/>
      <c r="Y1948" s="157"/>
      <c r="Z1948" s="155"/>
      <c r="AA1948" s="155"/>
      <c r="AB1948" s="157"/>
      <c r="AC1948" s="155"/>
      <c r="AD1948" s="157">
        <v>1203.6500000000003</v>
      </c>
      <c r="AE1948" s="155">
        <v>1203.6500000000003</v>
      </c>
      <c r="AF1948" s="258">
        <f t="shared" si="246"/>
        <v>326.35323489724897</v>
      </c>
      <c r="AG1948" s="228"/>
      <c r="DG1948" s="555"/>
      <c r="DH1948" s="151"/>
      <c r="DI1948" s="1049"/>
      <c r="DJ1948" s="1127"/>
    </row>
    <row r="1949" spans="1:114" ht="14.65" hidden="1" customHeight="1" outlineLevel="1" x14ac:dyDescent="0.25">
      <c r="A1949" s="442"/>
      <c r="C1949" s="49"/>
      <c r="D1949" s="2177"/>
      <c r="E1949" s="2177"/>
      <c r="F1949" s="2176" t="str">
        <f t="shared" si="243"/>
        <v>ASHP-SEER19-Replace_CAC_NonElectricHeat_ROF_SF</v>
      </c>
      <c r="G1949" s="2176"/>
      <c r="H1949" s="2176"/>
      <c r="I1949" s="2176"/>
      <c r="J1949" s="986" t="str">
        <f t="shared" si="244"/>
        <v>353310_2024_12_</v>
      </c>
      <c r="K1949" s="155"/>
      <c r="L1949" s="45" t="str">
        <f>IF(K1949&gt;0,VLOOKUP(J1949,$J$909:$L$998,3,FALSE),"")</f>
        <v/>
      </c>
      <c r="M1949" s="1581" t="str">
        <f>IF(K1949&gt;0,VLOOKUP(J1949,$J$1629:$K$1718,2,FALSE),"")</f>
        <v/>
      </c>
      <c r="P1949" s="248"/>
      <c r="Q1949" s="196"/>
      <c r="R1949" s="248"/>
      <c r="T1949" s="169"/>
      <c r="U1949" s="50"/>
      <c r="V1949" s="2177"/>
      <c r="W1949" s="155"/>
      <c r="X1949" s="157"/>
      <c r="Y1949" s="157"/>
      <c r="Z1949" s="155"/>
      <c r="AA1949" s="155"/>
      <c r="AB1949" s="157"/>
      <c r="AC1949" s="155"/>
      <c r="AD1949" s="155"/>
      <c r="AE1949" s="155"/>
      <c r="AF1949" s="258" t="str">
        <f t="shared" si="246"/>
        <v/>
      </c>
      <c r="AG1949" s="228"/>
      <c r="DG1949" s="555"/>
      <c r="DH1949" s="151"/>
      <c r="DI1949" s="1049"/>
      <c r="DJ1949" s="1127"/>
    </row>
    <row r="1950" spans="1:114" ht="14.65" hidden="1" customHeight="1" outlineLevel="1" x14ac:dyDescent="0.25">
      <c r="A1950" s="442"/>
      <c r="C1950" s="49"/>
      <c r="D1950" s="2177"/>
      <c r="E1950" s="2177"/>
      <c r="F1950" s="2176" t="str">
        <f t="shared" si="243"/>
        <v>ASHP-SEER20-Replace_CAC_ElectricHeat_ER1_SF</v>
      </c>
      <c r="G1950" s="2176"/>
      <c r="H1950" s="2176"/>
      <c r="I1950" s="2176"/>
      <c r="J1950" s="986" t="str">
        <f t="shared" si="244"/>
        <v>353400_2024_12_</v>
      </c>
      <c r="K1950" s="1588">
        <f>(S$914+L1950*T$914)-((S$921+L1950*T$921)*S$926)</f>
        <v>4188.7510221369221</v>
      </c>
      <c r="L1950" s="45">
        <f>VLOOKUP(J1950,$J$909:$L$998,3,FALSE)*M1950</f>
        <v>2.5833656509695291</v>
      </c>
      <c r="M1950" s="1581">
        <f>VLOOKUP(J1950,$J$1629:$K$1718,2,FALSE)</f>
        <v>1</v>
      </c>
      <c r="N1950" s="535"/>
      <c r="P1950" s="248"/>
      <c r="Q1950" s="196"/>
      <c r="R1950" s="248"/>
      <c r="T1950" s="169"/>
      <c r="U1950" s="50"/>
      <c r="V1950" s="2177"/>
      <c r="W1950" s="155">
        <v>5275.2377829603429</v>
      </c>
      <c r="X1950" s="157">
        <v>7014.7584744777705</v>
      </c>
      <c r="Y1950" s="157">
        <v>2032.6993716056036</v>
      </c>
      <c r="Z1950" s="155">
        <v>2032.6993716056036</v>
      </c>
      <c r="AA1950" s="155">
        <v>2032.6993716056036</v>
      </c>
      <c r="AB1950" s="157">
        <v>2185.0873864864097</v>
      </c>
      <c r="AC1950" s="157">
        <v>2161.1935998255572</v>
      </c>
      <c r="AD1950" s="157">
        <v>2109.0699962597669</v>
      </c>
      <c r="AE1950" s="157">
        <v>2149.1611707609081</v>
      </c>
      <c r="AF1950" s="258">
        <f t="shared" si="246"/>
        <v>4188.7510221369221</v>
      </c>
      <c r="AG1950" s="228"/>
      <c r="DG1950" s="555"/>
      <c r="DH1950" s="151"/>
      <c r="DI1950" s="1049"/>
      <c r="DJ1950" s="1127"/>
    </row>
    <row r="1951" spans="1:114" ht="14.65" hidden="1" customHeight="1" outlineLevel="1" x14ac:dyDescent="0.25">
      <c r="A1951" s="442"/>
      <c r="C1951" s="49"/>
      <c r="D1951" s="2177"/>
      <c r="E1951" s="2177"/>
      <c r="F1951" s="2176" t="str">
        <f t="shared" si="243"/>
        <v>ASHP-SEER20-Replace_CAC_ElectricHeat_ER1_SF</v>
      </c>
      <c r="G1951" s="2176"/>
      <c r="H1951" s="2176"/>
      <c r="I1951" s="2176"/>
      <c r="J1951" s="986" t="str">
        <f t="shared" si="244"/>
        <v>353400_2024_12_</v>
      </c>
      <c r="K1951" s="155"/>
      <c r="L1951" s="45" t="str">
        <f>IF(K1951&gt;0,VLOOKUP(J1951,$J$909:$L$998,3,FALSE),"")</f>
        <v/>
      </c>
      <c r="M1951" s="1581" t="str">
        <f>IF(K1951&gt;0,VLOOKUP(J1951,$J$1629:$K$1718,2,FALSE),"")</f>
        <v/>
      </c>
      <c r="P1951" s="248"/>
      <c r="Q1951" s="196"/>
      <c r="R1951" s="248"/>
      <c r="T1951" s="169"/>
      <c r="U1951" s="50"/>
      <c r="V1951" s="2177"/>
      <c r="W1951" s="155"/>
      <c r="X1951" s="157"/>
      <c r="Y1951" s="157"/>
      <c r="Z1951" s="155"/>
      <c r="AA1951" s="155"/>
      <c r="AB1951" s="157"/>
      <c r="AC1951" s="155"/>
      <c r="AD1951" s="155"/>
      <c r="AE1951" s="155"/>
      <c r="AF1951" s="258" t="str">
        <f t="shared" si="246"/>
        <v/>
      </c>
      <c r="AG1951" s="228"/>
      <c r="DG1951" s="555"/>
      <c r="DH1951" s="151"/>
      <c r="DI1951" s="1049"/>
      <c r="DJ1951" s="1127"/>
    </row>
    <row r="1952" spans="1:114" ht="14.65" hidden="1" customHeight="1" outlineLevel="1" x14ac:dyDescent="0.25">
      <c r="A1952" s="442"/>
      <c r="C1952" s="49"/>
      <c r="D1952" s="2177"/>
      <c r="E1952" s="2177"/>
      <c r="F1952" s="2176" t="str">
        <f t="shared" si="243"/>
        <v>ASHP-SEER20-Replace_CAC_ElectricHeat_ER2_SF</v>
      </c>
      <c r="G1952" s="2176"/>
      <c r="H1952" s="2176"/>
      <c r="I1952" s="2176"/>
      <c r="J1952" s="986" t="str">
        <f t="shared" si="244"/>
        <v>353400_2024_12_</v>
      </c>
      <c r="K1952" s="155"/>
      <c r="L1952" s="45" t="str">
        <f>IF(K1952&gt;0,VLOOKUP(J1952,$J$909:$L$998,3,FALSE),"")</f>
        <v/>
      </c>
      <c r="M1952" s="1581" t="str">
        <f>IF(K1952&gt;0,VLOOKUP(J1952,$J$1629:$K$1718,2,FALSE),"")</f>
        <v/>
      </c>
      <c r="P1952" s="248"/>
      <c r="Q1952" s="196"/>
      <c r="R1952" s="248"/>
      <c r="T1952" s="169"/>
      <c r="U1952" s="50"/>
      <c r="V1952" s="2177"/>
      <c r="W1952" s="155"/>
      <c r="X1952" s="157"/>
      <c r="Y1952" s="157"/>
      <c r="Z1952" s="155"/>
      <c r="AA1952" s="155"/>
      <c r="AB1952" s="157"/>
      <c r="AC1952" s="155"/>
      <c r="AD1952" s="155"/>
      <c r="AE1952" s="155"/>
      <c r="AF1952" s="258" t="str">
        <f t="shared" si="246"/>
        <v/>
      </c>
      <c r="AG1952" s="228"/>
      <c r="DG1952" s="555"/>
      <c r="DH1952" s="151"/>
      <c r="DI1952" s="1049"/>
      <c r="DJ1952" s="1127"/>
    </row>
    <row r="1953" spans="1:114" ht="14.65" hidden="1" customHeight="1" outlineLevel="1" x14ac:dyDescent="0.25">
      <c r="A1953" s="442"/>
      <c r="C1953" s="49"/>
      <c r="D1953" s="2177"/>
      <c r="E1953" s="2177"/>
      <c r="F1953" s="2176" t="str">
        <f t="shared" si="243"/>
        <v>ASHP-SEER20-Replace_CAC_ElectricHeat_ER2_SF</v>
      </c>
      <c r="G1953" s="2176"/>
      <c r="H1953" s="2176"/>
      <c r="I1953" s="2176"/>
      <c r="J1953" s="986" t="str">
        <f t="shared" si="244"/>
        <v>353400_2024_12_</v>
      </c>
      <c r="K1953" s="155"/>
      <c r="L1953" s="45" t="str">
        <f>IF(K1953&gt;0,VLOOKUP(J1953,$J$909:$L$998,3,FALSE),"")</f>
        <v/>
      </c>
      <c r="M1953" s="1581" t="str">
        <f>IF(K1953&gt;0,VLOOKUP(J1953,$J$1629:$K$1718,2,FALSE),"")</f>
        <v/>
      </c>
      <c r="P1953" s="248"/>
      <c r="Q1953" s="196"/>
      <c r="R1953" s="248"/>
      <c r="T1953" s="169"/>
      <c r="U1953" s="50"/>
      <c r="V1953" s="2177"/>
      <c r="W1953" s="155"/>
      <c r="X1953" s="157"/>
      <c r="Y1953" s="157"/>
      <c r="Z1953" s="155"/>
      <c r="AA1953" s="155"/>
      <c r="AB1953" s="157"/>
      <c r="AC1953" s="155"/>
      <c r="AD1953" s="155"/>
      <c r="AE1953" s="155"/>
      <c r="AF1953" s="258" t="str">
        <f t="shared" si="246"/>
        <v/>
      </c>
      <c r="AG1953" s="228"/>
      <c r="DG1953" s="555"/>
      <c r="DH1953" s="151"/>
      <c r="DI1953" s="1049"/>
      <c r="DJ1953" s="1127"/>
    </row>
    <row r="1954" spans="1:114" ht="14.65" hidden="1" customHeight="1" outlineLevel="1" x14ac:dyDescent="0.25">
      <c r="A1954" s="442"/>
      <c r="C1954" s="49"/>
      <c r="D1954" s="2177"/>
      <c r="E1954" s="2177"/>
      <c r="F1954" s="2176" t="str">
        <f t="shared" si="243"/>
        <v>ASHP-SEER20-Replace_CAC_NonElectricHeat_ER1_SF</v>
      </c>
      <c r="G1954" s="2176"/>
      <c r="H1954" s="2176"/>
      <c r="I1954" s="2176"/>
      <c r="J1954" s="986" t="str">
        <f t="shared" si="244"/>
        <v>353410_2024_12_</v>
      </c>
      <c r="K1954" s="1588">
        <f>((S$914+L1954*T$914)-((S$921+L1954*T$921)*S$926))*VLOOKUP(J1954,$J$2082:$K$2095,2,FALSE)</f>
        <v>594.14061546225037</v>
      </c>
      <c r="L1954" s="45">
        <f>VLOOKUP(J1954,$J$909:$L$998,3,FALSE)*M1954</f>
        <v>2.5833656509695291</v>
      </c>
      <c r="M1954" s="1581">
        <f>VLOOKUP(J1954,$J$1629:$K$1718,2,FALSE)</f>
        <v>1</v>
      </c>
      <c r="N1954" s="535"/>
      <c r="P1954" s="248"/>
      <c r="Q1954" s="196"/>
      <c r="R1954" s="248"/>
      <c r="T1954" s="169"/>
      <c r="U1954" s="50"/>
      <c r="V1954" s="2177"/>
      <c r="W1954" s="155"/>
      <c r="X1954" s="157"/>
      <c r="Y1954" s="157"/>
      <c r="Z1954" s="155"/>
      <c r="AA1954" s="155"/>
      <c r="AB1954" s="157"/>
      <c r="AC1954" s="157">
        <v>2161.1935998255572</v>
      </c>
      <c r="AD1954" s="157">
        <v>2109.0699962597669</v>
      </c>
      <c r="AE1954" s="157">
        <v>2149.1611707609081</v>
      </c>
      <c r="AF1954" s="258">
        <f t="shared" si="246"/>
        <v>594.14061546225037</v>
      </c>
      <c r="AG1954" s="228"/>
      <c r="DG1954" s="555"/>
      <c r="DH1954" s="151"/>
      <c r="DI1954" s="1049"/>
      <c r="DJ1954" s="1127"/>
    </row>
    <row r="1955" spans="1:114" ht="14.65" hidden="1" customHeight="1" outlineLevel="1" x14ac:dyDescent="0.25">
      <c r="A1955" s="442"/>
      <c r="C1955" s="49"/>
      <c r="D1955" s="2177"/>
      <c r="E1955" s="2177"/>
      <c r="F1955" s="2176" t="str">
        <f t="shared" si="243"/>
        <v>ASHP-SEER20-Replace_CAC_NonElectricHeat_ER1_SF</v>
      </c>
      <c r="G1955" s="2176"/>
      <c r="H1955" s="2176"/>
      <c r="I1955" s="2176"/>
      <c r="J1955" s="986" t="str">
        <f t="shared" si="244"/>
        <v>353410_2024_12_</v>
      </c>
      <c r="K1955" s="155"/>
      <c r="L1955" s="45"/>
      <c r="M1955" s="1581"/>
      <c r="P1955" s="248"/>
      <c r="Q1955" s="196"/>
      <c r="R1955" s="248"/>
      <c r="T1955" s="169"/>
      <c r="U1955" s="50"/>
      <c r="V1955" s="2177"/>
      <c r="W1955" s="155"/>
      <c r="X1955" s="157"/>
      <c r="Y1955" s="157"/>
      <c r="Z1955" s="155"/>
      <c r="AA1955" s="155"/>
      <c r="AB1955" s="157"/>
      <c r="AC1955" s="155"/>
      <c r="AD1955" s="155"/>
      <c r="AE1955" s="155"/>
      <c r="AF1955" s="258" t="str">
        <f t="shared" si="246"/>
        <v/>
      </c>
      <c r="AG1955" s="228"/>
      <c r="DG1955" s="555"/>
      <c r="DH1955" s="151"/>
      <c r="DI1955" s="1049"/>
      <c r="DJ1955" s="1127"/>
    </row>
    <row r="1956" spans="1:114" ht="14.65" hidden="1" customHeight="1" outlineLevel="1" x14ac:dyDescent="0.25">
      <c r="A1956" s="442"/>
      <c r="C1956" s="49"/>
      <c r="D1956" s="2177"/>
      <c r="E1956" s="2177"/>
      <c r="F1956" s="2176" t="str">
        <f t="shared" si="243"/>
        <v>ASHP-SEER20-Replace_CAC_NonElectricHeat_ER2_SF</v>
      </c>
      <c r="G1956" s="2176"/>
      <c r="H1956" s="2176"/>
      <c r="I1956" s="2176"/>
      <c r="J1956" s="986" t="str">
        <f t="shared" si="244"/>
        <v>353410_2024_12_</v>
      </c>
      <c r="K1956" s="155"/>
      <c r="L1956" s="45"/>
      <c r="M1956" s="1581"/>
      <c r="P1956" s="248"/>
      <c r="Q1956" s="196"/>
      <c r="R1956" s="248"/>
      <c r="T1956" s="169"/>
      <c r="U1956" s="50"/>
      <c r="V1956" s="2177"/>
      <c r="W1956" s="155"/>
      <c r="X1956" s="157"/>
      <c r="Y1956" s="157"/>
      <c r="Z1956" s="155"/>
      <c r="AA1956" s="155"/>
      <c r="AB1956" s="157"/>
      <c r="AC1956" s="155"/>
      <c r="AD1956" s="155"/>
      <c r="AE1956" s="155"/>
      <c r="AF1956" s="258" t="str">
        <f t="shared" si="246"/>
        <v/>
      </c>
      <c r="AG1956" s="228"/>
      <c r="DG1956" s="555"/>
      <c r="DH1956" s="151"/>
      <c r="DI1956" s="1049"/>
      <c r="DJ1956" s="1127"/>
    </row>
    <row r="1957" spans="1:114" ht="14.65" hidden="1" customHeight="1" outlineLevel="1" x14ac:dyDescent="0.25">
      <c r="A1957" s="442"/>
      <c r="C1957" s="49"/>
      <c r="D1957" s="2177"/>
      <c r="E1957" s="2177"/>
      <c r="F1957" s="2176" t="str">
        <f t="shared" si="243"/>
        <v>ASHP-SEER20-Replace_CAC_NonElectricHeat_ER2_SF</v>
      </c>
      <c r="G1957" s="2176"/>
      <c r="H1957" s="2176"/>
      <c r="I1957" s="2176"/>
      <c r="J1957" s="986" t="str">
        <f t="shared" si="244"/>
        <v>353410_2024_12_</v>
      </c>
      <c r="K1957" s="155"/>
      <c r="L1957" s="45"/>
      <c r="M1957" s="1581"/>
      <c r="P1957" s="248"/>
      <c r="Q1957" s="196"/>
      <c r="R1957" s="248"/>
      <c r="T1957" s="169"/>
      <c r="U1957" s="50"/>
      <c r="V1957" s="2177"/>
      <c r="W1957" s="155"/>
      <c r="X1957" s="157"/>
      <c r="Y1957" s="157"/>
      <c r="Z1957" s="155"/>
      <c r="AA1957" s="155"/>
      <c r="AB1957" s="157"/>
      <c r="AC1957" s="155"/>
      <c r="AD1957" s="155"/>
      <c r="AE1957" s="155"/>
      <c r="AF1957" s="258" t="str">
        <f t="shared" si="246"/>
        <v/>
      </c>
      <c r="AG1957" s="228"/>
      <c r="DG1957" s="555"/>
      <c r="DH1957" s="151"/>
      <c r="DI1957" s="1049"/>
      <c r="DJ1957" s="1127"/>
    </row>
    <row r="1958" spans="1:114" ht="14.65" hidden="1" customHeight="1" outlineLevel="1" x14ac:dyDescent="0.25">
      <c r="A1958" s="442"/>
      <c r="C1958" s="49"/>
      <c r="D1958" s="2177"/>
      <c r="E1958" s="2177"/>
      <c r="F1958" s="2176" t="str">
        <f t="shared" si="243"/>
        <v>ASHP-SEER20-Replace_CAC_ElectricHeat_ROF_SF</v>
      </c>
      <c r="G1958" s="2176"/>
      <c r="H1958" s="2176"/>
      <c r="I1958" s="2176"/>
      <c r="J1958" s="986" t="str">
        <f t="shared" si="244"/>
        <v>353450_2024_12_</v>
      </c>
      <c r="K1958" s="1588">
        <f>(S$914+L1958*T$914)-(S$919+L1958*T$919)</f>
        <v>4329.25</v>
      </c>
      <c r="L1958" s="45">
        <f>VLOOKUP(J1958,$J$909:$L$998,3,FALSE)*M1958</f>
        <v>2.8870833333333334</v>
      </c>
      <c r="M1958" s="1581">
        <f>VLOOKUP(J1958,$J$1629:$K$1718,2,FALSE)</f>
        <v>1</v>
      </c>
      <c r="N1958" s="535"/>
      <c r="P1958" s="248"/>
      <c r="Q1958" s="196"/>
      <c r="R1958" s="248"/>
      <c r="T1958" s="169"/>
      <c r="U1958" s="50"/>
      <c r="V1958" s="2177"/>
      <c r="W1958" s="155">
        <v>3712</v>
      </c>
      <c r="X1958" s="157">
        <v>4622.0159999999987</v>
      </c>
      <c r="Y1958" s="157">
        <v>1160</v>
      </c>
      <c r="Z1958" s="155">
        <v>1160</v>
      </c>
      <c r="AA1958" s="155">
        <v>1160</v>
      </c>
      <c r="AB1958" s="157">
        <v>1444.3799999999994</v>
      </c>
      <c r="AC1958" s="155">
        <v>1444.3799999999994</v>
      </c>
      <c r="AD1958" s="155">
        <v>1444.3799999999994</v>
      </c>
      <c r="AE1958" s="155">
        <v>1444.3799999999994</v>
      </c>
      <c r="AF1958" s="258">
        <f t="shared" si="246"/>
        <v>4329.25</v>
      </c>
      <c r="AG1958" s="228"/>
      <c r="DG1958" s="555"/>
      <c r="DH1958" s="151"/>
      <c r="DI1958" s="1049"/>
      <c r="DJ1958" s="1127"/>
    </row>
    <row r="1959" spans="1:114" ht="14.65" hidden="1" customHeight="1" outlineLevel="1" x14ac:dyDescent="0.25">
      <c r="A1959" s="442"/>
      <c r="C1959" s="49"/>
      <c r="D1959" s="2177"/>
      <c r="E1959" s="2177"/>
      <c r="F1959" s="2176" t="str">
        <f t="shared" si="243"/>
        <v>ASHP-SEER20-Replace_CAC_ElectricHeat_ROF_SF</v>
      </c>
      <c r="G1959" s="2176"/>
      <c r="H1959" s="2176"/>
      <c r="I1959" s="2176"/>
      <c r="J1959" s="986" t="str">
        <f t="shared" si="244"/>
        <v>353450_2024_12_</v>
      </c>
      <c r="K1959" s="155"/>
      <c r="L1959" s="45" t="str">
        <f>IF(K1959&gt;0,VLOOKUP(J1959,$J$909:$L$998,3,FALSE),"")</f>
        <v/>
      </c>
      <c r="M1959" s="1581" t="str">
        <f>IF(K1959&gt;0,VLOOKUP(J1959,$J$1629:$K$1718,2,FALSE),"")</f>
        <v/>
      </c>
      <c r="P1959" s="248"/>
      <c r="Q1959" s="196"/>
      <c r="R1959" s="248"/>
      <c r="T1959" s="169"/>
      <c r="U1959" s="50"/>
      <c r="V1959" s="2177"/>
      <c r="W1959" s="155"/>
      <c r="X1959" s="157"/>
      <c r="Y1959" s="157"/>
      <c r="Z1959" s="155"/>
      <c r="AA1959" s="155"/>
      <c r="AB1959" s="157"/>
      <c r="AC1959" s="155"/>
      <c r="AD1959" s="155"/>
      <c r="AE1959" s="155"/>
      <c r="AF1959" s="258" t="str">
        <f t="shared" si="246"/>
        <v/>
      </c>
      <c r="AG1959" s="228"/>
      <c r="DG1959" s="555"/>
      <c r="DH1959" s="151"/>
      <c r="DI1959" s="1049"/>
      <c r="DJ1959" s="1127"/>
    </row>
    <row r="1960" spans="1:114" ht="14.65" hidden="1" customHeight="1" outlineLevel="1" x14ac:dyDescent="0.25">
      <c r="A1960" s="442"/>
      <c r="C1960" s="49"/>
      <c r="D1960" s="2177"/>
      <c r="E1960" s="2177"/>
      <c r="F1960" s="2176" t="str">
        <f t="shared" si="243"/>
        <v>ASHP-SEER20-Replace_CAC_NonElectricHeat_ROF_SF</v>
      </c>
      <c r="G1960" s="2176"/>
      <c r="H1960" s="2176"/>
      <c r="I1960" s="2176"/>
      <c r="J1960" s="986" t="str">
        <f t="shared" si="244"/>
        <v>353460_2024_12_</v>
      </c>
      <c r="K1960" s="1588">
        <f>((S$914+L1960*T$914)-(S$919+L1960*T$919))*VLOOKUP(J1960,$J$2082:$K$2095,2,FALSE)</f>
        <v>322.96131048074847</v>
      </c>
      <c r="L1960" s="45">
        <f>VLOOKUP(J1960,$J$909:$L$998,3,FALSE)*M1960</f>
        <v>2.8870833333333334</v>
      </c>
      <c r="M1960" s="1581">
        <f>VLOOKUP(J1960,$J$1629:$K$1718,2,FALSE)</f>
        <v>1</v>
      </c>
      <c r="N1960" s="535"/>
      <c r="P1960" s="248"/>
      <c r="Q1960" s="196"/>
      <c r="R1960" s="248"/>
      <c r="T1960" s="169"/>
      <c r="U1960" s="50"/>
      <c r="V1960" s="2177"/>
      <c r="W1960" s="155"/>
      <c r="X1960" s="157"/>
      <c r="Y1960" s="157"/>
      <c r="Z1960" s="155"/>
      <c r="AA1960" s="155"/>
      <c r="AB1960" s="157"/>
      <c r="AC1960" s="155"/>
      <c r="AD1960" s="157">
        <v>1444.3799999999994</v>
      </c>
      <c r="AE1960" s="155">
        <v>1444.3799999999994</v>
      </c>
      <c r="AF1960" s="258">
        <f t="shared" si="246"/>
        <v>322.96131048074847</v>
      </c>
      <c r="AG1960" s="228"/>
      <c r="DG1960" s="555"/>
      <c r="DH1960" s="151"/>
      <c r="DI1960" s="1049"/>
      <c r="DJ1960" s="1127"/>
    </row>
    <row r="1961" spans="1:114" ht="14.65" hidden="1" customHeight="1" outlineLevel="1" x14ac:dyDescent="0.25">
      <c r="A1961" s="442"/>
      <c r="C1961" s="49"/>
      <c r="D1961" s="2177"/>
      <c r="E1961" s="2177"/>
      <c r="F1961" s="2176" t="str">
        <f t="shared" si="243"/>
        <v>ASHP-SEER20-Replace_CAC_NonElectricHeat_ROF_SF</v>
      </c>
      <c r="G1961" s="2176"/>
      <c r="H1961" s="2176"/>
      <c r="I1961" s="2176"/>
      <c r="J1961" s="986" t="str">
        <f t="shared" si="244"/>
        <v>353460_2024_12_</v>
      </c>
      <c r="K1961" s="155"/>
      <c r="L1961" s="45" t="str">
        <f>IF(K1961&gt;0,VLOOKUP(J1961,$J$909:$L$998,3,FALSE),"")</f>
        <v/>
      </c>
      <c r="M1961" s="1581" t="str">
        <f>IF(K1961&gt;0,VLOOKUP(J1961,$J$1629:$K$1718,2,FALSE),"")</f>
        <v/>
      </c>
      <c r="P1961" s="248"/>
      <c r="Q1961" s="196"/>
      <c r="R1961" s="248"/>
      <c r="T1961" s="169"/>
      <c r="U1961" s="50"/>
      <c r="V1961" s="2177"/>
      <c r="W1961" s="155"/>
      <c r="X1961" s="157"/>
      <c r="Y1961" s="157"/>
      <c r="Z1961" s="155"/>
      <c r="AA1961" s="155"/>
      <c r="AB1961" s="157"/>
      <c r="AC1961" s="155"/>
      <c r="AD1961" s="155"/>
      <c r="AE1961" s="155"/>
      <c r="AF1961" s="258" t="str">
        <f t="shared" si="246"/>
        <v/>
      </c>
      <c r="AG1961" s="228"/>
      <c r="DG1961" s="555"/>
      <c r="DH1961" s="151"/>
      <c r="DI1961" s="1049"/>
      <c r="DJ1961" s="1127"/>
    </row>
    <row r="1962" spans="1:114" ht="14.65" hidden="1" customHeight="1" outlineLevel="1" x14ac:dyDescent="0.25">
      <c r="A1962" s="442"/>
      <c r="C1962" s="49"/>
      <c r="D1962" s="2177"/>
      <c r="E1962" s="2177"/>
      <c r="F1962" s="2176" t="str">
        <f t="shared" si="243"/>
        <v>ASHP-SEER21-Replace_CAC_ElectricHeat_ER1_SF</v>
      </c>
      <c r="G1962" s="2176"/>
      <c r="H1962" s="2176"/>
      <c r="I1962" s="2176"/>
      <c r="J1962" s="986" t="str">
        <f t="shared" si="244"/>
        <v>353550_2024_12_</v>
      </c>
      <c r="K1962" s="1588">
        <f>(S$914+L1962*T$914)-((S$921+L1962*T$921)*S$926)</f>
        <v>4645.1653206811143</v>
      </c>
      <c r="L1962" s="45">
        <f>VLOOKUP(J1962,$J$909:$L$998,3,FALSE)*M1962</f>
        <v>3.3440561485431846</v>
      </c>
      <c r="M1962" s="1581">
        <f>VLOOKUP(J1962,$J$1629:$K$1718,2,FALSE)</f>
        <v>1</v>
      </c>
      <c r="N1962" s="535"/>
      <c r="P1962" s="248"/>
      <c r="Q1962" s="196"/>
      <c r="R1962" s="248"/>
      <c r="T1962" s="169"/>
      <c r="U1962" s="50"/>
      <c r="V1962" s="2177"/>
      <c r="W1962" s="155">
        <v>5275.2377829603429</v>
      </c>
      <c r="X1962" s="157">
        <v>7775.9467344777704</v>
      </c>
      <c r="Y1962" s="157">
        <v>2032.6993716056036</v>
      </c>
      <c r="Z1962" s="155">
        <v>2032.6993716056036</v>
      </c>
      <c r="AA1962" s="155">
        <v>2032.6993716056036</v>
      </c>
      <c r="AB1962" s="157">
        <v>2430.6319864864099</v>
      </c>
      <c r="AC1962" s="157">
        <v>2547.9287573669544</v>
      </c>
      <c r="AD1962" s="157">
        <v>2490.8675578660959</v>
      </c>
      <c r="AE1962" s="157">
        <v>2602.2336285635597</v>
      </c>
      <c r="AF1962" s="258">
        <f t="shared" si="246"/>
        <v>4645.1653206811143</v>
      </c>
      <c r="AG1962" s="228"/>
      <c r="DG1962" s="555"/>
      <c r="DH1962" s="151"/>
      <c r="DI1962" s="1049"/>
      <c r="DJ1962" s="1127"/>
    </row>
    <row r="1963" spans="1:114" ht="14.65" hidden="1" customHeight="1" outlineLevel="1" x14ac:dyDescent="0.25">
      <c r="A1963" s="442"/>
      <c r="C1963" s="49"/>
      <c r="D1963" s="2177"/>
      <c r="E1963" s="2177"/>
      <c r="F1963" s="2176" t="str">
        <f t="shared" si="243"/>
        <v>ASHP-SEER21-Replace_CAC_ElectricHeat_ER1_SF</v>
      </c>
      <c r="G1963" s="2176"/>
      <c r="H1963" s="2176"/>
      <c r="I1963" s="2176"/>
      <c r="J1963" s="986" t="str">
        <f t="shared" si="244"/>
        <v>353550_2024_12_</v>
      </c>
      <c r="K1963" s="155"/>
      <c r="L1963" s="45" t="str">
        <f>IF(K1963&gt;0,VLOOKUP(J1963,$J$909:$L$998,3,FALSE),"")</f>
        <v/>
      </c>
      <c r="M1963" s="1581" t="str">
        <f>IF(K1963&gt;0,VLOOKUP(J1963,$J$1629:$K$1718,2,FALSE),"")</f>
        <v/>
      </c>
      <c r="P1963" s="248"/>
      <c r="Q1963" s="196"/>
      <c r="R1963" s="248"/>
      <c r="T1963" s="169"/>
      <c r="U1963" s="50"/>
      <c r="V1963" s="2177"/>
      <c r="W1963" s="155"/>
      <c r="X1963" s="157"/>
      <c r="Y1963" s="157"/>
      <c r="Z1963" s="155"/>
      <c r="AA1963" s="155"/>
      <c r="AB1963" s="157"/>
      <c r="AC1963" s="155"/>
      <c r="AD1963" s="155"/>
      <c r="AE1963" s="155"/>
      <c r="AF1963" s="258" t="str">
        <f t="shared" si="246"/>
        <v/>
      </c>
      <c r="AG1963" s="228"/>
      <c r="DG1963" s="555"/>
      <c r="DH1963" s="151"/>
      <c r="DI1963" s="1049"/>
      <c r="DJ1963" s="1127"/>
    </row>
    <row r="1964" spans="1:114" ht="14.65" hidden="1" customHeight="1" outlineLevel="1" x14ac:dyDescent="0.25">
      <c r="A1964" s="442"/>
      <c r="C1964" s="49"/>
      <c r="D1964" s="2177"/>
      <c r="E1964" s="2177"/>
      <c r="F1964" s="2176" t="str">
        <f t="shared" ref="F1964:F1995" si="247">E773</f>
        <v>ASHP-SEER21-Replace_CAC_ElectricHeat_ER2_SF</v>
      </c>
      <c r="G1964" s="2176"/>
      <c r="H1964" s="2176"/>
      <c r="I1964" s="2176"/>
      <c r="J1964" s="986" t="str">
        <f t="shared" ref="J1964:J1995" si="248">C773</f>
        <v>353550_2024_12_</v>
      </c>
      <c r="K1964" s="155"/>
      <c r="L1964" s="45" t="str">
        <f>IF(K1964&gt;0,VLOOKUP(J1964,$J$909:$L$998,3,FALSE),"")</f>
        <v/>
      </c>
      <c r="M1964" s="1581" t="str">
        <f>IF(K1964&gt;0,VLOOKUP(J1964,$J$1629:$K$1718,2,FALSE),"")</f>
        <v/>
      </c>
      <c r="P1964" s="248"/>
      <c r="Q1964" s="196"/>
      <c r="R1964" s="248"/>
      <c r="T1964" s="169"/>
      <c r="U1964" s="50"/>
      <c r="V1964" s="2177"/>
      <c r="W1964" s="155"/>
      <c r="X1964" s="157"/>
      <c r="Y1964" s="157"/>
      <c r="Z1964" s="155"/>
      <c r="AA1964" s="155"/>
      <c r="AB1964" s="157"/>
      <c r="AC1964" s="155"/>
      <c r="AD1964" s="155"/>
      <c r="AE1964" s="155"/>
      <c r="AF1964" s="258" t="str">
        <f t="shared" si="246"/>
        <v/>
      </c>
      <c r="AG1964" s="228"/>
      <c r="DG1964" s="555"/>
      <c r="DH1964" s="151"/>
      <c r="DI1964" s="1049"/>
      <c r="DJ1964" s="1127"/>
    </row>
    <row r="1965" spans="1:114" ht="14.65" hidden="1" customHeight="1" outlineLevel="1" x14ac:dyDescent="0.25">
      <c r="A1965" s="442"/>
      <c r="C1965" s="49"/>
      <c r="D1965" s="2177"/>
      <c r="E1965" s="2177"/>
      <c r="F1965" s="2176" t="str">
        <f t="shared" si="247"/>
        <v>ASHP-SEER21-Replace_CAC_ElectricHeat_ER2_SF</v>
      </c>
      <c r="G1965" s="2176"/>
      <c r="H1965" s="2176"/>
      <c r="I1965" s="2176"/>
      <c r="J1965" s="986" t="str">
        <f t="shared" si="248"/>
        <v>353550_2024_12_</v>
      </c>
      <c r="K1965" s="155"/>
      <c r="L1965" s="45" t="str">
        <f>IF(K1965&gt;0,VLOOKUP(J1965,$J$909:$L$998,3,FALSE),"")</f>
        <v/>
      </c>
      <c r="M1965" s="1581" t="str">
        <f>IF(K1965&gt;0,VLOOKUP(J1965,$J$1629:$K$1718,2,FALSE),"")</f>
        <v/>
      </c>
      <c r="P1965" s="248"/>
      <c r="Q1965" s="196"/>
      <c r="R1965" s="248"/>
      <c r="T1965" s="169"/>
      <c r="U1965" s="50"/>
      <c r="V1965" s="2177"/>
      <c r="W1965" s="155"/>
      <c r="X1965" s="157"/>
      <c r="Y1965" s="157"/>
      <c r="Z1965" s="155"/>
      <c r="AA1965" s="155"/>
      <c r="AB1965" s="157"/>
      <c r="AC1965" s="155"/>
      <c r="AD1965" s="155"/>
      <c r="AE1965" s="155"/>
      <c r="AF1965" s="258" t="str">
        <f t="shared" si="246"/>
        <v/>
      </c>
      <c r="AG1965" s="228"/>
      <c r="DG1965" s="555"/>
      <c r="DH1965" s="151"/>
      <c r="DI1965" s="1049"/>
      <c r="DJ1965" s="1127"/>
    </row>
    <row r="1966" spans="1:114" ht="14.65" hidden="1" customHeight="1" outlineLevel="1" x14ac:dyDescent="0.25">
      <c r="A1966" s="442"/>
      <c r="C1966" s="49"/>
      <c r="D1966" s="2177"/>
      <c r="E1966" s="2177"/>
      <c r="F1966" s="2176" t="str">
        <f t="shared" si="247"/>
        <v>ASHP-SEER21-Replace_CAC_NonElectricHeat_ER1_SF</v>
      </c>
      <c r="G1966" s="2176"/>
      <c r="H1966" s="2176"/>
      <c r="I1966" s="2176"/>
      <c r="J1966" s="986" t="str">
        <f t="shared" si="248"/>
        <v>353560_2024_12_</v>
      </c>
      <c r="K1966" s="1588">
        <f>((S$914+L1966*T$914)-((S$921+L1966*T$921)*S$926))*VLOOKUP(J1966,$J$2082:$K$2095,2,FALSE)</f>
        <v>584.70329002915889</v>
      </c>
      <c r="L1966" s="45">
        <f>VLOOKUP(J1966,$J$909:$L$998,3,FALSE)*M1966</f>
        <v>3.3440561485431846</v>
      </c>
      <c r="M1966" s="1581">
        <f>VLOOKUP(J1966,$J$1629:$K$1718,2,FALSE)</f>
        <v>1</v>
      </c>
      <c r="N1966" s="535"/>
      <c r="P1966" s="248"/>
      <c r="Q1966" s="196"/>
      <c r="R1966" s="248"/>
      <c r="T1966" s="169"/>
      <c r="U1966" s="50"/>
      <c r="V1966" s="2177"/>
      <c r="W1966" s="155"/>
      <c r="X1966" s="157"/>
      <c r="Y1966" s="157"/>
      <c r="Z1966" s="155"/>
      <c r="AA1966" s="155"/>
      <c r="AB1966" s="157"/>
      <c r="AC1966" s="157">
        <v>2547.9287573669544</v>
      </c>
      <c r="AD1966" s="157">
        <v>2490.8675578660959</v>
      </c>
      <c r="AE1966" s="157">
        <v>2602.2336285635597</v>
      </c>
      <c r="AF1966" s="258">
        <f t="shared" si="246"/>
        <v>584.70329002915889</v>
      </c>
      <c r="AG1966" s="228"/>
      <c r="DG1966" s="555"/>
      <c r="DH1966" s="151"/>
      <c r="DI1966" s="1049"/>
      <c r="DJ1966" s="1127"/>
    </row>
    <row r="1967" spans="1:114" ht="14.65" hidden="1" customHeight="1" outlineLevel="1" x14ac:dyDescent="0.25">
      <c r="A1967" s="442"/>
      <c r="C1967" s="49"/>
      <c r="D1967" s="2177"/>
      <c r="E1967" s="2177"/>
      <c r="F1967" s="2176" t="str">
        <f t="shared" si="247"/>
        <v>ASHP-SEER21-Replace_CAC_NonElectricHeat_ER1_SF</v>
      </c>
      <c r="G1967" s="2176"/>
      <c r="H1967" s="2176"/>
      <c r="I1967" s="2176"/>
      <c r="J1967" s="986" t="str">
        <f t="shared" si="248"/>
        <v>353560_2024_12_</v>
      </c>
      <c r="K1967" s="155"/>
      <c r="L1967" s="45"/>
      <c r="M1967" s="1581"/>
      <c r="P1967" s="248"/>
      <c r="Q1967" s="196"/>
      <c r="R1967" s="248"/>
      <c r="T1967" s="169"/>
      <c r="U1967" s="50"/>
      <c r="V1967" s="2177"/>
      <c r="W1967" s="155"/>
      <c r="X1967" s="157"/>
      <c r="Y1967" s="157"/>
      <c r="Z1967" s="155"/>
      <c r="AA1967" s="155"/>
      <c r="AB1967" s="157"/>
      <c r="AC1967" s="155"/>
      <c r="AD1967" s="155"/>
      <c r="AE1967" s="155"/>
      <c r="AF1967" s="258" t="str">
        <f t="shared" si="246"/>
        <v/>
      </c>
      <c r="AG1967" s="228"/>
      <c r="DG1967" s="555"/>
      <c r="DH1967" s="151"/>
      <c r="DI1967" s="1049"/>
      <c r="DJ1967" s="1127"/>
    </row>
    <row r="1968" spans="1:114" ht="14.65" hidden="1" customHeight="1" outlineLevel="1" x14ac:dyDescent="0.25">
      <c r="A1968" s="442"/>
      <c r="C1968" s="49"/>
      <c r="D1968" s="2177"/>
      <c r="E1968" s="2177"/>
      <c r="F1968" s="2176" t="str">
        <f t="shared" si="247"/>
        <v>ASHP-SEER21-Replace_CAC_NonElectricHeat_ER2_SF</v>
      </c>
      <c r="G1968" s="2176"/>
      <c r="H1968" s="2176"/>
      <c r="I1968" s="2176"/>
      <c r="J1968" s="986" t="str">
        <f t="shared" si="248"/>
        <v>353560_2024_12_</v>
      </c>
      <c r="K1968" s="155"/>
      <c r="L1968" s="45"/>
      <c r="M1968" s="1581"/>
      <c r="P1968" s="248"/>
      <c r="Q1968" s="196"/>
      <c r="R1968" s="248"/>
      <c r="T1968" s="169"/>
      <c r="U1968" s="50"/>
      <c r="V1968" s="2177"/>
      <c r="W1968" s="155"/>
      <c r="X1968" s="157"/>
      <c r="Y1968" s="157"/>
      <c r="Z1968" s="155"/>
      <c r="AA1968" s="155"/>
      <c r="AB1968" s="157"/>
      <c r="AC1968" s="155"/>
      <c r="AD1968" s="155"/>
      <c r="AE1968" s="155"/>
      <c r="AF1968" s="258" t="str">
        <f t="shared" si="246"/>
        <v/>
      </c>
      <c r="AG1968" s="228"/>
      <c r="DG1968" s="555"/>
      <c r="DH1968" s="151"/>
      <c r="DI1968" s="1049"/>
      <c r="DJ1968" s="1127"/>
    </row>
    <row r="1969" spans="1:114" ht="14.65" hidden="1" customHeight="1" outlineLevel="1" x14ac:dyDescent="0.25">
      <c r="A1969" s="442"/>
      <c r="C1969" s="49"/>
      <c r="D1969" s="2177"/>
      <c r="E1969" s="2177"/>
      <c r="F1969" s="2176" t="str">
        <f t="shared" si="247"/>
        <v>ASHP-SEER21-Replace_CAC_NonElectricHeat_ER2_SF</v>
      </c>
      <c r="G1969" s="2176"/>
      <c r="H1969" s="2176"/>
      <c r="I1969" s="2176"/>
      <c r="J1969" s="986" t="str">
        <f t="shared" si="248"/>
        <v>353560_2024_12_</v>
      </c>
      <c r="K1969" s="155"/>
      <c r="L1969" s="45"/>
      <c r="M1969" s="1581"/>
      <c r="P1969" s="248"/>
      <c r="Q1969" s="196"/>
      <c r="R1969" s="248"/>
      <c r="T1969" s="169"/>
      <c r="U1969" s="50"/>
      <c r="V1969" s="2177"/>
      <c r="W1969" s="155"/>
      <c r="X1969" s="157"/>
      <c r="Y1969" s="157"/>
      <c r="Z1969" s="155"/>
      <c r="AA1969" s="155"/>
      <c r="AB1969" s="157"/>
      <c r="AC1969" s="155"/>
      <c r="AD1969" s="155"/>
      <c r="AE1969" s="155"/>
      <c r="AF1969" s="258" t="str">
        <f t="shared" si="246"/>
        <v/>
      </c>
      <c r="AG1969" s="228"/>
      <c r="DG1969" s="555"/>
      <c r="DH1969" s="151"/>
      <c r="DI1969" s="1049"/>
      <c r="DJ1969" s="1127"/>
    </row>
    <row r="1970" spans="1:114" ht="14.65" hidden="1" customHeight="1" outlineLevel="1" x14ac:dyDescent="0.25">
      <c r="A1970" s="442"/>
      <c r="C1970" s="49"/>
      <c r="D1970" s="2177"/>
      <c r="E1970" s="2177"/>
      <c r="F1970" s="2176" t="str">
        <f t="shared" si="247"/>
        <v>ASHP-SEER21-Replace_CAC_ElectricHeat_ER1_MF</v>
      </c>
      <c r="G1970" s="2176"/>
      <c r="H1970" s="2176"/>
      <c r="I1970" s="2176"/>
      <c r="J1970" s="986" t="str">
        <f t="shared" si="248"/>
        <v>353600_2024_12_</v>
      </c>
      <c r="K1970" s="1588">
        <f>(S$914+L1970*T$914)-((S$921+L1970*T$921)*S$926)</f>
        <v>3847.7316315552043</v>
      </c>
      <c r="L1970" s="45">
        <f>VLOOKUP(J1970,$J$909:$L$998,3,FALSE)*M1970</f>
        <v>2.0150000000000001</v>
      </c>
      <c r="M1970" s="1581">
        <f>VLOOKUP(J1970,$J$1629:$K$1718,2,FALSE)</f>
        <v>0.65</v>
      </c>
      <c r="N1970" s="535"/>
      <c r="P1970" s="248"/>
      <c r="Q1970" s="196"/>
      <c r="R1970" s="248"/>
      <c r="T1970" s="169"/>
      <c r="U1970" s="50"/>
      <c r="V1970" s="2177"/>
      <c r="W1970" s="155">
        <v>5275.2377829603429</v>
      </c>
      <c r="X1970" s="157">
        <v>5054.3653774105505</v>
      </c>
      <c r="Y1970" s="157">
        <v>1727.2545915436422</v>
      </c>
      <c r="Z1970" s="155">
        <v>1727.2545915436422</v>
      </c>
      <c r="AA1970" s="155">
        <v>1727.2545915436422</v>
      </c>
      <c r="AB1970" s="157">
        <v>2171.3844012161662</v>
      </c>
      <c r="AC1970" s="155">
        <v>2171.3844012161662</v>
      </c>
      <c r="AD1970" s="155">
        <v>2171.3844012161662</v>
      </c>
      <c r="AE1970" s="157">
        <v>2239.6470361368501</v>
      </c>
      <c r="AF1970" s="258">
        <f t="shared" si="246"/>
        <v>3847.7316315552043</v>
      </c>
      <c r="AG1970" s="228"/>
      <c r="DG1970" s="555"/>
      <c r="DH1970" s="151"/>
      <c r="DI1970" s="1049"/>
      <c r="DJ1970" s="1127"/>
    </row>
    <row r="1971" spans="1:114" ht="14.65" hidden="1" customHeight="1" outlineLevel="1" x14ac:dyDescent="0.25">
      <c r="A1971" s="442"/>
      <c r="C1971" s="49"/>
      <c r="D1971" s="2177"/>
      <c r="E1971" s="2177"/>
      <c r="F1971" s="2176" t="str">
        <f t="shared" si="247"/>
        <v>ASHP-SEER21-Replace_CAC_ElectricHeat_ER1_MF</v>
      </c>
      <c r="G1971" s="2176"/>
      <c r="H1971" s="2176"/>
      <c r="I1971" s="2176"/>
      <c r="J1971" s="986" t="str">
        <f t="shared" si="248"/>
        <v>353600_2024_12_</v>
      </c>
      <c r="K1971" s="155"/>
      <c r="L1971" s="45" t="str">
        <f>IF(K1971&gt;0,VLOOKUP(J1971,$J$909:$L$998,3,FALSE),"")</f>
        <v/>
      </c>
      <c r="M1971" s="1581" t="str">
        <f>IF(K1971&gt;0,VLOOKUP(J1971,$J$1629:$K$1718,2,FALSE),"")</f>
        <v/>
      </c>
      <c r="P1971" s="248"/>
      <c r="Q1971" s="196"/>
      <c r="R1971" s="248"/>
      <c r="T1971" s="169"/>
      <c r="U1971" s="50"/>
      <c r="V1971" s="2177"/>
      <c r="W1971" s="155"/>
      <c r="X1971" s="157"/>
      <c r="Y1971" s="157"/>
      <c r="Z1971" s="155"/>
      <c r="AA1971" s="155"/>
      <c r="AB1971" s="157"/>
      <c r="AC1971" s="155"/>
      <c r="AD1971" s="155"/>
      <c r="AE1971" s="155"/>
      <c r="AF1971" s="258" t="str">
        <f t="shared" si="246"/>
        <v/>
      </c>
      <c r="AG1971" s="228"/>
      <c r="DG1971" s="555"/>
      <c r="DH1971" s="151"/>
      <c r="DI1971" s="1049"/>
      <c r="DJ1971" s="1127"/>
    </row>
    <row r="1972" spans="1:114" ht="14.65" hidden="1" customHeight="1" outlineLevel="1" x14ac:dyDescent="0.25">
      <c r="A1972" s="442"/>
      <c r="C1972" s="49"/>
      <c r="D1972" s="2177"/>
      <c r="E1972" s="2177"/>
      <c r="F1972" s="2176" t="str">
        <f t="shared" si="247"/>
        <v>ASHP-SEER21-Replace_CAC_ElectricHeat_ER2_MF</v>
      </c>
      <c r="G1972" s="2176"/>
      <c r="H1972" s="2176"/>
      <c r="I1972" s="2176"/>
      <c r="J1972" s="986" t="str">
        <f t="shared" si="248"/>
        <v>353600_2024_12_</v>
      </c>
      <c r="K1972" s="155"/>
      <c r="L1972" s="45" t="str">
        <f>IF(K1972&gt;0,VLOOKUP(J1972,$J$909:$L$998,3,FALSE),"")</f>
        <v/>
      </c>
      <c r="M1972" s="1581" t="str">
        <f>IF(K1972&gt;0,VLOOKUP(J1972,$J$1629:$K$1718,2,FALSE),"")</f>
        <v/>
      </c>
      <c r="P1972" s="248"/>
      <c r="Q1972" s="196"/>
      <c r="R1972" s="248"/>
      <c r="T1972" s="169"/>
      <c r="U1972" s="50"/>
      <c r="V1972" s="2177"/>
      <c r="W1972" s="155"/>
      <c r="X1972" s="157"/>
      <c r="Y1972" s="157"/>
      <c r="Z1972" s="155"/>
      <c r="AA1972" s="155"/>
      <c r="AB1972" s="157"/>
      <c r="AC1972" s="155"/>
      <c r="AD1972" s="155"/>
      <c r="AE1972" s="155"/>
      <c r="AF1972" s="258" t="str">
        <f t="shared" si="246"/>
        <v/>
      </c>
      <c r="AG1972" s="228"/>
      <c r="DG1972" s="555"/>
      <c r="DH1972" s="151"/>
      <c r="DI1972" s="1049"/>
      <c r="DJ1972" s="1127"/>
    </row>
    <row r="1973" spans="1:114" ht="14.65" hidden="1" customHeight="1" outlineLevel="1" x14ac:dyDescent="0.25">
      <c r="A1973" s="442"/>
      <c r="C1973" s="49"/>
      <c r="D1973" s="2177"/>
      <c r="E1973" s="2177"/>
      <c r="F1973" s="2176" t="str">
        <f t="shared" si="247"/>
        <v>ASHP-SEER21-Replace_CAC_ElectricHeat_ER2_MF</v>
      </c>
      <c r="G1973" s="2176"/>
      <c r="H1973" s="2176"/>
      <c r="I1973" s="2176"/>
      <c r="J1973" s="986" t="str">
        <f t="shared" si="248"/>
        <v>353600_2024_12_</v>
      </c>
      <c r="K1973" s="155"/>
      <c r="L1973" s="45" t="str">
        <f>IF(K1973&gt;0,VLOOKUP(J1973,$J$909:$L$998,3,FALSE),"")</f>
        <v/>
      </c>
      <c r="M1973" s="1581" t="str">
        <f>IF(K1973&gt;0,VLOOKUP(J1973,$J$1629:$K$1718,2,FALSE),"")</f>
        <v/>
      </c>
      <c r="P1973" s="248"/>
      <c r="Q1973" s="196"/>
      <c r="R1973" s="248"/>
      <c r="T1973" s="169"/>
      <c r="U1973" s="50"/>
      <c r="V1973" s="2177"/>
      <c r="W1973" s="155"/>
      <c r="X1973" s="157"/>
      <c r="Y1973" s="157"/>
      <c r="Z1973" s="155"/>
      <c r="AA1973" s="155"/>
      <c r="AB1973" s="157"/>
      <c r="AC1973" s="155"/>
      <c r="AD1973" s="155"/>
      <c r="AE1973" s="155"/>
      <c r="AF1973" s="258" t="str">
        <f t="shared" si="246"/>
        <v/>
      </c>
      <c r="AG1973" s="228"/>
      <c r="DG1973" s="555"/>
      <c r="DH1973" s="151"/>
      <c r="DI1973" s="1049"/>
      <c r="DJ1973" s="1127"/>
    </row>
    <row r="1974" spans="1:114" ht="14.65" hidden="1" customHeight="1" outlineLevel="1" x14ac:dyDescent="0.25">
      <c r="A1974" s="442"/>
      <c r="C1974" s="49"/>
      <c r="D1974" s="2177"/>
      <c r="E1974" s="2177"/>
      <c r="F1974" s="2176" t="str">
        <f t="shared" si="247"/>
        <v>ASHP-SEER21-Replace_CAC_ElectricHeat_ROF_SF</v>
      </c>
      <c r="G1974" s="2176"/>
      <c r="H1974" s="2176"/>
      <c r="I1974" s="2176"/>
      <c r="J1974" s="986" t="str">
        <f t="shared" si="248"/>
        <v>353650_2024_12_</v>
      </c>
      <c r="K1974" s="1588">
        <f>(S$914+L1974*T$914)-(S$919+L1974*T$919)</f>
        <v>4678.9696970312507</v>
      </c>
      <c r="L1974" s="45">
        <f>VLOOKUP(J1974,$J$909:$L$998,3,FALSE)*M1974</f>
        <v>3.4699494950520831</v>
      </c>
      <c r="M1974" s="1581">
        <f>VLOOKUP(J1974,$J$1629:$K$1718,2,FALSE)</f>
        <v>1</v>
      </c>
      <c r="N1974" s="535"/>
      <c r="P1974" s="248"/>
      <c r="Q1974" s="196"/>
      <c r="R1974" s="248"/>
      <c r="T1974" s="169"/>
      <c r="U1974" s="50"/>
      <c r="V1974" s="2177"/>
      <c r="W1974" s="155">
        <v>3712</v>
      </c>
      <c r="X1974" s="157">
        <v>5407.758719999998</v>
      </c>
      <c r="Y1974" s="157">
        <v>1160</v>
      </c>
      <c r="Z1974" s="155">
        <v>1160</v>
      </c>
      <c r="AA1974" s="155">
        <v>1160</v>
      </c>
      <c r="AB1974" s="157">
        <v>1689.9245999999991</v>
      </c>
      <c r="AC1974" s="155">
        <v>1689.9245999999991</v>
      </c>
      <c r="AD1974" s="155">
        <v>1689.9245999999991</v>
      </c>
      <c r="AE1974" s="155">
        <v>1689.9245999999991</v>
      </c>
      <c r="AF1974" s="258">
        <f t="shared" ref="AF1974:AF2009" si="249">IF(K1974&lt;&gt;"",K1974,"")</f>
        <v>4678.9696970312507</v>
      </c>
      <c r="AG1974" s="228"/>
      <c r="DG1974" s="555"/>
      <c r="DH1974" s="151"/>
      <c r="DI1974" s="1049"/>
      <c r="DJ1974" s="1127"/>
    </row>
    <row r="1975" spans="1:114" ht="14.65" hidden="1" customHeight="1" outlineLevel="1" x14ac:dyDescent="0.25">
      <c r="A1975" s="442"/>
      <c r="C1975" s="49"/>
      <c r="D1975" s="2177"/>
      <c r="E1975" s="2177"/>
      <c r="F1975" s="2176" t="str">
        <f t="shared" si="247"/>
        <v>ASHP-SEER21-Replace_CAC_ElectricHeat_ROF_SF</v>
      </c>
      <c r="G1975" s="2176"/>
      <c r="H1975" s="2176"/>
      <c r="I1975" s="2176"/>
      <c r="J1975" s="986" t="str">
        <f t="shared" si="248"/>
        <v>353650_2024_12_</v>
      </c>
      <c r="K1975" s="155"/>
      <c r="L1975" s="45" t="str">
        <f>IF(K1975&gt;0,VLOOKUP(J1975,$J$909:$L$998,3,FALSE),"")</f>
        <v/>
      </c>
      <c r="M1975" s="1581" t="str">
        <f>IF(K1975&gt;0,VLOOKUP(J1975,$J$1629:$K$1718,2,FALSE),"")</f>
        <v/>
      </c>
      <c r="P1975" s="248"/>
      <c r="Q1975" s="196"/>
      <c r="R1975" s="248"/>
      <c r="T1975" s="169"/>
      <c r="U1975" s="50"/>
      <c r="V1975" s="2177"/>
      <c r="W1975" s="155"/>
      <c r="X1975" s="157"/>
      <c r="Y1975" s="157"/>
      <c r="Z1975" s="155"/>
      <c r="AA1975" s="155"/>
      <c r="AB1975" s="157"/>
      <c r="AC1975" s="155"/>
      <c r="AD1975" s="155"/>
      <c r="AE1975" s="155"/>
      <c r="AF1975" s="258" t="str">
        <f t="shared" si="249"/>
        <v/>
      </c>
      <c r="AG1975" s="228"/>
      <c r="DG1975" s="555"/>
      <c r="DH1975" s="151"/>
      <c r="DI1975" s="1049"/>
      <c r="DJ1975" s="1127"/>
    </row>
    <row r="1976" spans="1:114" ht="14.65" hidden="1" customHeight="1" outlineLevel="1" x14ac:dyDescent="0.25">
      <c r="A1976" s="442"/>
      <c r="C1976" s="49"/>
      <c r="D1976" s="2177"/>
      <c r="E1976" s="2177"/>
      <c r="F1976" s="2176" t="str">
        <f t="shared" si="247"/>
        <v>ASHP-SEER21-Replace_CAC_NonElectricHeat_ROF_SF</v>
      </c>
      <c r="G1976" s="2176"/>
      <c r="H1976" s="2176"/>
      <c r="I1976" s="2176"/>
      <c r="J1976" s="986" t="str">
        <f t="shared" si="248"/>
        <v>353660_2024_12_</v>
      </c>
      <c r="K1976" s="1588">
        <f>((S$914+L1976*T$914)-(S$919+L1976*T$919))*VLOOKUP(J1976,$J$2082:$K$2095,2,FALSE)</f>
        <v>343.17059134232289</v>
      </c>
      <c r="L1976" s="45">
        <f>VLOOKUP(J1976,$J$909:$L$998,3,FALSE)*M1976</f>
        <v>3.4699494950520831</v>
      </c>
      <c r="M1976" s="1581">
        <f>VLOOKUP(J1976,$J$1629:$K$1718,2,FALSE)</f>
        <v>1</v>
      </c>
      <c r="N1976" s="535"/>
      <c r="P1976" s="248"/>
      <c r="Q1976" s="196"/>
      <c r="R1976" s="248"/>
      <c r="T1976" s="169"/>
      <c r="U1976" s="50"/>
      <c r="V1976" s="2177"/>
      <c r="W1976" s="155"/>
      <c r="X1976" s="157"/>
      <c r="Y1976" s="157"/>
      <c r="Z1976" s="155"/>
      <c r="AA1976" s="155"/>
      <c r="AB1976" s="157"/>
      <c r="AC1976" s="155"/>
      <c r="AD1976" s="157">
        <v>1689.9245999999991</v>
      </c>
      <c r="AE1976" s="155">
        <v>1689.9245999999991</v>
      </c>
      <c r="AF1976" s="258">
        <f t="shared" si="249"/>
        <v>343.17059134232289</v>
      </c>
      <c r="AG1976" s="228"/>
      <c r="DG1976" s="555"/>
      <c r="DH1976" s="151"/>
      <c r="DI1976" s="1049"/>
      <c r="DJ1976" s="1127"/>
    </row>
    <row r="1977" spans="1:114" ht="14.65" hidden="1" customHeight="1" outlineLevel="1" x14ac:dyDescent="0.25">
      <c r="A1977" s="442"/>
      <c r="C1977" s="49"/>
      <c r="D1977" s="2177"/>
      <c r="E1977" s="2177"/>
      <c r="F1977" s="2176" t="str">
        <f t="shared" si="247"/>
        <v>ASHP-SEER21-Replace_CAC_NonElectricHeat_ROF_SF</v>
      </c>
      <c r="G1977" s="2176"/>
      <c r="H1977" s="2176"/>
      <c r="I1977" s="2176"/>
      <c r="J1977" s="986" t="str">
        <f t="shared" si="248"/>
        <v>353660_2024_12_</v>
      </c>
      <c r="K1977" s="155"/>
      <c r="L1977" s="45" t="str">
        <f>IF(K1977&gt;0,VLOOKUP(J1977,$J$909:$L$998,3,FALSE),"")</f>
        <v/>
      </c>
      <c r="M1977" s="1581" t="str">
        <f>IF(K1977&gt;0,VLOOKUP(J1977,$J$1629:$K$1718,2,FALSE),"")</f>
        <v/>
      </c>
      <c r="P1977" s="248"/>
      <c r="Q1977" s="196"/>
      <c r="R1977" s="248"/>
      <c r="T1977" s="169"/>
      <c r="U1977" s="50"/>
      <c r="V1977" s="2177"/>
      <c r="W1977" s="155"/>
      <c r="X1977" s="157"/>
      <c r="Y1977" s="157"/>
      <c r="Z1977" s="155"/>
      <c r="AA1977" s="155"/>
      <c r="AB1977" s="157"/>
      <c r="AC1977" s="155"/>
      <c r="AD1977" s="155"/>
      <c r="AE1977" s="155"/>
      <c r="AF1977" s="258" t="str">
        <f t="shared" si="249"/>
        <v/>
      </c>
      <c r="AG1977" s="228"/>
      <c r="DG1977" s="555"/>
      <c r="DH1977" s="151"/>
      <c r="DI1977" s="1049"/>
      <c r="DJ1977" s="1127"/>
    </row>
    <row r="1978" spans="1:114" ht="14.65" hidden="1" customHeight="1" outlineLevel="1" x14ac:dyDescent="0.25">
      <c r="A1978" s="442"/>
      <c r="C1978" s="49"/>
      <c r="D1978" s="2177"/>
      <c r="E1978" s="2177"/>
      <c r="F1978" s="2176" t="str">
        <f t="shared" si="247"/>
        <v>ASHP-SEER17_ER1_SF</v>
      </c>
      <c r="G1978" s="2176"/>
      <c r="H1978" s="2176"/>
      <c r="I1978" s="2176"/>
      <c r="J1978" s="986" t="str">
        <f t="shared" si="248"/>
        <v>353750_2024_12_</v>
      </c>
      <c r="K1978" s="1588">
        <f>(S$912+L1978*T$912)-(S$920+L1978*T$920)*S$926</f>
        <v>626.73442183390762</v>
      </c>
      <c r="L1978" s="45">
        <f>VLOOKUP(J1978,$J$909:$L$998,3,FALSE)*M1978</f>
        <v>2.6603692243864097</v>
      </c>
      <c r="M1978" s="1581">
        <f>VLOOKUP(J1978,$J$1629:$K$1718,2,FALSE)</f>
        <v>1</v>
      </c>
      <c r="N1978" s="535"/>
      <c r="P1978" s="248"/>
      <c r="Q1978" s="196"/>
      <c r="R1978" s="248"/>
      <c r="T1978" s="169"/>
      <c r="U1978" s="50"/>
      <c r="V1978" s="2177"/>
      <c r="W1978" s="155">
        <v>3701.5757044416546</v>
      </c>
      <c r="X1978" s="157">
        <v>5090.0695373473054</v>
      </c>
      <c r="Y1978" s="157">
        <v>1509.0025568704818</v>
      </c>
      <c r="Z1978" s="155">
        <v>1509.0025568704818</v>
      </c>
      <c r="AA1978" s="155">
        <v>1509.0025568704818</v>
      </c>
      <c r="AB1978" s="157">
        <v>1512.4949598081143</v>
      </c>
      <c r="AC1978" s="157">
        <v>1423.7466093535209</v>
      </c>
      <c r="AD1978" s="157">
        <v>1425.2574866940254</v>
      </c>
      <c r="AE1978" s="157">
        <v>1449.7889087112662</v>
      </c>
      <c r="AF1978" s="258">
        <f t="shared" si="249"/>
        <v>626.73442183390762</v>
      </c>
      <c r="AG1978" s="228"/>
      <c r="DG1978" s="555"/>
      <c r="DH1978" s="151"/>
      <c r="DI1978" s="1049"/>
      <c r="DJ1978" s="1127"/>
    </row>
    <row r="1979" spans="1:114" ht="15" hidden="1" customHeight="1" outlineLevel="1" x14ac:dyDescent="0.25">
      <c r="A1979" s="442"/>
      <c r="C1979" s="49"/>
      <c r="D1979" s="2177"/>
      <c r="E1979" s="2177"/>
      <c r="F1979" s="2176" t="str">
        <f t="shared" si="247"/>
        <v>ASHP-SEER17_ER1_SF</v>
      </c>
      <c r="G1979" s="2176"/>
      <c r="H1979" s="2176"/>
      <c r="I1979" s="2176"/>
      <c r="J1979" s="986" t="str">
        <f t="shared" si="248"/>
        <v>353750_2024_12_</v>
      </c>
      <c r="K1979" s="155"/>
      <c r="L1979" s="45" t="str">
        <f>IF(K1979&gt;0,VLOOKUP(J1979,$J$909:$L$998,3,FALSE),"")</f>
        <v/>
      </c>
      <c r="M1979" s="1581" t="str">
        <f>IF(K1979&gt;0,VLOOKUP(J1979,$J$1629:$K$1718,2,FALSE),"")</f>
        <v/>
      </c>
      <c r="P1979" s="248"/>
      <c r="Q1979" s="196"/>
      <c r="R1979" s="248"/>
      <c r="T1979" s="169"/>
      <c r="U1979" s="50"/>
      <c r="V1979" s="2177"/>
      <c r="W1979" s="155"/>
      <c r="X1979" s="157"/>
      <c r="Y1979" s="157"/>
      <c r="Z1979" s="155"/>
      <c r="AA1979" s="155"/>
      <c r="AB1979" s="157"/>
      <c r="AC1979" s="155"/>
      <c r="AD1979" s="155"/>
      <c r="AE1979" s="155"/>
      <c r="AF1979" s="258" t="str">
        <f t="shared" si="249"/>
        <v/>
      </c>
      <c r="AG1979" s="228"/>
      <c r="DG1979" s="555"/>
      <c r="DH1979" s="151"/>
      <c r="DI1979" s="1049"/>
      <c r="DJ1979" s="1127"/>
    </row>
    <row r="1980" spans="1:114" ht="15" hidden="1" customHeight="1" outlineLevel="1" x14ac:dyDescent="0.25">
      <c r="A1980" s="442"/>
      <c r="C1980" s="49"/>
      <c r="D1980" s="2177"/>
      <c r="E1980" s="2177"/>
      <c r="F1980" s="2176" t="str">
        <f t="shared" si="247"/>
        <v>ASHP-SEER17_ER2_SF</v>
      </c>
      <c r="G1980" s="2176"/>
      <c r="H1980" s="2176"/>
      <c r="I1980" s="2176"/>
      <c r="J1980" s="986" t="str">
        <f t="shared" si="248"/>
        <v>353750_2024_12_</v>
      </c>
      <c r="K1980" s="155"/>
      <c r="L1980" s="45" t="str">
        <f>IF(K1980&gt;0,VLOOKUP(J1980,$J$909:$L$998,3,FALSE),"")</f>
        <v/>
      </c>
      <c r="M1980" s="1581" t="str">
        <f>IF(K1980&gt;0,VLOOKUP(J1980,$J$1629:$K$1718,2,FALSE),"")</f>
        <v/>
      </c>
      <c r="P1980" s="248"/>
      <c r="Q1980" s="196"/>
      <c r="R1980" s="248"/>
      <c r="T1980" s="169"/>
      <c r="U1980" s="50"/>
      <c r="V1980" s="2177"/>
      <c r="W1980" s="155"/>
      <c r="X1980" s="157"/>
      <c r="Y1980" s="157"/>
      <c r="Z1980" s="155"/>
      <c r="AA1980" s="155"/>
      <c r="AB1980" s="157"/>
      <c r="AC1980" s="155"/>
      <c r="AD1980" s="155"/>
      <c r="AE1980" s="155"/>
      <c r="AF1980" s="258" t="str">
        <f t="shared" si="249"/>
        <v/>
      </c>
      <c r="AG1980" s="228"/>
      <c r="DG1980" s="555"/>
      <c r="DH1980" s="151"/>
      <c r="DI1980" s="1049"/>
      <c r="DJ1980" s="1127"/>
    </row>
    <row r="1981" spans="1:114" ht="15" hidden="1" customHeight="1" outlineLevel="1" x14ac:dyDescent="0.25">
      <c r="A1981" s="442"/>
      <c r="C1981" s="49"/>
      <c r="D1981" s="2177"/>
      <c r="E1981" s="2177"/>
      <c r="F1981" s="2176" t="str">
        <f t="shared" si="247"/>
        <v>ASHP-SEER17_ER2_SF</v>
      </c>
      <c r="G1981" s="2176"/>
      <c r="H1981" s="2176"/>
      <c r="I1981" s="2176"/>
      <c r="J1981" s="986" t="str">
        <f t="shared" si="248"/>
        <v>353750_2024_12_</v>
      </c>
      <c r="K1981" s="155"/>
      <c r="L1981" s="45" t="str">
        <f>IF(K1981&gt;0,VLOOKUP(J1981,$J$909:$L$998,3,FALSE),"")</f>
        <v/>
      </c>
      <c r="M1981" s="1581" t="str">
        <f>IF(K1981&gt;0,VLOOKUP(J1981,$J$1629:$K$1718,2,FALSE),"")</f>
        <v/>
      </c>
      <c r="P1981" s="248"/>
      <c r="Q1981" s="196"/>
      <c r="R1981" s="248"/>
      <c r="T1981" s="169"/>
      <c r="U1981" s="50"/>
      <c r="V1981" s="2177"/>
      <c r="W1981" s="155"/>
      <c r="X1981" s="157"/>
      <c r="Y1981" s="157"/>
      <c r="Z1981" s="155"/>
      <c r="AA1981" s="155"/>
      <c r="AB1981" s="157"/>
      <c r="AC1981" s="155"/>
      <c r="AD1981" s="155"/>
      <c r="AE1981" s="155"/>
      <c r="AF1981" s="258" t="str">
        <f t="shared" si="249"/>
        <v/>
      </c>
      <c r="AG1981" s="228"/>
      <c r="DG1981" s="555"/>
      <c r="DH1981" s="151"/>
      <c r="DI1981" s="1049"/>
      <c r="DJ1981" s="1127"/>
    </row>
    <row r="1982" spans="1:114" ht="15" hidden="1" customHeight="1" outlineLevel="1" x14ac:dyDescent="0.25">
      <c r="A1982" s="442"/>
      <c r="C1982" s="49"/>
      <c r="D1982" s="2177"/>
      <c r="E1982" s="2177"/>
      <c r="F1982" s="2176" t="str">
        <f t="shared" si="247"/>
        <v>ASHP-SEER17_ROF_SF</v>
      </c>
      <c r="G1982" s="2176"/>
      <c r="H1982" s="2176"/>
      <c r="I1982" s="2176"/>
      <c r="J1982" s="986" t="str">
        <f t="shared" si="248"/>
        <v>353800_2024_12_</v>
      </c>
      <c r="K1982" s="1588">
        <f>(S$912+L1982*T$912)-(S$918+L1982*T$918)</f>
        <v>630</v>
      </c>
      <c r="L1982" s="45">
        <f>VLOOKUP(J1982,$J$909:$L$998,3,FALSE)*M1982</f>
        <v>3.2119969039215692</v>
      </c>
      <c r="M1982" s="1581">
        <f>VLOOKUP(J1982,$J$1629:$K$1718,2,FALSE)</f>
        <v>1</v>
      </c>
      <c r="N1982" s="535"/>
      <c r="P1982" s="248"/>
      <c r="Q1982" s="196"/>
      <c r="R1982" s="248"/>
      <c r="T1982" s="169"/>
      <c r="U1982" s="50"/>
      <c r="V1982" s="2177"/>
      <c r="W1982" s="155">
        <v>1914</v>
      </c>
      <c r="X1982" s="157">
        <v>2389.1999999999998</v>
      </c>
      <c r="Y1982" s="157">
        <v>580</v>
      </c>
      <c r="Z1982" s="155">
        <v>580</v>
      </c>
      <c r="AA1982" s="155">
        <v>580</v>
      </c>
      <c r="AB1982" s="157">
        <v>724</v>
      </c>
      <c r="AC1982" s="155">
        <v>724</v>
      </c>
      <c r="AD1982" s="155">
        <v>724</v>
      </c>
      <c r="AE1982" s="155">
        <v>724</v>
      </c>
      <c r="AF1982" s="258">
        <f t="shared" si="249"/>
        <v>630</v>
      </c>
      <c r="AG1982" s="228"/>
      <c r="DG1982" s="555"/>
      <c r="DH1982" s="151"/>
      <c r="DI1982" s="1049"/>
      <c r="DJ1982" s="1127"/>
    </row>
    <row r="1983" spans="1:114" ht="15" hidden="1" customHeight="1" outlineLevel="1" x14ac:dyDescent="0.25">
      <c r="A1983" s="442"/>
      <c r="C1983" s="49"/>
      <c r="D1983" s="2177"/>
      <c r="E1983" s="2177"/>
      <c r="F1983" s="2176" t="str">
        <f t="shared" si="247"/>
        <v>ASHP-SEER17_ROF_SF</v>
      </c>
      <c r="G1983" s="2176"/>
      <c r="H1983" s="2176"/>
      <c r="I1983" s="2176"/>
      <c r="J1983" s="986" t="str">
        <f t="shared" si="248"/>
        <v>353800_2024_12_</v>
      </c>
      <c r="K1983" s="155"/>
      <c r="L1983" s="45" t="str">
        <f>IF(K1983&gt;0,VLOOKUP(J1983,$J$909:$L$998,3,FALSE),"")</f>
        <v/>
      </c>
      <c r="M1983" s="1581" t="str">
        <f>IF(K1983&gt;0,VLOOKUP(J1983,$J$1629:$K$1718,2,FALSE),"")</f>
        <v/>
      </c>
      <c r="P1983" s="248"/>
      <c r="Q1983" s="248"/>
      <c r="R1983" s="248"/>
      <c r="T1983" s="169"/>
      <c r="U1983" s="50"/>
      <c r="V1983" s="2177"/>
      <c r="W1983" s="155"/>
      <c r="X1983" s="157"/>
      <c r="Y1983" s="157"/>
      <c r="Z1983" s="155"/>
      <c r="AA1983" s="155"/>
      <c r="AB1983" s="157"/>
      <c r="AC1983" s="155"/>
      <c r="AD1983" s="155"/>
      <c r="AE1983" s="155"/>
      <c r="AF1983" s="258" t="str">
        <f t="shared" si="249"/>
        <v/>
      </c>
      <c r="AG1983" s="228"/>
      <c r="DG1983" s="555"/>
      <c r="DH1983" s="151"/>
      <c r="DI1983" s="1049"/>
      <c r="DJ1983" s="1127"/>
    </row>
    <row r="1984" spans="1:114" ht="15" hidden="1" customHeight="1" outlineLevel="1" x14ac:dyDescent="0.25">
      <c r="A1984" s="442"/>
      <c r="C1984" s="49"/>
      <c r="D1984" s="2177"/>
      <c r="E1984" s="2177"/>
      <c r="F1984" s="2176" t="str">
        <f t="shared" si="247"/>
        <v>ASHP-SEER18_ER1_SF</v>
      </c>
      <c r="G1984" s="2176"/>
      <c r="H1984" s="2176"/>
      <c r="I1984" s="2176"/>
      <c r="J1984" s="986" t="str">
        <f t="shared" si="248"/>
        <v>353850_2024_12_</v>
      </c>
      <c r="K1984" s="1588">
        <f>(S$913+L1984*T$913)-(S$920+L1984*T$920)*S$926</f>
        <v>851.83158083659146</v>
      </c>
      <c r="L1984" s="45">
        <f>VLOOKUP(J1984,$J$909:$L$998,3,FALSE)*M1984</f>
        <v>2.8921256722608026</v>
      </c>
      <c r="M1984" s="1581">
        <f>VLOOKUP(J1984,$J$1629:$K$1718,2,FALSE)</f>
        <v>1</v>
      </c>
      <c r="N1984" s="535"/>
      <c r="P1984" s="248"/>
      <c r="Q1984" s="248"/>
      <c r="R1984" s="248"/>
      <c r="T1984" s="169"/>
      <c r="U1984" s="50"/>
      <c r="V1984" s="2177"/>
      <c r="W1984" s="155">
        <v>4141.575704441655</v>
      </c>
      <c r="X1984" s="157">
        <v>5878.505537347306</v>
      </c>
      <c r="Y1984" s="157">
        <v>1642.3358902038149</v>
      </c>
      <c r="Z1984" s="155">
        <v>1642.3358902038149</v>
      </c>
      <c r="AA1984" s="155">
        <v>1642.3358902038149</v>
      </c>
      <c r="AB1984" s="157">
        <v>1811.1494264602443</v>
      </c>
      <c r="AC1984" s="157">
        <v>1729.9451804896671</v>
      </c>
      <c r="AD1984" s="157">
        <v>1681.5237652002679</v>
      </c>
      <c r="AE1984" s="157">
        <v>1751.9355683221515</v>
      </c>
      <c r="AF1984" s="258">
        <f t="shared" si="249"/>
        <v>851.83158083659146</v>
      </c>
      <c r="AG1984" s="228"/>
      <c r="DG1984" s="555"/>
      <c r="DH1984" s="151"/>
      <c r="DI1984" s="1049"/>
      <c r="DJ1984" s="1127"/>
    </row>
    <row r="1985" spans="1:114" ht="15" hidden="1" customHeight="1" outlineLevel="1" x14ac:dyDescent="0.25">
      <c r="A1985" s="442"/>
      <c r="C1985" s="49"/>
      <c r="D1985" s="2177"/>
      <c r="E1985" s="2177"/>
      <c r="F1985" s="2176" t="str">
        <f t="shared" si="247"/>
        <v>ASHP-SEER18_ER1_SF</v>
      </c>
      <c r="G1985" s="2176"/>
      <c r="H1985" s="2176"/>
      <c r="I1985" s="2176"/>
      <c r="J1985" s="986" t="str">
        <f t="shared" si="248"/>
        <v>353850_2024_12_</v>
      </c>
      <c r="K1985" s="155"/>
      <c r="L1985" s="45" t="str">
        <f>IF(K1985&gt;0,VLOOKUP(J1985,$J$909:$L$998,3,FALSE),"")</f>
        <v/>
      </c>
      <c r="M1985" s="1581" t="str">
        <f>IF(K1985&gt;0,VLOOKUP(J1985,$J$1629:$K$1718,2,FALSE),"")</f>
        <v/>
      </c>
      <c r="P1985" s="248"/>
      <c r="Q1985" s="248"/>
      <c r="R1985" s="248"/>
      <c r="T1985" s="169"/>
      <c r="U1985" s="50"/>
      <c r="V1985" s="2177"/>
      <c r="W1985" s="155"/>
      <c r="X1985" s="157"/>
      <c r="Y1985" s="157"/>
      <c r="Z1985" s="155"/>
      <c r="AA1985" s="155"/>
      <c r="AB1985" s="157"/>
      <c r="AC1985" s="155"/>
      <c r="AD1985" s="155"/>
      <c r="AE1985" s="155"/>
      <c r="AF1985" s="258" t="str">
        <f t="shared" si="249"/>
        <v/>
      </c>
      <c r="AG1985" s="228"/>
      <c r="DG1985" s="555"/>
      <c r="DH1985" s="151"/>
      <c r="DI1985" s="1049"/>
      <c r="DJ1985" s="1127"/>
    </row>
    <row r="1986" spans="1:114" ht="15" hidden="1" customHeight="1" outlineLevel="1" x14ac:dyDescent="0.25">
      <c r="A1986" s="442"/>
      <c r="C1986" s="49"/>
      <c r="D1986" s="2177"/>
      <c r="E1986" s="2177"/>
      <c r="F1986" s="2176" t="str">
        <f t="shared" si="247"/>
        <v>ASHP-SEER18_ER2_SF</v>
      </c>
      <c r="G1986" s="2176"/>
      <c r="H1986" s="2176"/>
      <c r="I1986" s="2176"/>
      <c r="J1986" s="986" t="str">
        <f t="shared" si="248"/>
        <v>353850_2024_12_</v>
      </c>
      <c r="K1986" s="155"/>
      <c r="L1986" s="45" t="str">
        <f>IF(K1986&gt;0,VLOOKUP(J1986,$J$909:$L$998,3,FALSE),"")</f>
        <v/>
      </c>
      <c r="M1986" s="1581" t="str">
        <f>IF(K1986&gt;0,VLOOKUP(J1986,$J$1629:$K$1718,2,FALSE),"")</f>
        <v/>
      </c>
      <c r="P1986" s="248"/>
      <c r="Q1986" s="248"/>
      <c r="R1986" s="248"/>
      <c r="T1986" s="169"/>
      <c r="U1986" s="50"/>
      <c r="V1986" s="2177"/>
      <c r="W1986" s="155"/>
      <c r="X1986" s="157"/>
      <c r="Y1986" s="157"/>
      <c r="Z1986" s="155"/>
      <c r="AA1986" s="155"/>
      <c r="AB1986" s="157"/>
      <c r="AC1986" s="155"/>
      <c r="AD1986" s="155"/>
      <c r="AE1986" s="155"/>
      <c r="AF1986" s="258" t="str">
        <f t="shared" si="249"/>
        <v/>
      </c>
      <c r="AG1986" s="228"/>
      <c r="DG1986" s="555"/>
      <c r="DH1986" s="151"/>
      <c r="DI1986" s="1049"/>
      <c r="DJ1986" s="1127"/>
    </row>
    <row r="1987" spans="1:114" ht="15" hidden="1" customHeight="1" outlineLevel="1" x14ac:dyDescent="0.25">
      <c r="A1987" s="442"/>
      <c r="C1987" s="49"/>
      <c r="D1987" s="2177"/>
      <c r="E1987" s="2177"/>
      <c r="F1987" s="2176" t="str">
        <f t="shared" si="247"/>
        <v>ASHP-SEER18_ER2_SF</v>
      </c>
      <c r="G1987" s="2176"/>
      <c r="H1987" s="2176"/>
      <c r="I1987" s="2176"/>
      <c r="J1987" s="986" t="str">
        <f t="shared" si="248"/>
        <v>353850_2024_12_</v>
      </c>
      <c r="K1987" s="155"/>
      <c r="L1987" s="45" t="str">
        <f>IF(K1987&gt;0,VLOOKUP(J1987,$J$909:$L$998,3,FALSE),"")</f>
        <v/>
      </c>
      <c r="M1987" s="1581" t="str">
        <f>IF(K1987&gt;0,VLOOKUP(J1987,$J$1629:$K$1718,2,FALSE),"")</f>
        <v/>
      </c>
      <c r="P1987" s="248"/>
      <c r="Q1987" s="248"/>
      <c r="R1987" s="248"/>
      <c r="T1987" s="169"/>
      <c r="U1987" s="50"/>
      <c r="V1987" s="2177"/>
      <c r="W1987" s="155"/>
      <c r="X1987" s="157"/>
      <c r="Y1987" s="157"/>
      <c r="Z1987" s="155"/>
      <c r="AA1987" s="155"/>
      <c r="AB1987" s="157"/>
      <c r="AC1987" s="155"/>
      <c r="AD1987" s="155"/>
      <c r="AE1987" s="155"/>
      <c r="AF1987" s="258" t="str">
        <f t="shared" si="249"/>
        <v/>
      </c>
      <c r="AG1987" s="228"/>
      <c r="DG1987" s="555"/>
      <c r="DH1987" s="151"/>
      <c r="DI1987" s="1049"/>
      <c r="DJ1987" s="1127"/>
    </row>
    <row r="1988" spans="1:114" ht="15" hidden="1" customHeight="1" outlineLevel="1" x14ac:dyDescent="0.25">
      <c r="A1988" s="442"/>
      <c r="C1988" s="49"/>
      <c r="D1988" s="2177"/>
      <c r="E1988" s="2177"/>
      <c r="F1988" s="2176" t="str">
        <f t="shared" si="247"/>
        <v>ASHP-SEER18_ROF_SF</v>
      </c>
      <c r="G1988" s="2176"/>
      <c r="H1988" s="2176"/>
      <c r="I1988" s="2176"/>
      <c r="J1988" s="986" t="str">
        <f t="shared" si="248"/>
        <v>353950_2024_12_</v>
      </c>
      <c r="K1988" s="1588">
        <f>(S$913+L1988*T$913)-(S$918+L1988*T$918)</f>
        <v>855</v>
      </c>
      <c r="L1988" s="45">
        <f>VLOOKUP(J1988,$J$909:$L$998,3,FALSE)*M1988</f>
        <v>3.0020370366666667</v>
      </c>
      <c r="M1988" s="1581">
        <f>VLOOKUP(J1988,$J$1629:$K$1718,2,FALSE)</f>
        <v>1</v>
      </c>
      <c r="N1988" s="535"/>
      <c r="P1988" s="248"/>
      <c r="Q1988" s="248"/>
      <c r="R1988" s="248"/>
      <c r="T1988" s="169"/>
      <c r="U1988" s="50"/>
      <c r="V1988" s="2177"/>
      <c r="W1988" s="155">
        <v>2354</v>
      </c>
      <c r="X1988" s="157">
        <v>3177.636</v>
      </c>
      <c r="Y1988" s="157">
        <v>713.33333333333337</v>
      </c>
      <c r="Z1988" s="155">
        <v>713.33333333333337</v>
      </c>
      <c r="AA1988" s="155">
        <v>713.33333333333337</v>
      </c>
      <c r="AB1988" s="157">
        <v>962.92000000000007</v>
      </c>
      <c r="AC1988" s="155">
        <v>962.92000000000007</v>
      </c>
      <c r="AD1988" s="155">
        <v>962.92000000000007</v>
      </c>
      <c r="AE1988" s="155">
        <v>962.92000000000007</v>
      </c>
      <c r="AF1988" s="258">
        <f t="shared" si="249"/>
        <v>855</v>
      </c>
      <c r="AG1988" s="228"/>
      <c r="DG1988" s="555"/>
      <c r="DH1988" s="151"/>
      <c r="DI1988" s="1049"/>
      <c r="DJ1988" s="1127"/>
    </row>
    <row r="1989" spans="1:114" ht="15" hidden="1" customHeight="1" outlineLevel="1" x14ac:dyDescent="0.25">
      <c r="A1989" s="442"/>
      <c r="C1989" s="49"/>
      <c r="D1989" s="2177"/>
      <c r="E1989" s="2177"/>
      <c r="F1989" s="2176" t="str">
        <f t="shared" si="247"/>
        <v>ASHP-SEER18_ROF_SF</v>
      </c>
      <c r="G1989" s="2176"/>
      <c r="H1989" s="2176"/>
      <c r="I1989" s="2176"/>
      <c r="J1989" s="986" t="str">
        <f t="shared" si="248"/>
        <v>353950_2024_12_</v>
      </c>
      <c r="K1989" s="155"/>
      <c r="L1989" s="45" t="str">
        <f>IF(K1989&gt;0,VLOOKUP(J1989,$J$909:$L$998,3,FALSE),"")</f>
        <v/>
      </c>
      <c r="M1989" s="1581" t="str">
        <f>IF(K1989&gt;0,VLOOKUP(J1989,$J$1629:$K$1718,2,FALSE),"")</f>
        <v/>
      </c>
      <c r="P1989" s="248"/>
      <c r="Q1989" s="248"/>
      <c r="R1989" s="248"/>
      <c r="T1989" s="169"/>
      <c r="U1989" s="50"/>
      <c r="V1989" s="2177"/>
      <c r="W1989" s="155"/>
      <c r="X1989" s="157"/>
      <c r="Y1989" s="157"/>
      <c r="Z1989" s="155"/>
      <c r="AA1989" s="155"/>
      <c r="AB1989" s="157"/>
      <c r="AC1989" s="155"/>
      <c r="AD1989" s="155"/>
      <c r="AE1989" s="155"/>
      <c r="AF1989" s="258" t="str">
        <f t="shared" si="249"/>
        <v/>
      </c>
      <c r="AG1989" s="228"/>
      <c r="DG1989" s="555"/>
      <c r="DH1989" s="151"/>
      <c r="DI1989" s="1049"/>
      <c r="DJ1989" s="1127"/>
    </row>
    <row r="1990" spans="1:114" ht="15" hidden="1" customHeight="1" outlineLevel="1" x14ac:dyDescent="0.25">
      <c r="A1990" s="442"/>
      <c r="C1990" s="49"/>
      <c r="D1990" s="2177"/>
      <c r="E1990" s="2177"/>
      <c r="F1990" s="2176" t="str">
        <f t="shared" si="247"/>
        <v>ASHP-SEER19_ER1_SF</v>
      </c>
      <c r="G1990" s="2176"/>
      <c r="H1990" s="2176"/>
      <c r="I1990" s="2176"/>
      <c r="J1990" s="986" t="str">
        <f t="shared" si="248"/>
        <v>354000_2024_12_</v>
      </c>
      <c r="K1990" s="1588">
        <f>(S$914+L1990*T$914)-(S$920+L1990*T$920)*S$926</f>
        <v>1078.2009195105929</v>
      </c>
      <c r="L1990" s="45">
        <f>VLOOKUP(J1990,$J$909:$L$998,3,FALSE)*M1990</f>
        <v>3.7731209149509803</v>
      </c>
      <c r="M1990" s="1581">
        <f>VLOOKUP(J1990,$J$1629:$K$1718,2,FALSE)</f>
        <v>1</v>
      </c>
      <c r="N1990" s="535"/>
      <c r="P1990" s="248"/>
      <c r="Q1990" s="248"/>
      <c r="R1990" s="248"/>
      <c r="T1990" s="169"/>
      <c r="U1990" s="50"/>
      <c r="V1990" s="2177"/>
      <c r="W1990" s="155">
        <v>4471.575704441655</v>
      </c>
      <c r="X1990" s="157">
        <v>6672.9145373473075</v>
      </c>
      <c r="Y1990" s="157">
        <v>1742.3358902038149</v>
      </c>
      <c r="Z1990" s="155">
        <v>1742.3358902038149</v>
      </c>
      <c r="AA1990" s="155">
        <v>1742.3358902038149</v>
      </c>
      <c r="AB1990" s="157">
        <v>1992.1449598081149</v>
      </c>
      <c r="AC1990" s="157">
        <v>2159.4014664340775</v>
      </c>
      <c r="AD1990" s="157">
        <v>2105.1914618743731</v>
      </c>
      <c r="AE1990" s="157">
        <v>2233.0143777696067</v>
      </c>
      <c r="AF1990" s="258">
        <f t="shared" si="249"/>
        <v>1078.2009195105929</v>
      </c>
      <c r="AG1990" s="228"/>
      <c r="DG1990" s="555"/>
      <c r="DH1990" s="151"/>
      <c r="DI1990" s="1049"/>
      <c r="DJ1990" s="1127"/>
    </row>
    <row r="1991" spans="1:114" ht="15" hidden="1" customHeight="1" outlineLevel="1" x14ac:dyDescent="0.25">
      <c r="A1991" s="442"/>
      <c r="C1991" s="49"/>
      <c r="D1991" s="2177"/>
      <c r="E1991" s="2177"/>
      <c r="F1991" s="2176" t="str">
        <f t="shared" si="247"/>
        <v>ASHP-SEER19_ER1_SF</v>
      </c>
      <c r="G1991" s="2176"/>
      <c r="H1991" s="2176"/>
      <c r="I1991" s="2176"/>
      <c r="J1991" s="986" t="str">
        <f t="shared" si="248"/>
        <v>354000_2024_12_</v>
      </c>
      <c r="K1991" s="155"/>
      <c r="L1991" s="45" t="str">
        <f>IF(K1991&gt;0,VLOOKUP(J1991,$J$909:$L$998,3,FALSE),"")</f>
        <v/>
      </c>
      <c r="M1991" s="1581" t="str">
        <f>IF(K1991&gt;0,VLOOKUP(J1991,$J$1629:$K$1718,2,FALSE),"")</f>
        <v/>
      </c>
      <c r="P1991" s="248"/>
      <c r="Q1991" s="248"/>
      <c r="R1991" s="248"/>
      <c r="T1991" s="169"/>
      <c r="U1991" s="50"/>
      <c r="V1991" s="2177"/>
      <c r="W1991" s="155"/>
      <c r="X1991" s="157"/>
      <c r="Y1991" s="157"/>
      <c r="Z1991" s="155"/>
      <c r="AA1991" s="155"/>
      <c r="AB1991" s="157"/>
      <c r="AC1991" s="155"/>
      <c r="AD1991" s="155"/>
      <c r="AE1991" s="155"/>
      <c r="AF1991" s="258" t="str">
        <f t="shared" si="249"/>
        <v/>
      </c>
      <c r="AG1991" s="228"/>
      <c r="DG1991" s="555"/>
      <c r="DH1991" s="151"/>
      <c r="DI1991" s="1049"/>
      <c r="DJ1991" s="1127"/>
    </row>
    <row r="1992" spans="1:114" ht="15" hidden="1" customHeight="1" outlineLevel="1" x14ac:dyDescent="0.25">
      <c r="A1992" s="442"/>
      <c r="C1992" s="49"/>
      <c r="D1992" s="2177"/>
      <c r="E1992" s="2177"/>
      <c r="F1992" s="2176" t="str">
        <f t="shared" si="247"/>
        <v>ASHP-SEER19_ER2_SF</v>
      </c>
      <c r="G1992" s="2176"/>
      <c r="H1992" s="2176"/>
      <c r="I1992" s="2176"/>
      <c r="J1992" s="986" t="str">
        <f t="shared" si="248"/>
        <v>354000_2024_12_</v>
      </c>
      <c r="K1992" s="155"/>
      <c r="L1992" s="45" t="str">
        <f>IF(K1992&gt;0,VLOOKUP(J1992,$J$909:$L$998,3,FALSE),"")</f>
        <v/>
      </c>
      <c r="M1992" s="1581" t="str">
        <f>IF(K1992&gt;0,VLOOKUP(J1992,$J$1629:$K$1718,2,FALSE),"")</f>
        <v/>
      </c>
      <c r="P1992" s="248"/>
      <c r="Q1992" s="248"/>
      <c r="R1992" s="248"/>
      <c r="T1992" s="169"/>
      <c r="U1992" s="50"/>
      <c r="V1992" s="2177"/>
      <c r="W1992" s="155"/>
      <c r="X1992" s="157"/>
      <c r="Y1992" s="157"/>
      <c r="Z1992" s="155"/>
      <c r="AA1992" s="155"/>
      <c r="AB1992" s="157"/>
      <c r="AC1992" s="155"/>
      <c r="AD1992" s="155"/>
      <c r="AE1992" s="155"/>
      <c r="AF1992" s="258" t="str">
        <f t="shared" si="249"/>
        <v/>
      </c>
      <c r="AG1992" s="228"/>
      <c r="DG1992" s="555"/>
      <c r="DH1992" s="151"/>
      <c r="DI1992" s="1049"/>
      <c r="DJ1992" s="1127"/>
    </row>
    <row r="1993" spans="1:114" ht="15" hidden="1" customHeight="1" outlineLevel="1" x14ac:dyDescent="0.25">
      <c r="A1993" s="442"/>
      <c r="C1993" s="49"/>
      <c r="D1993" s="2177"/>
      <c r="E1993" s="2177"/>
      <c r="F1993" s="2176" t="str">
        <f t="shared" si="247"/>
        <v>ASHP-SEER19_ER2_SF</v>
      </c>
      <c r="G1993" s="2176"/>
      <c r="H1993" s="2176"/>
      <c r="I1993" s="2176"/>
      <c r="J1993" s="986" t="str">
        <f t="shared" si="248"/>
        <v>354000_2024_12_</v>
      </c>
      <c r="K1993" s="155"/>
      <c r="L1993" s="45" t="str">
        <f>IF(K1993&gt;0,VLOOKUP(J1993,$J$909:$L$998,3,FALSE),"")</f>
        <v/>
      </c>
      <c r="M1993" s="1581" t="str">
        <f>IF(K1993&gt;0,VLOOKUP(J1993,$J$1629:$K$1718,2,FALSE),"")</f>
        <v/>
      </c>
      <c r="P1993" s="248"/>
      <c r="Q1993" s="248"/>
      <c r="R1993" s="248"/>
      <c r="T1993" s="169"/>
      <c r="U1993" s="50"/>
      <c r="V1993" s="2177"/>
      <c r="W1993" s="155"/>
      <c r="X1993" s="157"/>
      <c r="Y1993" s="157"/>
      <c r="Z1993" s="155"/>
      <c r="AA1993" s="155"/>
      <c r="AB1993" s="157"/>
      <c r="AC1993" s="155"/>
      <c r="AD1993" s="155"/>
      <c r="AE1993" s="155"/>
      <c r="AF1993" s="258" t="str">
        <f t="shared" si="249"/>
        <v/>
      </c>
      <c r="AG1993" s="228"/>
      <c r="DG1993" s="555"/>
      <c r="DH1993" s="151"/>
      <c r="DI1993" s="1049"/>
      <c r="DJ1993" s="1127"/>
    </row>
    <row r="1994" spans="1:114" ht="15" hidden="1" customHeight="1" outlineLevel="1" x14ac:dyDescent="0.25">
      <c r="A1994" s="442"/>
      <c r="C1994" s="49"/>
      <c r="D1994" s="2177"/>
      <c r="E1994" s="2177"/>
      <c r="F1994" s="2176" t="str">
        <f t="shared" si="247"/>
        <v>ASHP-SEER19_ROF_SF</v>
      </c>
      <c r="G1994" s="2176"/>
      <c r="H1994" s="2176"/>
      <c r="I1994" s="2176"/>
      <c r="J1994" s="986" t="str">
        <f t="shared" si="248"/>
        <v>354050_2024_12_</v>
      </c>
      <c r="K1994" s="1588">
        <f>(S$914+L1994*T$914)-(S$918+L1994*T$918)</f>
        <v>1081</v>
      </c>
      <c r="L1994" s="45">
        <f>VLOOKUP(J1994,$J$909:$L$998,3,FALSE)*M1994</f>
        <v>2.9920329673076922</v>
      </c>
      <c r="M1994" s="1581">
        <f>VLOOKUP(J1994,$J$1629:$K$1718,2,FALSE)</f>
        <v>1</v>
      </c>
      <c r="N1994" s="535"/>
      <c r="P1994" s="248"/>
      <c r="Q1994" s="248"/>
      <c r="R1994" s="248"/>
      <c r="T1994" s="169"/>
      <c r="U1994" s="50"/>
      <c r="V1994" s="2177"/>
      <c r="W1994" s="155">
        <v>2684</v>
      </c>
      <c r="X1994" s="157">
        <v>3972.045000000001</v>
      </c>
      <c r="Y1994" s="157">
        <v>813.33333333333337</v>
      </c>
      <c r="Z1994" s="155">
        <v>813.33333333333337</v>
      </c>
      <c r="AA1994" s="155">
        <v>813.33333333333337</v>
      </c>
      <c r="AB1994" s="157">
        <v>1203.6500000000003</v>
      </c>
      <c r="AC1994" s="155">
        <v>1203.6500000000003</v>
      </c>
      <c r="AD1994" s="157">
        <v>1203.6500000000003</v>
      </c>
      <c r="AE1994" s="157">
        <v>1203.6500000000003</v>
      </c>
      <c r="AF1994" s="258">
        <f t="shared" si="249"/>
        <v>1081</v>
      </c>
      <c r="AG1994" s="228"/>
      <c r="DG1994" s="555"/>
      <c r="DH1994" s="151"/>
      <c r="DI1994" s="1049"/>
      <c r="DJ1994" s="1127"/>
    </row>
    <row r="1995" spans="1:114" ht="15" hidden="1" customHeight="1" outlineLevel="1" x14ac:dyDescent="0.25">
      <c r="A1995" s="442"/>
      <c r="C1995" s="49"/>
      <c r="D1995" s="2177"/>
      <c r="E1995" s="2177"/>
      <c r="F1995" s="2176" t="str">
        <f t="shared" si="247"/>
        <v>ASHP-SEER19_ROF_SF</v>
      </c>
      <c r="G1995" s="2176"/>
      <c r="H1995" s="2176"/>
      <c r="I1995" s="2176"/>
      <c r="J1995" s="986" t="str">
        <f t="shared" si="248"/>
        <v>354050_2024_12_</v>
      </c>
      <c r="K1995" s="155"/>
      <c r="L1995" s="45" t="str">
        <f>IF(K1995&gt;0,VLOOKUP(J1995,$J$909:$L$998,3,FALSE),"")</f>
        <v/>
      </c>
      <c r="M1995" s="1581" t="str">
        <f>IF(K1995&gt;0,VLOOKUP(J1995,$J$1629:$K$1718,2,FALSE),"")</f>
        <v/>
      </c>
      <c r="P1995" s="248"/>
      <c r="Q1995" s="248"/>
      <c r="R1995" s="248"/>
      <c r="T1995" s="169"/>
      <c r="U1995" s="50"/>
      <c r="V1995" s="2177"/>
      <c r="W1995" s="155"/>
      <c r="X1995" s="157"/>
      <c r="Y1995" s="157"/>
      <c r="Z1995" s="155"/>
      <c r="AA1995" s="155"/>
      <c r="AB1995" s="157"/>
      <c r="AC1995" s="155"/>
      <c r="AD1995" s="155"/>
      <c r="AE1995" s="155"/>
      <c r="AF1995" s="258" t="str">
        <f t="shared" si="249"/>
        <v/>
      </c>
      <c r="AG1995" s="228"/>
      <c r="DG1995" s="555"/>
      <c r="DH1995" s="151"/>
      <c r="DI1995" s="1049"/>
      <c r="DJ1995" s="1127"/>
    </row>
    <row r="1996" spans="1:114" ht="15" hidden="1" customHeight="1" outlineLevel="1" x14ac:dyDescent="0.25">
      <c r="A1996" s="442"/>
      <c r="C1996" s="49"/>
      <c r="D1996" s="2177"/>
      <c r="E1996" s="2177"/>
      <c r="F1996" s="2176" t="str">
        <f t="shared" ref="F1996:F2027" si="250">E805</f>
        <v>ASHP-SEER17-Replace_CAC_ElectricHeat_ER1_SF</v>
      </c>
      <c r="G1996" s="2176"/>
      <c r="H1996" s="2176"/>
      <c r="I1996" s="2176"/>
      <c r="J1996" s="986" t="str">
        <f t="shared" ref="J1996:J2027" si="251">C805</f>
        <v>354100_2024_12_</v>
      </c>
      <c r="K1996" s="1588">
        <f>(S$912+L1996*T$912)-((S$921+L1996*T$921)*S$926)</f>
        <v>3783.9531661870506</v>
      </c>
      <c r="L1996" s="45">
        <f>VLOOKUP(J1996,$J$909:$L$998,3,FALSE)*M1996</f>
        <v>2.6603692243864097</v>
      </c>
      <c r="M1996" s="1581">
        <f>VLOOKUP(J1996,$J$1629:$K$1718,2,FALSE)</f>
        <v>1</v>
      </c>
      <c r="N1996" s="535"/>
      <c r="P1996" s="248"/>
      <c r="Q1996" s="248"/>
      <c r="R1996" s="248"/>
      <c r="T1996" s="169"/>
      <c r="U1996" s="50"/>
      <c r="V1996" s="2177"/>
      <c r="W1996" s="155">
        <v>3824.9615612563771</v>
      </c>
      <c r="X1996" s="157">
        <v>4781.5804744777724</v>
      </c>
      <c r="Y1996" s="157">
        <v>1452.6993716056036</v>
      </c>
      <c r="Z1996" s="155">
        <v>1452.6993716056036</v>
      </c>
      <c r="AA1996" s="155">
        <v>1452.6993716056036</v>
      </c>
      <c r="AB1996" s="157">
        <v>1464.7073864864105</v>
      </c>
      <c r="AC1996" s="157">
        <v>1402.8007574105659</v>
      </c>
      <c r="AD1996" s="157">
        <v>1425.2574866940254</v>
      </c>
      <c r="AE1996" s="157">
        <v>1449.7889087112662</v>
      </c>
      <c r="AF1996" s="258">
        <f t="shared" si="249"/>
        <v>3783.9531661870506</v>
      </c>
      <c r="AG1996" s="228"/>
      <c r="DG1996" s="555"/>
      <c r="DH1996" s="151"/>
      <c r="DI1996" s="1049"/>
      <c r="DJ1996" s="1127"/>
    </row>
    <row r="1997" spans="1:114" ht="15" hidden="1" customHeight="1" outlineLevel="1" x14ac:dyDescent="0.25">
      <c r="A1997" s="442"/>
      <c r="C1997" s="49"/>
      <c r="D1997" s="2177"/>
      <c r="E1997" s="2177"/>
      <c r="F1997" s="2176" t="str">
        <f t="shared" si="250"/>
        <v>ASHP-SEER17-Replace_CAC_ElectricHeat_ER1_SF</v>
      </c>
      <c r="G1997" s="2176"/>
      <c r="H1997" s="2176"/>
      <c r="I1997" s="2176"/>
      <c r="J1997" s="986" t="str">
        <f t="shared" si="251"/>
        <v>354100_2024_12_</v>
      </c>
      <c r="K1997" s="155"/>
      <c r="L1997" s="45" t="str">
        <f>IF(K1997&gt;0,VLOOKUP(J1997,$J$909:$L$998,3,FALSE),"")</f>
        <v/>
      </c>
      <c r="M1997" s="1581" t="str">
        <f>IF(K1997&gt;0,VLOOKUP(J1997,$J$1629:$K$1718,2,FALSE),"")</f>
        <v/>
      </c>
      <c r="P1997" s="248"/>
      <c r="Q1997" s="248"/>
      <c r="R1997" s="248"/>
      <c r="T1997" s="169"/>
      <c r="U1997" s="50"/>
      <c r="V1997" s="2177"/>
      <c r="W1997" s="155"/>
      <c r="X1997" s="157"/>
      <c r="Y1997" s="157"/>
      <c r="Z1997" s="155"/>
      <c r="AA1997" s="155"/>
      <c r="AB1997" s="157"/>
      <c r="AC1997" s="155"/>
      <c r="AD1997" s="155"/>
      <c r="AE1997" s="155"/>
      <c r="AF1997" s="258" t="str">
        <f t="shared" si="249"/>
        <v/>
      </c>
      <c r="AG1997" s="228"/>
      <c r="DG1997" s="555"/>
      <c r="DH1997" s="151"/>
      <c r="DI1997" s="1049"/>
      <c r="DJ1997" s="1127"/>
    </row>
    <row r="1998" spans="1:114" ht="15" hidden="1" customHeight="1" outlineLevel="1" x14ac:dyDescent="0.25">
      <c r="A1998" s="442"/>
      <c r="C1998" s="49"/>
      <c r="D1998" s="2177"/>
      <c r="E1998" s="2177"/>
      <c r="F1998" s="2176" t="str">
        <f t="shared" si="250"/>
        <v>ASHP-SEER17-Replace_CAC_ElectricHeat_ER2_SF</v>
      </c>
      <c r="G1998" s="2176"/>
      <c r="H1998" s="2176"/>
      <c r="I1998" s="2176"/>
      <c r="J1998" s="986" t="str">
        <f t="shared" si="251"/>
        <v>354100_2024_12_</v>
      </c>
      <c r="K1998" s="155"/>
      <c r="L1998" s="45" t="str">
        <f>IF(K1998&gt;0,VLOOKUP(J1998,$J$909:$L$998,3,FALSE),"")</f>
        <v/>
      </c>
      <c r="M1998" s="1581" t="str">
        <f>IF(K1998&gt;0,VLOOKUP(J1998,$J$1629:$K$1718,2,FALSE),"")</f>
        <v/>
      </c>
      <c r="P1998" s="248"/>
      <c r="Q1998" s="248"/>
      <c r="R1998" s="248"/>
      <c r="T1998" s="169"/>
      <c r="U1998" s="50"/>
      <c r="V1998" s="2177"/>
      <c r="W1998" s="155"/>
      <c r="X1998" s="157"/>
      <c r="Y1998" s="157"/>
      <c r="Z1998" s="155"/>
      <c r="AA1998" s="155"/>
      <c r="AB1998" s="157"/>
      <c r="AC1998" s="155"/>
      <c r="AD1998" s="155"/>
      <c r="AE1998" s="155"/>
      <c r="AF1998" s="258" t="str">
        <f t="shared" si="249"/>
        <v/>
      </c>
      <c r="AG1998" s="228"/>
      <c r="DG1998" s="555"/>
      <c r="DH1998" s="151"/>
      <c r="DI1998" s="1049"/>
      <c r="DJ1998" s="1127"/>
    </row>
    <row r="1999" spans="1:114" ht="15" hidden="1" customHeight="1" outlineLevel="1" x14ac:dyDescent="0.25">
      <c r="A1999" s="442"/>
      <c r="C1999" s="49"/>
      <c r="D1999" s="2177"/>
      <c r="E1999" s="2177"/>
      <c r="F1999" s="2176" t="str">
        <f t="shared" si="250"/>
        <v>ASHP-SEER17-Replace_CAC_ElectricHeat_ER2_SF</v>
      </c>
      <c r="G1999" s="2176"/>
      <c r="H1999" s="2176"/>
      <c r="I1999" s="2176"/>
      <c r="J1999" s="986" t="str">
        <f t="shared" si="251"/>
        <v>354100_2024_12_</v>
      </c>
      <c r="K1999" s="155"/>
      <c r="L1999" s="45" t="str">
        <f>IF(K1999&gt;0,VLOOKUP(J1999,$J$909:$L$998,3,FALSE),"")</f>
        <v/>
      </c>
      <c r="M1999" s="1581" t="str">
        <f>IF(K1999&gt;0,VLOOKUP(J1999,$J$1629:$K$1718,2,FALSE),"")</f>
        <v/>
      </c>
      <c r="P1999" s="248"/>
      <c r="Q1999" s="248"/>
      <c r="R1999" s="248"/>
      <c r="T1999" s="169"/>
      <c r="U1999" s="50"/>
      <c r="V1999" s="2177"/>
      <c r="W1999" s="155"/>
      <c r="X1999" s="157"/>
      <c r="Y1999" s="157"/>
      <c r="Z1999" s="155"/>
      <c r="AA1999" s="155"/>
      <c r="AB1999" s="157"/>
      <c r="AC1999" s="155"/>
      <c r="AD1999" s="155"/>
      <c r="AE1999" s="155"/>
      <c r="AF1999" s="258" t="str">
        <f t="shared" si="249"/>
        <v/>
      </c>
      <c r="AG1999" s="228"/>
      <c r="DG1999" s="555"/>
      <c r="DH1999" s="151"/>
      <c r="DI1999" s="1049"/>
      <c r="DJ1999" s="1127"/>
    </row>
    <row r="2000" spans="1:114" ht="15" hidden="1" customHeight="1" outlineLevel="1" x14ac:dyDescent="0.25">
      <c r="A2000" s="442"/>
      <c r="C2000" s="49"/>
      <c r="D2000" s="2177"/>
      <c r="E2000" s="2177"/>
      <c r="F2000" s="2176" t="str">
        <f t="shared" si="250"/>
        <v>ASHP-SEER17-Replace_CAC_NonElectricHeat_ER1_SF</v>
      </c>
      <c r="G2000" s="2176"/>
      <c r="H2000" s="2176"/>
      <c r="I2000" s="2176"/>
      <c r="J2000" s="986" t="str">
        <f t="shared" si="251"/>
        <v>354110_2024_12_</v>
      </c>
      <c r="K2000" s="1588">
        <f>((S$912+L2000*T$912)-((S$921+L2000*T$921)*S$926))*VLOOKUP(J2000,$J$2082:$K$2095,2,FALSE)</f>
        <v>501.3407230169808</v>
      </c>
      <c r="L2000" s="45">
        <f>VLOOKUP(J2000,$J$909:$L$998,3,FALSE)*M2000</f>
        <v>2.6603692243864097</v>
      </c>
      <c r="M2000" s="1581">
        <f>VLOOKUP(J2000,$J$1629:$K$1718,2,FALSE)</f>
        <v>1</v>
      </c>
      <c r="N2000" s="535"/>
      <c r="P2000" s="248"/>
      <c r="Q2000" s="248"/>
      <c r="R2000" s="248"/>
      <c r="T2000" s="169"/>
      <c r="U2000" s="50"/>
      <c r="V2000" s="2177"/>
      <c r="W2000" s="155"/>
      <c r="X2000" s="157"/>
      <c r="Y2000" s="157"/>
      <c r="Z2000" s="155"/>
      <c r="AA2000" s="155"/>
      <c r="AB2000" s="157"/>
      <c r="AC2000" s="157">
        <v>1402.8007574105659</v>
      </c>
      <c r="AD2000" s="157">
        <v>1425.2574866940254</v>
      </c>
      <c r="AE2000" s="157">
        <v>1449.7889087112662</v>
      </c>
      <c r="AF2000" s="258">
        <f t="shared" si="249"/>
        <v>501.3407230169808</v>
      </c>
      <c r="AG2000" s="228"/>
      <c r="DG2000" s="555"/>
      <c r="DH2000" s="151"/>
      <c r="DI2000" s="1049"/>
      <c r="DJ2000" s="1127"/>
    </row>
    <row r="2001" spans="1:114" ht="15" hidden="1" customHeight="1" outlineLevel="1" x14ac:dyDescent="0.25">
      <c r="A2001" s="442"/>
      <c r="C2001" s="49"/>
      <c r="D2001" s="2177"/>
      <c r="E2001" s="2177"/>
      <c r="F2001" s="2176" t="str">
        <f t="shared" si="250"/>
        <v>ASHP-SEER17-Replace_CAC_NonElectricHeat_ER1_SF</v>
      </c>
      <c r="G2001" s="2176"/>
      <c r="H2001" s="2176"/>
      <c r="I2001" s="2176"/>
      <c r="J2001" s="986" t="str">
        <f t="shared" si="251"/>
        <v>354110_2024_12_</v>
      </c>
      <c r="K2001" s="155"/>
      <c r="L2001" s="45"/>
      <c r="M2001" s="1581"/>
      <c r="P2001" s="248"/>
      <c r="Q2001" s="248"/>
      <c r="R2001" s="248"/>
      <c r="T2001" s="169"/>
      <c r="U2001" s="50"/>
      <c r="V2001" s="2177"/>
      <c r="W2001" s="155"/>
      <c r="X2001" s="157"/>
      <c r="Y2001" s="157"/>
      <c r="Z2001" s="155"/>
      <c r="AA2001" s="155"/>
      <c r="AB2001" s="157"/>
      <c r="AC2001" s="155"/>
      <c r="AD2001" s="155"/>
      <c r="AE2001" s="155"/>
      <c r="AF2001" s="258" t="str">
        <f t="shared" si="249"/>
        <v/>
      </c>
      <c r="AG2001" s="228"/>
      <c r="DG2001" s="555"/>
      <c r="DH2001" s="151"/>
      <c r="DI2001" s="1049"/>
      <c r="DJ2001" s="1127"/>
    </row>
    <row r="2002" spans="1:114" ht="15" hidden="1" customHeight="1" outlineLevel="1" x14ac:dyDescent="0.25">
      <c r="A2002" s="442"/>
      <c r="C2002" s="49"/>
      <c r="D2002" s="2177"/>
      <c r="E2002" s="2177"/>
      <c r="F2002" s="2176" t="str">
        <f t="shared" si="250"/>
        <v>ASHP-SEER17-Replace_CAC_NonElectricHeat_ER2_SF</v>
      </c>
      <c r="G2002" s="2176"/>
      <c r="H2002" s="2176"/>
      <c r="I2002" s="2176"/>
      <c r="J2002" s="986" t="str">
        <f t="shared" si="251"/>
        <v>354110_2024_12_</v>
      </c>
      <c r="K2002" s="155"/>
      <c r="L2002" s="45"/>
      <c r="M2002" s="1581"/>
      <c r="P2002" s="248"/>
      <c r="Q2002" s="248"/>
      <c r="R2002" s="248"/>
      <c r="T2002" s="169"/>
      <c r="U2002" s="50"/>
      <c r="V2002" s="2177"/>
      <c r="W2002" s="155"/>
      <c r="X2002" s="157"/>
      <c r="Y2002" s="157"/>
      <c r="Z2002" s="155"/>
      <c r="AA2002" s="155"/>
      <c r="AB2002" s="157"/>
      <c r="AC2002" s="155"/>
      <c r="AD2002" s="155"/>
      <c r="AE2002" s="155"/>
      <c r="AF2002" s="258" t="str">
        <f t="shared" si="249"/>
        <v/>
      </c>
      <c r="AG2002" s="228"/>
      <c r="DG2002" s="555"/>
      <c r="DH2002" s="151"/>
      <c r="DI2002" s="1049"/>
      <c r="DJ2002" s="1127"/>
    </row>
    <row r="2003" spans="1:114" ht="15" hidden="1" customHeight="1" outlineLevel="1" x14ac:dyDescent="0.25">
      <c r="A2003" s="442"/>
      <c r="C2003" s="49"/>
      <c r="D2003" s="2177"/>
      <c r="E2003" s="2177"/>
      <c r="F2003" s="2176" t="str">
        <f t="shared" si="250"/>
        <v>ASHP-SEER17-Replace_CAC_NonElectricHeat_ER2_SF</v>
      </c>
      <c r="G2003" s="2176"/>
      <c r="H2003" s="2176"/>
      <c r="I2003" s="2176"/>
      <c r="J2003" s="986" t="str">
        <f t="shared" si="251"/>
        <v>354110_2024_12_</v>
      </c>
      <c r="K2003" s="155"/>
      <c r="L2003" s="45"/>
      <c r="M2003" s="1581"/>
      <c r="P2003" s="248"/>
      <c r="Q2003" s="248"/>
      <c r="R2003" s="248"/>
      <c r="T2003" s="169"/>
      <c r="U2003" s="50"/>
      <c r="V2003" s="2177"/>
      <c r="W2003" s="155"/>
      <c r="X2003" s="157"/>
      <c r="Y2003" s="157"/>
      <c r="Z2003" s="155"/>
      <c r="AA2003" s="155"/>
      <c r="AB2003" s="157"/>
      <c r="AC2003" s="155"/>
      <c r="AD2003" s="155"/>
      <c r="AE2003" s="155"/>
      <c r="AF2003" s="258" t="str">
        <f t="shared" si="249"/>
        <v/>
      </c>
      <c r="AG2003" s="228"/>
      <c r="DG2003" s="555"/>
      <c r="DH2003" s="151"/>
      <c r="DI2003" s="1049"/>
      <c r="DJ2003" s="1127"/>
    </row>
    <row r="2004" spans="1:114" ht="15" hidden="1" customHeight="1" outlineLevel="1" x14ac:dyDescent="0.25">
      <c r="A2004" s="442"/>
      <c r="C2004" s="49"/>
      <c r="D2004" s="2177"/>
      <c r="E2004" s="2177"/>
      <c r="F2004" s="2176" t="str">
        <f t="shared" si="250"/>
        <v>ASHP-SEER17-Replace_CAC_ElectricHeat_ER1_MF</v>
      </c>
      <c r="G2004" s="2176"/>
      <c r="H2004" s="2176"/>
      <c r="I2004" s="2176"/>
      <c r="J2004" s="986" t="str">
        <f t="shared" si="251"/>
        <v>354150_2024_12_</v>
      </c>
      <c r="K2004" s="1588">
        <f>(S$912+L2004*T$912)-((S$921+L2004*T$921)*S$926)</f>
        <v>3396.7316315552043</v>
      </c>
      <c r="L2004" s="45">
        <f>VLOOKUP(J2004,$J$909:$L$998,3,FALSE)*M2004</f>
        <v>2.0150000000000001</v>
      </c>
      <c r="M2004" s="1581">
        <f>VLOOKUP(J2004,$J$1629:$K$1718,2,FALSE)</f>
        <v>0.65</v>
      </c>
      <c r="N2004" s="535"/>
      <c r="P2004" s="248"/>
      <c r="Q2004" s="248"/>
      <c r="R2004" s="248"/>
      <c r="T2004" s="169"/>
      <c r="U2004" s="50"/>
      <c r="V2004" s="2177"/>
      <c r="W2004" s="155">
        <v>3824.9615612563771</v>
      </c>
      <c r="X2004" s="157">
        <v>3108.027308410552</v>
      </c>
      <c r="Y2004" s="157">
        <v>1147.2545915436422</v>
      </c>
      <c r="Z2004" s="155">
        <v>1147.2545915436422</v>
      </c>
      <c r="AA2004" s="155">
        <v>1147.2545915436422</v>
      </c>
      <c r="AB2004" s="157">
        <v>1205.4598012161669</v>
      </c>
      <c r="AC2004" s="155">
        <v>1205.4598012161669</v>
      </c>
      <c r="AD2004" s="155">
        <v>1205.4598012161669</v>
      </c>
      <c r="AE2004" s="157">
        <v>1273.7224361368508</v>
      </c>
      <c r="AF2004" s="258">
        <f t="shared" si="249"/>
        <v>3396.7316315552043</v>
      </c>
      <c r="AG2004" s="228"/>
      <c r="DG2004" s="555"/>
      <c r="DH2004" s="151"/>
      <c r="DI2004" s="1049"/>
      <c r="DJ2004" s="1127"/>
    </row>
    <row r="2005" spans="1:114" ht="15" hidden="1" customHeight="1" outlineLevel="1" x14ac:dyDescent="0.25">
      <c r="A2005" s="442"/>
      <c r="C2005" s="49"/>
      <c r="D2005" s="2177"/>
      <c r="E2005" s="2177"/>
      <c r="F2005" s="2176" t="str">
        <f t="shared" si="250"/>
        <v>ASHP-SEER17-Replace_CAC_ElectricHeat_ER1_MF</v>
      </c>
      <c r="G2005" s="2176"/>
      <c r="H2005" s="2176"/>
      <c r="I2005" s="2176"/>
      <c r="J2005" s="986" t="str">
        <f t="shared" si="251"/>
        <v>354150_2024_12_</v>
      </c>
      <c r="K2005" s="155"/>
      <c r="L2005" s="45" t="str">
        <f>IF(K2005&gt;0,VLOOKUP(J2005,$J$909:$L$998,3,FALSE),"")</f>
        <v/>
      </c>
      <c r="M2005" s="1581" t="str">
        <f>IF(K2005&gt;0,VLOOKUP(J2005,$J$1629:$K$1718,2,FALSE),"")</f>
        <v/>
      </c>
      <c r="P2005" s="248"/>
      <c r="Q2005" s="248"/>
      <c r="R2005" s="248"/>
      <c r="T2005" s="169"/>
      <c r="U2005" s="50"/>
      <c r="V2005" s="2177"/>
      <c r="W2005" s="155"/>
      <c r="X2005" s="157"/>
      <c r="Y2005" s="157"/>
      <c r="Z2005" s="155"/>
      <c r="AA2005" s="155"/>
      <c r="AB2005" s="157"/>
      <c r="AC2005" s="155"/>
      <c r="AD2005" s="155"/>
      <c r="AE2005" s="155"/>
      <c r="AF2005" s="258" t="str">
        <f t="shared" si="249"/>
        <v/>
      </c>
      <c r="AG2005" s="228"/>
      <c r="DG2005" s="555"/>
      <c r="DH2005" s="151"/>
      <c r="DI2005" s="1049"/>
      <c r="DJ2005" s="1127"/>
    </row>
    <row r="2006" spans="1:114" ht="15" hidden="1" customHeight="1" outlineLevel="1" x14ac:dyDescent="0.25">
      <c r="A2006" s="442"/>
      <c r="C2006" s="49"/>
      <c r="D2006" s="2177"/>
      <c r="E2006" s="2177"/>
      <c r="F2006" s="2176" t="str">
        <f t="shared" si="250"/>
        <v>ASHP-SEER17-Replace_CAC_ElectricHeat_ER2_MF</v>
      </c>
      <c r="G2006" s="2176"/>
      <c r="H2006" s="2176"/>
      <c r="I2006" s="2176"/>
      <c r="J2006" s="986" t="str">
        <f t="shared" si="251"/>
        <v>354150_2024_12_</v>
      </c>
      <c r="K2006" s="155"/>
      <c r="L2006" s="45" t="str">
        <f>IF(K2006&gt;0,VLOOKUP(J2006,$J$909:$L$998,3,FALSE),"")</f>
        <v/>
      </c>
      <c r="M2006" s="1581" t="str">
        <f>IF(K2006&gt;0,VLOOKUP(J2006,$J$1629:$K$1718,2,FALSE),"")</f>
        <v/>
      </c>
      <c r="P2006" s="248"/>
      <c r="Q2006" s="248"/>
      <c r="R2006" s="248"/>
      <c r="T2006" s="169"/>
      <c r="U2006" s="50"/>
      <c r="V2006" s="2177"/>
      <c r="W2006" s="155"/>
      <c r="X2006" s="157"/>
      <c r="Y2006" s="157"/>
      <c r="Z2006" s="155"/>
      <c r="AA2006" s="155"/>
      <c r="AB2006" s="157"/>
      <c r="AC2006" s="155"/>
      <c r="AD2006" s="155"/>
      <c r="AE2006" s="155"/>
      <c r="AF2006" s="258" t="str">
        <f t="shared" si="249"/>
        <v/>
      </c>
      <c r="AG2006" s="228"/>
      <c r="DG2006" s="555"/>
      <c r="DH2006" s="151"/>
      <c r="DI2006" s="1049"/>
      <c r="DJ2006" s="1127"/>
    </row>
    <row r="2007" spans="1:114" ht="15" hidden="1" customHeight="1" outlineLevel="1" x14ac:dyDescent="0.25">
      <c r="A2007" s="442"/>
      <c r="C2007" s="49"/>
      <c r="D2007" s="2177"/>
      <c r="E2007" s="2177"/>
      <c r="F2007" s="2176" t="str">
        <f t="shared" si="250"/>
        <v>ASHP-SEER17-Replace_CAC_ElectricHeat_ER2_MF</v>
      </c>
      <c r="G2007" s="2176"/>
      <c r="H2007" s="2176"/>
      <c r="I2007" s="2176"/>
      <c r="J2007" s="986" t="str">
        <f t="shared" si="251"/>
        <v>354150_2024_12_</v>
      </c>
      <c r="K2007" s="155"/>
      <c r="L2007" s="45" t="str">
        <f>IF(K2007&gt;0,VLOOKUP(J2007,$J$909:$L$998,3,FALSE),"")</f>
        <v/>
      </c>
      <c r="M2007" s="1581" t="str">
        <f>IF(K2007&gt;0,VLOOKUP(J2007,$J$1629:$K$1718,2,FALSE),"")</f>
        <v/>
      </c>
      <c r="P2007" s="248"/>
      <c r="Q2007" s="248"/>
      <c r="R2007" s="248"/>
      <c r="T2007" s="169"/>
      <c r="U2007" s="50"/>
      <c r="V2007" s="2177"/>
      <c r="W2007" s="155"/>
      <c r="X2007" s="157"/>
      <c r="Y2007" s="157"/>
      <c r="Z2007" s="155"/>
      <c r="AA2007" s="155"/>
      <c r="AB2007" s="157"/>
      <c r="AC2007" s="155"/>
      <c r="AD2007" s="155"/>
      <c r="AE2007" s="155"/>
      <c r="AF2007" s="258" t="str">
        <f t="shared" si="249"/>
        <v/>
      </c>
      <c r="AG2007" s="228"/>
      <c r="DG2007" s="555"/>
      <c r="DH2007" s="151"/>
      <c r="DI2007" s="1049"/>
      <c r="DJ2007" s="1127"/>
    </row>
    <row r="2008" spans="1:114" ht="15" hidden="1" customHeight="1" outlineLevel="1" x14ac:dyDescent="0.25">
      <c r="A2008" s="442"/>
      <c r="C2008" s="49"/>
      <c r="D2008" s="2177"/>
      <c r="E2008" s="2177"/>
      <c r="F2008" s="2176" t="str">
        <f t="shared" si="250"/>
        <v>ASHP-SEER17_ER1_MF</v>
      </c>
      <c r="G2008" s="2176"/>
      <c r="H2008" s="2176"/>
      <c r="I2008" s="2176"/>
      <c r="J2008" s="986" t="str">
        <f t="shared" si="251"/>
        <v>354200_2024_12_</v>
      </c>
      <c r="K2008" s="1588">
        <f>(S$912+L2008*T$912)-(S$920+L2008*T$920)*S$926</f>
        <v>626.51836415648631</v>
      </c>
      <c r="L2008" s="45">
        <f>VLOOKUP(J2008,$J$909:$L$998,3,FALSE)*M2008</f>
        <v>2.145</v>
      </c>
      <c r="M2008" s="1581">
        <f>VLOOKUP(J2008,$J$1629:$K$1718,2,FALSE)</f>
        <v>0.65</v>
      </c>
      <c r="N2008" s="535"/>
      <c r="P2008" s="248"/>
      <c r="Q2008" s="248"/>
      <c r="R2008" s="248"/>
      <c r="T2008" s="169"/>
      <c r="U2008" s="50"/>
      <c r="V2008" s="2177"/>
      <c r="W2008" s="155">
        <v>6101.9914642916983</v>
      </c>
      <c r="X2008" s="157">
        <v>3308.5451992757485</v>
      </c>
      <c r="Y2008" s="157">
        <v>1183.8516619658126</v>
      </c>
      <c r="Z2008" s="155">
        <v>1183.8516619658126</v>
      </c>
      <c r="AA2008" s="155">
        <v>1183.8516619658126</v>
      </c>
      <c r="AB2008" s="157">
        <v>1236.5217238752739</v>
      </c>
      <c r="AC2008" s="155">
        <v>1236.5217238752739</v>
      </c>
      <c r="AD2008" s="155">
        <v>1236.5217238752739</v>
      </c>
      <c r="AE2008" s="157">
        <v>1309.1883997585833</v>
      </c>
      <c r="AF2008" s="258">
        <f t="shared" si="249"/>
        <v>626.51836415648631</v>
      </c>
      <c r="AG2008" s="228"/>
      <c r="DG2008" s="555"/>
      <c r="DH2008" s="151"/>
      <c r="DI2008" s="1049"/>
      <c r="DJ2008" s="1127"/>
    </row>
    <row r="2009" spans="1:114" ht="15" hidden="1" customHeight="1" outlineLevel="1" x14ac:dyDescent="0.25">
      <c r="A2009" s="442"/>
      <c r="C2009" s="49"/>
      <c r="D2009" s="2177"/>
      <c r="E2009" s="2177"/>
      <c r="F2009" s="2176" t="str">
        <f t="shared" si="250"/>
        <v>ASHP-SEER17_ER1_MF</v>
      </c>
      <c r="G2009" s="2176"/>
      <c r="H2009" s="2176"/>
      <c r="I2009" s="2176"/>
      <c r="J2009" s="986" t="str">
        <f t="shared" si="251"/>
        <v>354200_2024_12_</v>
      </c>
      <c r="K2009" s="155"/>
      <c r="L2009" s="45" t="str">
        <f>IF(K2009&gt;0,VLOOKUP(J2009,$J$909:$L$998,3,FALSE),"")</f>
        <v/>
      </c>
      <c r="M2009" s="1581" t="str">
        <f>IF(K2009&gt;0,VLOOKUP(J2009,$J$1629:$K$1718,2,FALSE),"")</f>
        <v/>
      </c>
      <c r="P2009" s="248"/>
      <c r="Q2009" s="248"/>
      <c r="R2009" s="248"/>
      <c r="T2009" s="169"/>
      <c r="U2009" s="50"/>
      <c r="V2009" s="2177"/>
      <c r="W2009" s="155"/>
      <c r="X2009" s="157"/>
      <c r="Y2009" s="157"/>
      <c r="Z2009" s="155"/>
      <c r="AA2009" s="155"/>
      <c r="AB2009" s="157"/>
      <c r="AC2009" s="155"/>
      <c r="AD2009" s="155"/>
      <c r="AE2009" s="155"/>
      <c r="AF2009" s="258" t="str">
        <f t="shared" si="249"/>
        <v/>
      </c>
      <c r="AG2009" s="228"/>
      <c r="DG2009" s="555"/>
      <c r="DH2009" s="151"/>
      <c r="DI2009" s="1049"/>
      <c r="DJ2009" s="1127"/>
    </row>
    <row r="2010" spans="1:114" ht="15" hidden="1" customHeight="1" outlineLevel="1" x14ac:dyDescent="0.25">
      <c r="A2010" s="442"/>
      <c r="C2010" s="49"/>
      <c r="D2010" s="2177"/>
      <c r="E2010" s="2177"/>
      <c r="F2010" s="2176" t="str">
        <f t="shared" si="250"/>
        <v>ASHP-SEER17_ER2_MF</v>
      </c>
      <c r="G2010" s="2176"/>
      <c r="H2010" s="2176"/>
      <c r="I2010" s="2176"/>
      <c r="J2010" s="986" t="str">
        <f t="shared" si="251"/>
        <v>354200_2024_12_</v>
      </c>
      <c r="K2010" s="155"/>
      <c r="L2010" s="45" t="str">
        <f>IF(K2010&gt;0,VLOOKUP(J2010,$J$909:$L$998,3,FALSE),"")</f>
        <v/>
      </c>
      <c r="M2010" s="1581" t="str">
        <f>IF(K2010&gt;0,VLOOKUP(J2010,$J$1629:$K$1718,2,FALSE),"")</f>
        <v/>
      </c>
      <c r="P2010" s="248"/>
      <c r="Q2010" s="248"/>
      <c r="R2010" s="248"/>
      <c r="T2010" s="169"/>
      <c r="U2010" s="50"/>
      <c r="V2010" s="2177"/>
      <c r="W2010" s="155"/>
      <c r="X2010" s="157"/>
      <c r="Y2010" s="157"/>
      <c r="Z2010" s="155"/>
      <c r="AA2010" s="155"/>
      <c r="AB2010" s="157"/>
      <c r="AC2010" s="155"/>
      <c r="AD2010" s="155"/>
      <c r="AE2010" s="155"/>
      <c r="AF2010" s="258" t="str">
        <f t="shared" ref="AF2010:AF2041" si="252">IF(K2010&lt;&gt;"",K2010,"")</f>
        <v/>
      </c>
      <c r="AG2010" s="228"/>
      <c r="DG2010" s="555"/>
      <c r="DH2010" s="151"/>
      <c r="DI2010" s="1049"/>
      <c r="DJ2010" s="1127"/>
    </row>
    <row r="2011" spans="1:114" ht="15" hidden="1" customHeight="1" outlineLevel="1" x14ac:dyDescent="0.25">
      <c r="A2011" s="442"/>
      <c r="C2011" s="49"/>
      <c r="D2011" s="2177"/>
      <c r="E2011" s="2177"/>
      <c r="F2011" s="2176" t="str">
        <f t="shared" si="250"/>
        <v>ASHP-SEER17_ER2_MF</v>
      </c>
      <c r="G2011" s="2176"/>
      <c r="H2011" s="2176"/>
      <c r="I2011" s="2176"/>
      <c r="J2011" s="986" t="str">
        <f t="shared" si="251"/>
        <v>354200_2024_12_</v>
      </c>
      <c r="K2011" s="155"/>
      <c r="L2011" s="45" t="str">
        <f>IF(K2011&gt;0,VLOOKUP(J2011,$J$909:$L$998,3,FALSE),"")</f>
        <v/>
      </c>
      <c r="M2011" s="1581" t="str">
        <f>IF(K2011&gt;0,VLOOKUP(J2011,$J$1629:$K$1718,2,FALSE),"")</f>
        <v/>
      </c>
      <c r="P2011" s="248"/>
      <c r="Q2011" s="248"/>
      <c r="R2011" s="248"/>
      <c r="T2011" s="169"/>
      <c r="U2011" s="50"/>
      <c r="V2011" s="2177"/>
      <c r="W2011" s="155"/>
      <c r="X2011" s="157"/>
      <c r="Y2011" s="157"/>
      <c r="Z2011" s="155"/>
      <c r="AA2011" s="155"/>
      <c r="AB2011" s="157"/>
      <c r="AC2011" s="155"/>
      <c r="AD2011" s="155"/>
      <c r="AE2011" s="155"/>
      <c r="AF2011" s="258" t="str">
        <f t="shared" si="252"/>
        <v/>
      </c>
      <c r="AG2011" s="228"/>
      <c r="DG2011" s="555"/>
      <c r="DH2011" s="151"/>
      <c r="DI2011" s="1049"/>
      <c r="DJ2011" s="1127"/>
    </row>
    <row r="2012" spans="1:114" ht="15" hidden="1" customHeight="1" outlineLevel="1" x14ac:dyDescent="0.25">
      <c r="A2012" s="442"/>
      <c r="C2012" s="49"/>
      <c r="D2012" s="2177"/>
      <c r="E2012" s="2177"/>
      <c r="F2012" s="2176" t="str">
        <f t="shared" si="250"/>
        <v>ASHP-SEER18-Replace_CAC_ElectricHeat_ER1_SF</v>
      </c>
      <c r="G2012" s="2176"/>
      <c r="H2012" s="2176"/>
      <c r="I2012" s="2176"/>
      <c r="J2012" s="986" t="str">
        <f t="shared" si="251"/>
        <v>354250_2024_12_</v>
      </c>
      <c r="K2012" s="1588">
        <f>(S$913+L2012*T$913)-((S$921+L2012*T$921)*S$926)</f>
        <v>4148.0070349116859</v>
      </c>
      <c r="L2012" s="45">
        <f>VLOOKUP(J2012,$J$909:$L$998,3,FALSE)*M2012</f>
        <v>2.8921256722608026</v>
      </c>
      <c r="M2012" s="1581">
        <f>VLOOKUP(J2012,$J$1629:$K$1718,2,FALSE)</f>
        <v>1</v>
      </c>
      <c r="N2012" s="535"/>
      <c r="P2012" s="248"/>
      <c r="Q2012" s="248"/>
      <c r="R2012" s="248"/>
      <c r="T2012" s="169"/>
      <c r="U2012" s="50"/>
      <c r="V2012" s="2177"/>
      <c r="W2012" s="155">
        <v>4279.6282279230445</v>
      </c>
      <c r="X2012" s="157">
        <v>5522.2324744777725</v>
      </c>
      <c r="Y2012" s="157">
        <v>1586.0327049389366</v>
      </c>
      <c r="Z2012" s="155">
        <v>1586.0327049389366</v>
      </c>
      <c r="AA2012" s="155">
        <v>1586.0327049389366</v>
      </c>
      <c r="AB2012" s="157">
        <v>1778.604441180808</v>
      </c>
      <c r="AC2012" s="157">
        <v>1714.015989382433</v>
      </c>
      <c r="AD2012" s="157">
        <v>1681.5237652002679</v>
      </c>
      <c r="AE2012" s="157">
        <v>1751.9355683221515</v>
      </c>
      <c r="AF2012" s="258">
        <f t="shared" si="252"/>
        <v>4148.0070349116859</v>
      </c>
      <c r="AG2012" s="228"/>
      <c r="DG2012" s="555"/>
      <c r="DH2012" s="151"/>
      <c r="DI2012" s="1049"/>
      <c r="DJ2012" s="1127"/>
    </row>
    <row r="2013" spans="1:114" ht="15" hidden="1" customHeight="1" outlineLevel="1" x14ac:dyDescent="0.25">
      <c r="A2013" s="442"/>
      <c r="C2013" s="49"/>
      <c r="D2013" s="2177"/>
      <c r="E2013" s="2177"/>
      <c r="F2013" s="2176" t="str">
        <f t="shared" si="250"/>
        <v>ASHP-SEER18-Replace_CAC_ElectricHeat_ER1_SF</v>
      </c>
      <c r="G2013" s="2176"/>
      <c r="H2013" s="2176"/>
      <c r="I2013" s="2176"/>
      <c r="J2013" s="986" t="str">
        <f t="shared" si="251"/>
        <v>354250_2024_12_</v>
      </c>
      <c r="K2013" s="155"/>
      <c r="L2013" s="45" t="str">
        <f>IF(K2013&gt;0,VLOOKUP(J2013,$J$909:$L$998,3,FALSE),"")</f>
        <v/>
      </c>
      <c r="M2013" s="1581" t="str">
        <f>IF(K2013&gt;0,VLOOKUP(J2013,$J$1629:$K$1718,2,FALSE),"")</f>
        <v/>
      </c>
      <c r="P2013" s="248"/>
      <c r="Q2013" s="248"/>
      <c r="R2013" s="248"/>
      <c r="T2013" s="169"/>
      <c r="U2013" s="50"/>
      <c r="V2013" s="2177"/>
      <c r="W2013" s="155"/>
      <c r="X2013" s="157"/>
      <c r="Y2013" s="157"/>
      <c r="Z2013" s="155"/>
      <c r="AA2013" s="155"/>
      <c r="AB2013" s="157"/>
      <c r="AC2013" s="155"/>
      <c r="AD2013" s="155"/>
      <c r="AE2013" s="155"/>
      <c r="AF2013" s="258" t="str">
        <f t="shared" si="252"/>
        <v/>
      </c>
      <c r="AG2013" s="228"/>
      <c r="DG2013" s="555"/>
      <c r="DH2013" s="151"/>
      <c r="DI2013" s="1049"/>
      <c r="DJ2013" s="1127"/>
    </row>
    <row r="2014" spans="1:114" ht="15" hidden="1" customHeight="1" outlineLevel="1" x14ac:dyDescent="0.25">
      <c r="A2014" s="442"/>
      <c r="C2014" s="49"/>
      <c r="D2014" s="2177"/>
      <c r="E2014" s="2177"/>
      <c r="F2014" s="2176" t="str">
        <f t="shared" si="250"/>
        <v>ASHP-SEER18-Replace_CAC_ElectricHeat_ER2_SF</v>
      </c>
      <c r="G2014" s="2176"/>
      <c r="H2014" s="2176"/>
      <c r="I2014" s="2176"/>
      <c r="J2014" s="986" t="str">
        <f t="shared" si="251"/>
        <v>354250_2024_12_</v>
      </c>
      <c r="K2014" s="155"/>
      <c r="L2014" s="45" t="str">
        <f>IF(K2014&gt;0,VLOOKUP(J2014,$J$909:$L$998,3,FALSE),"")</f>
        <v/>
      </c>
      <c r="M2014" s="1581" t="str">
        <f>IF(K2014&gt;0,VLOOKUP(J2014,$J$1629:$K$1718,2,FALSE),"")</f>
        <v/>
      </c>
      <c r="P2014" s="248"/>
      <c r="Q2014" s="248"/>
      <c r="R2014" s="248"/>
      <c r="T2014" s="169"/>
      <c r="U2014" s="50"/>
      <c r="V2014" s="2177"/>
      <c r="W2014" s="155"/>
      <c r="X2014" s="157"/>
      <c r="Y2014" s="157"/>
      <c r="Z2014" s="155"/>
      <c r="AA2014" s="155"/>
      <c r="AB2014" s="157"/>
      <c r="AC2014" s="155"/>
      <c r="AD2014" s="155"/>
      <c r="AE2014" s="155"/>
      <c r="AF2014" s="258" t="str">
        <f t="shared" si="252"/>
        <v/>
      </c>
      <c r="AG2014" s="228"/>
      <c r="DG2014" s="555"/>
      <c r="DH2014" s="151"/>
      <c r="DI2014" s="1049"/>
      <c r="DJ2014" s="1127"/>
    </row>
    <row r="2015" spans="1:114" ht="15" hidden="1" customHeight="1" outlineLevel="1" x14ac:dyDescent="0.25">
      <c r="A2015" s="442"/>
      <c r="C2015" s="49"/>
      <c r="D2015" s="2177"/>
      <c r="E2015" s="2177"/>
      <c r="F2015" s="2176" t="str">
        <f t="shared" si="250"/>
        <v>ASHP-SEER18-Replace_CAC_ElectricHeat_ER2_SF</v>
      </c>
      <c r="G2015" s="2176"/>
      <c r="H2015" s="2176"/>
      <c r="I2015" s="2176"/>
      <c r="J2015" s="986" t="str">
        <f t="shared" si="251"/>
        <v>354250_2024_12_</v>
      </c>
      <c r="K2015" s="155"/>
      <c r="L2015" s="45" t="str">
        <f>IF(K2015&gt;0,VLOOKUP(J2015,$J$909:$L$998,3,FALSE),"")</f>
        <v/>
      </c>
      <c r="M2015" s="1581" t="str">
        <f>IF(K2015&gt;0,VLOOKUP(J2015,$J$1629:$K$1718,2,FALSE),"")</f>
        <v/>
      </c>
      <c r="P2015" s="248"/>
      <c r="Q2015" s="248"/>
      <c r="R2015" s="248"/>
      <c r="T2015" s="169"/>
      <c r="U2015" s="50"/>
      <c r="V2015" s="2177"/>
      <c r="W2015" s="155"/>
      <c r="X2015" s="157"/>
      <c r="Y2015" s="157"/>
      <c r="Z2015" s="155"/>
      <c r="AA2015" s="155"/>
      <c r="AB2015" s="157"/>
      <c r="AC2015" s="155"/>
      <c r="AD2015" s="155"/>
      <c r="AE2015" s="155"/>
      <c r="AF2015" s="258" t="str">
        <f t="shared" si="252"/>
        <v/>
      </c>
      <c r="AG2015" s="228"/>
      <c r="DG2015" s="555"/>
      <c r="DH2015" s="151"/>
      <c r="DI2015" s="1049"/>
      <c r="DJ2015" s="1127"/>
    </row>
    <row r="2016" spans="1:114" ht="15" hidden="1" customHeight="1" outlineLevel="1" x14ac:dyDescent="0.25">
      <c r="A2016" s="442"/>
      <c r="C2016" s="49"/>
      <c r="D2016" s="2177"/>
      <c r="E2016" s="2177"/>
      <c r="F2016" s="2176" t="str">
        <f t="shared" si="250"/>
        <v>ASHP-SEER18-Replace_CAC_NonElectricHeat_ER1_SF</v>
      </c>
      <c r="G2016" s="2176"/>
      <c r="H2016" s="2176"/>
      <c r="I2016" s="2176"/>
      <c r="J2016" s="986" t="str">
        <f t="shared" si="251"/>
        <v>354260_2024_12_</v>
      </c>
      <c r="K2016" s="1588">
        <f>((S$913+L2016*T$913)-((S$921+L2016*T$921)*S$926))*VLOOKUP(J2016,$J$2082:$K$2095,2,FALSE)</f>
        <v>578.71908821532099</v>
      </c>
      <c r="L2016" s="45">
        <f>VLOOKUP(J2016,$J$909:$L$998,3,FALSE)*M2016</f>
        <v>2.8921256722608026</v>
      </c>
      <c r="M2016" s="1581">
        <f>VLOOKUP(J2016,$J$1629:$K$1718,2,FALSE)</f>
        <v>1</v>
      </c>
      <c r="N2016" s="535"/>
      <c r="P2016" s="248"/>
      <c r="Q2016" s="248"/>
      <c r="R2016" s="248"/>
      <c r="T2016" s="169"/>
      <c r="U2016" s="50"/>
      <c r="V2016" s="2177"/>
      <c r="W2016" s="155"/>
      <c r="X2016" s="157"/>
      <c r="Y2016" s="157"/>
      <c r="Z2016" s="155"/>
      <c r="AA2016" s="155"/>
      <c r="AB2016" s="157"/>
      <c r="AC2016" s="157">
        <v>1714.015989382433</v>
      </c>
      <c r="AD2016" s="157">
        <v>1681.5237652002679</v>
      </c>
      <c r="AE2016" s="157">
        <v>1751.9355683221515</v>
      </c>
      <c r="AF2016" s="258">
        <f t="shared" si="252"/>
        <v>578.71908821532099</v>
      </c>
      <c r="AG2016" s="228"/>
      <c r="DG2016" s="555"/>
      <c r="DH2016" s="151"/>
      <c r="DI2016" s="1049"/>
      <c r="DJ2016" s="1127"/>
    </row>
    <row r="2017" spans="1:114" ht="15" hidden="1" customHeight="1" outlineLevel="1" x14ac:dyDescent="0.25">
      <c r="A2017" s="442"/>
      <c r="C2017" s="49"/>
      <c r="D2017" s="2177"/>
      <c r="E2017" s="2177"/>
      <c r="F2017" s="2176" t="str">
        <f t="shared" si="250"/>
        <v>ASHP-SEER18-Replace_CAC_NonElectricHeat_ER1_SF</v>
      </c>
      <c r="G2017" s="2176"/>
      <c r="H2017" s="2176"/>
      <c r="I2017" s="2176"/>
      <c r="J2017" s="986" t="str">
        <f t="shared" si="251"/>
        <v>354260_2024_12_</v>
      </c>
      <c r="K2017" s="155"/>
      <c r="L2017" s="45"/>
      <c r="M2017" s="1581"/>
      <c r="P2017" s="248"/>
      <c r="Q2017" s="248"/>
      <c r="R2017" s="248"/>
      <c r="T2017" s="169"/>
      <c r="U2017" s="50"/>
      <c r="V2017" s="2177"/>
      <c r="W2017" s="155"/>
      <c r="X2017" s="157"/>
      <c r="Y2017" s="157"/>
      <c r="Z2017" s="155"/>
      <c r="AA2017" s="155"/>
      <c r="AB2017" s="157"/>
      <c r="AC2017" s="155"/>
      <c r="AD2017" s="155"/>
      <c r="AE2017" s="155"/>
      <c r="AF2017" s="258" t="str">
        <f t="shared" si="252"/>
        <v/>
      </c>
      <c r="AG2017" s="228"/>
      <c r="DG2017" s="555"/>
      <c r="DH2017" s="151"/>
      <c r="DI2017" s="1049"/>
      <c r="DJ2017" s="1127"/>
    </row>
    <row r="2018" spans="1:114" ht="15" hidden="1" customHeight="1" outlineLevel="1" x14ac:dyDescent="0.25">
      <c r="A2018" s="442"/>
      <c r="C2018" s="49"/>
      <c r="D2018" s="2177"/>
      <c r="E2018" s="2177"/>
      <c r="F2018" s="2176" t="str">
        <f t="shared" si="250"/>
        <v>ASHP-SEER18-Replace_CAC_NonElectricHeat_ER2_SF</v>
      </c>
      <c r="G2018" s="2176"/>
      <c r="H2018" s="2176"/>
      <c r="I2018" s="2176"/>
      <c r="J2018" s="986" t="str">
        <f t="shared" si="251"/>
        <v>354260_2024_12_</v>
      </c>
      <c r="K2018" s="155"/>
      <c r="L2018" s="45"/>
      <c r="M2018" s="1581"/>
      <c r="P2018" s="248"/>
      <c r="Q2018" s="248"/>
      <c r="R2018" s="248"/>
      <c r="T2018" s="169"/>
      <c r="U2018" s="50"/>
      <c r="V2018" s="2177"/>
      <c r="W2018" s="155"/>
      <c r="X2018" s="157"/>
      <c r="Y2018" s="157"/>
      <c r="Z2018" s="155"/>
      <c r="AA2018" s="155"/>
      <c r="AB2018" s="157"/>
      <c r="AC2018" s="155"/>
      <c r="AD2018" s="155"/>
      <c r="AE2018" s="155"/>
      <c r="AF2018" s="258" t="str">
        <f t="shared" si="252"/>
        <v/>
      </c>
      <c r="AG2018" s="228"/>
      <c r="DG2018" s="555"/>
      <c r="DH2018" s="151"/>
      <c r="DI2018" s="1049"/>
      <c r="DJ2018" s="1127"/>
    </row>
    <row r="2019" spans="1:114" ht="15" hidden="1" customHeight="1" outlineLevel="1" x14ac:dyDescent="0.25">
      <c r="A2019" s="442"/>
      <c r="C2019" s="49"/>
      <c r="D2019" s="2177"/>
      <c r="E2019" s="2177"/>
      <c r="F2019" s="2176" t="str">
        <f t="shared" si="250"/>
        <v>ASHP-SEER18-Replace_CAC_NonElectricHeat_ER2_SF</v>
      </c>
      <c r="G2019" s="2176"/>
      <c r="H2019" s="2176"/>
      <c r="I2019" s="2176"/>
      <c r="J2019" s="986" t="str">
        <f t="shared" si="251"/>
        <v>354260_2024_12_</v>
      </c>
      <c r="K2019" s="155"/>
      <c r="L2019" s="45"/>
      <c r="M2019" s="1581"/>
      <c r="P2019" s="248"/>
      <c r="Q2019" s="248"/>
      <c r="R2019" s="248"/>
      <c r="T2019" s="169"/>
      <c r="U2019" s="50"/>
      <c r="V2019" s="2177"/>
      <c r="W2019" s="155"/>
      <c r="X2019" s="157"/>
      <c r="Y2019" s="157"/>
      <c r="Z2019" s="155"/>
      <c r="AA2019" s="155"/>
      <c r="AB2019" s="157"/>
      <c r="AC2019" s="155"/>
      <c r="AD2019" s="155"/>
      <c r="AE2019" s="155"/>
      <c r="AF2019" s="258" t="str">
        <f t="shared" si="252"/>
        <v/>
      </c>
      <c r="AG2019" s="228"/>
      <c r="DG2019" s="555"/>
      <c r="DH2019" s="151"/>
      <c r="DI2019" s="1049"/>
      <c r="DJ2019" s="1127"/>
    </row>
    <row r="2020" spans="1:114" ht="15" hidden="1" customHeight="1" outlineLevel="1" x14ac:dyDescent="0.25">
      <c r="A2020" s="442"/>
      <c r="C2020" s="49"/>
      <c r="D2020" s="2177"/>
      <c r="E2020" s="2177"/>
      <c r="F2020" s="2176" t="str">
        <f t="shared" si="250"/>
        <v>ASHP-SEER18-Replace_CAC_ElectricHeat_ER1_MF</v>
      </c>
      <c r="G2020" s="2176"/>
      <c r="H2020" s="2176"/>
      <c r="I2020" s="2176"/>
      <c r="J2020" s="986" t="str">
        <f t="shared" si="251"/>
        <v>354300_2024_12_</v>
      </c>
      <c r="K2020" s="1588">
        <f>(S$913+L2020*T$913)-((S$921+L2020*T$921)*S$926)</f>
        <v>3312.7316315552043</v>
      </c>
      <c r="L2020" s="45">
        <f>VLOOKUP(J2020,$J$909:$L$998,3,FALSE)*M2020</f>
        <v>1.5</v>
      </c>
      <c r="M2020" s="1581">
        <f>VLOOKUP(J2020,$J$1629:$K$1718,2,FALSE)</f>
        <v>1</v>
      </c>
      <c r="N2020" s="535"/>
      <c r="P2020" s="248"/>
      <c r="Q2020" s="248"/>
      <c r="R2020" s="248"/>
      <c r="T2020" s="169"/>
      <c r="U2020" s="50"/>
      <c r="V2020" s="2177"/>
      <c r="W2020" s="155">
        <v>4279.6282279230445</v>
      </c>
      <c r="X2020" s="157">
        <v>3589.451108410552</v>
      </c>
      <c r="Y2020" s="157">
        <v>1280.5879248769756</v>
      </c>
      <c r="Z2020" s="155">
        <v>1280.5879248769756</v>
      </c>
      <c r="AA2020" s="155">
        <v>1280.5879248769756</v>
      </c>
      <c r="AB2020" s="157">
        <v>1584.1584531821509</v>
      </c>
      <c r="AC2020" s="157">
        <v>1195.8844199433067</v>
      </c>
      <c r="AD2020" s="155">
        <v>1195.8844199433067</v>
      </c>
      <c r="AE2020" s="157">
        <v>1372.1426571738343</v>
      </c>
      <c r="AF2020" s="258">
        <f t="shared" si="252"/>
        <v>3312.7316315552043</v>
      </c>
      <c r="AG2020" s="228"/>
      <c r="DG2020" s="555"/>
      <c r="DH2020" s="151"/>
      <c r="DI2020" s="1049"/>
      <c r="DJ2020" s="1127"/>
    </row>
    <row r="2021" spans="1:114" ht="15" hidden="1" customHeight="1" outlineLevel="1" x14ac:dyDescent="0.25">
      <c r="A2021" s="442"/>
      <c r="C2021" s="49"/>
      <c r="D2021" s="2177"/>
      <c r="E2021" s="2177"/>
      <c r="F2021" s="2176" t="str">
        <f t="shared" si="250"/>
        <v>ASHP-SEER18-Replace_CAC_ElectricHeat_ER1_MF</v>
      </c>
      <c r="G2021" s="2176"/>
      <c r="H2021" s="2176"/>
      <c r="I2021" s="2176"/>
      <c r="J2021" s="986" t="str">
        <f t="shared" si="251"/>
        <v>354300_2024_12_</v>
      </c>
      <c r="K2021" s="155"/>
      <c r="L2021" s="45" t="str">
        <f>IF(K2021&gt;0,VLOOKUP(J2021,$J$909:$L$998,3,FALSE),"")</f>
        <v/>
      </c>
      <c r="M2021" s="1581" t="str">
        <f>IF(K2021&gt;0,VLOOKUP(J2021,$J$1629:$K$1718,2,FALSE),"")</f>
        <v/>
      </c>
      <c r="P2021" s="248"/>
      <c r="Q2021" s="248"/>
      <c r="R2021" s="248"/>
      <c r="T2021" s="169"/>
      <c r="U2021" s="50"/>
      <c r="V2021" s="2177"/>
      <c r="W2021" s="155"/>
      <c r="X2021" s="157"/>
      <c r="Y2021" s="157"/>
      <c r="Z2021" s="155"/>
      <c r="AA2021" s="155"/>
      <c r="AB2021" s="157"/>
      <c r="AC2021" s="155"/>
      <c r="AD2021" s="155"/>
      <c r="AE2021" s="155"/>
      <c r="AF2021" s="258" t="str">
        <f t="shared" si="252"/>
        <v/>
      </c>
      <c r="AG2021" s="228"/>
      <c r="DG2021" s="555"/>
      <c r="DH2021" s="151"/>
      <c r="DI2021" s="1049"/>
      <c r="DJ2021" s="1127"/>
    </row>
    <row r="2022" spans="1:114" ht="15" hidden="1" customHeight="1" outlineLevel="1" x14ac:dyDescent="0.25">
      <c r="A2022" s="442"/>
      <c r="C2022" s="49"/>
      <c r="D2022" s="2177"/>
      <c r="E2022" s="2177"/>
      <c r="F2022" s="2176" t="str">
        <f t="shared" si="250"/>
        <v>ASHP-SEER18-Replace_CAC_ElectricHeat_ER2_MF</v>
      </c>
      <c r="G2022" s="2176"/>
      <c r="H2022" s="2176"/>
      <c r="I2022" s="2176"/>
      <c r="J2022" s="986" t="str">
        <f t="shared" si="251"/>
        <v>354300_2024_12_</v>
      </c>
      <c r="K2022" s="155"/>
      <c r="L2022" s="45" t="str">
        <f>IF(K2022&gt;0,VLOOKUP(J2022,$J$909:$L$998,3,FALSE),"")</f>
        <v/>
      </c>
      <c r="M2022" s="1581" t="str">
        <f>IF(K2022&gt;0,VLOOKUP(J2022,$J$1629:$K$1718,2,FALSE),"")</f>
        <v/>
      </c>
      <c r="P2022" s="248"/>
      <c r="Q2022" s="248"/>
      <c r="R2022" s="248"/>
      <c r="T2022" s="169"/>
      <c r="U2022" s="50"/>
      <c r="V2022" s="2177"/>
      <c r="W2022" s="155"/>
      <c r="X2022" s="157"/>
      <c r="Y2022" s="157"/>
      <c r="Z2022" s="155"/>
      <c r="AA2022" s="155"/>
      <c r="AB2022" s="157"/>
      <c r="AC2022" s="155"/>
      <c r="AD2022" s="155"/>
      <c r="AE2022" s="155"/>
      <c r="AF2022" s="258" t="str">
        <f t="shared" si="252"/>
        <v/>
      </c>
      <c r="AG2022" s="228"/>
      <c r="DG2022" s="555"/>
      <c r="DH2022" s="151"/>
      <c r="DI2022" s="1049"/>
      <c r="DJ2022" s="1127"/>
    </row>
    <row r="2023" spans="1:114" ht="15" hidden="1" customHeight="1" outlineLevel="1" x14ac:dyDescent="0.25">
      <c r="A2023" s="442"/>
      <c r="C2023" s="49"/>
      <c r="D2023" s="2177"/>
      <c r="E2023" s="2177"/>
      <c r="F2023" s="2176" t="str">
        <f t="shared" si="250"/>
        <v>ASHP-SEER18-Replace_CAC_ElectricHeat_ER2_MF</v>
      </c>
      <c r="G2023" s="2176"/>
      <c r="H2023" s="2176"/>
      <c r="I2023" s="2176"/>
      <c r="J2023" s="986" t="str">
        <f t="shared" si="251"/>
        <v>354300_2024_12_</v>
      </c>
      <c r="K2023" s="155"/>
      <c r="L2023" s="45" t="str">
        <f>IF(K2023&gt;0,VLOOKUP(J2023,$J$909:$L$998,3,FALSE),"")</f>
        <v/>
      </c>
      <c r="M2023" s="1581" t="str">
        <f>IF(K2023&gt;0,VLOOKUP(J2023,$J$1629:$K$1718,2,FALSE),"")</f>
        <v/>
      </c>
      <c r="P2023" s="248"/>
      <c r="Q2023" s="196"/>
      <c r="R2023" s="248"/>
      <c r="T2023" s="169"/>
      <c r="U2023" s="50"/>
      <c r="V2023" s="2177"/>
      <c r="W2023" s="155"/>
      <c r="X2023" s="157"/>
      <c r="Y2023" s="157"/>
      <c r="Z2023" s="155"/>
      <c r="AA2023" s="155"/>
      <c r="AB2023" s="157"/>
      <c r="AC2023" s="155"/>
      <c r="AD2023" s="155"/>
      <c r="AE2023" s="155"/>
      <c r="AF2023" s="258" t="str">
        <f t="shared" si="252"/>
        <v/>
      </c>
      <c r="AG2023" s="228"/>
      <c r="DG2023" s="555"/>
      <c r="DH2023" s="151"/>
      <c r="DI2023" s="1049"/>
      <c r="DJ2023" s="1127"/>
    </row>
    <row r="2024" spans="1:114" ht="15" hidden="1" customHeight="1" outlineLevel="1" x14ac:dyDescent="0.25">
      <c r="A2024" s="442"/>
      <c r="C2024" s="49"/>
      <c r="D2024" s="2177"/>
      <c r="E2024" s="2177"/>
      <c r="F2024" s="2176" t="str">
        <f t="shared" si="250"/>
        <v>ASHP-SEER18_ER1_MF</v>
      </c>
      <c r="G2024" s="2176"/>
      <c r="H2024" s="2176"/>
      <c r="I2024" s="2176"/>
      <c r="J2024" s="986" t="str">
        <f t="shared" si="251"/>
        <v>354350_2024_12_</v>
      </c>
      <c r="K2024" s="1588">
        <f>(S$913+L2024*T$913)-(S$920+L2024*T$920)*S$926</f>
        <v>851.66719041900797</v>
      </c>
      <c r="L2024" s="45">
        <f>VLOOKUP(J2024,$J$909:$L$998,3,FALSE)*M2024</f>
        <v>2.5</v>
      </c>
      <c r="M2024" s="1581">
        <f>VLOOKUP(J2024,$J$1629:$K$1718,2,FALSE)</f>
        <v>1</v>
      </c>
      <c r="N2024" s="535"/>
      <c r="P2024" s="248"/>
      <c r="Q2024" s="196"/>
      <c r="R2024" s="248"/>
      <c r="T2024" s="169"/>
      <c r="U2024" s="50"/>
      <c r="V2024" s="2177"/>
      <c r="W2024" s="155">
        <v>6827.3247976250323</v>
      </c>
      <c r="X2024" s="157">
        <f>(X$971/12000)*$T$916*X$1691</f>
        <v>0</v>
      </c>
      <c r="Y2024" s="157">
        <v>1317.1849952991461</v>
      </c>
      <c r="Z2024" s="155">
        <v>1317.1849952991461</v>
      </c>
      <c r="AA2024" s="155">
        <v>1317.1849952991461</v>
      </c>
      <c r="AB2024" s="157">
        <v>1475.441723875274</v>
      </c>
      <c r="AC2024" s="157">
        <v>1739.4680664776884</v>
      </c>
      <c r="AD2024" s="155">
        <v>1739.4680664776884</v>
      </c>
      <c r="AE2024" s="157">
        <v>1644.9577619563906</v>
      </c>
      <c r="AF2024" s="258">
        <f t="shared" si="252"/>
        <v>851.66719041900797</v>
      </c>
      <c r="AG2024" s="228"/>
      <c r="DG2024" s="555"/>
      <c r="DH2024" s="151"/>
      <c r="DI2024" s="1049"/>
      <c r="DJ2024" s="1127"/>
    </row>
    <row r="2025" spans="1:114" ht="15" hidden="1" customHeight="1" outlineLevel="1" x14ac:dyDescent="0.25">
      <c r="A2025" s="442"/>
      <c r="C2025" s="49"/>
      <c r="D2025" s="2177"/>
      <c r="E2025" s="2177"/>
      <c r="F2025" s="2176" t="str">
        <f t="shared" si="250"/>
        <v>ASHP-SEER18_ER1_MF</v>
      </c>
      <c r="G2025" s="2176"/>
      <c r="H2025" s="2176"/>
      <c r="I2025" s="2176"/>
      <c r="J2025" s="986" t="str">
        <f t="shared" si="251"/>
        <v>354350_2024_12_</v>
      </c>
      <c r="K2025" s="155"/>
      <c r="L2025" s="45" t="str">
        <f>IF(K2025&gt;0,VLOOKUP(J2025,$J$909:$L$998,3,FALSE),"")</f>
        <v/>
      </c>
      <c r="M2025" s="1581" t="str">
        <f>IF(K2025&gt;0,VLOOKUP(J2025,$J$1629:$K$1718,2,FALSE),"")</f>
        <v/>
      </c>
      <c r="P2025" s="248"/>
      <c r="Q2025" s="196"/>
      <c r="R2025" s="248"/>
      <c r="T2025" s="169"/>
      <c r="U2025" s="50"/>
      <c r="V2025" s="2177"/>
      <c r="W2025" s="155"/>
      <c r="X2025" s="157"/>
      <c r="Y2025" s="157"/>
      <c r="Z2025" s="155"/>
      <c r="AA2025" s="155"/>
      <c r="AB2025" s="157"/>
      <c r="AC2025" s="155"/>
      <c r="AD2025" s="155"/>
      <c r="AE2025" s="155"/>
      <c r="AF2025" s="258" t="str">
        <f t="shared" si="252"/>
        <v/>
      </c>
      <c r="AG2025" s="228"/>
      <c r="DG2025" s="555"/>
      <c r="DH2025" s="151"/>
      <c r="DI2025" s="1049"/>
      <c r="DJ2025" s="1127"/>
    </row>
    <row r="2026" spans="1:114" ht="15" hidden="1" customHeight="1" outlineLevel="1" x14ac:dyDescent="0.25">
      <c r="A2026" s="442"/>
      <c r="C2026" s="49"/>
      <c r="D2026" s="2177"/>
      <c r="E2026" s="2177"/>
      <c r="F2026" s="2176" t="str">
        <f t="shared" si="250"/>
        <v>ASHP-SEER18_ER2_MF</v>
      </c>
      <c r="G2026" s="2176"/>
      <c r="H2026" s="2176"/>
      <c r="I2026" s="2176"/>
      <c r="J2026" s="986" t="str">
        <f t="shared" si="251"/>
        <v>354350_2024_12_</v>
      </c>
      <c r="K2026" s="155"/>
      <c r="L2026" s="45" t="str">
        <f>IF(K2026&gt;0,VLOOKUP(J2026,$J$909:$L$998,3,FALSE),"")</f>
        <v/>
      </c>
      <c r="M2026" s="1581" t="str">
        <f>IF(K2026&gt;0,VLOOKUP(J2026,$J$1629:$K$1718,2,FALSE),"")</f>
        <v/>
      </c>
      <c r="P2026" s="248"/>
      <c r="Q2026" s="196"/>
      <c r="R2026" s="248"/>
      <c r="T2026" s="169"/>
      <c r="U2026" s="50"/>
      <c r="V2026" s="2177"/>
      <c r="W2026" s="155"/>
      <c r="X2026" s="157"/>
      <c r="Y2026" s="157"/>
      <c r="Z2026" s="155"/>
      <c r="AA2026" s="155"/>
      <c r="AB2026" s="157"/>
      <c r="AC2026" s="155"/>
      <c r="AD2026" s="155"/>
      <c r="AE2026" s="155"/>
      <c r="AF2026" s="258" t="str">
        <f t="shared" si="252"/>
        <v/>
      </c>
      <c r="AG2026" s="228"/>
      <c r="DG2026" s="555"/>
      <c r="DH2026" s="151"/>
      <c r="DI2026" s="1049"/>
      <c r="DJ2026" s="1127"/>
    </row>
    <row r="2027" spans="1:114" ht="15" hidden="1" customHeight="1" outlineLevel="1" x14ac:dyDescent="0.25">
      <c r="A2027" s="442"/>
      <c r="C2027" s="49"/>
      <c r="D2027" s="2177"/>
      <c r="E2027" s="2177"/>
      <c r="F2027" s="2176" t="str">
        <f t="shared" si="250"/>
        <v>ASHP-SEER18_ER2_MF</v>
      </c>
      <c r="G2027" s="2176"/>
      <c r="H2027" s="2176"/>
      <c r="I2027" s="2176"/>
      <c r="J2027" s="986" t="str">
        <f t="shared" si="251"/>
        <v>354350_2024_12_</v>
      </c>
      <c r="K2027" s="155"/>
      <c r="L2027" s="45" t="str">
        <f>IF(K2027&gt;0,VLOOKUP(J2027,$J$909:$L$998,3,FALSE),"")</f>
        <v/>
      </c>
      <c r="M2027" s="1581" t="str">
        <f>IF(K2027&gt;0,VLOOKUP(J2027,$J$1629:$K$1718,2,FALSE),"")</f>
        <v/>
      </c>
      <c r="P2027" s="248"/>
      <c r="Q2027" s="196"/>
      <c r="R2027" s="248"/>
      <c r="T2027" s="169"/>
      <c r="U2027" s="50"/>
      <c r="V2027" s="2177"/>
      <c r="W2027" s="155"/>
      <c r="X2027" s="157"/>
      <c r="Y2027" s="157"/>
      <c r="Z2027" s="155"/>
      <c r="AA2027" s="155"/>
      <c r="AB2027" s="157"/>
      <c r="AC2027" s="155"/>
      <c r="AD2027" s="155"/>
      <c r="AE2027" s="155"/>
      <c r="AF2027" s="258" t="str">
        <f t="shared" si="252"/>
        <v/>
      </c>
      <c r="AG2027" s="228"/>
      <c r="DG2027" s="555"/>
      <c r="DH2027" s="151"/>
      <c r="DI2027" s="1049"/>
      <c r="DJ2027" s="1127"/>
    </row>
    <row r="2028" spans="1:114" ht="15" hidden="1" customHeight="1" outlineLevel="1" x14ac:dyDescent="0.25">
      <c r="A2028" s="442"/>
      <c r="C2028" s="49"/>
      <c r="D2028" s="2177"/>
      <c r="E2028" s="2177"/>
      <c r="F2028" s="2176" t="str">
        <f t="shared" ref="F2028:F2059" si="253">E837</f>
        <v>ASHP-SEER19-Replace_CAC_ElectricHeat_ER1_SF</v>
      </c>
      <c r="G2028" s="2176"/>
      <c r="H2028" s="2176"/>
      <c r="I2028" s="2176"/>
      <c r="J2028" s="986" t="str">
        <f t="shared" ref="J2028:J2059" si="254">C837</f>
        <v>354400_2024_12_</v>
      </c>
      <c r="K2028" s="1588">
        <f>(S$914+L2028*T$914)-((S$921+L2028*T$921)*S$926)</f>
        <v>4902.6041805257928</v>
      </c>
      <c r="L2028" s="45">
        <f>VLOOKUP(J2028,$J$909:$L$998,3,FALSE)*M2028</f>
        <v>3.7731209149509803</v>
      </c>
      <c r="M2028" s="1581">
        <f>VLOOKUP(J2028,$J$1629:$K$1718,2,FALSE)</f>
        <v>1</v>
      </c>
      <c r="N2028" s="535"/>
      <c r="P2028" s="248"/>
      <c r="Q2028" s="196"/>
      <c r="R2028" s="248"/>
      <c r="T2028" s="169"/>
      <c r="U2028" s="50"/>
      <c r="V2028" s="2177"/>
      <c r="W2028" s="155">
        <v>4620.6282279230445</v>
      </c>
      <c r="X2028" s="157">
        <v>6268.4954744777742</v>
      </c>
      <c r="Y2028" s="157">
        <v>1686.03270493894</v>
      </c>
      <c r="Z2028" s="155">
        <v>1686.0327049389366</v>
      </c>
      <c r="AA2028" s="155">
        <v>1686.0327049389366</v>
      </c>
      <c r="AB2028" s="157">
        <v>1944.3573864864111</v>
      </c>
      <c r="AC2028" s="157">
        <v>2063.8263197906699</v>
      </c>
      <c r="AD2028" s="157">
        <v>2105.1914618743731</v>
      </c>
      <c r="AE2028" s="157">
        <v>2233.0143777696067</v>
      </c>
      <c r="AF2028" s="258">
        <f t="shared" si="252"/>
        <v>4902.6041805257928</v>
      </c>
      <c r="AG2028" s="228"/>
      <c r="DG2028" s="555"/>
      <c r="DH2028" s="151"/>
      <c r="DI2028" s="1049"/>
      <c r="DJ2028" s="1127"/>
    </row>
    <row r="2029" spans="1:114" ht="15" hidden="1" customHeight="1" outlineLevel="1" x14ac:dyDescent="0.25">
      <c r="A2029" s="442"/>
      <c r="C2029" s="49"/>
      <c r="D2029" s="2177"/>
      <c r="E2029" s="2177"/>
      <c r="F2029" s="2176" t="str">
        <f t="shared" si="253"/>
        <v>ASHP-SEER19-Replace_CAC_ElectricHeat_ER1_SF</v>
      </c>
      <c r="G2029" s="2176"/>
      <c r="H2029" s="2176"/>
      <c r="I2029" s="2176"/>
      <c r="J2029" s="986" t="str">
        <f t="shared" si="254"/>
        <v>354400_2024_12_</v>
      </c>
      <c r="K2029" s="155"/>
      <c r="L2029" s="45" t="str">
        <f>IF(K2029&gt;0,VLOOKUP(J2029,$J$909:$L$998,3,FALSE),"")</f>
        <v/>
      </c>
      <c r="M2029" s="1581" t="str">
        <f>IF(K2029&gt;0,VLOOKUP(J2029,$J$1629:$K$1718,2,FALSE),"")</f>
        <v/>
      </c>
      <c r="P2029" s="248"/>
      <c r="T2029" s="50"/>
      <c r="U2029" s="50"/>
      <c r="V2029" s="2177"/>
      <c r="W2029" s="155"/>
      <c r="X2029" s="157"/>
      <c r="Y2029" s="157"/>
      <c r="Z2029" s="155"/>
      <c r="AA2029" s="155"/>
      <c r="AB2029" s="157"/>
      <c r="AC2029" s="155"/>
      <c r="AD2029" s="155"/>
      <c r="AE2029" s="155"/>
      <c r="AF2029" s="258" t="str">
        <f t="shared" si="252"/>
        <v/>
      </c>
      <c r="AG2029" s="228"/>
      <c r="DG2029" s="555"/>
      <c r="DH2029" s="151"/>
      <c r="DI2029" s="1049"/>
      <c r="DJ2029" s="1127"/>
    </row>
    <row r="2030" spans="1:114" ht="15" hidden="1" customHeight="1" outlineLevel="1" x14ac:dyDescent="0.25">
      <c r="A2030" s="442"/>
      <c r="C2030" s="49"/>
      <c r="D2030" s="2177"/>
      <c r="E2030" s="2177"/>
      <c r="F2030" s="2176" t="str">
        <f t="shared" si="253"/>
        <v>ASHP-SEER19-Replace_CAC_ElectricHeat_ER2_SF</v>
      </c>
      <c r="G2030" s="2176"/>
      <c r="H2030" s="2176"/>
      <c r="I2030" s="2176"/>
      <c r="J2030" s="986" t="str">
        <f t="shared" si="254"/>
        <v>354400_2024_12_</v>
      </c>
      <c r="K2030" s="155"/>
      <c r="L2030" s="45" t="str">
        <f>IF(K2030&gt;0,VLOOKUP(J2030,$J$909:$L$998,3,FALSE),"")</f>
        <v/>
      </c>
      <c r="M2030" s="1581" t="str">
        <f>IF(K2030&gt;0,VLOOKUP(J2030,$J$1629:$K$1718,2,FALSE),"")</f>
        <v/>
      </c>
      <c r="P2030" s="248"/>
      <c r="Q2030" s="196"/>
      <c r="R2030" s="248"/>
      <c r="T2030" s="169"/>
      <c r="U2030" s="50"/>
      <c r="V2030" s="2177"/>
      <c r="W2030" s="155"/>
      <c r="X2030" s="157"/>
      <c r="Y2030" s="157"/>
      <c r="Z2030" s="155"/>
      <c r="AA2030" s="155"/>
      <c r="AB2030" s="157"/>
      <c r="AC2030" s="155"/>
      <c r="AD2030" s="155"/>
      <c r="AE2030" s="155"/>
      <c r="AF2030" s="258" t="str">
        <f t="shared" si="252"/>
        <v/>
      </c>
      <c r="AG2030" s="228"/>
      <c r="DG2030" s="555"/>
      <c r="DH2030" s="151"/>
      <c r="DI2030" s="1049"/>
      <c r="DJ2030" s="1127"/>
    </row>
    <row r="2031" spans="1:114" ht="15" hidden="1" customHeight="1" outlineLevel="1" x14ac:dyDescent="0.25">
      <c r="A2031" s="442"/>
      <c r="C2031" s="49"/>
      <c r="D2031" s="2177"/>
      <c r="E2031" s="2177"/>
      <c r="F2031" s="2176" t="str">
        <f t="shared" si="253"/>
        <v>ASHP-SEER19-Replace_CAC_ElectricHeat_ER2_SF</v>
      </c>
      <c r="G2031" s="2176"/>
      <c r="H2031" s="2176"/>
      <c r="I2031" s="2176"/>
      <c r="J2031" s="986" t="str">
        <f t="shared" si="254"/>
        <v>354400_2024_12_</v>
      </c>
      <c r="K2031" s="155"/>
      <c r="L2031" s="45" t="str">
        <f>IF(K2031&gt;0,VLOOKUP(J2031,$J$909:$L$998,3,FALSE),"")</f>
        <v/>
      </c>
      <c r="M2031" s="1581" t="str">
        <f>IF(K2031&gt;0,VLOOKUP(J2031,$J$1629:$K$1718,2,FALSE),"")</f>
        <v/>
      </c>
      <c r="P2031" s="248"/>
      <c r="T2031" s="50"/>
      <c r="U2031" s="50"/>
      <c r="V2031" s="2177"/>
      <c r="W2031" s="155"/>
      <c r="X2031" s="157"/>
      <c r="Y2031" s="157"/>
      <c r="Z2031" s="155"/>
      <c r="AA2031" s="155"/>
      <c r="AB2031" s="157"/>
      <c r="AC2031" s="155"/>
      <c r="AD2031" s="155"/>
      <c r="AE2031" s="155"/>
      <c r="AF2031" s="258" t="str">
        <f t="shared" si="252"/>
        <v/>
      </c>
      <c r="AG2031" s="228"/>
      <c r="DG2031" s="555"/>
      <c r="DH2031" s="151"/>
      <c r="DI2031" s="1049"/>
      <c r="DJ2031" s="1127"/>
    </row>
    <row r="2032" spans="1:114" ht="15" hidden="1" customHeight="1" outlineLevel="1" x14ac:dyDescent="0.25">
      <c r="A2032" s="442"/>
      <c r="C2032" s="49"/>
      <c r="D2032" s="2177"/>
      <c r="E2032" s="2177"/>
      <c r="F2032" s="2176" t="str">
        <f t="shared" si="253"/>
        <v>ASHP-SEER19-Replace_CAC_NonElectricHeat_ER1_SF</v>
      </c>
      <c r="G2032" s="2176"/>
      <c r="H2032" s="2176"/>
      <c r="I2032" s="2176"/>
      <c r="J2032" s="986" t="str">
        <f t="shared" si="254"/>
        <v>354410_2024_12_</v>
      </c>
      <c r="K2032" s="1588">
        <f>((S$914+L2032*T$914)-((S$921+L2032*T$921)*S$926))*VLOOKUP(J2032,$J$2082:$K$2095,2,FALSE)</f>
        <v>550.39602164642804</v>
      </c>
      <c r="L2032" s="45">
        <f>VLOOKUP(J2032,$J$909:$L$998,3,FALSE)*M2032</f>
        <v>3.6</v>
      </c>
      <c r="M2032" s="1581">
        <f>VLOOKUP(J2032,$J$1629:$K$1718,2,FALSE)</f>
        <v>1</v>
      </c>
      <c r="N2032" s="535"/>
      <c r="P2032" s="248"/>
      <c r="T2032" s="50"/>
      <c r="U2032" s="50"/>
      <c r="V2032" s="2177"/>
      <c r="W2032" s="155"/>
      <c r="X2032" s="157"/>
      <c r="Y2032" s="157"/>
      <c r="Z2032" s="155"/>
      <c r="AA2032" s="155"/>
      <c r="AB2032" s="157"/>
      <c r="AC2032" s="157">
        <v>2063.8263197906699</v>
      </c>
      <c r="AD2032" s="155">
        <v>2063.8263197906699</v>
      </c>
      <c r="AE2032" s="157">
        <v>2185.7843772172032</v>
      </c>
      <c r="AF2032" s="258">
        <f t="shared" si="252"/>
        <v>550.39602164642804</v>
      </c>
      <c r="AG2032" s="228"/>
      <c r="DG2032" s="555"/>
      <c r="DH2032" s="151"/>
      <c r="DI2032" s="1049"/>
      <c r="DJ2032" s="1127"/>
    </row>
    <row r="2033" spans="1:114" ht="15" hidden="1" customHeight="1" outlineLevel="1" x14ac:dyDescent="0.25">
      <c r="A2033" s="442"/>
      <c r="C2033" s="49"/>
      <c r="D2033" s="2177"/>
      <c r="E2033" s="2177"/>
      <c r="F2033" s="2176" t="str">
        <f t="shared" si="253"/>
        <v>ASHP-SEER19-Replace_CAC_NonElectricHeat_ER1_SF</v>
      </c>
      <c r="G2033" s="2176"/>
      <c r="H2033" s="2176"/>
      <c r="I2033" s="2176"/>
      <c r="J2033" s="986" t="str">
        <f t="shared" si="254"/>
        <v>354410_2024_12_</v>
      </c>
      <c r="K2033" s="155"/>
      <c r="L2033" s="45"/>
      <c r="M2033" s="1581"/>
      <c r="P2033" s="248"/>
      <c r="T2033" s="50"/>
      <c r="U2033" s="50"/>
      <c r="V2033" s="2177"/>
      <c r="W2033" s="155"/>
      <c r="X2033" s="157"/>
      <c r="Y2033" s="157"/>
      <c r="Z2033" s="155"/>
      <c r="AA2033" s="155"/>
      <c r="AB2033" s="157"/>
      <c r="AC2033" s="155"/>
      <c r="AD2033" s="155"/>
      <c r="AE2033" s="155"/>
      <c r="AF2033" s="258" t="str">
        <f t="shared" si="252"/>
        <v/>
      </c>
      <c r="AG2033" s="228"/>
      <c r="DG2033" s="555"/>
      <c r="DH2033" s="151"/>
      <c r="DI2033" s="1049"/>
      <c r="DJ2033" s="1127"/>
    </row>
    <row r="2034" spans="1:114" ht="15" hidden="1" customHeight="1" outlineLevel="1" x14ac:dyDescent="0.25">
      <c r="A2034" s="442"/>
      <c r="C2034" s="49"/>
      <c r="D2034" s="2177"/>
      <c r="E2034" s="2177"/>
      <c r="F2034" s="2176" t="str">
        <f t="shared" si="253"/>
        <v>ASHP-SEER19-Replace_CAC_NonElectricHeat_ER2_SF</v>
      </c>
      <c r="G2034" s="2176"/>
      <c r="H2034" s="2176"/>
      <c r="I2034" s="2176"/>
      <c r="J2034" s="986" t="str">
        <f t="shared" si="254"/>
        <v>354410_2024_12_</v>
      </c>
      <c r="K2034" s="155"/>
      <c r="L2034" s="45"/>
      <c r="M2034" s="1581"/>
      <c r="P2034" s="248"/>
      <c r="T2034" s="50"/>
      <c r="U2034" s="50"/>
      <c r="V2034" s="2177"/>
      <c r="W2034" s="155"/>
      <c r="X2034" s="157"/>
      <c r="Y2034" s="157"/>
      <c r="Z2034" s="155"/>
      <c r="AA2034" s="155"/>
      <c r="AB2034" s="157"/>
      <c r="AC2034" s="155"/>
      <c r="AD2034" s="155"/>
      <c r="AE2034" s="155"/>
      <c r="AF2034" s="258" t="str">
        <f t="shared" si="252"/>
        <v/>
      </c>
      <c r="AG2034" s="228"/>
      <c r="DG2034" s="555"/>
      <c r="DH2034" s="151"/>
      <c r="DI2034" s="1049"/>
      <c r="DJ2034" s="1127"/>
    </row>
    <row r="2035" spans="1:114" ht="15" hidden="1" customHeight="1" outlineLevel="1" x14ac:dyDescent="0.25">
      <c r="A2035" s="442"/>
      <c r="C2035" s="49"/>
      <c r="D2035" s="2177"/>
      <c r="E2035" s="2177"/>
      <c r="F2035" s="2176" t="str">
        <f t="shared" si="253"/>
        <v>ASHP-SEER19-Replace_CAC_NonElectricHeat_ER2_SF</v>
      </c>
      <c r="G2035" s="2176"/>
      <c r="H2035" s="2176"/>
      <c r="I2035" s="2176"/>
      <c r="J2035" s="986" t="str">
        <f t="shared" si="254"/>
        <v>354410_2024_12_</v>
      </c>
      <c r="K2035" s="155"/>
      <c r="L2035" s="45"/>
      <c r="M2035" s="1581"/>
      <c r="P2035" s="248"/>
      <c r="T2035" s="50"/>
      <c r="U2035" s="50"/>
      <c r="V2035" s="2177"/>
      <c r="W2035" s="155"/>
      <c r="X2035" s="157"/>
      <c r="Y2035" s="157"/>
      <c r="Z2035" s="155"/>
      <c r="AA2035" s="155"/>
      <c r="AB2035" s="157"/>
      <c r="AC2035" s="155"/>
      <c r="AD2035" s="155"/>
      <c r="AE2035" s="155"/>
      <c r="AF2035" s="258" t="str">
        <f t="shared" si="252"/>
        <v/>
      </c>
      <c r="AG2035" s="228"/>
      <c r="DG2035" s="555"/>
      <c r="DH2035" s="151"/>
      <c r="DI2035" s="1049"/>
      <c r="DJ2035" s="1127"/>
    </row>
    <row r="2036" spans="1:114" ht="15" hidden="1" customHeight="1" outlineLevel="1" x14ac:dyDescent="0.25">
      <c r="A2036" s="442"/>
      <c r="C2036" s="49"/>
      <c r="D2036" s="2177"/>
      <c r="E2036" s="2177"/>
      <c r="F2036" s="2176" t="str">
        <f t="shared" si="253"/>
        <v>ASHP-SEER19-Replace_CAC_ElectricHeat_ER1_MF</v>
      </c>
      <c r="G2036" s="2176"/>
      <c r="H2036" s="2176"/>
      <c r="I2036" s="2176"/>
      <c r="J2036" s="986" t="str">
        <f t="shared" si="254"/>
        <v>354450_2024_12_</v>
      </c>
      <c r="K2036" s="1588">
        <f>(S$914+L2036*T$914)-((S$921+L2036*T$921)*S$926)</f>
        <v>3847.7316315552043</v>
      </c>
      <c r="L2036" s="45">
        <f>VLOOKUP(J2036,$J$909:$L$998,3,FALSE)*M2036</f>
        <v>2.0150000000000001</v>
      </c>
      <c r="M2036" s="1581">
        <f>VLOOKUP(J2036,$J$1629:$K$1718,2,FALSE)</f>
        <v>0.65</v>
      </c>
      <c r="N2036" s="535"/>
      <c r="P2036" s="248"/>
      <c r="Q2036" s="196"/>
      <c r="R2036" s="248"/>
      <c r="T2036" s="169"/>
      <c r="U2036" s="50"/>
      <c r="V2036" s="2177"/>
      <c r="W2036" s="155">
        <v>4620.6282279230445</v>
      </c>
      <c r="X2036" s="157">
        <v>4074.5220584105532</v>
      </c>
      <c r="Y2036" s="157">
        <v>1380.5879248769756</v>
      </c>
      <c r="Z2036" s="155">
        <v>1380.5879248769756</v>
      </c>
      <c r="AA2036" s="155">
        <v>1380.5879248769756</v>
      </c>
      <c r="AB2036" s="157">
        <v>1685.1098012161674</v>
      </c>
      <c r="AC2036" s="155">
        <v>1685.1098012161674</v>
      </c>
      <c r="AD2036" s="155">
        <v>1685.1098012161674</v>
      </c>
      <c r="AE2036" s="157">
        <v>1753.3724361368513</v>
      </c>
      <c r="AF2036" s="258">
        <f t="shared" si="252"/>
        <v>3847.7316315552043</v>
      </c>
      <c r="AG2036" s="228"/>
      <c r="DG2036" s="555"/>
      <c r="DH2036" s="151"/>
      <c r="DI2036" s="1049"/>
      <c r="DJ2036" s="1127"/>
    </row>
    <row r="2037" spans="1:114" ht="15" hidden="1" customHeight="1" outlineLevel="1" x14ac:dyDescent="0.25">
      <c r="A2037" s="442"/>
      <c r="C2037" s="49"/>
      <c r="D2037" s="2177"/>
      <c r="E2037" s="2177"/>
      <c r="F2037" s="2176" t="str">
        <f t="shared" si="253"/>
        <v>ASHP-SEER19-Replace_CAC_ElectricHeat_ER1_MF</v>
      </c>
      <c r="G2037" s="2176"/>
      <c r="H2037" s="2176"/>
      <c r="I2037" s="2176"/>
      <c r="J2037" s="986" t="str">
        <f t="shared" si="254"/>
        <v>354450_2024_12_</v>
      </c>
      <c r="K2037" s="155"/>
      <c r="L2037" s="45" t="str">
        <f>IF(K2037&gt;0,VLOOKUP(J2037,$J$909:$L$998,3,FALSE),"")</f>
        <v/>
      </c>
      <c r="M2037" s="1581" t="str">
        <f>IF(K2037&gt;0,VLOOKUP(J2037,$J$1629:$K$1718,2,FALSE),"")</f>
        <v/>
      </c>
      <c r="P2037" s="248"/>
      <c r="T2037" s="50"/>
      <c r="U2037" s="50"/>
      <c r="V2037" s="2177"/>
      <c r="W2037" s="155"/>
      <c r="X2037" s="157"/>
      <c r="Y2037" s="157"/>
      <c r="Z2037" s="155"/>
      <c r="AA2037" s="155"/>
      <c r="AB2037" s="157"/>
      <c r="AC2037" s="155"/>
      <c r="AD2037" s="155"/>
      <c r="AE2037" s="155"/>
      <c r="AF2037" s="258" t="str">
        <f t="shared" si="252"/>
        <v/>
      </c>
      <c r="AG2037" s="228"/>
      <c r="DG2037" s="555"/>
      <c r="DH2037" s="151"/>
      <c r="DI2037" s="1049"/>
      <c r="DJ2037" s="1127"/>
    </row>
    <row r="2038" spans="1:114" ht="15" hidden="1" customHeight="1" outlineLevel="1" x14ac:dyDescent="0.25">
      <c r="A2038" s="442"/>
      <c r="C2038" s="49"/>
      <c r="D2038" s="2177"/>
      <c r="E2038" s="2177"/>
      <c r="F2038" s="2176" t="str">
        <f t="shared" si="253"/>
        <v>ASHP-SEER19-Replace_CAC_ElectricHeat_ER2_MF</v>
      </c>
      <c r="G2038" s="2176"/>
      <c r="H2038" s="2176"/>
      <c r="I2038" s="2176"/>
      <c r="J2038" s="986" t="str">
        <f t="shared" si="254"/>
        <v>354450_2024_12_</v>
      </c>
      <c r="K2038" s="155"/>
      <c r="L2038" s="45" t="str">
        <f>IF(K2038&gt;0,VLOOKUP(J2038,$J$909:$L$998,3,FALSE),"")</f>
        <v/>
      </c>
      <c r="M2038" s="1581" t="str">
        <f>IF(K2038&gt;0,VLOOKUP(J2038,$J$1629:$K$1718,2,FALSE),"")</f>
        <v/>
      </c>
      <c r="P2038" s="248"/>
      <c r="T2038" s="50"/>
      <c r="U2038" s="50"/>
      <c r="V2038" s="2177"/>
      <c r="W2038" s="155"/>
      <c r="X2038" s="157"/>
      <c r="Y2038" s="157"/>
      <c r="Z2038" s="155"/>
      <c r="AA2038" s="155"/>
      <c r="AB2038" s="157"/>
      <c r="AC2038" s="155"/>
      <c r="AD2038" s="155"/>
      <c r="AE2038" s="155"/>
      <c r="AF2038" s="258" t="str">
        <f t="shared" si="252"/>
        <v/>
      </c>
      <c r="AG2038" s="228"/>
      <c r="DG2038" s="555"/>
      <c r="DH2038" s="151"/>
      <c r="DI2038" s="1049"/>
      <c r="DJ2038" s="1127"/>
    </row>
    <row r="2039" spans="1:114" ht="15" hidden="1" customHeight="1" outlineLevel="1" x14ac:dyDescent="0.25">
      <c r="A2039" s="442"/>
      <c r="C2039" s="49"/>
      <c r="D2039" s="2177"/>
      <c r="E2039" s="2177"/>
      <c r="F2039" s="2176" t="str">
        <f t="shared" si="253"/>
        <v>ASHP-SEER19-Replace_CAC_ElectricHeat_ER2_MF</v>
      </c>
      <c r="G2039" s="2176"/>
      <c r="H2039" s="2176"/>
      <c r="I2039" s="2176"/>
      <c r="J2039" s="986" t="str">
        <f t="shared" si="254"/>
        <v>354450_2024_12_</v>
      </c>
      <c r="K2039" s="155"/>
      <c r="L2039" s="45" t="str">
        <f>IF(K2039&gt;0,VLOOKUP(J2039,$J$909:$L$998,3,FALSE),"")</f>
        <v/>
      </c>
      <c r="M2039" s="1581" t="str">
        <f>IF(K2039&gt;0,VLOOKUP(J2039,$J$1629:$K$1718,2,FALSE),"")</f>
        <v/>
      </c>
      <c r="P2039" s="248"/>
      <c r="Q2039" s="196"/>
      <c r="R2039" s="248"/>
      <c r="T2039" s="169"/>
      <c r="U2039" s="50"/>
      <c r="V2039" s="2177"/>
      <c r="W2039" s="155"/>
      <c r="X2039" s="157"/>
      <c r="Y2039" s="157"/>
      <c r="Z2039" s="155"/>
      <c r="AA2039" s="155"/>
      <c r="AB2039" s="157"/>
      <c r="AC2039" s="155"/>
      <c r="AD2039" s="155"/>
      <c r="AE2039" s="155"/>
      <c r="AF2039" s="258" t="str">
        <f t="shared" si="252"/>
        <v/>
      </c>
      <c r="AG2039" s="228"/>
      <c r="DG2039" s="555"/>
      <c r="DH2039" s="151"/>
      <c r="DI2039" s="1049"/>
      <c r="DJ2039" s="1127"/>
    </row>
    <row r="2040" spans="1:114" ht="15" hidden="1" customHeight="1" outlineLevel="1" x14ac:dyDescent="0.25">
      <c r="A2040" s="442"/>
      <c r="C2040" s="49"/>
      <c r="D2040" s="2177"/>
      <c r="E2040" s="2177"/>
      <c r="F2040" s="2176" t="str">
        <f t="shared" si="253"/>
        <v>ASHP-SEER19_ER1_MF</v>
      </c>
      <c r="G2040" s="2176"/>
      <c r="H2040" s="2176"/>
      <c r="I2040" s="2176"/>
      <c r="J2040" s="986" t="str">
        <f t="shared" si="254"/>
        <v>354500_2024_12_</v>
      </c>
      <c r="K2040" s="1588">
        <f>(S$914+L2040*T$914)-(S$920+L2040*T$920)*S$926</f>
        <v>1077.5183641564863</v>
      </c>
      <c r="L2040" s="45">
        <f>VLOOKUP(J2040,$J$909:$L$998,3,FALSE)*M2040</f>
        <v>2.145</v>
      </c>
      <c r="M2040" s="1581">
        <f>VLOOKUP(J2040,$J$1629:$K$1718,2,FALSE)</f>
        <v>0.65</v>
      </c>
      <c r="N2040" s="535"/>
      <c r="P2040" s="248"/>
      <c r="Q2040" s="196"/>
      <c r="R2040" s="248"/>
      <c r="T2040" s="169"/>
      <c r="U2040" s="50"/>
      <c r="V2040" s="2177"/>
      <c r="W2040" s="155">
        <v>7371.3247976250323</v>
      </c>
      <c r="X2040" s="157">
        <v>4337.39444927575</v>
      </c>
      <c r="Y2040" s="157">
        <v>1417.1849952991461</v>
      </c>
      <c r="Z2040" s="155">
        <v>1417.1849952991461</v>
      </c>
      <c r="AA2040" s="155">
        <v>1417.1849952991461</v>
      </c>
      <c r="AB2040" s="157">
        <v>1716.1717238752744</v>
      </c>
      <c r="AC2040" s="155">
        <v>1716.1717238752744</v>
      </c>
      <c r="AD2040" s="155">
        <v>1716.1717238752744</v>
      </c>
      <c r="AE2040" s="157">
        <v>1788.8383997585838</v>
      </c>
      <c r="AF2040" s="258">
        <f t="shared" si="252"/>
        <v>1077.5183641564863</v>
      </c>
      <c r="AG2040" s="228"/>
      <c r="DG2040" s="555"/>
      <c r="DH2040" s="151"/>
      <c r="DI2040" s="1049"/>
      <c r="DJ2040" s="1127"/>
    </row>
    <row r="2041" spans="1:114" ht="15" hidden="1" customHeight="1" outlineLevel="1" x14ac:dyDescent="0.25">
      <c r="A2041" s="442"/>
      <c r="C2041" s="49"/>
      <c r="D2041" s="2177"/>
      <c r="E2041" s="2177"/>
      <c r="F2041" s="2176" t="str">
        <f t="shared" si="253"/>
        <v>ASHP-SEER19_ER1_MF</v>
      </c>
      <c r="G2041" s="2176"/>
      <c r="H2041" s="2176"/>
      <c r="I2041" s="2176"/>
      <c r="J2041" s="986" t="str">
        <f t="shared" si="254"/>
        <v>354500_2024_12_</v>
      </c>
      <c r="K2041" s="155"/>
      <c r="L2041" s="45" t="str">
        <f>IF(K2041&gt;0,VLOOKUP(J2041,$J$909:$L$998,3,FALSE),"")</f>
        <v/>
      </c>
      <c r="M2041" s="1581" t="str">
        <f>IF(K2041&gt;0,VLOOKUP(J2041,$J$1629:$K$1718,2,FALSE),"")</f>
        <v/>
      </c>
      <c r="P2041" s="248"/>
      <c r="T2041" s="50"/>
      <c r="U2041" s="50"/>
      <c r="V2041" s="2177"/>
      <c r="W2041" s="155"/>
      <c r="X2041" s="157"/>
      <c r="Y2041" s="157"/>
      <c r="Z2041" s="155"/>
      <c r="AA2041" s="155"/>
      <c r="AB2041" s="157"/>
      <c r="AC2041" s="155"/>
      <c r="AD2041" s="155"/>
      <c r="AE2041" s="155"/>
      <c r="AF2041" s="258" t="str">
        <f t="shared" si="252"/>
        <v/>
      </c>
      <c r="AG2041" s="228"/>
      <c r="DG2041" s="555"/>
      <c r="DH2041" s="151"/>
      <c r="DI2041" s="1049"/>
      <c r="DJ2041" s="1127"/>
    </row>
    <row r="2042" spans="1:114" ht="15" hidden="1" customHeight="1" outlineLevel="1" x14ac:dyDescent="0.25">
      <c r="A2042" s="442"/>
      <c r="C2042" s="49"/>
      <c r="D2042" s="2177"/>
      <c r="E2042" s="2177"/>
      <c r="F2042" s="2176" t="str">
        <f t="shared" si="253"/>
        <v>ASHP-SEER19_ER2_MF</v>
      </c>
      <c r="G2042" s="2176"/>
      <c r="H2042" s="2176"/>
      <c r="I2042" s="2176"/>
      <c r="J2042" s="986" t="str">
        <f t="shared" si="254"/>
        <v>354500_2024_12_</v>
      </c>
      <c r="K2042" s="155"/>
      <c r="L2042" s="45" t="str">
        <f>IF(K2042&gt;0,VLOOKUP(J2042,$J$909:$L$998,3,FALSE),"")</f>
        <v/>
      </c>
      <c r="M2042" s="1581" t="str">
        <f>IF(K2042&gt;0,VLOOKUP(J2042,$J$1629:$K$1718,2,FALSE),"")</f>
        <v/>
      </c>
      <c r="P2042" s="248"/>
      <c r="T2042" s="50"/>
      <c r="U2042" s="50"/>
      <c r="V2042" s="2177"/>
      <c r="W2042" s="155"/>
      <c r="X2042" s="157"/>
      <c r="Y2042" s="157"/>
      <c r="Z2042" s="155"/>
      <c r="AA2042" s="155"/>
      <c r="AB2042" s="157"/>
      <c r="AC2042" s="155"/>
      <c r="AD2042" s="155"/>
      <c r="AE2042" s="155"/>
      <c r="AF2042" s="258" t="str">
        <f t="shared" ref="AF2042:AF2075" si="255">IF(K2042&lt;&gt;"",K2042,"")</f>
        <v/>
      </c>
      <c r="AG2042" s="228"/>
      <c r="DG2042" s="555"/>
      <c r="DH2042" s="151"/>
      <c r="DI2042" s="1049"/>
      <c r="DJ2042" s="1127"/>
    </row>
    <row r="2043" spans="1:114" ht="15" hidden="1" customHeight="1" outlineLevel="1" x14ac:dyDescent="0.25">
      <c r="A2043" s="442"/>
      <c r="C2043" s="49"/>
      <c r="D2043" s="2177"/>
      <c r="E2043" s="2177"/>
      <c r="F2043" s="2176" t="str">
        <f t="shared" si="253"/>
        <v>ASHP-SEER19_ER2_MF</v>
      </c>
      <c r="G2043" s="2176"/>
      <c r="H2043" s="2176"/>
      <c r="I2043" s="2176"/>
      <c r="J2043" s="986" t="str">
        <f t="shared" si="254"/>
        <v>354500_2024_12_</v>
      </c>
      <c r="K2043" s="155"/>
      <c r="L2043" s="45" t="str">
        <f>IF(K2043&gt;0,VLOOKUP(J2043,$J$909:$L$998,3,FALSE),"")</f>
        <v/>
      </c>
      <c r="M2043" s="1581" t="str">
        <f>IF(K2043&gt;0,VLOOKUP(J2043,$J$1629:$K$1718,2,FALSE),"")</f>
        <v/>
      </c>
      <c r="P2043" s="248"/>
      <c r="Q2043" s="196"/>
      <c r="R2043" s="248"/>
      <c r="T2043" s="169"/>
      <c r="U2043" s="50"/>
      <c r="V2043" s="2177"/>
      <c r="W2043" s="155"/>
      <c r="X2043" s="157"/>
      <c r="Y2043" s="157"/>
      <c r="Z2043" s="155"/>
      <c r="AA2043" s="155"/>
      <c r="AB2043" s="157"/>
      <c r="AC2043" s="155"/>
      <c r="AD2043" s="155"/>
      <c r="AE2043" s="155"/>
      <c r="AF2043" s="258" t="str">
        <f t="shared" si="255"/>
        <v/>
      </c>
      <c r="AG2043" s="228"/>
      <c r="DG2043" s="555"/>
      <c r="DH2043" s="151"/>
      <c r="DI2043" s="1049"/>
      <c r="DJ2043" s="1127"/>
    </row>
    <row r="2044" spans="1:114" ht="15" hidden="1" customHeight="1" outlineLevel="1" x14ac:dyDescent="0.25">
      <c r="A2044" s="442"/>
      <c r="C2044" s="49"/>
      <c r="D2044" s="2177"/>
      <c r="E2044" s="2177"/>
      <c r="F2044" s="2176" t="str">
        <f t="shared" si="253"/>
        <v>ASHP-SEER20_ER1_SF</v>
      </c>
      <c r="G2044" s="2176"/>
      <c r="H2044" s="2176"/>
      <c r="I2044" s="2176"/>
      <c r="J2044" s="986" t="str">
        <f t="shared" si="254"/>
        <v>354550_2024_12_</v>
      </c>
      <c r="K2044" s="1588">
        <f>(S$914+L2044*T$914)-(S$920+L2044*T$920)*S$926</f>
        <v>1077.7021397098724</v>
      </c>
      <c r="L2044" s="45">
        <f>VLOOKUP(J2044,$J$909:$L$998,3,FALSE)*M2044</f>
        <v>2.5833656509695291</v>
      </c>
      <c r="M2044" s="1581">
        <f>VLOOKUP(J2044,$J$1629:$K$1718,2,FALSE)</f>
        <v>1</v>
      </c>
      <c r="N2044" s="535"/>
      <c r="P2044" s="248"/>
      <c r="Q2044" s="196"/>
      <c r="R2044" s="248"/>
      <c r="T2044" s="169"/>
      <c r="U2044" s="50"/>
      <c r="V2044" s="2177"/>
      <c r="W2044" s="155">
        <v>13953.854780733807</v>
      </c>
      <c r="X2044" s="157">
        <v>7467.3235373473026</v>
      </c>
      <c r="Y2044" s="157">
        <v>2089.0025568704818</v>
      </c>
      <c r="Z2044" s="155">
        <v>2089.0025568704818</v>
      </c>
      <c r="AA2044" s="155">
        <v>2089.0025568704818</v>
      </c>
      <c r="AB2044" s="157">
        <v>2232.8749598081135</v>
      </c>
      <c r="AC2044" s="157">
        <v>2639.0693330425956</v>
      </c>
      <c r="AD2044" s="157">
        <v>2109.0699962597669</v>
      </c>
      <c r="AE2044" s="157">
        <v>2149.1611707609081</v>
      </c>
      <c r="AF2044" s="258">
        <f t="shared" si="255"/>
        <v>1077.7021397098724</v>
      </c>
      <c r="AG2044" s="228"/>
      <c r="DG2044" s="555"/>
      <c r="DH2044" s="151"/>
      <c r="DI2044" s="1049"/>
      <c r="DJ2044" s="1127"/>
    </row>
    <row r="2045" spans="1:114" ht="15" hidden="1" customHeight="1" outlineLevel="1" x14ac:dyDescent="0.25">
      <c r="A2045" s="442"/>
      <c r="C2045" s="49"/>
      <c r="D2045" s="2177"/>
      <c r="E2045" s="2177"/>
      <c r="F2045" s="2176" t="str">
        <f t="shared" si="253"/>
        <v>ASHP-SEER20_ER1_SF</v>
      </c>
      <c r="G2045" s="2176"/>
      <c r="H2045" s="2176"/>
      <c r="I2045" s="2176"/>
      <c r="J2045" s="986" t="str">
        <f t="shared" si="254"/>
        <v>354550_2024_12_</v>
      </c>
      <c r="K2045" s="155"/>
      <c r="L2045" s="45" t="str">
        <f>IF(K2045&gt;0,VLOOKUP(J2045,$J$909:$L$998,3,FALSE),"")</f>
        <v/>
      </c>
      <c r="M2045" s="1581" t="str">
        <f>IF(K2045&gt;0,VLOOKUP(J2045,$J$1629:$K$1718,2,FALSE),"")</f>
        <v/>
      </c>
      <c r="P2045" s="248"/>
      <c r="Q2045" s="196"/>
      <c r="R2045" s="248"/>
      <c r="T2045" s="169"/>
      <c r="U2045" s="50"/>
      <c r="V2045" s="2177"/>
      <c r="W2045" s="155"/>
      <c r="X2045" s="157"/>
      <c r="Y2045" s="157"/>
      <c r="Z2045" s="155"/>
      <c r="AA2045" s="155"/>
      <c r="AB2045" s="157"/>
      <c r="AC2045" s="155"/>
      <c r="AD2045" s="155"/>
      <c r="AE2045" s="155"/>
      <c r="AF2045" s="258" t="str">
        <f t="shared" si="255"/>
        <v/>
      </c>
      <c r="AG2045" s="228"/>
      <c r="DG2045" s="555"/>
      <c r="DH2045" s="151"/>
      <c r="DI2045" s="1049"/>
      <c r="DJ2045" s="1127"/>
    </row>
    <row r="2046" spans="1:114" ht="15" hidden="1" customHeight="1" outlineLevel="1" x14ac:dyDescent="0.25">
      <c r="A2046" s="442"/>
      <c r="C2046" s="49"/>
      <c r="D2046" s="2177"/>
      <c r="E2046" s="2177"/>
      <c r="F2046" s="2176" t="str">
        <f t="shared" si="253"/>
        <v>ASHP-SEER20_ER2_SF</v>
      </c>
      <c r="G2046" s="2176"/>
      <c r="H2046" s="2176"/>
      <c r="I2046" s="2176"/>
      <c r="J2046" s="986" t="str">
        <f t="shared" si="254"/>
        <v>354550_2024_12_</v>
      </c>
      <c r="K2046" s="155"/>
      <c r="L2046" s="45" t="str">
        <f>IF(K2046&gt;0,VLOOKUP(J2046,$J$909:$L$998,3,FALSE),"")</f>
        <v/>
      </c>
      <c r="M2046" s="1581" t="str">
        <f>IF(K2046&gt;0,VLOOKUP(J2046,$J$1629:$K$1718,2,FALSE),"")</f>
        <v/>
      </c>
      <c r="P2046" s="248"/>
      <c r="Q2046" s="196"/>
      <c r="R2046" s="248"/>
      <c r="T2046" s="169"/>
      <c r="U2046" s="50"/>
      <c r="V2046" s="2177"/>
      <c r="W2046" s="155"/>
      <c r="X2046" s="157"/>
      <c r="Y2046" s="157"/>
      <c r="Z2046" s="155"/>
      <c r="AA2046" s="155"/>
      <c r="AB2046" s="157"/>
      <c r="AC2046" s="155"/>
      <c r="AD2046" s="155"/>
      <c r="AE2046" s="155"/>
      <c r="AF2046" s="258" t="str">
        <f t="shared" si="255"/>
        <v/>
      </c>
      <c r="AG2046" s="228"/>
      <c r="DG2046" s="555"/>
      <c r="DH2046" s="151"/>
      <c r="DI2046" s="1049"/>
      <c r="DJ2046" s="1127"/>
    </row>
    <row r="2047" spans="1:114" ht="15" hidden="1" customHeight="1" outlineLevel="1" x14ac:dyDescent="0.25">
      <c r="A2047" s="442"/>
      <c r="C2047" s="49"/>
      <c r="D2047" s="2177"/>
      <c r="E2047" s="2177"/>
      <c r="F2047" s="2176" t="str">
        <f t="shared" si="253"/>
        <v>ASHP-SEER20_ER2_SF</v>
      </c>
      <c r="G2047" s="2176"/>
      <c r="H2047" s="2176"/>
      <c r="I2047" s="2176"/>
      <c r="J2047" s="986" t="str">
        <f t="shared" si="254"/>
        <v>354550_2024_12_</v>
      </c>
      <c r="K2047" s="155"/>
      <c r="L2047" s="45" t="str">
        <f>IF(K2047&gt;0,VLOOKUP(J2047,$J$909:$L$998,3,FALSE),"")</f>
        <v/>
      </c>
      <c r="M2047" s="1581" t="str">
        <f>IF(K2047&gt;0,VLOOKUP(J2047,$J$1629:$K$1718,2,FALSE),"")</f>
        <v/>
      </c>
      <c r="P2047" s="248"/>
      <c r="Q2047" s="196"/>
      <c r="R2047" s="248"/>
      <c r="T2047" s="169"/>
      <c r="U2047" s="50"/>
      <c r="V2047" s="2177"/>
      <c r="W2047" s="155"/>
      <c r="X2047" s="157"/>
      <c r="Y2047" s="157"/>
      <c r="Z2047" s="155"/>
      <c r="AA2047" s="155"/>
      <c r="AB2047" s="157"/>
      <c r="AC2047" s="155"/>
      <c r="AD2047" s="155"/>
      <c r="AE2047" s="155"/>
      <c r="AF2047" s="258" t="str">
        <f t="shared" si="255"/>
        <v/>
      </c>
      <c r="AG2047" s="228"/>
      <c r="DG2047" s="555"/>
      <c r="DH2047" s="151"/>
      <c r="DI2047" s="1049"/>
      <c r="DJ2047" s="1127"/>
    </row>
    <row r="2048" spans="1:114" ht="15" hidden="1" customHeight="1" outlineLevel="1" x14ac:dyDescent="0.25">
      <c r="A2048" s="442"/>
      <c r="C2048" s="49"/>
      <c r="D2048" s="2177"/>
      <c r="E2048" s="2177"/>
      <c r="F2048" s="2176" t="str">
        <f t="shared" si="253"/>
        <v>ASHP-SEER20_ROF_SF</v>
      </c>
      <c r="G2048" s="2176"/>
      <c r="H2048" s="2176"/>
      <c r="I2048" s="2176"/>
      <c r="J2048" s="986" t="str">
        <f t="shared" si="254"/>
        <v>354600_2024_12_</v>
      </c>
      <c r="K2048" s="1588">
        <f>(S$914+L2048*T$914)-(S$918+L2048*T$918)</f>
        <v>1081</v>
      </c>
      <c r="L2048" s="45">
        <f>VLOOKUP(J2048,$J$909:$L$998,3,FALSE)*M2048</f>
        <v>2.8870833333333334</v>
      </c>
      <c r="M2048" s="1581">
        <f>VLOOKUP(J2048,$J$1629:$K$1718,2,FALSE)</f>
        <v>1</v>
      </c>
      <c r="N2048" s="535"/>
      <c r="P2048" s="248"/>
      <c r="Q2048" s="196"/>
      <c r="R2048" s="248"/>
      <c r="T2048" s="169"/>
      <c r="U2048" s="50"/>
      <c r="V2048" s="2177"/>
      <c r="W2048" s="155">
        <v>9512</v>
      </c>
      <c r="X2048" s="157">
        <v>4766.4539999999979</v>
      </c>
      <c r="Y2048" s="157">
        <v>1160</v>
      </c>
      <c r="Z2048" s="155">
        <v>1160</v>
      </c>
      <c r="AA2048" s="155">
        <v>1160</v>
      </c>
      <c r="AB2048" s="157">
        <v>1444.3799999999994</v>
      </c>
      <c r="AC2048" s="155">
        <v>1444.3799999999994</v>
      </c>
      <c r="AD2048" s="155">
        <v>1444.3799999999994</v>
      </c>
      <c r="AE2048" s="155">
        <v>1444.3799999999994</v>
      </c>
      <c r="AF2048" s="258">
        <f t="shared" si="255"/>
        <v>1081</v>
      </c>
      <c r="AG2048" s="228"/>
      <c r="DG2048" s="555"/>
      <c r="DH2048" s="151"/>
      <c r="DI2048" s="1049"/>
      <c r="DJ2048" s="1127"/>
    </row>
    <row r="2049" spans="1:114" ht="15" hidden="1" customHeight="1" outlineLevel="1" x14ac:dyDescent="0.25">
      <c r="A2049" s="442"/>
      <c r="C2049" s="49"/>
      <c r="D2049" s="2177"/>
      <c r="E2049" s="2177"/>
      <c r="F2049" s="2176" t="str">
        <f t="shared" si="253"/>
        <v>ASHP-SEER20_ROF_SF</v>
      </c>
      <c r="G2049" s="2176"/>
      <c r="H2049" s="2176"/>
      <c r="I2049" s="2176"/>
      <c r="J2049" s="986" t="str">
        <f t="shared" si="254"/>
        <v>354600_2024_12_</v>
      </c>
      <c r="K2049" s="155"/>
      <c r="L2049" s="45" t="str">
        <f>IF(K2049&gt;0,VLOOKUP(J2049,$J$909:$L$998,3,FALSE),"")</f>
        <v/>
      </c>
      <c r="M2049" s="1581" t="str">
        <f>IF(K2049&gt;0,VLOOKUP(J2049,$J$1629:$K$1718,2,FALSE),"")</f>
        <v/>
      </c>
      <c r="P2049" s="248"/>
      <c r="Q2049" s="196"/>
      <c r="R2049" s="248"/>
      <c r="T2049" s="169"/>
      <c r="U2049" s="50"/>
      <c r="V2049" s="2177"/>
      <c r="W2049" s="155"/>
      <c r="X2049" s="157"/>
      <c r="Y2049" s="157"/>
      <c r="Z2049" s="155"/>
      <c r="AA2049" s="155"/>
      <c r="AB2049" s="157"/>
      <c r="AC2049" s="155"/>
      <c r="AD2049" s="155"/>
      <c r="AE2049" s="155"/>
      <c r="AF2049" s="258" t="str">
        <f t="shared" si="255"/>
        <v/>
      </c>
      <c r="AG2049" s="228"/>
      <c r="DG2049" s="555"/>
      <c r="DH2049" s="151"/>
      <c r="DI2049" s="1049"/>
      <c r="DJ2049" s="1127"/>
    </row>
    <row r="2050" spans="1:114" ht="14.65" hidden="1" customHeight="1" outlineLevel="1" x14ac:dyDescent="0.25">
      <c r="A2050" s="442"/>
      <c r="C2050" s="49"/>
      <c r="D2050" s="2177"/>
      <c r="E2050" s="2177"/>
      <c r="F2050" s="2176" t="str">
        <f t="shared" si="253"/>
        <v>ASHP-SEER20-Replace_CAC_ElectricHeat_ER1_MF</v>
      </c>
      <c r="G2050" s="2176"/>
      <c r="H2050" s="2176"/>
      <c r="I2050" s="2176"/>
      <c r="J2050" s="986" t="str">
        <f t="shared" si="254"/>
        <v>354650_2024_12_</v>
      </c>
      <c r="K2050" s="1588">
        <f>(S$914+L2050*T$914)-((S$921+L2050*T$921)*S$926)</f>
        <v>3847.7316315552043</v>
      </c>
      <c r="L2050" s="45">
        <f>VLOOKUP(J2050,$J$909:$L$998,3,FALSE)*M2050</f>
        <v>2.0150000000000001</v>
      </c>
      <c r="M2050" s="1581">
        <f>VLOOKUP(J2050,$J$1629:$K$1718,2,FALSE)</f>
        <v>0.65</v>
      </c>
      <c r="N2050" s="535"/>
      <c r="P2050" s="248"/>
      <c r="Q2050" s="196"/>
      <c r="R2050" s="248"/>
      <c r="T2050" s="169"/>
      <c r="U2050" s="50"/>
      <c r="V2050" s="2177"/>
      <c r="W2050" s="155">
        <v>13953.854780733807</v>
      </c>
      <c r="X2050" s="157">
        <v>4559.5930084105512</v>
      </c>
      <c r="Y2050" s="157">
        <v>1727.2545915436422</v>
      </c>
      <c r="Z2050" s="155">
        <v>1727.2545915436422</v>
      </c>
      <c r="AA2050" s="155">
        <v>1727.2545915436422</v>
      </c>
      <c r="AB2050" s="157">
        <v>1925.8398012161661</v>
      </c>
      <c r="AC2050" s="155">
        <v>1925.8398012161661</v>
      </c>
      <c r="AD2050" s="155">
        <v>1925.8398012161661</v>
      </c>
      <c r="AE2050" s="157">
        <v>1994.10243613685</v>
      </c>
      <c r="AF2050" s="258">
        <f t="shared" si="255"/>
        <v>3847.7316315552043</v>
      </c>
      <c r="AG2050" s="228"/>
      <c r="DG2050" s="555"/>
      <c r="DH2050" s="151"/>
      <c r="DI2050" s="1049"/>
      <c r="DJ2050" s="1127"/>
    </row>
    <row r="2051" spans="1:114" ht="14.65" hidden="1" customHeight="1" outlineLevel="1" x14ac:dyDescent="0.25">
      <c r="A2051" s="442"/>
      <c r="C2051" s="49"/>
      <c r="D2051" s="2177"/>
      <c r="E2051" s="2177"/>
      <c r="F2051" s="2176" t="str">
        <f t="shared" si="253"/>
        <v>ASHP-SEER20-Replace_CAC_ElectricHeat_ER1_MF</v>
      </c>
      <c r="G2051" s="2176"/>
      <c r="H2051" s="2176"/>
      <c r="I2051" s="2176"/>
      <c r="J2051" s="986" t="str">
        <f t="shared" si="254"/>
        <v>354650_2024_12_</v>
      </c>
      <c r="K2051" s="155"/>
      <c r="L2051" s="45" t="str">
        <f>IF(K2051&gt;0,VLOOKUP(J2051,$J$909:$L$998,3,FALSE),"")</f>
        <v/>
      </c>
      <c r="M2051" s="1581" t="str">
        <f>IF(K2051&gt;0,VLOOKUP(J2051,$J$1629:$K$1718,2,FALSE),"")</f>
        <v/>
      </c>
      <c r="P2051" s="248"/>
      <c r="Q2051" s="196"/>
      <c r="R2051" s="248"/>
      <c r="T2051" s="169"/>
      <c r="U2051" s="50"/>
      <c r="V2051" s="2177"/>
      <c r="W2051" s="155"/>
      <c r="X2051" s="157"/>
      <c r="Y2051" s="157"/>
      <c r="Z2051" s="155"/>
      <c r="AA2051" s="155"/>
      <c r="AB2051" s="157"/>
      <c r="AC2051" s="155"/>
      <c r="AD2051" s="155"/>
      <c r="AE2051" s="155"/>
      <c r="AF2051" s="258" t="str">
        <f t="shared" si="255"/>
        <v/>
      </c>
      <c r="AG2051" s="228"/>
      <c r="DG2051" s="555"/>
      <c r="DH2051" s="151"/>
      <c r="DI2051" s="1049"/>
      <c r="DJ2051" s="1127"/>
    </row>
    <row r="2052" spans="1:114" ht="14.65" hidden="1" customHeight="1" outlineLevel="1" x14ac:dyDescent="0.25">
      <c r="A2052" s="442"/>
      <c r="C2052" s="49"/>
      <c r="D2052" s="2177"/>
      <c r="E2052" s="2177"/>
      <c r="F2052" s="2176" t="str">
        <f t="shared" si="253"/>
        <v>ASHP-SEER20-Replace_CAC_ElectricHeat_ER2_MF</v>
      </c>
      <c r="G2052" s="2176"/>
      <c r="H2052" s="2176"/>
      <c r="I2052" s="2176"/>
      <c r="J2052" s="986" t="str">
        <f t="shared" si="254"/>
        <v>354650_2024_12_</v>
      </c>
      <c r="K2052" s="155"/>
      <c r="L2052" s="45" t="str">
        <f>IF(K2052&gt;0,VLOOKUP(J2052,$J$909:$L$998,3,FALSE),"")</f>
        <v/>
      </c>
      <c r="M2052" s="1581" t="str">
        <f>IF(K2052&gt;0,VLOOKUP(J2052,$J$1629:$K$1718,2,FALSE),"")</f>
        <v/>
      </c>
      <c r="P2052" s="248"/>
      <c r="Q2052" s="196"/>
      <c r="R2052" s="248"/>
      <c r="T2052" s="169"/>
      <c r="U2052" s="50"/>
      <c r="V2052" s="2177"/>
      <c r="W2052" s="155"/>
      <c r="X2052" s="157"/>
      <c r="Y2052" s="157"/>
      <c r="Z2052" s="155"/>
      <c r="AA2052" s="155"/>
      <c r="AB2052" s="157"/>
      <c r="AC2052" s="155"/>
      <c r="AD2052" s="155"/>
      <c r="AE2052" s="155"/>
      <c r="AF2052" s="258" t="str">
        <f t="shared" si="255"/>
        <v/>
      </c>
      <c r="AG2052" s="228"/>
      <c r="DG2052" s="555"/>
      <c r="DH2052" s="151"/>
      <c r="DI2052" s="1049"/>
      <c r="DJ2052" s="1127"/>
    </row>
    <row r="2053" spans="1:114" ht="14.65" hidden="1" customHeight="1" outlineLevel="1" x14ac:dyDescent="0.25">
      <c r="A2053" s="442"/>
      <c r="C2053" s="49"/>
      <c r="D2053" s="2177"/>
      <c r="E2053" s="2177"/>
      <c r="F2053" s="2176" t="str">
        <f t="shared" si="253"/>
        <v>ASHP-SEER20-Replace_CAC_ElectricHeat_ER2_MF</v>
      </c>
      <c r="G2053" s="2176"/>
      <c r="H2053" s="2176"/>
      <c r="I2053" s="2176"/>
      <c r="J2053" s="986" t="str">
        <f t="shared" si="254"/>
        <v>354650_2024_12_</v>
      </c>
      <c r="K2053" s="155"/>
      <c r="L2053" s="45" t="str">
        <f>IF(K2053&gt;0,VLOOKUP(J2053,$J$909:$L$998,3,FALSE),"")</f>
        <v/>
      </c>
      <c r="M2053" s="1581" t="str">
        <f>IF(K2053&gt;0,VLOOKUP(J2053,$J$1629:$K$1718,2,FALSE),"")</f>
        <v/>
      </c>
      <c r="P2053" s="248"/>
      <c r="Q2053" s="196"/>
      <c r="R2053" s="248"/>
      <c r="T2053" s="169"/>
      <c r="U2053" s="50"/>
      <c r="V2053" s="2177"/>
      <c r="W2053" s="155"/>
      <c r="X2053" s="157"/>
      <c r="Y2053" s="157"/>
      <c r="Z2053" s="155"/>
      <c r="AA2053" s="155"/>
      <c r="AB2053" s="157"/>
      <c r="AC2053" s="155"/>
      <c r="AD2053" s="155"/>
      <c r="AE2053" s="155"/>
      <c r="AF2053" s="258" t="str">
        <f t="shared" si="255"/>
        <v/>
      </c>
      <c r="AG2053" s="228"/>
      <c r="DG2053" s="555"/>
      <c r="DH2053" s="151"/>
      <c r="DI2053" s="1049"/>
      <c r="DJ2053" s="1127"/>
    </row>
    <row r="2054" spans="1:114" ht="14.65" hidden="1" customHeight="1" outlineLevel="1" x14ac:dyDescent="0.25">
      <c r="A2054" s="442"/>
      <c r="C2054" s="49"/>
      <c r="D2054" s="2177"/>
      <c r="E2054" s="2177"/>
      <c r="F2054" s="2176" t="str">
        <f t="shared" si="253"/>
        <v>ASHP-SEER20_ER1_MF</v>
      </c>
      <c r="G2054" s="2176"/>
      <c r="H2054" s="2176"/>
      <c r="I2054" s="2176"/>
      <c r="J2054" s="986" t="str">
        <f t="shared" si="254"/>
        <v>354700_2024_12_</v>
      </c>
      <c r="K2054" s="1588">
        <f>(S$914+L2054*T$914)-(S$920+L2054*T$920)*S$926</f>
        <v>1077.5183641564863</v>
      </c>
      <c r="L2054" s="45">
        <f>VLOOKUP(J2054,$J$909:$L$998,3,FALSE)*M2054</f>
        <v>2.145</v>
      </c>
      <c r="M2054" s="1581">
        <f>VLOOKUP(J2054,$J$1629:$K$1718,2,FALSE)</f>
        <v>0.65</v>
      </c>
      <c r="N2054" s="535"/>
      <c r="P2054" s="248"/>
      <c r="Q2054" s="196"/>
      <c r="R2054" s="248"/>
      <c r="T2054" s="169"/>
      <c r="U2054" s="50"/>
      <c r="V2054" s="2177"/>
      <c r="W2054" s="155">
        <v>14804.699584437089</v>
      </c>
      <c r="X2054" s="157">
        <v>4853.7602992757465</v>
      </c>
      <c r="Y2054" s="157">
        <v>1763.8516619658126</v>
      </c>
      <c r="Z2054" s="155">
        <v>1763.8516619658126</v>
      </c>
      <c r="AA2054" s="155">
        <v>1763.8516619658126</v>
      </c>
      <c r="AB2054" s="157">
        <v>1956.9017238752731</v>
      </c>
      <c r="AC2054" s="155">
        <v>1956.9017238752731</v>
      </c>
      <c r="AD2054" s="155">
        <v>1956.9017238752731</v>
      </c>
      <c r="AE2054" s="157">
        <v>2029.5683997585825</v>
      </c>
      <c r="AF2054" s="258">
        <f t="shared" si="255"/>
        <v>1077.5183641564863</v>
      </c>
      <c r="AG2054" s="228"/>
      <c r="DG2054" s="555"/>
      <c r="DH2054" s="151"/>
      <c r="DI2054" s="1049"/>
      <c r="DJ2054" s="1127"/>
    </row>
    <row r="2055" spans="1:114" ht="14.65" hidden="1" customHeight="1" outlineLevel="1" x14ac:dyDescent="0.25">
      <c r="A2055" s="442"/>
      <c r="C2055" s="49"/>
      <c r="D2055" s="2177"/>
      <c r="E2055" s="2177"/>
      <c r="F2055" s="2176" t="str">
        <f t="shared" si="253"/>
        <v>ASHP-SEER20_ER1_MF</v>
      </c>
      <c r="G2055" s="2176"/>
      <c r="H2055" s="2176"/>
      <c r="I2055" s="2176"/>
      <c r="J2055" s="986" t="str">
        <f t="shared" si="254"/>
        <v>354700_2024_12_</v>
      </c>
      <c r="K2055" s="155"/>
      <c r="L2055" s="45" t="str">
        <f>IF(K2055&gt;0,VLOOKUP(J2055,$J$909:$L$998,3,FALSE),"")</f>
        <v/>
      </c>
      <c r="M2055" s="1581" t="str">
        <f>IF(K2055&gt;0,VLOOKUP(J2055,$J$1629:$K$1718,2,FALSE),"")</f>
        <v/>
      </c>
      <c r="P2055" s="248"/>
      <c r="Q2055" s="196"/>
      <c r="R2055" s="248"/>
      <c r="T2055" s="169"/>
      <c r="U2055" s="50"/>
      <c r="V2055" s="2177"/>
      <c r="W2055" s="155"/>
      <c r="X2055" s="157"/>
      <c r="Y2055" s="157"/>
      <c r="Z2055" s="155"/>
      <c r="AA2055" s="155"/>
      <c r="AB2055" s="157"/>
      <c r="AC2055" s="155"/>
      <c r="AD2055" s="155"/>
      <c r="AE2055" s="155"/>
      <c r="AF2055" s="258" t="str">
        <f t="shared" si="255"/>
        <v/>
      </c>
      <c r="AG2055" s="228"/>
      <c r="DG2055" s="555"/>
      <c r="DH2055" s="151"/>
      <c r="DI2055" s="1049"/>
      <c r="DJ2055" s="1127"/>
    </row>
    <row r="2056" spans="1:114" ht="14.65" hidden="1" customHeight="1" outlineLevel="1" x14ac:dyDescent="0.25">
      <c r="A2056" s="442"/>
      <c r="C2056" s="49"/>
      <c r="D2056" s="2177"/>
      <c r="E2056" s="2177"/>
      <c r="F2056" s="2176" t="str">
        <f t="shared" si="253"/>
        <v>ASHP-SEER20_ER2_MF</v>
      </c>
      <c r="G2056" s="2176"/>
      <c r="H2056" s="2176"/>
      <c r="I2056" s="2176"/>
      <c r="J2056" s="986" t="str">
        <f t="shared" si="254"/>
        <v>354700_2024_12_</v>
      </c>
      <c r="K2056" s="155"/>
      <c r="L2056" s="45" t="str">
        <f>IF(K2056&gt;0,VLOOKUP(J2056,$J$909:$L$998,3,FALSE),"")</f>
        <v/>
      </c>
      <c r="M2056" s="1581" t="str">
        <f>IF(K2056&gt;0,VLOOKUP(J2056,$J$1629:$K$1718,2,FALSE),"")</f>
        <v/>
      </c>
      <c r="P2056" s="248"/>
      <c r="Q2056" s="196"/>
      <c r="R2056" s="248"/>
      <c r="T2056" s="169"/>
      <c r="U2056" s="50"/>
      <c r="V2056" s="2177"/>
      <c r="W2056" s="155"/>
      <c r="X2056" s="157"/>
      <c r="Y2056" s="157"/>
      <c r="Z2056" s="155"/>
      <c r="AA2056" s="155"/>
      <c r="AB2056" s="157"/>
      <c r="AC2056" s="155"/>
      <c r="AD2056" s="155"/>
      <c r="AE2056" s="155"/>
      <c r="AF2056" s="258" t="str">
        <f t="shared" si="255"/>
        <v/>
      </c>
      <c r="AG2056" s="228"/>
      <c r="DG2056" s="555"/>
      <c r="DH2056" s="151"/>
      <c r="DI2056" s="1049"/>
      <c r="DJ2056" s="1127"/>
    </row>
    <row r="2057" spans="1:114" ht="14.65" hidden="1" customHeight="1" outlineLevel="1" x14ac:dyDescent="0.25">
      <c r="A2057" s="442"/>
      <c r="C2057" s="49"/>
      <c r="D2057" s="2177"/>
      <c r="E2057" s="2177"/>
      <c r="F2057" s="2176" t="str">
        <f t="shared" si="253"/>
        <v>ASHP-SEER20_ER2_MF</v>
      </c>
      <c r="G2057" s="2176"/>
      <c r="H2057" s="2176"/>
      <c r="I2057" s="2176"/>
      <c r="J2057" s="986" t="str">
        <f t="shared" si="254"/>
        <v>354700_2024_12_</v>
      </c>
      <c r="K2057" s="155"/>
      <c r="L2057" s="45" t="str">
        <f>IF(K2057&gt;0,VLOOKUP(J2057,$J$909:$L$998,3,FALSE),"")</f>
        <v/>
      </c>
      <c r="M2057" s="1581" t="str">
        <f>IF(K2057&gt;0,VLOOKUP(J2057,$J$1629:$K$1718,2,FALSE),"")</f>
        <v/>
      </c>
      <c r="P2057" s="248"/>
      <c r="Q2057" s="196"/>
      <c r="R2057" s="248"/>
      <c r="T2057" s="169"/>
      <c r="U2057" s="50"/>
      <c r="V2057" s="2177"/>
      <c r="W2057" s="155"/>
      <c r="X2057" s="157"/>
      <c r="Y2057" s="157"/>
      <c r="Z2057" s="155"/>
      <c r="AA2057" s="155"/>
      <c r="AB2057" s="157"/>
      <c r="AC2057" s="155"/>
      <c r="AD2057" s="155"/>
      <c r="AE2057" s="155"/>
      <c r="AF2057" s="258" t="str">
        <f t="shared" si="255"/>
        <v/>
      </c>
      <c r="AG2057" s="228"/>
      <c r="DG2057" s="555"/>
      <c r="DH2057" s="151"/>
      <c r="DI2057" s="1049"/>
      <c r="DJ2057" s="1127"/>
    </row>
    <row r="2058" spans="1:114" ht="14.65" hidden="1" customHeight="1" outlineLevel="1" x14ac:dyDescent="0.25">
      <c r="A2058" s="442"/>
      <c r="C2058" s="49"/>
      <c r="D2058" s="2177"/>
      <c r="E2058" s="2177"/>
      <c r="F2058" s="2176" t="str">
        <f t="shared" si="253"/>
        <v>ASHP-SEER21_ER1_SF</v>
      </c>
      <c r="G2058" s="2176"/>
      <c r="H2058" s="2176"/>
      <c r="I2058" s="2176"/>
      <c r="J2058" s="986" t="str">
        <f t="shared" si="254"/>
        <v>354750_2024_12_</v>
      </c>
      <c r="K2058" s="1588">
        <f>(S$914+L2058*T$914)-(S$920+L2058*T$920)*S$926</f>
        <v>1078.0210431568885</v>
      </c>
      <c r="L2058" s="45">
        <f>VLOOKUP(J2058,$J$909:$L$998,3,FALSE)*M2058</f>
        <v>3.3440561485431846</v>
      </c>
      <c r="M2058" s="1581">
        <f>VLOOKUP(J2058,$J$1629:$K$1718,2,FALSE)</f>
        <v>1</v>
      </c>
      <c r="N2058" s="535"/>
      <c r="P2058" s="248"/>
      <c r="Q2058" s="196"/>
      <c r="R2058" s="248"/>
      <c r="T2058" s="169"/>
      <c r="U2058" s="50"/>
      <c r="V2058" s="2177"/>
      <c r="W2058" s="155">
        <v>14804.699584437089</v>
      </c>
      <c r="X2058" s="157">
        <v>8277.6207173473031</v>
      </c>
      <c r="Y2058" s="157">
        <v>2089.0025568704818</v>
      </c>
      <c r="Z2058" s="155">
        <v>2089.0025568704818</v>
      </c>
      <c r="AA2058" s="155">
        <v>2089.0025568704818</v>
      </c>
      <c r="AB2058" s="157">
        <v>2478.4195598081137</v>
      </c>
      <c r="AC2058" s="157">
        <v>2498.6373792903719</v>
      </c>
      <c r="AD2058" s="157">
        <v>2490.8675578660959</v>
      </c>
      <c r="AE2058" s="157">
        <v>2602.2336285635597</v>
      </c>
      <c r="AF2058" s="258">
        <f t="shared" si="255"/>
        <v>1078.0210431568885</v>
      </c>
      <c r="AG2058" s="228"/>
      <c r="DG2058" s="555"/>
      <c r="DH2058" s="151"/>
      <c r="DI2058" s="1049"/>
      <c r="DJ2058" s="1127"/>
    </row>
    <row r="2059" spans="1:114" ht="14.65" hidden="1" customHeight="1" outlineLevel="1" x14ac:dyDescent="0.25">
      <c r="A2059" s="442"/>
      <c r="C2059" s="49"/>
      <c r="D2059" s="2177"/>
      <c r="E2059" s="2177"/>
      <c r="F2059" s="2176" t="str">
        <f t="shared" si="253"/>
        <v>ASHP-SEER21_ER1_SF</v>
      </c>
      <c r="G2059" s="2176"/>
      <c r="H2059" s="2176"/>
      <c r="I2059" s="2176"/>
      <c r="J2059" s="986" t="str">
        <f t="shared" si="254"/>
        <v>354750_2024_12_</v>
      </c>
      <c r="K2059" s="155"/>
      <c r="L2059" s="45" t="str">
        <f>IF(K2059&gt;0,VLOOKUP(J2059,$J$909:$L$998,3,FALSE),"")</f>
        <v/>
      </c>
      <c r="M2059" s="1581" t="str">
        <f>IF(K2059&gt;0,VLOOKUP(J2059,$J$1629:$K$1718,2,FALSE),"")</f>
        <v/>
      </c>
      <c r="P2059" s="248"/>
      <c r="Q2059" s="196"/>
      <c r="R2059" s="248"/>
      <c r="T2059" s="169"/>
      <c r="U2059" s="50"/>
      <c r="V2059" s="2177"/>
      <c r="W2059" s="155"/>
      <c r="X2059" s="157"/>
      <c r="Y2059" s="157"/>
      <c r="Z2059" s="155"/>
      <c r="AA2059" s="155"/>
      <c r="AB2059" s="157"/>
      <c r="AC2059" s="155"/>
      <c r="AD2059" s="155"/>
      <c r="AE2059" s="155"/>
      <c r="AF2059" s="258" t="str">
        <f t="shared" si="255"/>
        <v/>
      </c>
      <c r="AG2059" s="228"/>
      <c r="DG2059" s="555"/>
      <c r="DH2059" s="151"/>
      <c r="DI2059" s="1049"/>
      <c r="DJ2059" s="1127"/>
    </row>
    <row r="2060" spans="1:114" ht="14.65" hidden="1" customHeight="1" outlineLevel="1" x14ac:dyDescent="0.25">
      <c r="A2060" s="442"/>
      <c r="C2060" s="49"/>
      <c r="D2060" s="2177"/>
      <c r="E2060" s="2177"/>
      <c r="F2060" s="2176" t="str">
        <f t="shared" ref="F2060:F2065" si="256">E869</f>
        <v>ASHP-SEER21_ER2_SF</v>
      </c>
      <c r="G2060" s="2176"/>
      <c r="H2060" s="2176"/>
      <c r="I2060" s="2176"/>
      <c r="J2060" s="986" t="str">
        <f t="shared" ref="J2060:J2065" si="257">C869</f>
        <v>354750_2024_12_</v>
      </c>
      <c r="K2060" s="155"/>
      <c r="L2060" s="45" t="str">
        <f>IF(K2060&gt;0,VLOOKUP(J2060,$J$909:$L$998,3,FALSE),"")</f>
        <v/>
      </c>
      <c r="M2060" s="1581" t="str">
        <f>IF(K2060&gt;0,VLOOKUP(J2060,$J$1629:$K$1718,2,FALSE),"")</f>
        <v/>
      </c>
      <c r="P2060" s="248"/>
      <c r="Q2060" s="196"/>
      <c r="R2060" s="248"/>
      <c r="T2060" s="169"/>
      <c r="U2060" s="50"/>
      <c r="V2060" s="2177"/>
      <c r="W2060" s="155"/>
      <c r="X2060" s="157"/>
      <c r="Y2060" s="157"/>
      <c r="Z2060" s="155"/>
      <c r="AA2060" s="155"/>
      <c r="AB2060" s="157"/>
      <c r="AC2060" s="155"/>
      <c r="AD2060" s="155"/>
      <c r="AE2060" s="155"/>
      <c r="AF2060" s="258" t="str">
        <f t="shared" si="255"/>
        <v/>
      </c>
      <c r="AG2060" s="228"/>
      <c r="DG2060" s="555"/>
      <c r="DH2060" s="151"/>
      <c r="DI2060" s="1049"/>
      <c r="DJ2060" s="1127"/>
    </row>
    <row r="2061" spans="1:114" ht="14.65" hidden="1" customHeight="1" outlineLevel="1" x14ac:dyDescent="0.25">
      <c r="A2061" s="442"/>
      <c r="C2061" s="49"/>
      <c r="D2061" s="2177"/>
      <c r="E2061" s="2177"/>
      <c r="F2061" s="2176" t="str">
        <f t="shared" si="256"/>
        <v>ASHP-SEER21_ER2_SF</v>
      </c>
      <c r="G2061" s="2176"/>
      <c r="H2061" s="2176"/>
      <c r="I2061" s="2176"/>
      <c r="J2061" s="986" t="str">
        <f t="shared" si="257"/>
        <v>354750_2024_12_</v>
      </c>
      <c r="K2061" s="155"/>
      <c r="L2061" s="45" t="str">
        <f>IF(K2061&gt;0,VLOOKUP(J2061,$J$909:$L$998,3,FALSE),"")</f>
        <v/>
      </c>
      <c r="M2061" s="1581" t="str">
        <f>IF(K2061&gt;0,VLOOKUP(J2061,$J$1629:$K$1718,2,FALSE),"")</f>
        <v/>
      </c>
      <c r="P2061" s="248"/>
      <c r="Q2061" s="196"/>
      <c r="R2061" s="248"/>
      <c r="T2061" s="169"/>
      <c r="U2061" s="50"/>
      <c r="V2061" s="2177"/>
      <c r="W2061" s="155"/>
      <c r="X2061" s="157"/>
      <c r="Y2061" s="157"/>
      <c r="Z2061" s="155"/>
      <c r="AA2061" s="155"/>
      <c r="AB2061" s="157"/>
      <c r="AC2061" s="155"/>
      <c r="AD2061" s="155"/>
      <c r="AE2061" s="155"/>
      <c r="AF2061" s="258" t="str">
        <f t="shared" si="255"/>
        <v/>
      </c>
      <c r="AG2061" s="228"/>
      <c r="DG2061" s="555"/>
      <c r="DH2061" s="151"/>
      <c r="DI2061" s="1049"/>
      <c r="DJ2061" s="1127"/>
    </row>
    <row r="2062" spans="1:114" ht="14.65" hidden="1" customHeight="1" outlineLevel="1" x14ac:dyDescent="0.25">
      <c r="A2062" s="442"/>
      <c r="C2062" s="49"/>
      <c r="D2062" s="2177"/>
      <c r="E2062" s="2177"/>
      <c r="F2062" s="2176" t="str">
        <f t="shared" si="256"/>
        <v>ASHP-SEER21_ROF_SF</v>
      </c>
      <c r="G2062" s="2176"/>
      <c r="H2062" s="2176"/>
      <c r="I2062" s="2176"/>
      <c r="J2062" s="986" t="str">
        <f t="shared" si="257"/>
        <v>354800_2024_12_</v>
      </c>
      <c r="K2062" s="1588">
        <f>(S$914+L2062*T$914)-(S$918+L2062*T$918)</f>
        <v>1081</v>
      </c>
      <c r="L2062" s="45">
        <f>VLOOKUP(J2062,$J$909:$L$998,3,FALSE)*M2062</f>
        <v>3.4699494950520831</v>
      </c>
      <c r="M2062" s="1581">
        <f>VLOOKUP(J2062,$J$1629:$K$1718,2,FALSE)</f>
        <v>1</v>
      </c>
      <c r="N2062" s="535"/>
      <c r="P2062" s="248"/>
      <c r="Q2062" s="196"/>
      <c r="R2062" s="248"/>
      <c r="T2062" s="169"/>
      <c r="U2062" s="50"/>
      <c r="V2062" s="2177"/>
      <c r="W2062" s="155">
        <v>9976</v>
      </c>
      <c r="X2062" s="157">
        <v>5576.7511799999966</v>
      </c>
      <c r="Y2062" s="157">
        <v>1160</v>
      </c>
      <c r="Z2062" s="155">
        <v>1160</v>
      </c>
      <c r="AA2062" s="155">
        <v>1160</v>
      </c>
      <c r="AB2062" s="157">
        <v>1689.9245999999991</v>
      </c>
      <c r="AC2062" s="155">
        <v>1689.9245999999991</v>
      </c>
      <c r="AD2062" s="155">
        <v>1689.9245999999991</v>
      </c>
      <c r="AE2062" s="155">
        <v>1689.9245999999991</v>
      </c>
      <c r="AF2062" s="258">
        <f t="shared" si="255"/>
        <v>1081</v>
      </c>
      <c r="AG2062" s="228"/>
      <c r="DG2062" s="555"/>
      <c r="DH2062" s="151"/>
      <c r="DI2062" s="1049"/>
      <c r="DJ2062" s="1127"/>
    </row>
    <row r="2063" spans="1:114" ht="14.65" hidden="1" customHeight="1" outlineLevel="1" x14ac:dyDescent="0.25">
      <c r="A2063" s="442"/>
      <c r="C2063" s="49"/>
      <c r="D2063" s="2177"/>
      <c r="E2063" s="2177"/>
      <c r="F2063" s="2176" t="str">
        <f t="shared" si="256"/>
        <v>ASHP-SEER21_ROF_SF</v>
      </c>
      <c r="G2063" s="2176"/>
      <c r="H2063" s="2176"/>
      <c r="I2063" s="2176"/>
      <c r="J2063" s="986" t="str">
        <f t="shared" si="257"/>
        <v>354800_2024_12_</v>
      </c>
      <c r="K2063" s="155"/>
      <c r="L2063" s="45" t="str">
        <f>IF(K2063&gt;0,VLOOKUP(J2063,$J$909:$L$998,3,FALSE),"")</f>
        <v/>
      </c>
      <c r="M2063" s="1581" t="str">
        <f>IF(K2063&gt;0,VLOOKUP(J2063,$J$1629:$K$1718,2,FALSE),"")</f>
        <v/>
      </c>
      <c r="P2063" s="248"/>
      <c r="Q2063" s="196"/>
      <c r="R2063" s="248"/>
      <c r="T2063" s="169"/>
      <c r="U2063" s="50"/>
      <c r="V2063" s="2177"/>
      <c r="W2063" s="155"/>
      <c r="X2063" s="157"/>
      <c r="Y2063" s="157"/>
      <c r="Z2063" s="155"/>
      <c r="AA2063" s="155"/>
      <c r="AB2063" s="157"/>
      <c r="AC2063" s="155"/>
      <c r="AD2063" s="155"/>
      <c r="AE2063" s="155"/>
      <c r="AF2063" s="258" t="str">
        <f t="shared" si="255"/>
        <v/>
      </c>
      <c r="AG2063" s="228"/>
      <c r="DG2063" s="555"/>
      <c r="DH2063" s="151"/>
      <c r="DI2063" s="1049"/>
      <c r="DJ2063" s="1127"/>
    </row>
    <row r="2064" spans="1:114" ht="14.65" hidden="1" customHeight="1" outlineLevel="1" x14ac:dyDescent="0.25">
      <c r="A2064" s="442"/>
      <c r="C2064" s="49"/>
      <c r="D2064" s="2177"/>
      <c r="E2064" s="2177"/>
      <c r="F2064" s="2176" t="str">
        <f t="shared" si="256"/>
        <v>ASHP-SEER21-Replace_CAC_ElectricHeat_ROF_MF</v>
      </c>
      <c r="G2064" s="2176"/>
      <c r="H2064" s="2176"/>
      <c r="I2064" s="2176"/>
      <c r="J2064" s="986" t="str">
        <f t="shared" si="257"/>
        <v>354850_2024_12_</v>
      </c>
      <c r="K2064" s="1588">
        <f>(S$914+L2064*T$914)-(S$919+L2064*T$919)</f>
        <v>3689</v>
      </c>
      <c r="L2064" s="45">
        <f>VLOOKUP(J2064,$J$909:$L$998,3,FALSE)*M2064</f>
        <v>1.8199999999999998</v>
      </c>
      <c r="M2064" s="1581">
        <f>VLOOKUP(J2064,$J$1629:$K$1718,2,FALSE)</f>
        <v>0.65</v>
      </c>
      <c r="N2064" s="535"/>
      <c r="P2064" s="248"/>
      <c r="Q2064" s="196"/>
      <c r="R2064" s="248"/>
      <c r="T2064" s="169"/>
      <c r="U2064" s="50"/>
      <c r="V2064" s="2177"/>
      <c r="W2064" s="155">
        <v>10092</v>
      </c>
      <c r="X2064" s="157">
        <v>3075.6627719999983</v>
      </c>
      <c r="Y2064" s="157">
        <v>1160</v>
      </c>
      <c r="Z2064" s="155">
        <v>1160</v>
      </c>
      <c r="AA2064" s="155">
        <v>1160</v>
      </c>
      <c r="AB2064" s="157">
        <v>1689.9245999999991</v>
      </c>
      <c r="AC2064" s="155">
        <v>1689.9245999999991</v>
      </c>
      <c r="AD2064" s="155">
        <v>1689.9245999999991</v>
      </c>
      <c r="AE2064" s="155">
        <v>1689.9245999999991</v>
      </c>
      <c r="AF2064" s="258">
        <f t="shared" si="255"/>
        <v>3689</v>
      </c>
      <c r="AG2064" s="228"/>
      <c r="DG2064" s="555"/>
      <c r="DH2064" s="151"/>
      <c r="DI2064" s="1049"/>
      <c r="DJ2064" s="1127"/>
    </row>
    <row r="2065" spans="1:114" ht="14.65" hidden="1" customHeight="1" outlineLevel="1" x14ac:dyDescent="0.25">
      <c r="A2065" s="442"/>
      <c r="C2065" s="49"/>
      <c r="D2065" s="2177"/>
      <c r="E2065" s="2177"/>
      <c r="F2065" s="2176" t="str">
        <f t="shared" si="256"/>
        <v>ASHP-SEER21-Replace_CAC_ElectricHeat_ROF_MF</v>
      </c>
      <c r="G2065" s="2176"/>
      <c r="H2065" s="2176"/>
      <c r="I2065" s="2176"/>
      <c r="J2065" s="986" t="str">
        <f t="shared" si="257"/>
        <v>354850_2024_12_</v>
      </c>
      <c r="K2065" s="155"/>
      <c r="L2065" s="45" t="str">
        <f>IF(K2065&gt;0,VLOOKUP(J2065,$J$909:$L$998,3,FALSE),"")</f>
        <v/>
      </c>
      <c r="M2065" s="1581" t="str">
        <f>IF(K2065&gt;0,VLOOKUP(J2065,$J$1629:$K$1718,2,FALSE),"")</f>
        <v/>
      </c>
      <c r="P2065" s="248"/>
      <c r="Q2065" s="196"/>
      <c r="R2065" s="248"/>
      <c r="T2065" s="169"/>
      <c r="U2065" s="50"/>
      <c r="V2065" s="2177"/>
      <c r="W2065" s="155"/>
      <c r="X2065" s="157"/>
      <c r="Y2065" s="157"/>
      <c r="Z2065" s="155"/>
      <c r="AA2065" s="155"/>
      <c r="AB2065" s="157"/>
      <c r="AC2065" s="155"/>
      <c r="AD2065" s="155"/>
      <c r="AE2065" s="155"/>
      <c r="AF2065" s="258" t="str">
        <f t="shared" si="255"/>
        <v/>
      </c>
      <c r="AG2065" s="228"/>
      <c r="DG2065" s="555"/>
      <c r="DH2065" s="151"/>
      <c r="DI2065" s="1049"/>
      <c r="DJ2065" s="1127"/>
    </row>
    <row r="2066" spans="1:114" ht="14.65" hidden="1" customHeight="1" outlineLevel="1" x14ac:dyDescent="0.25">
      <c r="A2066" s="442"/>
      <c r="C2066" s="49"/>
      <c r="D2066" s="2177"/>
      <c r="E2066" s="2177"/>
      <c r="F2066" s="2176" t="e">
        <f>#REF!</f>
        <v>#REF!</v>
      </c>
      <c r="G2066" s="2176"/>
      <c r="H2066" s="2176"/>
      <c r="I2066" s="2176"/>
      <c r="J2066" s="986" t="e">
        <f>#REF!</f>
        <v>#REF!</v>
      </c>
      <c r="K2066" s="1588" t="e">
        <f>((S$914+L2066*T$914)-(S$919+L2066*T$919))*VLOOKUP(J2066,$J$2082:$K$2095,2,FALSE)</f>
        <v>#REF!</v>
      </c>
      <c r="L2066" s="45" t="e">
        <f>VLOOKUP(J2066,$J$909:$L$998,3,FALSE)*M2066</f>
        <v>#REF!</v>
      </c>
      <c r="M2066" s="1581" t="e">
        <f>VLOOKUP(J2066,$J$1629:$K$1718,2,FALSE)</f>
        <v>#REF!</v>
      </c>
      <c r="N2066" s="535"/>
      <c r="P2066" s="248"/>
      <c r="Q2066" s="196"/>
      <c r="R2066" s="248"/>
      <c r="T2066" s="169"/>
      <c r="U2066" s="50"/>
      <c r="V2066" s="2177"/>
      <c r="W2066" s="155"/>
      <c r="X2066" s="157"/>
      <c r="Y2066" s="157"/>
      <c r="Z2066" s="155"/>
      <c r="AA2066" s="155"/>
      <c r="AB2066" s="157"/>
      <c r="AC2066" s="157">
        <v>1689.9245999999991</v>
      </c>
      <c r="AD2066" s="155">
        <v>1689.9245999999991</v>
      </c>
      <c r="AE2066" s="155">
        <v>1689.9245999999991</v>
      </c>
      <c r="AF2066" s="258" t="e">
        <f t="shared" si="255"/>
        <v>#REF!</v>
      </c>
      <c r="AG2066" s="228"/>
      <c r="DG2066" s="555"/>
      <c r="DH2066" s="151"/>
      <c r="DI2066" s="1049"/>
      <c r="DJ2066" s="1127"/>
    </row>
    <row r="2067" spans="1:114" ht="14.65" hidden="1" customHeight="1" outlineLevel="1" x14ac:dyDescent="0.25">
      <c r="A2067" s="442"/>
      <c r="C2067" s="49"/>
      <c r="D2067" s="2177"/>
      <c r="E2067" s="2177"/>
      <c r="F2067" s="2176" t="e">
        <f>#REF!</f>
        <v>#REF!</v>
      </c>
      <c r="G2067" s="2176"/>
      <c r="H2067" s="2176"/>
      <c r="I2067" s="2176"/>
      <c r="J2067" s="986" t="e">
        <f>#REF!</f>
        <v>#REF!</v>
      </c>
      <c r="K2067" s="155"/>
      <c r="L2067" s="45"/>
      <c r="M2067" s="1581"/>
      <c r="P2067" s="248"/>
      <c r="Q2067" s="196"/>
      <c r="R2067" s="248"/>
      <c r="T2067" s="169"/>
      <c r="U2067" s="50"/>
      <c r="V2067" s="2177"/>
      <c r="W2067" s="155"/>
      <c r="X2067" s="157"/>
      <c r="Y2067" s="157"/>
      <c r="Z2067" s="155"/>
      <c r="AA2067" s="155"/>
      <c r="AB2067" s="157"/>
      <c r="AC2067" s="155"/>
      <c r="AD2067" s="155"/>
      <c r="AE2067" s="155"/>
      <c r="AF2067" s="258" t="str">
        <f t="shared" si="255"/>
        <v/>
      </c>
      <c r="AG2067" s="228"/>
      <c r="DG2067" s="555"/>
      <c r="DH2067" s="151"/>
      <c r="DI2067" s="1049"/>
      <c r="DJ2067" s="1127"/>
    </row>
    <row r="2068" spans="1:114" ht="14.65" hidden="1" customHeight="1" outlineLevel="1" x14ac:dyDescent="0.25">
      <c r="A2068" s="442"/>
      <c r="C2068" s="49"/>
      <c r="D2068" s="2177"/>
      <c r="E2068" s="2177"/>
      <c r="F2068" s="2176" t="str">
        <f t="shared" ref="F2068:F2081" si="258">E875</f>
        <v>ASHP-SEER21_ER1_MF</v>
      </c>
      <c r="G2068" s="2176"/>
      <c r="H2068" s="2176"/>
      <c r="I2068" s="2176"/>
      <c r="J2068" s="986" t="str">
        <f t="shared" ref="J2068:J2081" si="259">C875</f>
        <v>354900_2024_12_</v>
      </c>
      <c r="K2068" s="1588">
        <f>(S$914+L2068*T$914)-(S$920+L2068*T$920)*S$926</f>
        <v>1077.5183641564863</v>
      </c>
      <c r="L2068" s="45">
        <f>VLOOKUP(J2068,$J$909:$L$998,3,FALSE)*M2068</f>
        <v>2.145</v>
      </c>
      <c r="M2068" s="1581">
        <f>VLOOKUP(J2068,$J$1629:$K$1718,2,FALSE)</f>
        <v>0.65</v>
      </c>
      <c r="N2068" s="535"/>
      <c r="P2068" s="248"/>
      <c r="Q2068" s="196"/>
      <c r="R2068" s="248"/>
      <c r="T2068" s="169"/>
      <c r="U2068" s="50"/>
      <c r="V2068" s="2177"/>
      <c r="W2068" s="155">
        <v>15995.882309621684</v>
      </c>
      <c r="X2068" s="157">
        <v>5380.4534662757469</v>
      </c>
      <c r="Y2068" s="157">
        <v>1763.8516619658126</v>
      </c>
      <c r="Z2068" s="155">
        <v>1763.8516619658126</v>
      </c>
      <c r="AA2068" s="155">
        <v>1763.8516619658126</v>
      </c>
      <c r="AB2068" s="157">
        <v>2202.4463238752733</v>
      </c>
      <c r="AC2068" s="155">
        <v>2202.4463238752733</v>
      </c>
      <c r="AD2068" s="155">
        <v>2202.4463238752733</v>
      </c>
      <c r="AE2068" s="157">
        <v>2275.1129997585826</v>
      </c>
      <c r="AF2068" s="258">
        <f t="shared" si="255"/>
        <v>1077.5183641564863</v>
      </c>
      <c r="AG2068" s="228"/>
      <c r="DG2068" s="555"/>
      <c r="DH2068" s="151"/>
      <c r="DI2068" s="1049"/>
      <c r="DJ2068" s="1127"/>
    </row>
    <row r="2069" spans="1:114" ht="14.65" hidden="1" customHeight="1" outlineLevel="1" x14ac:dyDescent="0.25">
      <c r="A2069" s="442"/>
      <c r="C2069" s="49"/>
      <c r="D2069" s="2177"/>
      <c r="E2069" s="2177"/>
      <c r="F2069" s="2176" t="str">
        <f t="shared" si="258"/>
        <v>ASHP-SEER21_ER1_MF</v>
      </c>
      <c r="G2069" s="2176"/>
      <c r="H2069" s="2176"/>
      <c r="I2069" s="2176"/>
      <c r="J2069" s="986" t="str">
        <f t="shared" si="259"/>
        <v>354900_2024_12_</v>
      </c>
      <c r="K2069" s="155"/>
      <c r="L2069" s="45" t="str">
        <f>IF(K2069&gt;0,VLOOKUP(J2069,$J$909:$L$998,3,FALSE),"")</f>
        <v/>
      </c>
      <c r="M2069" s="1581" t="str">
        <f>IF(K2069&gt;0,VLOOKUP(J2069,$J$1629:$K$1718,2,FALSE),"")</f>
        <v/>
      </c>
      <c r="P2069" s="248"/>
      <c r="Q2069" s="196"/>
      <c r="R2069" s="248"/>
      <c r="T2069" s="169"/>
      <c r="U2069" s="50"/>
      <c r="V2069" s="2177"/>
      <c r="W2069" s="155"/>
      <c r="X2069" s="157"/>
      <c r="Y2069" s="157"/>
      <c r="Z2069" s="155"/>
      <c r="AA2069" s="155"/>
      <c r="AB2069" s="157"/>
      <c r="AC2069" s="155"/>
      <c r="AD2069" s="155"/>
      <c r="AE2069" s="155"/>
      <c r="AF2069" s="258" t="str">
        <f t="shared" si="255"/>
        <v/>
      </c>
      <c r="AG2069" s="228"/>
      <c r="DG2069" s="555"/>
      <c r="DH2069" s="151"/>
      <c r="DI2069" s="1049"/>
      <c r="DJ2069" s="1127"/>
    </row>
    <row r="2070" spans="1:114" ht="14.65" hidden="1" customHeight="1" outlineLevel="1" x14ac:dyDescent="0.25">
      <c r="A2070" s="442"/>
      <c r="C2070" s="49"/>
      <c r="D2070" s="2177"/>
      <c r="E2070" s="2177"/>
      <c r="F2070" s="2176" t="str">
        <f t="shared" si="258"/>
        <v>ASHP-SEER21_ER2_MF</v>
      </c>
      <c r="G2070" s="2176"/>
      <c r="H2070" s="2176"/>
      <c r="I2070" s="2176"/>
      <c r="J2070" s="986" t="str">
        <f t="shared" si="259"/>
        <v>354900_2024_12_</v>
      </c>
      <c r="K2070" s="155"/>
      <c r="L2070" s="45" t="str">
        <f>IF(K2070&gt;0,VLOOKUP(J2070,$J$909:$L$998,3,FALSE),"")</f>
        <v/>
      </c>
      <c r="M2070" s="1581" t="str">
        <f>IF(K2070&gt;0,VLOOKUP(J2070,$J$1629:$K$1718,2,FALSE),"")</f>
        <v/>
      </c>
      <c r="P2070" s="248"/>
      <c r="Q2070" s="196"/>
      <c r="R2070" s="248"/>
      <c r="T2070" s="169"/>
      <c r="U2070" s="50"/>
      <c r="V2070" s="2177"/>
      <c r="W2070" s="155"/>
      <c r="X2070" s="157"/>
      <c r="Y2070" s="157"/>
      <c r="Z2070" s="155"/>
      <c r="AA2070" s="155"/>
      <c r="AB2070" s="157"/>
      <c r="AC2070" s="155"/>
      <c r="AD2070" s="155"/>
      <c r="AE2070" s="155"/>
      <c r="AF2070" s="258" t="str">
        <f t="shared" si="255"/>
        <v/>
      </c>
      <c r="AG2070" s="228"/>
      <c r="DG2070" s="555"/>
      <c r="DH2070" s="151"/>
      <c r="DI2070" s="1049"/>
      <c r="DJ2070" s="1127"/>
    </row>
    <row r="2071" spans="1:114" ht="14.65" hidden="1" customHeight="1" outlineLevel="1" x14ac:dyDescent="0.25">
      <c r="A2071" s="442"/>
      <c r="C2071" s="49"/>
      <c r="D2071" s="2177"/>
      <c r="E2071" s="2177"/>
      <c r="F2071" s="2176" t="str">
        <f t="shared" si="258"/>
        <v>ASHP-SEER21_ER2_MF</v>
      </c>
      <c r="G2071" s="2176"/>
      <c r="H2071" s="2176"/>
      <c r="I2071" s="2176"/>
      <c r="J2071" s="986" t="str">
        <f t="shared" si="259"/>
        <v>354900_2024_12_</v>
      </c>
      <c r="K2071" s="155"/>
      <c r="L2071" s="45" t="str">
        <f>IF(K2071&gt;0,VLOOKUP(J2071,$J$909:$L$998,3,FALSE),"")</f>
        <v/>
      </c>
      <c r="M2071" s="1581" t="str">
        <f>IF(K2071&gt;0,VLOOKUP(J2071,$J$1629:$K$1718,2,FALSE),"")</f>
        <v/>
      </c>
      <c r="P2071" s="248"/>
      <c r="Q2071" s="196"/>
      <c r="R2071" s="248"/>
      <c r="T2071" s="169"/>
      <c r="U2071" s="50"/>
      <c r="V2071" s="2177"/>
      <c r="W2071" s="155"/>
      <c r="X2071" s="157"/>
      <c r="Y2071" s="157"/>
      <c r="Z2071" s="155"/>
      <c r="AA2071" s="155"/>
      <c r="AB2071" s="157"/>
      <c r="AC2071" s="155"/>
      <c r="AD2071" s="155"/>
      <c r="AE2071" s="155"/>
      <c r="AF2071" s="258" t="str">
        <f t="shared" si="255"/>
        <v/>
      </c>
      <c r="AG2071" s="228"/>
      <c r="DG2071" s="555"/>
      <c r="DH2071" s="151"/>
      <c r="DI2071" s="1049"/>
      <c r="DJ2071" s="1127"/>
    </row>
    <row r="2072" spans="1:114" ht="14.65" hidden="1" customHeight="1" outlineLevel="1" x14ac:dyDescent="0.25">
      <c r="A2072" s="442"/>
      <c r="C2072" s="49"/>
      <c r="D2072" s="2177"/>
      <c r="E2072" s="2177"/>
      <c r="F2072" s="2176" t="str">
        <f t="shared" si="258"/>
        <v>ASHP-SEER17_ROF_MF</v>
      </c>
      <c r="G2072" s="2176"/>
      <c r="H2072" s="2176"/>
      <c r="I2072" s="2176"/>
      <c r="J2072" s="986" t="str">
        <f t="shared" si="259"/>
        <v>354950_2024_12_</v>
      </c>
      <c r="K2072" s="1588">
        <f>(S$912+L2072*T$912)-(S$918+L2072*T$918)</f>
        <v>630</v>
      </c>
      <c r="L2072" s="45">
        <f>VLOOKUP(J2072,$J$909:$L$998,3,FALSE)*M2072</f>
        <v>2.145</v>
      </c>
      <c r="M2072" s="1581">
        <f>VLOOKUP(J2072,$J$1629:$K$1718,2,FALSE)</f>
        <v>0.65</v>
      </c>
      <c r="N2072" s="535"/>
      <c r="P2072" s="248"/>
      <c r="Q2072" s="196"/>
      <c r="R2072" s="248"/>
      <c r="T2072" s="169"/>
      <c r="U2072" s="50"/>
      <c r="V2072" s="2177"/>
      <c r="W2072" s="155">
        <v>1914</v>
      </c>
      <c r="X2072" s="157">
        <v>1552.98</v>
      </c>
      <c r="Y2072" s="157">
        <v>580</v>
      </c>
      <c r="Z2072" s="155">
        <v>580</v>
      </c>
      <c r="AA2072" s="155">
        <v>580</v>
      </c>
      <c r="AB2072" s="157">
        <v>724</v>
      </c>
      <c r="AC2072" s="155">
        <v>724</v>
      </c>
      <c r="AD2072" s="155">
        <v>724</v>
      </c>
      <c r="AE2072" s="155">
        <v>724</v>
      </c>
      <c r="AF2072" s="258">
        <f t="shared" si="255"/>
        <v>630</v>
      </c>
      <c r="AG2072" s="228"/>
      <c r="DG2072" s="555"/>
      <c r="DH2072" s="151"/>
      <c r="DI2072" s="1049"/>
      <c r="DJ2072" s="1127"/>
    </row>
    <row r="2073" spans="1:114" ht="14.65" hidden="1" customHeight="1" outlineLevel="1" x14ac:dyDescent="0.25">
      <c r="A2073" s="442"/>
      <c r="C2073" s="49"/>
      <c r="D2073" s="2177"/>
      <c r="E2073" s="2177"/>
      <c r="F2073" s="2176" t="str">
        <f t="shared" si="258"/>
        <v>ASHP-SEER17_ROF_MF</v>
      </c>
      <c r="G2073" s="2176"/>
      <c r="H2073" s="2176"/>
      <c r="I2073" s="2176"/>
      <c r="J2073" s="986" t="str">
        <f t="shared" si="259"/>
        <v>354950_2024_12_</v>
      </c>
      <c r="K2073" s="155"/>
      <c r="L2073" s="45" t="str">
        <f>IF(K2073&gt;0,VLOOKUP(J2073,$J$909:$L$998,3,FALSE),"")</f>
        <v/>
      </c>
      <c r="M2073" s="1581" t="str">
        <f>IF(K2073&gt;0,VLOOKUP(J2073,$J$1629:$K$1718,2,FALSE),"")</f>
        <v/>
      </c>
      <c r="P2073" s="248"/>
      <c r="Q2073" s="196"/>
      <c r="R2073" s="248"/>
      <c r="T2073" s="169"/>
      <c r="U2073" s="50"/>
      <c r="V2073" s="2177"/>
      <c r="W2073" s="155"/>
      <c r="X2073" s="157"/>
      <c r="Y2073" s="157"/>
      <c r="Z2073" s="155"/>
      <c r="AA2073" s="155"/>
      <c r="AB2073" s="157"/>
      <c r="AC2073" s="155"/>
      <c r="AD2073" s="155"/>
      <c r="AE2073" s="155"/>
      <c r="AF2073" s="258" t="str">
        <f t="shared" si="255"/>
        <v/>
      </c>
      <c r="AG2073" s="228"/>
      <c r="DG2073" s="555"/>
      <c r="DH2073" s="151"/>
      <c r="DI2073" s="1049"/>
      <c r="DJ2073" s="1127"/>
    </row>
    <row r="2074" spans="1:114" ht="14.65" hidden="1" customHeight="1" outlineLevel="1" x14ac:dyDescent="0.25">
      <c r="A2074" s="442"/>
      <c r="C2074" s="49"/>
      <c r="D2074" s="2177"/>
      <c r="E2074" s="2177"/>
      <c r="F2074" s="2176" t="str">
        <f t="shared" si="258"/>
        <v>ASHP-SEER18_ROF_MF</v>
      </c>
      <c r="G2074" s="2176"/>
      <c r="H2074" s="2176"/>
      <c r="I2074" s="2176"/>
      <c r="J2074" s="986" t="str">
        <f t="shared" si="259"/>
        <v>355000_2024_12_</v>
      </c>
      <c r="K2074" s="1588">
        <f>(S$913+L2074*T$913)-(S$918+L2074*T$918)</f>
        <v>855</v>
      </c>
      <c r="L2074" s="45">
        <f>VLOOKUP(J2074,$J$909:$L$998,3,FALSE)*M2074</f>
        <v>2.145</v>
      </c>
      <c r="M2074" s="1581">
        <f>VLOOKUP(J2074,$J$1629:$K$1718,2,FALSE)</f>
        <v>0.65</v>
      </c>
      <c r="N2074" s="535"/>
      <c r="P2074" s="248"/>
      <c r="Q2074" s="196"/>
      <c r="R2074" s="248"/>
      <c r="T2074" s="169"/>
      <c r="U2074" s="50"/>
      <c r="V2074" s="2177"/>
      <c r="W2074" s="155">
        <v>2354</v>
      </c>
      <c r="X2074" s="157">
        <v>2065.4634000000001</v>
      </c>
      <c r="Y2074" s="157">
        <v>713.33333333333337</v>
      </c>
      <c r="Z2074" s="155">
        <v>713.33333333333337</v>
      </c>
      <c r="AA2074" s="155">
        <v>713.33333333333337</v>
      </c>
      <c r="AB2074" s="157">
        <v>962.92000000000007</v>
      </c>
      <c r="AC2074" s="155">
        <v>962.92000000000007</v>
      </c>
      <c r="AD2074" s="155">
        <v>962.92000000000007</v>
      </c>
      <c r="AE2074" s="155">
        <v>962.92000000000007</v>
      </c>
      <c r="AF2074" s="258">
        <f t="shared" si="255"/>
        <v>855</v>
      </c>
      <c r="AG2074" s="228"/>
      <c r="DG2074" s="555"/>
      <c r="DH2074" s="151"/>
      <c r="DI2074" s="1049"/>
      <c r="DJ2074" s="1127"/>
    </row>
    <row r="2075" spans="1:114" ht="14.65" hidden="1" customHeight="1" outlineLevel="1" x14ac:dyDescent="0.25">
      <c r="A2075" s="442"/>
      <c r="C2075" s="49"/>
      <c r="D2075" s="2177"/>
      <c r="E2075" s="2177"/>
      <c r="F2075" s="2176" t="str">
        <f t="shared" si="258"/>
        <v>ASHP-SEER18_ROF_MF</v>
      </c>
      <c r="G2075" s="2176"/>
      <c r="H2075" s="2176"/>
      <c r="I2075" s="2176"/>
      <c r="J2075" s="986" t="str">
        <f t="shared" si="259"/>
        <v>355000_2024_12_</v>
      </c>
      <c r="K2075" s="155"/>
      <c r="L2075" s="45" t="str">
        <f>IF(K2075&gt;0,VLOOKUP(J2075,$J$909:$L$998,3,FALSE),"")</f>
        <v/>
      </c>
      <c r="M2075" s="1581" t="str">
        <f>IF(K2075&gt;0,VLOOKUP(J2075,$J$1629:$K$1718,2,FALSE),"")</f>
        <v/>
      </c>
      <c r="P2075" s="248"/>
      <c r="Q2075" s="196"/>
      <c r="R2075" s="248"/>
      <c r="T2075" s="169"/>
      <c r="U2075" s="50"/>
      <c r="V2075" s="2177"/>
      <c r="W2075" s="155"/>
      <c r="X2075" s="157"/>
      <c r="Y2075" s="157"/>
      <c r="Z2075" s="155"/>
      <c r="AA2075" s="155"/>
      <c r="AB2075" s="157"/>
      <c r="AC2075" s="155"/>
      <c r="AD2075" s="155"/>
      <c r="AE2075" s="155"/>
      <c r="AF2075" s="258" t="str">
        <f t="shared" si="255"/>
        <v/>
      </c>
      <c r="AG2075" s="228"/>
      <c r="DG2075" s="555"/>
      <c r="DH2075" s="151"/>
      <c r="DI2075" s="1049"/>
      <c r="DJ2075" s="1127"/>
    </row>
    <row r="2076" spans="1:114" ht="14.65" hidden="1" customHeight="1" outlineLevel="1" x14ac:dyDescent="0.25">
      <c r="A2076" s="442"/>
      <c r="C2076" s="49"/>
      <c r="D2076" s="2177"/>
      <c r="E2076" s="2177"/>
      <c r="F2076" s="2176" t="str">
        <f t="shared" si="258"/>
        <v>ASHP-SEER19_ROF_MF</v>
      </c>
      <c r="G2076" s="2176"/>
      <c r="H2076" s="2176"/>
      <c r="I2076" s="2176"/>
      <c r="J2076" s="986" t="str">
        <f t="shared" si="259"/>
        <v>355050_2024_12_</v>
      </c>
      <c r="K2076" s="1588">
        <f>(S$914+L2076*T$914)-(S$918+L2076*T$918)</f>
        <v>1081</v>
      </c>
      <c r="L2076" s="45">
        <f>VLOOKUP(J2076,$J$909:$L$998,3,FALSE)*M2076</f>
        <v>2.145</v>
      </c>
      <c r="M2076" s="1581">
        <f>VLOOKUP(J2076,$J$1629:$K$1718,2,FALSE)</f>
        <v>0.65</v>
      </c>
      <c r="N2076" s="535"/>
      <c r="P2076" s="248"/>
      <c r="Q2076" s="196"/>
      <c r="R2076" s="248"/>
      <c r="T2076" s="169"/>
      <c r="U2076" s="50"/>
      <c r="V2076" s="2177"/>
      <c r="W2076" s="155">
        <v>2684</v>
      </c>
      <c r="X2076" s="157">
        <v>2581.8292500000007</v>
      </c>
      <c r="Y2076" s="157">
        <v>813.33333333333337</v>
      </c>
      <c r="Z2076" s="155">
        <v>813.33333333333337</v>
      </c>
      <c r="AA2076" s="155">
        <v>813.33333333333337</v>
      </c>
      <c r="AB2076" s="157">
        <v>1203.6500000000003</v>
      </c>
      <c r="AC2076" s="155">
        <v>1203.6500000000003</v>
      </c>
      <c r="AD2076" s="155">
        <v>1203.6500000000003</v>
      </c>
      <c r="AE2076" s="155">
        <v>1203.6500000000003</v>
      </c>
      <c r="AF2076" s="258">
        <f t="shared" ref="AF2076:AF2081" si="260">IF(K2076&lt;&gt;"",K2076,"")</f>
        <v>1081</v>
      </c>
      <c r="AG2076" s="228"/>
      <c r="DG2076" s="555"/>
      <c r="DH2076" s="151"/>
      <c r="DI2076" s="1049"/>
      <c r="DJ2076" s="1127"/>
    </row>
    <row r="2077" spans="1:114" ht="15" hidden="1" customHeight="1" outlineLevel="1" x14ac:dyDescent="0.25">
      <c r="A2077" s="442"/>
      <c r="C2077" s="49"/>
      <c r="D2077" s="2177"/>
      <c r="E2077" s="2177"/>
      <c r="F2077" s="2176" t="str">
        <f t="shared" si="258"/>
        <v>ASHP-SEER19_ROF_MF</v>
      </c>
      <c r="G2077" s="2176"/>
      <c r="H2077" s="2176"/>
      <c r="I2077" s="2176"/>
      <c r="J2077" s="986" t="str">
        <f t="shared" si="259"/>
        <v>355050_2024_12_</v>
      </c>
      <c r="K2077" s="155"/>
      <c r="L2077" s="45" t="str">
        <f>IF(K2077&gt;0,VLOOKUP(J2077,$J$909:$L$998,3,FALSE),"")</f>
        <v/>
      </c>
      <c r="M2077" s="1581" t="str">
        <f>IF(K2077&gt;0,VLOOKUP(J2077,$J$1629:$K$1718,2,FALSE),"")</f>
        <v/>
      </c>
      <c r="P2077" s="248"/>
      <c r="Q2077" s="196"/>
      <c r="R2077" s="248"/>
      <c r="T2077" s="169"/>
      <c r="U2077" s="50"/>
      <c r="V2077" s="2177"/>
      <c r="W2077" s="155"/>
      <c r="X2077" s="157"/>
      <c r="Y2077" s="157"/>
      <c r="Z2077" s="155"/>
      <c r="AA2077" s="155"/>
      <c r="AB2077" s="157"/>
      <c r="AC2077" s="155"/>
      <c r="AD2077" s="155"/>
      <c r="AE2077" s="155"/>
      <c r="AF2077" s="258" t="str">
        <f t="shared" si="260"/>
        <v/>
      </c>
      <c r="AG2077" s="228"/>
      <c r="DG2077" s="555"/>
      <c r="DH2077" s="151"/>
      <c r="DI2077" s="1049"/>
      <c r="DJ2077" s="1127"/>
    </row>
    <row r="2078" spans="1:114" ht="15" hidden="1" customHeight="1" outlineLevel="1" x14ac:dyDescent="0.25">
      <c r="A2078" s="442"/>
      <c r="C2078" s="49"/>
      <c r="D2078" s="2177"/>
      <c r="E2078" s="2177"/>
      <c r="F2078" s="2176" t="str">
        <f t="shared" si="258"/>
        <v>ASHP-SEER20_ROF_MF</v>
      </c>
      <c r="G2078" s="2176"/>
      <c r="H2078" s="2176"/>
      <c r="I2078" s="2176"/>
      <c r="J2078" s="986" t="str">
        <f t="shared" si="259"/>
        <v>355100_2024_12_</v>
      </c>
      <c r="K2078" s="1588">
        <f>(S$914+L2078*T$914)-(S$918+L2078*T$918)</f>
        <v>1081</v>
      </c>
      <c r="L2078" s="45">
        <f>VLOOKUP(J2078,$J$909:$L$998,3,FALSE)*M2078</f>
        <v>2.145</v>
      </c>
      <c r="M2078" s="1581">
        <f>VLOOKUP(J2078,$J$1629:$K$1718,2,FALSE)</f>
        <v>0.65</v>
      </c>
      <c r="N2078" s="535"/>
      <c r="P2078" s="248"/>
      <c r="Q2078" s="196"/>
      <c r="R2078" s="248"/>
      <c r="T2078" s="169"/>
      <c r="U2078" s="50"/>
      <c r="V2078" s="2177"/>
      <c r="W2078" s="155">
        <v>3828</v>
      </c>
      <c r="X2078" s="157">
        <v>3098.1950999999985</v>
      </c>
      <c r="Y2078" s="157">
        <v>1160</v>
      </c>
      <c r="Z2078" s="155">
        <v>1160</v>
      </c>
      <c r="AA2078" s="155">
        <v>1160</v>
      </c>
      <c r="AB2078" s="157">
        <v>1444.3799999999994</v>
      </c>
      <c r="AC2078" s="155">
        <v>1444.3799999999994</v>
      </c>
      <c r="AD2078" s="155">
        <v>1444.3799999999994</v>
      </c>
      <c r="AE2078" s="155">
        <v>1444.3799999999994</v>
      </c>
      <c r="AF2078" s="258">
        <f t="shared" si="260"/>
        <v>1081</v>
      </c>
      <c r="AG2078" s="228"/>
      <c r="DG2078" s="555"/>
      <c r="DH2078" s="151"/>
      <c r="DI2078" s="1049"/>
      <c r="DJ2078" s="1127"/>
    </row>
    <row r="2079" spans="1:114" ht="15" hidden="1" customHeight="1" outlineLevel="1" x14ac:dyDescent="0.25">
      <c r="A2079" s="442"/>
      <c r="C2079" s="49"/>
      <c r="D2079" s="2177"/>
      <c r="E2079" s="2177"/>
      <c r="F2079" s="2176" t="str">
        <f t="shared" si="258"/>
        <v>ASHP-SEER20_ROF_MF</v>
      </c>
      <c r="G2079" s="2176"/>
      <c r="H2079" s="2176"/>
      <c r="I2079" s="2176"/>
      <c r="J2079" s="986" t="str">
        <f t="shared" si="259"/>
        <v>355100_2024_12_</v>
      </c>
      <c r="K2079" s="155"/>
      <c r="L2079" s="45" t="str">
        <f>IF(K2079&gt;0,VLOOKUP(J2079,$J$909:$L$998,3,FALSE),"")</f>
        <v/>
      </c>
      <c r="M2079" s="1581" t="str">
        <f>IF(K2079&gt;0,VLOOKUP(J2079,$J$1629:$K$1718,2,FALSE),"")</f>
        <v/>
      </c>
      <c r="P2079" s="248"/>
      <c r="Q2079" s="196"/>
      <c r="R2079" s="248"/>
      <c r="T2079" s="169"/>
      <c r="U2079" s="50"/>
      <c r="V2079" s="2177"/>
      <c r="W2079" s="155"/>
      <c r="X2079" s="157"/>
      <c r="Y2079" s="157"/>
      <c r="Z2079" s="155"/>
      <c r="AA2079" s="155"/>
      <c r="AB2079" s="157"/>
      <c r="AC2079" s="155"/>
      <c r="AD2079" s="155"/>
      <c r="AE2079" s="155"/>
      <c r="AF2079" s="258" t="str">
        <f t="shared" si="260"/>
        <v/>
      </c>
      <c r="AG2079" s="228"/>
      <c r="DG2079" s="555"/>
      <c r="DH2079" s="151"/>
      <c r="DI2079" s="1049"/>
      <c r="DJ2079" s="1127"/>
    </row>
    <row r="2080" spans="1:114" ht="15" hidden="1" customHeight="1" outlineLevel="1" x14ac:dyDescent="0.25">
      <c r="A2080" s="442"/>
      <c r="C2080" s="49"/>
      <c r="D2080" s="2177"/>
      <c r="E2080" s="2177"/>
      <c r="F2080" s="2176" t="str">
        <f t="shared" si="258"/>
        <v>ASHP-SEER21_ROF_MF</v>
      </c>
      <c r="G2080" s="2176"/>
      <c r="H2080" s="2176"/>
      <c r="I2080" s="2176"/>
      <c r="J2080" s="986" t="str">
        <f t="shared" si="259"/>
        <v>355150_2024_12_</v>
      </c>
      <c r="K2080" s="1588">
        <f>(S$914+L2080*T$914)-(S$918+L2080*T$918)</f>
        <v>1081</v>
      </c>
      <c r="L2080" s="45">
        <f>VLOOKUP(J2080,$J$909:$L$998,3,FALSE)*M2080</f>
        <v>2.145</v>
      </c>
      <c r="M2080" s="1581">
        <f>VLOOKUP(J2080,$J$1629:$K$1718,2,FALSE)</f>
        <v>0.65</v>
      </c>
      <c r="N2080" s="535"/>
      <c r="P2080" s="248"/>
      <c r="Q2080" s="196"/>
      <c r="R2080" s="248"/>
      <c r="T2080" s="169"/>
      <c r="U2080" s="50"/>
      <c r="V2080" s="2177"/>
      <c r="W2080" s="155">
        <v>3828</v>
      </c>
      <c r="X2080" s="157">
        <v>3624.888266999998</v>
      </c>
      <c r="Y2080" s="157">
        <v>1160</v>
      </c>
      <c r="Z2080" s="155">
        <v>1160</v>
      </c>
      <c r="AA2080" s="155">
        <v>1160</v>
      </c>
      <c r="AB2080" s="157">
        <v>1689.9245999999991</v>
      </c>
      <c r="AC2080" s="155">
        <v>1689.9245999999991</v>
      </c>
      <c r="AD2080" s="155">
        <v>1689.9245999999991</v>
      </c>
      <c r="AE2080" s="155">
        <v>1689.9245999999991</v>
      </c>
      <c r="AF2080" s="258">
        <f t="shared" si="260"/>
        <v>1081</v>
      </c>
      <c r="AG2080" s="228"/>
      <c r="DG2080" s="555"/>
      <c r="DH2080" s="151"/>
      <c r="DI2080" s="1049"/>
      <c r="DJ2080" s="1127"/>
    </row>
    <row r="2081" spans="1:114" ht="15.75" hidden="1" customHeight="1" outlineLevel="1" x14ac:dyDescent="0.25">
      <c r="A2081" s="442"/>
      <c r="C2081" s="49"/>
      <c r="D2081" s="2177"/>
      <c r="E2081" s="2177"/>
      <c r="F2081" s="2176" t="str">
        <f t="shared" si="258"/>
        <v>ASHP-SEER21_ROF_MF</v>
      </c>
      <c r="G2081" s="2176"/>
      <c r="H2081" s="2176"/>
      <c r="I2081" s="2176"/>
      <c r="J2081" s="986" t="str">
        <f t="shared" si="259"/>
        <v>355150_2024_12_</v>
      </c>
      <c r="K2081" s="155"/>
      <c r="L2081" s="45" t="str">
        <f>IF(K2081&gt;0,VLOOKUP(J2081,$J$909:$L$998,3,FALSE),"")</f>
        <v/>
      </c>
      <c r="M2081" s="1581" t="str">
        <f>IF(K2081&gt;0,VLOOKUP(J2081,$J$1629:$K$1718,2,FALSE),"")</f>
        <v/>
      </c>
      <c r="P2081" s="248"/>
      <c r="Q2081" s="196"/>
      <c r="R2081" s="248"/>
      <c r="T2081" s="169"/>
      <c r="U2081" s="50"/>
      <c r="V2081" s="2177"/>
      <c r="W2081" s="155"/>
      <c r="X2081" s="157"/>
      <c r="Y2081" s="157"/>
      <c r="Z2081" s="155"/>
      <c r="AA2081" s="155"/>
      <c r="AB2081" s="157"/>
      <c r="AC2081" s="155"/>
      <c r="AD2081" s="155"/>
      <c r="AE2081" s="155"/>
      <c r="AF2081" s="258" t="str">
        <f t="shared" si="260"/>
        <v/>
      </c>
      <c r="AG2081" s="228"/>
      <c r="DG2081" s="555"/>
      <c r="DH2081" s="151"/>
      <c r="DI2081" s="1049"/>
      <c r="DJ2081" s="1127"/>
    </row>
    <row r="2082" spans="1:114" ht="15.75" hidden="1" customHeight="1" outlineLevel="1" x14ac:dyDescent="0.25">
      <c r="A2082" s="442"/>
      <c r="C2082" s="49"/>
      <c r="D2082" s="2177" t="s">
        <v>1119</v>
      </c>
      <c r="E2082" s="2177" t="s">
        <v>1120</v>
      </c>
      <c r="F2082" s="2176" t="str">
        <f t="shared" ref="F2082:F2095" si="261">VLOOKUP(J2082,$C$709:$E$888,3,FALSE)</f>
        <v>ASHP-SEER15-Replace_CAC_NonElectricHeat_ER1_SF</v>
      </c>
      <c r="G2082" s="2176"/>
      <c r="H2082" s="2176"/>
      <c r="I2082" s="2176"/>
      <c r="J2082" s="986" t="s">
        <v>1215</v>
      </c>
      <c r="K2082" s="1513">
        <f t="shared" ref="K2082:K2095" si="262">SUMIFS(F$709:F$888,C$709:C$888,J2082)/SUMIFS(F$709:F$888,C$709:C$888,M2082)</f>
        <v>0.12033748297481067</v>
      </c>
      <c r="L2082" s="45"/>
      <c r="M2082" s="1903" t="str">
        <f t="shared" ref="M2082:M2095" si="263">INDEX($C$709:$E$888,MATCH(SUBSTITUTE(F2082, "NonElectric", "Electric"),$E$709:$E$888,0),1)</f>
        <v>352300_2024_12_</v>
      </c>
      <c r="P2082" s="248"/>
      <c r="Q2082" s="196"/>
      <c r="R2082" s="248"/>
      <c r="T2082" s="169"/>
      <c r="U2082" s="50"/>
      <c r="V2082" s="395"/>
      <c r="W2082" s="1583"/>
      <c r="X2082" s="1586"/>
      <c r="Y2082" s="1586"/>
      <c r="Z2082" s="1583"/>
      <c r="AA2082" s="1583"/>
      <c r="AB2082" s="1586"/>
      <c r="AC2082" s="1583"/>
      <c r="AD2082" s="1583"/>
      <c r="AE2082" s="1583"/>
      <c r="AF2082" s="1583"/>
      <c r="AG2082" s="1587"/>
      <c r="DG2082" s="555"/>
      <c r="DH2082" s="151"/>
      <c r="DI2082" s="1049"/>
      <c r="DJ2082" s="1127"/>
    </row>
    <row r="2083" spans="1:114" ht="15.75" hidden="1" customHeight="1" outlineLevel="1" x14ac:dyDescent="0.25">
      <c r="A2083" s="442"/>
      <c r="C2083" s="49"/>
      <c r="D2083" s="2177"/>
      <c r="E2083" s="2177"/>
      <c r="F2083" s="2176" t="str">
        <f t="shared" si="261"/>
        <v>ASHP-SEER15-Replace_CAC_NonElectricHeat_ROF_SF</v>
      </c>
      <c r="G2083" s="2176"/>
      <c r="H2083" s="2176"/>
      <c r="I2083" s="2176"/>
      <c r="J2083" s="986" t="s">
        <v>1223</v>
      </c>
      <c r="K2083" s="1513">
        <f t="shared" si="262"/>
        <v>2.9641511763673745E-2</v>
      </c>
      <c r="L2083" s="45"/>
      <c r="M2083" s="1903" t="str">
        <f t="shared" si="263"/>
        <v>352400_2024_12_</v>
      </c>
      <c r="P2083" s="248"/>
      <c r="Q2083" s="196"/>
      <c r="R2083" s="248"/>
      <c r="T2083" s="169"/>
      <c r="U2083" s="50"/>
      <c r="V2083" s="395"/>
      <c r="W2083" s="1583"/>
      <c r="X2083" s="1586"/>
      <c r="Y2083" s="1586"/>
      <c r="Z2083" s="1583"/>
      <c r="AA2083" s="1583"/>
      <c r="AB2083" s="1586"/>
      <c r="AC2083" s="1583"/>
      <c r="AD2083" s="1583"/>
      <c r="AE2083" s="1583"/>
      <c r="AF2083" s="1583"/>
      <c r="AG2083" s="1587"/>
      <c r="DG2083" s="555"/>
      <c r="DH2083" s="151"/>
      <c r="DI2083" s="1049"/>
      <c r="DJ2083" s="1127"/>
    </row>
    <row r="2084" spans="1:114" ht="15.75" hidden="1" customHeight="1" outlineLevel="1" x14ac:dyDescent="0.25">
      <c r="A2084" s="442"/>
      <c r="C2084" s="49"/>
      <c r="D2084" s="2177"/>
      <c r="E2084" s="2177"/>
      <c r="F2084" s="2176" t="str">
        <f t="shared" si="261"/>
        <v>ASHP-SEER16-Replace_CAC_NonElectricHeat_ER1_SF</v>
      </c>
      <c r="G2084" s="2176"/>
      <c r="H2084" s="2176"/>
      <c r="I2084" s="2176"/>
      <c r="J2084" s="986" t="s">
        <v>1228</v>
      </c>
      <c r="K2084" s="1513">
        <f t="shared" si="262"/>
        <v>0.13195861492283978</v>
      </c>
      <c r="L2084" s="45"/>
      <c r="M2084" s="1903" t="str">
        <f t="shared" si="263"/>
        <v>352500_2024_12_</v>
      </c>
      <c r="P2084" s="248"/>
      <c r="Q2084" s="196"/>
      <c r="R2084" s="248"/>
      <c r="T2084" s="169"/>
      <c r="U2084" s="50"/>
      <c r="V2084" s="395"/>
      <c r="W2084" s="1583"/>
      <c r="X2084" s="1586"/>
      <c r="Y2084" s="1586"/>
      <c r="Z2084" s="1583"/>
      <c r="AA2084" s="1583"/>
      <c r="AB2084" s="1586"/>
      <c r="AC2084" s="1583"/>
      <c r="AD2084" s="1583"/>
      <c r="AE2084" s="1583"/>
      <c r="AF2084" s="1583"/>
      <c r="AG2084" s="1587"/>
      <c r="DG2084" s="555"/>
      <c r="DH2084" s="151"/>
      <c r="DI2084" s="1049"/>
      <c r="DJ2084" s="1127"/>
    </row>
    <row r="2085" spans="1:114" ht="15.75" hidden="1" customHeight="1" outlineLevel="1" x14ac:dyDescent="0.25">
      <c r="A2085" s="442"/>
      <c r="C2085" s="49"/>
      <c r="D2085" s="2177"/>
      <c r="E2085" s="2177"/>
      <c r="F2085" s="2176" t="str">
        <f t="shared" si="261"/>
        <v>ASHP-SEER16-Replace_CAC_NonElectricHeat_ROF_SF</v>
      </c>
      <c r="G2085" s="2176"/>
      <c r="H2085" s="2176"/>
      <c r="I2085" s="2176"/>
      <c r="J2085" s="986" t="s">
        <v>1236</v>
      </c>
      <c r="K2085" s="1513">
        <f t="shared" si="262"/>
        <v>4.1245065423315345E-2</v>
      </c>
      <c r="L2085" s="45"/>
      <c r="M2085" s="1903" t="str">
        <f t="shared" si="263"/>
        <v>352600_2024_12_</v>
      </c>
      <c r="P2085" s="248"/>
      <c r="Q2085" s="196"/>
      <c r="R2085" s="248"/>
      <c r="T2085" s="169"/>
      <c r="U2085" s="50"/>
      <c r="V2085" s="395"/>
      <c r="W2085" s="1583"/>
      <c r="X2085" s="1586"/>
      <c r="Y2085" s="1586"/>
      <c r="Z2085" s="1583"/>
      <c r="AA2085" s="1583"/>
      <c r="AB2085" s="1586"/>
      <c r="AC2085" s="1583"/>
      <c r="AD2085" s="1583"/>
      <c r="AE2085" s="1583"/>
      <c r="AF2085" s="1583"/>
      <c r="AG2085" s="1587"/>
      <c r="DG2085" s="555"/>
      <c r="DH2085" s="151"/>
      <c r="DI2085" s="1049"/>
      <c r="DJ2085" s="1127"/>
    </row>
    <row r="2086" spans="1:114" ht="15.75" hidden="1" customHeight="1" outlineLevel="1" x14ac:dyDescent="0.25">
      <c r="A2086" s="442"/>
      <c r="C2086" s="49"/>
      <c r="D2086" s="2177"/>
      <c r="E2086" s="2177"/>
      <c r="F2086" s="2176" t="str">
        <f t="shared" si="261"/>
        <v>ASHP-SEER17-Replace_CAC_NonElectricHeat_ROF_SF</v>
      </c>
      <c r="G2086" s="2176"/>
      <c r="H2086" s="2176"/>
      <c r="I2086" s="2176"/>
      <c r="J2086" s="986" t="s">
        <v>1245</v>
      </c>
      <c r="K2086" s="1513">
        <f t="shared" si="262"/>
        <v>4.5152187950570979E-2</v>
      </c>
      <c r="L2086" s="45"/>
      <c r="M2086" s="1903" t="str">
        <f t="shared" si="263"/>
        <v>353100_2024_12_</v>
      </c>
      <c r="P2086" s="248"/>
      <c r="Q2086" s="196"/>
      <c r="R2086" s="248"/>
      <c r="T2086" s="169"/>
      <c r="U2086" s="50"/>
      <c r="V2086" s="395"/>
      <c r="W2086" s="1583"/>
      <c r="X2086" s="1586"/>
      <c r="Y2086" s="1586"/>
      <c r="Z2086" s="1583"/>
      <c r="AA2086" s="1583"/>
      <c r="AB2086" s="1586"/>
      <c r="AC2086" s="1583"/>
      <c r="AD2086" s="1583"/>
      <c r="AE2086" s="1583"/>
      <c r="AF2086" s="1583"/>
      <c r="AG2086" s="1587"/>
      <c r="DG2086" s="555"/>
      <c r="DH2086" s="151"/>
      <c r="DI2086" s="1049"/>
      <c r="DJ2086" s="1127"/>
    </row>
    <row r="2087" spans="1:114" ht="15.75" hidden="1" customHeight="1" outlineLevel="1" x14ac:dyDescent="0.25">
      <c r="A2087" s="442"/>
      <c r="C2087" s="49"/>
      <c r="D2087" s="2177"/>
      <c r="E2087" s="2177"/>
      <c r="F2087" s="2176" t="str">
        <f t="shared" si="261"/>
        <v>ASHP-SEER18-Replace_CAC_NonElectricHeat_ROF_SF</v>
      </c>
      <c r="G2087" s="2176"/>
      <c r="H2087" s="2176"/>
      <c r="I2087" s="2176"/>
      <c r="J2087" s="986" t="s">
        <v>1249</v>
      </c>
      <c r="K2087" s="1513">
        <f t="shared" si="262"/>
        <v>6.3342831125872731E-2</v>
      </c>
      <c r="L2087" s="45"/>
      <c r="M2087" s="1903" t="str">
        <f t="shared" si="263"/>
        <v>353200_2024_12_</v>
      </c>
      <c r="P2087" s="248"/>
      <c r="Q2087" s="196"/>
      <c r="R2087" s="248"/>
      <c r="T2087" s="169"/>
      <c r="U2087" s="50"/>
      <c r="V2087" s="395"/>
      <c r="W2087" s="1583"/>
      <c r="X2087" s="1586"/>
      <c r="Y2087" s="1586"/>
      <c r="Z2087" s="1583"/>
      <c r="AA2087" s="1583"/>
      <c r="AB2087" s="1586"/>
      <c r="AC2087" s="1583"/>
      <c r="AD2087" s="1583"/>
      <c r="AE2087" s="1583"/>
      <c r="AF2087" s="1583"/>
      <c r="AG2087" s="1587"/>
      <c r="DG2087" s="555"/>
      <c r="DH2087" s="151"/>
      <c r="DI2087" s="1049"/>
      <c r="DJ2087" s="1127"/>
    </row>
    <row r="2088" spans="1:114" ht="15.75" hidden="1" customHeight="1" outlineLevel="1" x14ac:dyDescent="0.25">
      <c r="A2088" s="442"/>
      <c r="C2088" s="49"/>
      <c r="D2088" s="2177"/>
      <c r="E2088" s="2177"/>
      <c r="F2088" s="2176" t="str">
        <f t="shared" si="261"/>
        <v>ASHP-SEER19-Replace_CAC_NonElectricHeat_ROF_SF</v>
      </c>
      <c r="G2088" s="2176"/>
      <c r="H2088" s="2176"/>
      <c r="I2088" s="2176"/>
      <c r="J2088" s="986" t="s">
        <v>1253</v>
      </c>
      <c r="K2088" s="1513">
        <f t="shared" si="262"/>
        <v>7.4302573918254844E-2</v>
      </c>
      <c r="L2088" s="45"/>
      <c r="M2088" s="1903" t="str">
        <f t="shared" si="263"/>
        <v>353300_2024_12_</v>
      </c>
      <c r="P2088" s="248"/>
      <c r="Q2088" s="196"/>
      <c r="R2088" s="248"/>
      <c r="T2088" s="169"/>
      <c r="U2088" s="50"/>
      <c r="V2088" s="395"/>
      <c r="W2088" s="1583"/>
      <c r="X2088" s="1586"/>
      <c r="Y2088" s="1586"/>
      <c r="Z2088" s="1583"/>
      <c r="AA2088" s="1583"/>
      <c r="AB2088" s="1586"/>
      <c r="AC2088" s="1583"/>
      <c r="AD2088" s="1583"/>
      <c r="AE2088" s="1583"/>
      <c r="AF2088" s="1583"/>
      <c r="AG2088" s="1587"/>
      <c r="DG2088" s="555"/>
      <c r="DH2088" s="151"/>
      <c r="DI2088" s="1049"/>
      <c r="DJ2088" s="1127"/>
    </row>
    <row r="2089" spans="1:114" ht="15.75" hidden="1" customHeight="1" outlineLevel="1" x14ac:dyDescent="0.25">
      <c r="A2089" s="442"/>
      <c r="C2089" s="49"/>
      <c r="D2089" s="2177"/>
      <c r="E2089" s="2177"/>
      <c r="F2089" s="2176" t="str">
        <f t="shared" si="261"/>
        <v>ASHP-SEER20-Replace_CAC_NonElectricHeat_ER1_SF</v>
      </c>
      <c r="G2089" s="2176"/>
      <c r="H2089" s="2176"/>
      <c r="I2089" s="2176"/>
      <c r="J2089" s="986" t="s">
        <v>1258</v>
      </c>
      <c r="K2089" s="1513">
        <f t="shared" si="262"/>
        <v>0.14184195057722604</v>
      </c>
      <c r="L2089" s="45"/>
      <c r="M2089" s="1903" t="str">
        <f t="shared" si="263"/>
        <v>353400_2024_12_</v>
      </c>
      <c r="P2089" s="248"/>
      <c r="Q2089" s="196"/>
      <c r="R2089" s="248"/>
      <c r="T2089" s="169"/>
      <c r="U2089" s="50"/>
      <c r="V2089" s="395"/>
      <c r="W2089" s="1583"/>
      <c r="X2089" s="1586"/>
      <c r="Y2089" s="1586"/>
      <c r="Z2089" s="1583"/>
      <c r="AA2089" s="1583"/>
      <c r="AB2089" s="1586"/>
      <c r="AC2089" s="1583"/>
      <c r="AD2089" s="1583"/>
      <c r="AE2089" s="1583"/>
      <c r="AF2089" s="1583"/>
      <c r="AG2089" s="1587"/>
      <c r="DG2089" s="555"/>
      <c r="DH2089" s="151"/>
      <c r="DI2089" s="1049"/>
      <c r="DJ2089" s="1127"/>
    </row>
    <row r="2090" spans="1:114" ht="15.75" hidden="1" customHeight="1" outlineLevel="1" x14ac:dyDescent="0.25">
      <c r="A2090" s="442"/>
      <c r="C2090" s="49"/>
      <c r="D2090" s="2177"/>
      <c r="E2090" s="2177"/>
      <c r="F2090" s="2176" t="str">
        <f t="shared" si="261"/>
        <v>ASHP-SEER20-Replace_CAC_NonElectricHeat_ROF_SF</v>
      </c>
      <c r="G2090" s="2176"/>
      <c r="H2090" s="2176"/>
      <c r="I2090" s="2176"/>
      <c r="J2090" s="986" t="s">
        <v>1263</v>
      </c>
      <c r="K2090" s="1513">
        <f t="shared" si="262"/>
        <v>7.4599829180746882E-2</v>
      </c>
      <c r="L2090" s="45"/>
      <c r="M2090" s="1903" t="str">
        <f t="shared" si="263"/>
        <v>353450_2024_12_</v>
      </c>
      <c r="P2090" s="248"/>
      <c r="Q2090" s="196"/>
      <c r="R2090" s="248"/>
      <c r="T2090" s="169"/>
      <c r="U2090" s="50"/>
      <c r="V2090" s="395"/>
      <c r="W2090" s="1583"/>
      <c r="X2090" s="1586"/>
      <c r="Y2090" s="1586"/>
      <c r="Z2090" s="1583"/>
      <c r="AA2090" s="1583"/>
      <c r="AB2090" s="1586"/>
      <c r="AC2090" s="1583"/>
      <c r="AD2090" s="1583"/>
      <c r="AE2090" s="1583"/>
      <c r="AF2090" s="1583"/>
      <c r="AG2090" s="1587"/>
      <c r="DG2090" s="555"/>
      <c r="DH2090" s="151"/>
      <c r="DI2090" s="1049"/>
      <c r="DJ2090" s="1127"/>
    </row>
    <row r="2091" spans="1:114" ht="15.75" hidden="1" customHeight="1" outlineLevel="1" x14ac:dyDescent="0.25">
      <c r="A2091" s="442"/>
      <c r="C2091" s="49"/>
      <c r="D2091" s="2177"/>
      <c r="E2091" s="2177"/>
      <c r="F2091" s="2176" t="str">
        <f t="shared" si="261"/>
        <v>ASHP-SEER21-Replace_CAC_NonElectricHeat_ER1_SF</v>
      </c>
      <c r="G2091" s="2176"/>
      <c r="H2091" s="2176"/>
      <c r="I2091" s="2176"/>
      <c r="J2091" s="986" t="s">
        <v>1268</v>
      </c>
      <c r="K2091" s="1513">
        <f t="shared" si="262"/>
        <v>0.12587351572310124</v>
      </c>
      <c r="L2091" s="45"/>
      <c r="M2091" s="1903" t="str">
        <f t="shared" si="263"/>
        <v>353550_2024_12_</v>
      </c>
      <c r="P2091" s="248"/>
      <c r="Q2091" s="196"/>
      <c r="R2091" s="248"/>
      <c r="T2091" s="169"/>
      <c r="U2091" s="50"/>
      <c r="V2091" s="395"/>
      <c r="W2091" s="1583"/>
      <c r="X2091" s="1586"/>
      <c r="Y2091" s="1586"/>
      <c r="Z2091" s="1583"/>
      <c r="AA2091" s="1583"/>
      <c r="AB2091" s="1586"/>
      <c r="AC2091" s="1583"/>
      <c r="AD2091" s="1583"/>
      <c r="AE2091" s="1583"/>
      <c r="AF2091" s="1583"/>
      <c r="AG2091" s="1587"/>
      <c r="DG2091" s="555"/>
      <c r="DH2091" s="151"/>
      <c r="DI2091" s="1049"/>
      <c r="DJ2091" s="1127"/>
    </row>
    <row r="2092" spans="1:114" ht="15.75" hidden="1" customHeight="1" outlineLevel="1" x14ac:dyDescent="0.25">
      <c r="A2092" s="442"/>
      <c r="C2092" s="49"/>
      <c r="D2092" s="2177"/>
      <c r="E2092" s="2177"/>
      <c r="F2092" s="2176" t="str">
        <f t="shared" si="261"/>
        <v>ASHP-SEER21-Replace_CAC_NonElectricHeat_ROF_SF</v>
      </c>
      <c r="G2092" s="2176"/>
      <c r="H2092" s="2176"/>
      <c r="I2092" s="2176"/>
      <c r="J2092" s="986" t="s">
        <v>1276</v>
      </c>
      <c r="K2092" s="1513">
        <f t="shared" si="262"/>
        <v>7.3343195951890955E-2</v>
      </c>
      <c r="L2092" s="45"/>
      <c r="M2092" s="1903" t="str">
        <f t="shared" si="263"/>
        <v>353650_2024_12_</v>
      </c>
      <c r="P2092" s="248"/>
      <c r="Q2092" s="196"/>
      <c r="R2092" s="248"/>
      <c r="T2092" s="169"/>
      <c r="U2092" s="50"/>
      <c r="V2092" s="395"/>
      <c r="W2092" s="1583"/>
      <c r="X2092" s="1586"/>
      <c r="Y2092" s="1586"/>
      <c r="Z2092" s="1583"/>
      <c r="AA2092" s="1583"/>
      <c r="AB2092" s="1586"/>
      <c r="AC2092" s="1583"/>
      <c r="AD2092" s="1583"/>
      <c r="AE2092" s="1583"/>
      <c r="AF2092" s="1583"/>
      <c r="AG2092" s="1587"/>
      <c r="DG2092" s="555"/>
      <c r="DH2092" s="151"/>
      <c r="DI2092" s="1049"/>
      <c r="DJ2092" s="1127"/>
    </row>
    <row r="2093" spans="1:114" ht="15.75" hidden="1" customHeight="1" outlineLevel="1" x14ac:dyDescent="0.25">
      <c r="A2093" s="442"/>
      <c r="C2093" s="49"/>
      <c r="D2093" s="2177"/>
      <c r="E2093" s="2177"/>
      <c r="F2093" s="2176" t="str">
        <f t="shared" si="261"/>
        <v>ASHP-SEER17-Replace_CAC_NonElectricHeat_ER1_SF</v>
      </c>
      <c r="G2093" s="2176"/>
      <c r="H2093" s="2176"/>
      <c r="I2093" s="2176"/>
      <c r="J2093" s="986" t="s">
        <v>1296</v>
      </c>
      <c r="K2093" s="1513">
        <f t="shared" si="262"/>
        <v>0.13249126006550532</v>
      </c>
      <c r="L2093" s="45"/>
      <c r="M2093" s="1903" t="str">
        <f t="shared" si="263"/>
        <v>354100_2024_12_</v>
      </c>
      <c r="P2093" s="248"/>
      <c r="Q2093" s="196"/>
      <c r="R2093" s="248"/>
      <c r="T2093" s="169"/>
      <c r="U2093" s="50"/>
      <c r="V2093" s="395"/>
      <c r="W2093" s="1583"/>
      <c r="X2093" s="1586"/>
      <c r="Y2093" s="1586"/>
      <c r="Z2093" s="1583"/>
      <c r="AA2093" s="1583"/>
      <c r="AB2093" s="1586"/>
      <c r="AC2093" s="1583"/>
      <c r="AD2093" s="1583"/>
      <c r="AE2093" s="1583"/>
      <c r="AF2093" s="1583"/>
      <c r="AG2093" s="1587"/>
      <c r="DG2093" s="555"/>
      <c r="DH2093" s="151"/>
      <c r="DI2093" s="1049"/>
      <c r="DJ2093" s="1127"/>
    </row>
    <row r="2094" spans="1:114" ht="15.75" hidden="1" customHeight="1" outlineLevel="1" x14ac:dyDescent="0.25">
      <c r="A2094" s="442"/>
      <c r="C2094" s="49"/>
      <c r="D2094" s="2177"/>
      <c r="E2094" s="2177"/>
      <c r="F2094" s="2176" t="str">
        <f t="shared" si="261"/>
        <v>ASHP-SEER18-Replace_CAC_NonElectricHeat_ER1_SF</v>
      </c>
      <c r="G2094" s="2176"/>
      <c r="H2094" s="2176"/>
      <c r="I2094" s="2176"/>
      <c r="J2094" s="986" t="s">
        <v>1308</v>
      </c>
      <c r="K2094" s="1513">
        <f t="shared" si="262"/>
        <v>0.13951738349152593</v>
      </c>
      <c r="L2094" s="45"/>
      <c r="M2094" s="1903" t="str">
        <f t="shared" si="263"/>
        <v>354250_2024_12_</v>
      </c>
      <c r="P2094" s="248"/>
      <c r="Q2094" s="196"/>
      <c r="R2094" s="248"/>
      <c r="T2094" s="169"/>
      <c r="U2094" s="50"/>
      <c r="V2094" s="395"/>
      <c r="W2094" s="1583"/>
      <c r="X2094" s="1586"/>
      <c r="Y2094" s="1586"/>
      <c r="Z2094" s="1583"/>
      <c r="AA2094" s="1583"/>
      <c r="AB2094" s="1586"/>
      <c r="AC2094" s="1583"/>
      <c r="AD2094" s="1583"/>
      <c r="AE2094" s="1583"/>
      <c r="AF2094" s="1583"/>
      <c r="AG2094" s="1587"/>
      <c r="DG2094" s="555"/>
      <c r="DH2094" s="151"/>
      <c r="DI2094" s="1049"/>
      <c r="DJ2094" s="1127"/>
    </row>
    <row r="2095" spans="1:114" ht="15.75" hidden="1" customHeight="1" outlineLevel="1" x14ac:dyDescent="0.25">
      <c r="A2095" s="442"/>
      <c r="C2095" s="49"/>
      <c r="D2095" s="2177"/>
      <c r="E2095" s="2177"/>
      <c r="F2095" s="2176" t="str">
        <f t="shared" si="261"/>
        <v>ASHP-SEER19-Replace_CAC_NonElectricHeat_ER1_SF</v>
      </c>
      <c r="G2095" s="2176"/>
      <c r="H2095" s="2176"/>
      <c r="I2095" s="2176"/>
      <c r="J2095" s="986" t="s">
        <v>1320</v>
      </c>
      <c r="K2095" s="1513">
        <f t="shared" si="262"/>
        <v>0.11469614554545365</v>
      </c>
      <c r="L2095" s="45"/>
      <c r="M2095" s="1903" t="str">
        <f t="shared" si="263"/>
        <v>354400_2024_12_</v>
      </c>
      <c r="P2095" s="248"/>
      <c r="Q2095" s="196"/>
      <c r="R2095" s="248"/>
      <c r="T2095" s="169"/>
      <c r="U2095" s="50"/>
      <c r="V2095" s="395"/>
      <c r="W2095" s="1583"/>
      <c r="X2095" s="1586"/>
      <c r="Y2095" s="1586"/>
      <c r="Z2095" s="1583"/>
      <c r="AA2095" s="1583"/>
      <c r="AB2095" s="1586"/>
      <c r="AC2095" s="1583"/>
      <c r="AD2095" s="1583"/>
      <c r="AE2095" s="1583"/>
      <c r="AF2095" s="1583"/>
      <c r="AG2095" s="1587"/>
      <c r="DG2095" s="555"/>
      <c r="DH2095" s="151"/>
      <c r="DI2095" s="1049"/>
      <c r="DJ2095" s="1127"/>
    </row>
    <row r="2096" spans="1:114" ht="15.75" hidden="1" customHeight="1" outlineLevel="1" x14ac:dyDescent="0.25">
      <c r="A2096" s="442"/>
      <c r="C2096" s="49"/>
      <c r="D2096" s="395"/>
      <c r="E2096" s="395"/>
      <c r="F2096" s="544"/>
      <c r="G2096" s="544"/>
      <c r="H2096" s="544"/>
      <c r="I2096" s="544"/>
      <c r="J2096" s="1582"/>
      <c r="K2096" s="1583"/>
      <c r="L2096" s="1584"/>
      <c r="M2096" s="1585"/>
      <c r="P2096" s="248"/>
      <c r="Q2096" s="196"/>
      <c r="R2096" s="248"/>
      <c r="T2096" s="169"/>
      <c r="U2096" s="50"/>
      <c r="V2096" s="395"/>
      <c r="W2096" s="1583"/>
      <c r="X2096" s="1586"/>
      <c r="Y2096" s="1586"/>
      <c r="Z2096" s="1583"/>
      <c r="AA2096" s="1583"/>
      <c r="AB2096" s="1586"/>
      <c r="AC2096" s="1583"/>
      <c r="AD2096" s="1583"/>
      <c r="AE2096" s="1583"/>
      <c r="AF2096" s="1583"/>
      <c r="AG2096" s="1587"/>
      <c r="DG2096" s="555"/>
      <c r="DH2096" s="151"/>
      <c r="DI2096" s="1049"/>
      <c r="DJ2096" s="1127"/>
    </row>
    <row r="2097" spans="1:114" ht="15" customHeight="1" collapsed="1" x14ac:dyDescent="0.25">
      <c r="A2097" s="442"/>
      <c r="C2097" s="49"/>
      <c r="D2097" s="100"/>
      <c r="E2097" s="100"/>
      <c r="G2097" s="100"/>
      <c r="T2097" s="50"/>
      <c r="U2097" s="50"/>
      <c r="V2097" s="50"/>
      <c r="DG2097" s="555"/>
      <c r="DH2097" s="151"/>
      <c r="DI2097" s="1049"/>
    </row>
    <row r="2098" spans="1:114" x14ac:dyDescent="0.25">
      <c r="A2098" s="442"/>
      <c r="C2098" s="49"/>
      <c r="D2098" s="100"/>
      <c r="E2098" s="100"/>
      <c r="G2098" s="100"/>
      <c r="T2098" s="50"/>
      <c r="U2098" s="50"/>
      <c r="V2098" s="50"/>
      <c r="DG2098" s="555"/>
      <c r="DH2098" s="151"/>
      <c r="DI2098" s="1049"/>
    </row>
    <row r="2099" spans="1:114" x14ac:dyDescent="0.25">
      <c r="A2099" s="442"/>
      <c r="C2099" s="49"/>
      <c r="D2099" s="100"/>
      <c r="E2099" s="100"/>
      <c r="G2099" s="100"/>
      <c r="T2099" s="50"/>
      <c r="U2099" s="50"/>
      <c r="V2099" s="50"/>
      <c r="DG2099" s="555"/>
      <c r="DH2099" s="151"/>
      <c r="DI2099" s="1049"/>
    </row>
    <row r="2100" spans="1:114" x14ac:dyDescent="0.25">
      <c r="A2100" s="442"/>
      <c r="B2100" s="1292" t="s">
        <v>1374</v>
      </c>
      <c r="C2100" s="207"/>
      <c r="D2100" s="1293"/>
      <c r="E2100" s="1293"/>
      <c r="F2100" s="1293"/>
      <c r="G2100" s="1293"/>
      <c r="H2100" s="1293"/>
      <c r="I2100" s="1293"/>
      <c r="J2100" s="1293"/>
      <c r="K2100" s="1293"/>
      <c r="L2100" s="1293"/>
      <c r="M2100" s="1293"/>
      <c r="N2100" s="1293"/>
      <c r="O2100" s="1293"/>
      <c r="P2100" s="1293"/>
      <c r="Q2100" s="1327"/>
      <c r="T2100" s="50"/>
      <c r="U2100" s="50"/>
      <c r="V2100" s="2103" t="str">
        <f>B2100</f>
        <v>Packaged Terminal Air Source Heat Pumps</v>
      </c>
      <c r="W2100" s="2104"/>
      <c r="X2100" s="2104"/>
      <c r="Y2100" s="2104"/>
      <c r="Z2100" s="2104"/>
      <c r="AA2100" s="2104"/>
      <c r="AB2100" s="2104"/>
      <c r="AC2100" s="2106"/>
      <c r="AD2100" s="2106"/>
      <c r="AE2100" s="2106"/>
      <c r="AF2100" s="2106"/>
      <c r="AG2100" s="2106"/>
      <c r="AH2100" s="2107"/>
      <c r="DG2100" s="555"/>
      <c r="DH2100" s="151"/>
      <c r="DI2100" s="1049"/>
    </row>
    <row r="2101" spans="1:114" x14ac:dyDescent="0.25">
      <c r="A2101" s="442"/>
      <c r="C2101" s="49"/>
      <c r="D2101" s="100"/>
      <c r="E2101" s="100"/>
      <c r="G2101" s="100"/>
      <c r="H2101" s="49"/>
      <c r="I2101" s="49"/>
      <c r="J2101" s="49"/>
      <c r="K2101" s="49"/>
      <c r="L2101" s="49"/>
      <c r="M2101" s="49"/>
      <c r="Q2101" s="100"/>
      <c r="T2101" s="50"/>
      <c r="U2101" s="50"/>
      <c r="V2101" s="50"/>
      <c r="DG2101" s="555"/>
      <c r="DH2101" s="151"/>
      <c r="DI2101" s="1049"/>
    </row>
    <row r="2102" spans="1:114" ht="30" x14ac:dyDescent="0.25">
      <c r="A2102" s="442"/>
      <c r="C2102" s="1300" t="s">
        <v>42</v>
      </c>
      <c r="D2102" s="1300" t="s">
        <v>594</v>
      </c>
      <c r="E2102" s="1300" t="s">
        <v>44</v>
      </c>
      <c r="F2102" s="1300" t="s">
        <v>45</v>
      </c>
      <c r="G2102" s="1300" t="s">
        <v>46</v>
      </c>
      <c r="H2102" s="1300" t="s">
        <v>47</v>
      </c>
      <c r="I2102" s="1300" t="s">
        <v>48</v>
      </c>
      <c r="J2102" s="1312" t="s">
        <v>49</v>
      </c>
      <c r="K2102" s="1300" t="s">
        <v>50</v>
      </c>
      <c r="L2102" s="1300" t="s">
        <v>957</v>
      </c>
      <c r="T2102" s="50"/>
      <c r="U2102" s="50"/>
      <c r="V2102" s="165" t="s">
        <v>52</v>
      </c>
      <c r="W2102" s="649" t="e">
        <f>#REF!</f>
        <v>#REF!</v>
      </c>
      <c r="X2102" s="649" t="e">
        <f>#REF!</f>
        <v>#REF!</v>
      </c>
      <c r="Y2102" s="649" t="e">
        <f>#REF!</f>
        <v>#REF!</v>
      </c>
      <c r="Z2102" s="649" t="e">
        <f>#REF!</f>
        <v>#REF!</v>
      </c>
      <c r="AA2102" s="649" t="e">
        <f>#REF!</f>
        <v>#REF!</v>
      </c>
      <c r="AB2102" s="649" t="e">
        <f>#REF!</f>
        <v>#REF!</v>
      </c>
      <c r="AC2102" s="649" t="e">
        <f>#REF!</f>
        <v>#REF!</v>
      </c>
      <c r="AD2102" s="649" t="e">
        <f>#REF!</f>
        <v>#REF!</v>
      </c>
      <c r="AE2102" s="649" t="e">
        <f>#REF!</f>
        <v>#REF!</v>
      </c>
      <c r="AF2102" s="649" t="e">
        <f>#REF!</f>
        <v>#REF!</v>
      </c>
      <c r="AG2102" s="649" t="e">
        <f>#REF!</f>
        <v>#REF!</v>
      </c>
      <c r="DG2102" s="776" t="e">
        <f>#REF!</f>
        <v>#REF!</v>
      </c>
      <c r="DH2102" s="957" t="e">
        <f>#REF!</f>
        <v>#REF!</v>
      </c>
      <c r="DI2102" s="1044" t="e">
        <f>#REF!</f>
        <v>#REF!</v>
      </c>
      <c r="DJ2102" s="1126" t="e">
        <f>#REF!</f>
        <v>#REF!</v>
      </c>
    </row>
    <row r="2103" spans="1:114" x14ac:dyDescent="0.25">
      <c r="A2103" s="442"/>
      <c r="B2103" s="1384">
        <f t="shared" ref="B2103:B2134" si="264">VALUE(LEFT(C2103,6))</f>
        <v>356200</v>
      </c>
      <c r="C2103" s="1907" t="s">
        <v>1375</v>
      </c>
      <c r="D2103" s="1003" t="s">
        <v>600</v>
      </c>
      <c r="E2103" s="1323" t="s">
        <v>1376</v>
      </c>
      <c r="F2103" s="1004">
        <f>ROUND(((J$2174*J$2175*(1/J$2176-1/J$2179))/1000),2)</f>
        <v>459.54</v>
      </c>
      <c r="G2103" s="1005" t="s">
        <v>1124</v>
      </c>
      <c r="H2103" s="939">
        <f>VLOOKUP(G2103,'CP FACTORS'!$A$3:$B$38, 2, FALSE)</f>
        <v>9.4741810000000004E-4</v>
      </c>
      <c r="I2103" s="1006">
        <f t="shared" ref="I2103:I2118" si="265">ROUND(F2103*H2103,6)</f>
        <v>0.43537700000000001</v>
      </c>
      <c r="J2103" s="1007">
        <f>$J$2185</f>
        <v>5</v>
      </c>
      <c r="K2103" s="1008">
        <f>J$2187</f>
        <v>224.93182686576984</v>
      </c>
      <c r="L2103" s="1009">
        <f>K$2164</f>
        <v>1.0111111111111111</v>
      </c>
      <c r="M2103" s="225"/>
      <c r="R2103" s="521"/>
      <c r="T2103" s="50"/>
      <c r="U2103" s="50"/>
      <c r="V2103" s="1319" t="s">
        <v>45</v>
      </c>
      <c r="W2103" s="927"/>
      <c r="X2103" s="927"/>
      <c r="Y2103" s="927"/>
      <c r="Z2103" s="927"/>
      <c r="AA2103" s="927"/>
      <c r="AB2103" s="927"/>
      <c r="AC2103" s="927"/>
      <c r="AD2103" s="989">
        <v>415.9</v>
      </c>
      <c r="AE2103" s="1004">
        <v>415.9</v>
      </c>
      <c r="AF2103" s="258">
        <v>459.54</v>
      </c>
      <c r="AG2103" s="927"/>
      <c r="DG2103" s="1053">
        <f>(DI2103+DI2104+DI2105+DI2106)/(DJ2103+DJ2104+DJ2105+DJ2106)</f>
        <v>3.2268773695351931</v>
      </c>
      <c r="DH2103" s="1298" t="str">
        <f t="shared" ref="DH2103:DH2122" si="266">CONCATENATE(G2103," ",J2103," Year EUL")</f>
        <v>Cooling Res 5 Year EUL</v>
      </c>
      <c r="DI2103" s="953">
        <f>(INDEX('Avoided Cost Benefits'!$B$4:$B$866,MATCH(DH2103,'Avoided Cost Benefits'!$A$4:$A$866,0)))*F2103</f>
        <v>390.45761855945153</v>
      </c>
      <c r="DJ2103" s="1951">
        <f t="shared" ref="DJ2103:DJ2118" si="267">IFERROR(K2103/((1+DiscountRate)^(CurrentYear-DiscountYear)),0)</f>
        <v>224.93182686576984</v>
      </c>
    </row>
    <row r="2104" spans="1:114" x14ac:dyDescent="0.25">
      <c r="A2104" s="442"/>
      <c r="B2104" s="1384">
        <f t="shared" si="264"/>
        <v>356200</v>
      </c>
      <c r="C2104" s="435" t="s">
        <v>1375</v>
      </c>
      <c r="D2104" s="1003" t="s">
        <v>600</v>
      </c>
      <c r="E2104" s="1323" t="s">
        <v>1376</v>
      </c>
      <c r="F2104" s="212">
        <f>ROUND(((J$2164*J$2165*(1/J$2166-1/J$2170))/1000),2)</f>
        <v>1229.9100000000001</v>
      </c>
      <c r="G2104" s="81" t="s">
        <v>1125</v>
      </c>
      <c r="H2104" s="66">
        <f>VLOOKUP(G2104,'CP FACTORS'!$A$3:$B$38, 2, FALSE)</f>
        <v>0</v>
      </c>
      <c r="I2104" s="985">
        <f t="shared" si="265"/>
        <v>0</v>
      </c>
      <c r="J2104" s="57">
        <f>$J$2185</f>
        <v>5</v>
      </c>
      <c r="K2104" s="162">
        <v>0</v>
      </c>
      <c r="L2104" s="991"/>
      <c r="M2104" s="225"/>
      <c r="R2104" s="521"/>
      <c r="T2104" s="50"/>
      <c r="U2104" s="50"/>
      <c r="V2104" s="1315" t="s">
        <v>45</v>
      </c>
      <c r="W2104" s="156"/>
      <c r="X2104" s="156"/>
      <c r="Y2104" s="156"/>
      <c r="Z2104" s="156"/>
      <c r="AA2104" s="156"/>
      <c r="AB2104" s="156"/>
      <c r="AC2104" s="156"/>
      <c r="AD2104" s="47">
        <v>1229.9100000000001</v>
      </c>
      <c r="AE2104" s="212">
        <v>1229.9100000000001</v>
      </c>
      <c r="AF2104" s="258">
        <v>1229.9100000000001</v>
      </c>
      <c r="AG2104" s="156"/>
      <c r="DG2104" s="1054"/>
      <c r="DH2104" s="1323" t="str">
        <f t="shared" si="266"/>
        <v>Heating Res 5 Year EUL</v>
      </c>
      <c r="DI2104" s="970">
        <f>(INDEX('Avoided Cost Benefits'!$B$4:$B$866,MATCH(DH2104,'Avoided Cost Benefits'!$A$4:$A$866,0)))*F2104</f>
        <v>281.59647518713859</v>
      </c>
      <c r="DJ2104" s="1952">
        <f t="shared" si="267"/>
        <v>0</v>
      </c>
    </row>
    <row r="2105" spans="1:114" x14ac:dyDescent="0.25">
      <c r="A2105" s="442"/>
      <c r="B2105" s="1384">
        <f t="shared" si="264"/>
        <v>356200</v>
      </c>
      <c r="C2105" s="435" t="s">
        <v>1375</v>
      </c>
      <c r="D2105" s="1003" t="s">
        <v>600</v>
      </c>
      <c r="E2105" s="1323" t="s">
        <v>1377</v>
      </c>
      <c r="F2105" s="1004">
        <f>ROUND(((J$2174*J$2175*(1/J$2178-1/J$2179))/1000),2)</f>
        <v>16</v>
      </c>
      <c r="G2105" s="81" t="s">
        <v>1178</v>
      </c>
      <c r="H2105" s="66">
        <f>VLOOKUP(G2105,'CP FACTORS'!$A$3:$B$38, 2, FALSE)</f>
        <v>9.4741810000000004E-4</v>
      </c>
      <c r="I2105" s="1006">
        <f t="shared" si="265"/>
        <v>1.5159000000000001E-2</v>
      </c>
      <c r="J2105" s="57">
        <f>$J$2186</f>
        <v>10</v>
      </c>
      <c r="K2105" s="162">
        <v>0</v>
      </c>
      <c r="L2105" s="991"/>
      <c r="M2105" s="225"/>
      <c r="R2105" s="521"/>
      <c r="T2105" s="50"/>
      <c r="U2105" s="50"/>
      <c r="V2105" s="1315" t="s">
        <v>45</v>
      </c>
      <c r="W2105" s="156"/>
      <c r="X2105" s="156"/>
      <c r="Y2105" s="156"/>
      <c r="Z2105" s="156"/>
      <c r="AA2105" s="156"/>
      <c r="AB2105" s="156"/>
      <c r="AC2105" s="156"/>
      <c r="AD2105" s="47">
        <v>16</v>
      </c>
      <c r="AE2105" s="1004">
        <v>16</v>
      </c>
      <c r="AF2105" s="258">
        <v>16</v>
      </c>
      <c r="AG2105" s="156"/>
      <c r="DG2105" s="1054"/>
      <c r="DH2105" s="1323" t="str">
        <f t="shared" si="266"/>
        <v>Cooling Res ER2 10 Year EUL</v>
      </c>
      <c r="DI2105" s="970">
        <f>(INDEX('Avoided Cost Benefits'!$B$4:$B$866,MATCH(DH2105,'Avoided Cost Benefits'!$A$4:$A$866,0)))*F2105</f>
        <v>18.922991283545176</v>
      </c>
      <c r="DJ2105" s="1952">
        <f t="shared" si="267"/>
        <v>0</v>
      </c>
    </row>
    <row r="2106" spans="1:114" x14ac:dyDescent="0.25">
      <c r="A2106" s="442"/>
      <c r="B2106" s="1384">
        <f t="shared" si="264"/>
        <v>356200</v>
      </c>
      <c r="C2106" s="435" t="s">
        <v>1375</v>
      </c>
      <c r="D2106" s="1003" t="s">
        <v>600</v>
      </c>
      <c r="E2106" s="1299" t="s">
        <v>1377</v>
      </c>
      <c r="F2106" s="212">
        <f>ROUND(((J$2164*J$2165*(1/J$2167-1/J$2170))/1000),2)</f>
        <v>112.08</v>
      </c>
      <c r="G2106" s="81" t="s">
        <v>1214</v>
      </c>
      <c r="H2106" s="66">
        <f>VLOOKUP(G2106,'CP FACTORS'!$A$3:$B$38, 2, FALSE)</f>
        <v>0</v>
      </c>
      <c r="I2106" s="985">
        <f t="shared" si="265"/>
        <v>0</v>
      </c>
      <c r="J2106" s="57">
        <f>$J$2186</f>
        <v>10</v>
      </c>
      <c r="K2106" s="162">
        <v>0</v>
      </c>
      <c r="L2106" s="991"/>
      <c r="M2106" s="225"/>
      <c r="R2106" s="521"/>
      <c r="T2106" s="50"/>
      <c r="U2106" s="50"/>
      <c r="V2106" s="1315" t="s">
        <v>45</v>
      </c>
      <c r="W2106" s="156"/>
      <c r="X2106" s="156"/>
      <c r="Y2106" s="156"/>
      <c r="Z2106" s="156"/>
      <c r="AA2106" s="156"/>
      <c r="AB2106" s="156"/>
      <c r="AC2106" s="156"/>
      <c r="AD2106" s="47">
        <v>112.08</v>
      </c>
      <c r="AE2106" s="212">
        <v>112.08</v>
      </c>
      <c r="AF2106" s="258">
        <v>112.08</v>
      </c>
      <c r="AG2106" s="156"/>
      <c r="DG2106" s="777"/>
      <c r="DH2106" s="1299" t="str">
        <f t="shared" si="266"/>
        <v>Heating Res ER2 10 Year EUL</v>
      </c>
      <c r="DI2106" s="956">
        <f>(INDEX('Avoided Cost Benefits'!$B$4:$B$866,MATCH(DH2106,'Avoided Cost Benefits'!$A$4:$A$866,0)))*F2106</f>
        <v>34.850336771225535</v>
      </c>
      <c r="DJ2106" s="1952">
        <f t="shared" si="267"/>
        <v>0</v>
      </c>
    </row>
    <row r="2107" spans="1:114" x14ac:dyDescent="0.25">
      <c r="A2107" s="442"/>
      <c r="B2107" s="1384">
        <f t="shared" si="264"/>
        <v>356250</v>
      </c>
      <c r="C2107" s="435" t="s">
        <v>1378</v>
      </c>
      <c r="D2107" s="1003" t="s">
        <v>600</v>
      </c>
      <c r="E2107" s="1298" t="s">
        <v>1379</v>
      </c>
      <c r="F2107" s="212">
        <f>ROUND(((J$2174*J$2175*(1/J$2177-1/J$2179))/1000),2)</f>
        <v>522.59</v>
      </c>
      <c r="G2107" s="81" t="s">
        <v>1124</v>
      </c>
      <c r="H2107" s="66">
        <f>VLOOKUP(G2107,'CP FACTORS'!$A$3:$B$38, 2, FALSE)</f>
        <v>9.4741810000000004E-4</v>
      </c>
      <c r="I2107" s="985">
        <f t="shared" si="265"/>
        <v>0.49511100000000002</v>
      </c>
      <c r="J2107" s="1007">
        <f>$J$2185</f>
        <v>5</v>
      </c>
      <c r="K2107" s="1008">
        <f>J$2187</f>
        <v>224.93182686576984</v>
      </c>
      <c r="L2107" s="991">
        <f>K$2164</f>
        <v>1.0111111111111111</v>
      </c>
      <c r="M2107" s="225"/>
      <c r="R2107" s="521"/>
      <c r="T2107" s="50"/>
      <c r="U2107" s="50"/>
      <c r="V2107" s="1319" t="s">
        <v>45</v>
      </c>
      <c r="W2107" s="927"/>
      <c r="X2107" s="927"/>
      <c r="Y2107" s="927"/>
      <c r="Z2107" s="927"/>
      <c r="AA2107" s="927"/>
      <c r="AB2107" s="927"/>
      <c r="AC2107" s="927"/>
      <c r="AD2107" s="989">
        <v>477.07</v>
      </c>
      <c r="AE2107" s="212">
        <v>477.07</v>
      </c>
      <c r="AF2107" s="258">
        <v>522.59</v>
      </c>
      <c r="AG2107" s="927"/>
      <c r="DG2107" s="1053">
        <f>(DI2107+DI2108+DI2109+DI2110)/(DJ2107+DJ2108+DJ2109+DJ2110)</f>
        <v>8.3248076685992256</v>
      </c>
      <c r="DH2107" s="1298" t="str">
        <f t="shared" si="266"/>
        <v>Cooling Res 5 Year EUL</v>
      </c>
      <c r="DI2107" s="953">
        <f>(INDEX('Avoided Cost Benefits'!$B$4:$B$866,MATCH(DH2107,'Avoided Cost Benefits'!$A$4:$A$866,0)))*F2107</f>
        <v>444.02934865949379</v>
      </c>
      <c r="DJ2107" s="1952">
        <f t="shared" si="267"/>
        <v>224.93182686576984</v>
      </c>
    </row>
    <row r="2108" spans="1:114" x14ac:dyDescent="0.25">
      <c r="A2108" s="442"/>
      <c r="B2108" s="1384">
        <f t="shared" si="264"/>
        <v>356250</v>
      </c>
      <c r="C2108" s="435" t="s">
        <v>1378</v>
      </c>
      <c r="D2108" s="1003" t="s">
        <v>600</v>
      </c>
      <c r="E2108" s="1323" t="s">
        <v>1379</v>
      </c>
      <c r="F2108" s="212">
        <f>ROUND(((J$2164*J$2165*(1/J$2168-1/J$2170))/1000),2)</f>
        <v>2610.79</v>
      </c>
      <c r="G2108" s="81" t="s">
        <v>1125</v>
      </c>
      <c r="H2108" s="66">
        <f>VLOOKUP(G2108,'CP FACTORS'!$A$3:$B$38, 2, FALSE)</f>
        <v>0</v>
      </c>
      <c r="I2108" s="985">
        <f t="shared" si="265"/>
        <v>0</v>
      </c>
      <c r="J2108" s="57">
        <f>$J$2185</f>
        <v>5</v>
      </c>
      <c r="K2108" s="162">
        <v>0</v>
      </c>
      <c r="L2108" s="991"/>
      <c r="M2108" s="225"/>
      <c r="R2108" s="521"/>
      <c r="T2108" s="50"/>
      <c r="U2108" s="50"/>
      <c r="V2108" s="1315" t="s">
        <v>45</v>
      </c>
      <c r="W2108" s="156"/>
      <c r="X2108" s="156"/>
      <c r="Y2108" s="156"/>
      <c r="Z2108" s="156"/>
      <c r="AA2108" s="156"/>
      <c r="AB2108" s="156"/>
      <c r="AC2108" s="156"/>
      <c r="AD2108" s="47">
        <v>2610.79</v>
      </c>
      <c r="AE2108" s="212">
        <v>2610.79</v>
      </c>
      <c r="AF2108" s="258">
        <v>2610.79</v>
      </c>
      <c r="AG2108" s="156"/>
      <c r="DG2108" s="1054"/>
      <c r="DH2108" s="1323" t="str">
        <f t="shared" si="266"/>
        <v>Heating Res 5 Year EUL</v>
      </c>
      <c r="DI2108" s="970">
        <f>(INDEX('Avoided Cost Benefits'!$B$4:$B$866,MATCH(DH2108,'Avoided Cost Benefits'!$A$4:$A$866,0)))*F2108</f>
        <v>597.75858514348977</v>
      </c>
      <c r="DJ2108" s="1952">
        <f t="shared" si="267"/>
        <v>0</v>
      </c>
    </row>
    <row r="2109" spans="1:114" x14ac:dyDescent="0.25">
      <c r="A2109" s="442"/>
      <c r="B2109" s="1384">
        <f t="shared" si="264"/>
        <v>356250</v>
      </c>
      <c r="C2109" s="435" t="s">
        <v>1378</v>
      </c>
      <c r="D2109" s="1003" t="s">
        <v>600</v>
      </c>
      <c r="E2109" s="1323" t="s">
        <v>1380</v>
      </c>
      <c r="F2109" s="212">
        <f>ROUND(((J$2174*J$2175*(1/J$2178-1/J$2179))/1000),2)</f>
        <v>16</v>
      </c>
      <c r="G2109" s="81" t="s">
        <v>1178</v>
      </c>
      <c r="H2109" s="66">
        <f>VLOOKUP(G2109,'CP FACTORS'!$A$3:$B$38, 2, FALSE)</f>
        <v>9.4741810000000004E-4</v>
      </c>
      <c r="I2109" s="1006">
        <f t="shared" si="265"/>
        <v>1.5159000000000001E-2</v>
      </c>
      <c r="J2109" s="57">
        <f>$J$2186</f>
        <v>10</v>
      </c>
      <c r="K2109" s="162">
        <v>0</v>
      </c>
      <c r="L2109" s="991"/>
      <c r="M2109" s="225"/>
      <c r="R2109" s="521"/>
      <c r="T2109" s="50"/>
      <c r="U2109" s="50"/>
      <c r="V2109" s="1315" t="s">
        <v>45</v>
      </c>
      <c r="W2109" s="156"/>
      <c r="X2109" s="156"/>
      <c r="Y2109" s="156"/>
      <c r="Z2109" s="156"/>
      <c r="AA2109" s="156"/>
      <c r="AB2109" s="156"/>
      <c r="AC2109" s="156"/>
      <c r="AD2109" s="47">
        <v>16</v>
      </c>
      <c r="AE2109" s="212">
        <v>16</v>
      </c>
      <c r="AF2109" s="258">
        <v>16</v>
      </c>
      <c r="AG2109" s="156"/>
      <c r="DG2109" s="1054"/>
      <c r="DH2109" s="1323" t="str">
        <f t="shared" si="266"/>
        <v>Cooling Res ER2 10 Year EUL</v>
      </c>
      <c r="DI2109" s="970">
        <f>(INDEX('Avoided Cost Benefits'!$B$4:$B$866,MATCH(DH2109,'Avoided Cost Benefits'!$A$4:$A$866,0)))*F2109</f>
        <v>18.922991283545176</v>
      </c>
      <c r="DJ2109" s="1952">
        <f t="shared" si="267"/>
        <v>0</v>
      </c>
    </row>
    <row r="2110" spans="1:114" x14ac:dyDescent="0.25">
      <c r="A2110" s="442"/>
      <c r="B2110" s="1384">
        <f t="shared" si="264"/>
        <v>356250</v>
      </c>
      <c r="C2110" s="435" t="s">
        <v>1378</v>
      </c>
      <c r="D2110" s="1003" t="s">
        <v>600</v>
      </c>
      <c r="E2110" s="1299" t="s">
        <v>1380</v>
      </c>
      <c r="F2110" s="212">
        <f>ROUND(((J$2164*J$2165*(1/J$2169-1/J$2170))/1000),2)</f>
        <v>2610.79</v>
      </c>
      <c r="G2110" s="81" t="s">
        <v>1214</v>
      </c>
      <c r="H2110" s="66">
        <f>VLOOKUP(G2110,'CP FACTORS'!$A$3:$B$38, 2, FALSE)</f>
        <v>0</v>
      </c>
      <c r="I2110" s="985">
        <f t="shared" si="265"/>
        <v>0</v>
      </c>
      <c r="J2110" s="57">
        <f>$J$2186</f>
        <v>10</v>
      </c>
      <c r="K2110" s="162">
        <v>0</v>
      </c>
      <c r="L2110" s="991"/>
      <c r="M2110" s="225"/>
      <c r="R2110" s="521"/>
      <c r="T2110" s="50"/>
      <c r="U2110" s="50"/>
      <c r="V2110" s="1315" t="s">
        <v>45</v>
      </c>
      <c r="W2110" s="156"/>
      <c r="X2110" s="156"/>
      <c r="Y2110" s="156"/>
      <c r="Z2110" s="156"/>
      <c r="AA2110" s="156"/>
      <c r="AB2110" s="156"/>
      <c r="AC2110" s="156"/>
      <c r="AD2110" s="47">
        <v>2610.79</v>
      </c>
      <c r="AE2110" s="212">
        <v>2610.79</v>
      </c>
      <c r="AF2110" s="258">
        <v>2610.79</v>
      </c>
      <c r="AG2110" s="156"/>
      <c r="DG2110" s="777"/>
      <c r="DH2110" s="1299" t="str">
        <f t="shared" si="266"/>
        <v>Heating Res ER2 10 Year EUL</v>
      </c>
      <c r="DI2110" s="956">
        <f>(INDEX('Avoided Cost Benefits'!$B$4:$B$866,MATCH(DH2110,'Avoided Cost Benefits'!$A$4:$A$866,0)))*F2110</f>
        <v>811.8032721176653</v>
      </c>
      <c r="DJ2110" s="1952">
        <f t="shared" si="267"/>
        <v>0</v>
      </c>
    </row>
    <row r="2111" spans="1:114" x14ac:dyDescent="0.25">
      <c r="A2111" s="442"/>
      <c r="B2111" s="1384">
        <f t="shared" si="264"/>
        <v>356300</v>
      </c>
      <c r="C2111" s="435" t="s">
        <v>1381</v>
      </c>
      <c r="D2111" s="551" t="s">
        <v>600</v>
      </c>
      <c r="E2111" s="1298" t="s">
        <v>1382</v>
      </c>
      <c r="F2111" s="212">
        <f>ROUND(((J$2174*J$2175*(1/J$2178-1/J$2179))/1000),2)</f>
        <v>16</v>
      </c>
      <c r="G2111" s="81" t="s">
        <v>1124</v>
      </c>
      <c r="H2111" s="66">
        <f>VLOOKUP(G2111,'CP FACTORS'!$A$3:$B$38, 2, FALSE)</f>
        <v>9.4741810000000004E-4</v>
      </c>
      <c r="I2111" s="985">
        <f t="shared" si="265"/>
        <v>1.5159000000000001E-2</v>
      </c>
      <c r="J2111" s="57">
        <f>$J$2184</f>
        <v>15</v>
      </c>
      <c r="K2111" s="162">
        <f>J$2188</f>
        <v>84.93</v>
      </c>
      <c r="L2111" s="991">
        <f>K$2164</f>
        <v>1.0111111111111111</v>
      </c>
      <c r="M2111" s="225"/>
      <c r="R2111" s="521"/>
      <c r="T2111" s="50"/>
      <c r="U2111" s="50"/>
      <c r="V2111" s="1315" t="s">
        <v>45</v>
      </c>
      <c r="W2111" s="156"/>
      <c r="X2111" s="156"/>
      <c r="Y2111" s="156"/>
      <c r="Z2111" s="156"/>
      <c r="AA2111" s="156"/>
      <c r="AB2111" s="156"/>
      <c r="AC2111" s="156"/>
      <c r="AD2111" s="47">
        <v>16</v>
      </c>
      <c r="AE2111" s="212">
        <v>16</v>
      </c>
      <c r="AF2111" s="258">
        <v>16</v>
      </c>
      <c r="AG2111" s="156"/>
      <c r="DG2111" s="1053">
        <f>(DI2111+DI2112)/(DJ2111+DJ2112)</f>
        <v>1.0953674236290907</v>
      </c>
      <c r="DH2111" s="1298" t="str">
        <f>CONCATENATE(G2111," ",J2111," Year EUL")</f>
        <v>Cooling Res 15 Year EUL</v>
      </c>
      <c r="DI2111" s="953">
        <f>(INDEX('Avoided Cost Benefits'!$B$4:$B$866,MATCH(DH2111,'Avoided Cost Benefits'!$A$4:$A$866,0)))*F2111</f>
        <v>32.517720571422672</v>
      </c>
      <c r="DJ2111" s="1952">
        <f t="shared" si="267"/>
        <v>84.93</v>
      </c>
    </row>
    <row r="2112" spans="1:114" x14ac:dyDescent="0.25">
      <c r="A2112" s="442"/>
      <c r="B2112" s="1384">
        <f t="shared" si="264"/>
        <v>356300</v>
      </c>
      <c r="C2112" s="435" t="s">
        <v>1381</v>
      </c>
      <c r="D2112" s="551" t="s">
        <v>600</v>
      </c>
      <c r="E2112" s="1299" t="s">
        <v>1382</v>
      </c>
      <c r="F2112" s="212">
        <f>ROUND(((J$2164*J$2165*(1/J$2167-1/J$2170))/1000),2)</f>
        <v>112.08</v>
      </c>
      <c r="G2112" s="81" t="s">
        <v>1125</v>
      </c>
      <c r="H2112" s="66">
        <f>VLOOKUP(G2112,'CP FACTORS'!$A$3:$B$38, 2, FALSE)</f>
        <v>0</v>
      </c>
      <c r="I2112" s="985">
        <f t="shared" si="265"/>
        <v>0</v>
      </c>
      <c r="J2112" s="57">
        <f>$J$2184</f>
        <v>15</v>
      </c>
      <c r="K2112" s="162">
        <v>0</v>
      </c>
      <c r="L2112" s="991"/>
      <c r="M2112" s="225"/>
      <c r="R2112" s="521"/>
      <c r="T2112" s="50"/>
      <c r="U2112" s="50"/>
      <c r="V2112" s="1315" t="s">
        <v>45</v>
      </c>
      <c r="W2112" s="156"/>
      <c r="X2112" s="156"/>
      <c r="Y2112" s="156"/>
      <c r="Z2112" s="156"/>
      <c r="AA2112" s="156"/>
      <c r="AB2112" s="156"/>
      <c r="AC2112" s="156"/>
      <c r="AD2112" s="47">
        <v>112.08</v>
      </c>
      <c r="AE2112" s="212">
        <v>112.08</v>
      </c>
      <c r="AF2112" s="258">
        <v>112.08</v>
      </c>
      <c r="AG2112" s="156"/>
      <c r="DG2112" s="777"/>
      <c r="DH2112" s="1299" t="str">
        <f>CONCATENATE(G2112," ",J2112," Year EUL")</f>
        <v>Heating Res 15 Year EUL</v>
      </c>
      <c r="DI2112" s="956">
        <f>(INDEX('Avoided Cost Benefits'!$B$4:$B$866,MATCH(DH2112,'Avoided Cost Benefits'!$A$4:$A$866,0)))*F2112</f>
        <v>60.511834717396013</v>
      </c>
      <c r="DJ2112" s="1952">
        <f t="shared" si="267"/>
        <v>0</v>
      </c>
    </row>
    <row r="2113" spans="1:114" x14ac:dyDescent="0.25">
      <c r="A2113" s="442"/>
      <c r="B2113" s="1384">
        <f t="shared" si="264"/>
        <v>356350</v>
      </c>
      <c r="C2113" s="435" t="s">
        <v>1383</v>
      </c>
      <c r="D2113" s="1331" t="s">
        <v>600</v>
      </c>
      <c r="E2113" s="1298" t="s">
        <v>1384</v>
      </c>
      <c r="F2113" s="212">
        <f>ROUND(((J$2174*J$2175*(1/J$2178-1/J$2179))/1000),2)</f>
        <v>16</v>
      </c>
      <c r="G2113" s="81" t="s">
        <v>1124</v>
      </c>
      <c r="H2113" s="66">
        <f>VLOOKUP(G2113,'CP FACTORS'!$A$3:$B$38, 2, FALSE)</f>
        <v>9.4741810000000004E-4</v>
      </c>
      <c r="I2113" s="985">
        <f t="shared" si="265"/>
        <v>1.5159000000000001E-2</v>
      </c>
      <c r="J2113" s="57">
        <f>$J$2184</f>
        <v>15</v>
      </c>
      <c r="K2113" s="162">
        <f>J$2188</f>
        <v>84.93</v>
      </c>
      <c r="L2113" s="991">
        <f>K$2164</f>
        <v>1.0111111111111111</v>
      </c>
      <c r="M2113" s="225"/>
      <c r="R2113" s="521"/>
      <c r="T2113" s="50"/>
      <c r="U2113" s="50"/>
      <c r="V2113" s="1315" t="s">
        <v>45</v>
      </c>
      <c r="W2113" s="156"/>
      <c r="X2113" s="156"/>
      <c r="Y2113" s="156"/>
      <c r="Z2113" s="156"/>
      <c r="AA2113" s="156"/>
      <c r="AB2113" s="156"/>
      <c r="AC2113" s="156"/>
      <c r="AD2113" s="47">
        <v>16</v>
      </c>
      <c r="AE2113" s="212">
        <v>16</v>
      </c>
      <c r="AF2113" s="258">
        <v>16</v>
      </c>
      <c r="AG2113" s="156"/>
      <c r="DG2113" s="1053">
        <f>(DI2113+DI2114)/(DJ2113+DJ2114)</f>
        <v>16.979625312993974</v>
      </c>
      <c r="DH2113" s="1298" t="str">
        <f t="shared" si="266"/>
        <v>Cooling Res 15 Year EUL</v>
      </c>
      <c r="DI2113" s="953">
        <f>(INDEX('Avoided Cost Benefits'!$B$4:$B$866,MATCH(DH2113,'Avoided Cost Benefits'!$A$4:$A$866,0)))*F2113</f>
        <v>32.517720571422672</v>
      </c>
      <c r="DJ2113" s="1952">
        <f t="shared" si="267"/>
        <v>84.93</v>
      </c>
    </row>
    <row r="2114" spans="1:114" x14ac:dyDescent="0.25">
      <c r="A2114" s="442"/>
      <c r="B2114" s="1384">
        <f t="shared" si="264"/>
        <v>356350</v>
      </c>
      <c r="C2114" s="435" t="s">
        <v>1383</v>
      </c>
      <c r="D2114" s="551" t="s">
        <v>600</v>
      </c>
      <c r="E2114" s="1299" t="s">
        <v>1384</v>
      </c>
      <c r="F2114" s="212">
        <f>ROUND(((J$2164*J$2165*(1/J$2169-1/J$2170))/1000),2)</f>
        <v>2610.79</v>
      </c>
      <c r="G2114" s="81" t="s">
        <v>1125</v>
      </c>
      <c r="H2114" s="66">
        <f>VLOOKUP(G2114,'CP FACTORS'!$A$3:$B$38, 2, FALSE)</f>
        <v>0</v>
      </c>
      <c r="I2114" s="985">
        <f t="shared" si="265"/>
        <v>0</v>
      </c>
      <c r="J2114" s="57">
        <f>$J$2184</f>
        <v>15</v>
      </c>
      <c r="K2114" s="162">
        <v>0</v>
      </c>
      <c r="L2114" s="991"/>
      <c r="M2114" s="225"/>
      <c r="R2114" s="521"/>
      <c r="T2114" s="50"/>
      <c r="U2114" s="50"/>
      <c r="V2114" s="1315" t="s">
        <v>45</v>
      </c>
      <c r="W2114" s="156"/>
      <c r="X2114" s="156"/>
      <c r="Y2114" s="156"/>
      <c r="Z2114" s="156"/>
      <c r="AA2114" s="156"/>
      <c r="AB2114" s="156"/>
      <c r="AC2114" s="156"/>
      <c r="AD2114" s="47">
        <v>2610.79</v>
      </c>
      <c r="AE2114" s="212">
        <v>2610.79</v>
      </c>
      <c r="AF2114" s="258">
        <v>2610.79</v>
      </c>
      <c r="AG2114" s="156"/>
      <c r="DG2114" s="777"/>
      <c r="DH2114" s="1299" t="str">
        <f t="shared" si="266"/>
        <v>Heating Res 15 Year EUL</v>
      </c>
      <c r="DI2114" s="956">
        <f>(INDEX('Avoided Cost Benefits'!$B$4:$B$866,MATCH(DH2114,'Avoided Cost Benefits'!$A$4:$A$866,0)))*F2114</f>
        <v>1409.5618572611556</v>
      </c>
      <c r="DJ2114" s="1952">
        <f t="shared" si="267"/>
        <v>0</v>
      </c>
    </row>
    <row r="2115" spans="1:114" x14ac:dyDescent="0.25">
      <c r="A2115" s="442"/>
      <c r="B2115" s="1384">
        <f t="shared" si="264"/>
        <v>356400</v>
      </c>
      <c r="C2115" s="1907" t="s">
        <v>1385</v>
      </c>
      <c r="D2115" s="1003" t="s">
        <v>600</v>
      </c>
      <c r="E2115" s="1323" t="s">
        <v>1386</v>
      </c>
      <c r="F2115" s="1004">
        <f>ROUND(((J$2174*J$2175*(1/J$2176-1/J$2180))/1000),2)</f>
        <v>507.53</v>
      </c>
      <c r="G2115" s="1005" t="s">
        <v>1124</v>
      </c>
      <c r="H2115" s="939">
        <f>VLOOKUP(G2115,'CP FACTORS'!$A$3:$B$38, 2, FALSE)</f>
        <v>9.4741810000000004E-4</v>
      </c>
      <c r="I2115" s="1006">
        <f t="shared" si="265"/>
        <v>0.48084300000000002</v>
      </c>
      <c r="J2115" s="1007">
        <f>$J$2185</f>
        <v>5</v>
      </c>
      <c r="K2115" s="1008">
        <f>J$2187</f>
        <v>224.93182686576984</v>
      </c>
      <c r="L2115" s="1009">
        <f>K$2164</f>
        <v>1.0111111111111111</v>
      </c>
      <c r="M2115" s="225"/>
      <c r="R2115" s="521"/>
      <c r="T2115" s="50"/>
      <c r="U2115" s="50"/>
      <c r="V2115" s="1315" t="s">
        <v>45</v>
      </c>
      <c r="W2115" s="156"/>
      <c r="X2115" s="156"/>
      <c r="Y2115" s="156"/>
      <c r="Z2115" s="156"/>
      <c r="AA2115" s="156"/>
      <c r="AB2115" s="156"/>
      <c r="AC2115" s="156"/>
      <c r="AD2115" s="47">
        <v>463.89</v>
      </c>
      <c r="AE2115" s="212">
        <v>463.89</v>
      </c>
      <c r="AF2115" s="258">
        <v>507.53</v>
      </c>
      <c r="AG2115" s="156"/>
      <c r="DG2115" s="1053">
        <f>(DI2115+DI2116+DI2117+DI2118)/(DJ2115+DJ2116+DJ2117+DJ2118)</f>
        <v>3.7048931473641917</v>
      </c>
      <c r="DH2115" s="1298" t="str">
        <f t="shared" si="266"/>
        <v>Cooling Res 5 Year EUL</v>
      </c>
      <c r="DI2115" s="953">
        <f>(INDEX('Avoided Cost Benefits'!$B$4:$B$866,MATCH(DH2115,'Avoided Cost Benefits'!$A$4:$A$866,0)))*F2115</f>
        <v>431.23330971727904</v>
      </c>
      <c r="DJ2115" s="1952">
        <f t="shared" si="267"/>
        <v>224.93182686576984</v>
      </c>
    </row>
    <row r="2116" spans="1:114" x14ac:dyDescent="0.25">
      <c r="A2116" s="442"/>
      <c r="B2116" s="1384">
        <f t="shared" si="264"/>
        <v>356400</v>
      </c>
      <c r="C2116" s="435" t="s">
        <v>1385</v>
      </c>
      <c r="D2116" s="1003" t="s">
        <v>600</v>
      </c>
      <c r="E2116" s="1323" t="s">
        <v>1386</v>
      </c>
      <c r="F2116" s="212">
        <f>ROUND(((J$2164*J$2165*(1/J$2166-1/J$2171))/1000),2)</f>
        <v>1248.4100000000001</v>
      </c>
      <c r="G2116" s="81" t="s">
        <v>1125</v>
      </c>
      <c r="H2116" s="66">
        <f>VLOOKUP(G2116,'CP FACTORS'!$A$3:$B$38, 2, FALSE)</f>
        <v>0</v>
      </c>
      <c r="I2116" s="985">
        <f t="shared" si="265"/>
        <v>0</v>
      </c>
      <c r="J2116" s="57">
        <f>$J$2185</f>
        <v>5</v>
      </c>
      <c r="K2116" s="162">
        <v>0</v>
      </c>
      <c r="L2116" s="991"/>
      <c r="M2116" s="225"/>
      <c r="R2116" s="521"/>
      <c r="T2116" s="50"/>
      <c r="U2116" s="50"/>
      <c r="V2116" s="1315" t="s">
        <v>45</v>
      </c>
      <c r="W2116" s="156"/>
      <c r="X2116" s="156"/>
      <c r="Y2116" s="156"/>
      <c r="Z2116" s="156"/>
      <c r="AA2116" s="156"/>
      <c r="AB2116" s="156"/>
      <c r="AC2116" s="156"/>
      <c r="AD2116" s="47">
        <v>1248.4100000000001</v>
      </c>
      <c r="AE2116" s="212">
        <v>1248.4100000000001</v>
      </c>
      <c r="AF2116" s="258">
        <v>1248.4100000000001</v>
      </c>
      <c r="AG2116" s="156"/>
      <c r="DG2116" s="1054"/>
      <c r="DH2116" s="1323" t="str">
        <f t="shared" si="266"/>
        <v>Heating Res 5 Year EUL</v>
      </c>
      <c r="DI2116" s="970">
        <f>(INDEX('Avoided Cost Benefits'!$B$4:$B$866,MATCH(DH2116,'Avoided Cost Benefits'!$A$4:$A$866,0)))*F2116</f>
        <v>285.83217925569812</v>
      </c>
      <c r="DJ2116" s="1952">
        <f t="shared" si="267"/>
        <v>0</v>
      </c>
    </row>
    <row r="2117" spans="1:114" x14ac:dyDescent="0.25">
      <c r="A2117" s="442"/>
      <c r="B2117" s="1384">
        <f t="shared" si="264"/>
        <v>356400</v>
      </c>
      <c r="C2117" s="435" t="s">
        <v>1385</v>
      </c>
      <c r="D2117" s="1003" t="s">
        <v>600</v>
      </c>
      <c r="E2117" s="1323" t="s">
        <v>1387</v>
      </c>
      <c r="F2117" s="1004">
        <f>ROUND(((J$2174*J$2175*(1/J$2178-1/J$2180))/1000),2)</f>
        <v>63.99</v>
      </c>
      <c r="G2117" s="81" t="s">
        <v>1178</v>
      </c>
      <c r="H2117" s="66">
        <f>VLOOKUP(G2117,'CP FACTORS'!$A$3:$B$38, 2, FALSE)</f>
        <v>9.4741810000000004E-4</v>
      </c>
      <c r="I2117" s="1006">
        <f t="shared" si="265"/>
        <v>6.0624999999999998E-2</v>
      </c>
      <c r="J2117" s="57">
        <f>$J$2186</f>
        <v>10</v>
      </c>
      <c r="K2117" s="162">
        <v>0</v>
      </c>
      <c r="L2117" s="991"/>
      <c r="M2117" s="225"/>
      <c r="R2117" s="521"/>
      <c r="T2117" s="50"/>
      <c r="U2117" s="50"/>
      <c r="V2117" s="1315" t="s">
        <v>45</v>
      </c>
      <c r="W2117" s="156"/>
      <c r="X2117" s="156"/>
      <c r="Y2117" s="156"/>
      <c r="Z2117" s="156"/>
      <c r="AA2117" s="156"/>
      <c r="AB2117" s="156"/>
      <c r="AC2117" s="156"/>
      <c r="AD2117" s="47">
        <v>63.99</v>
      </c>
      <c r="AE2117" s="1004">
        <v>63.99</v>
      </c>
      <c r="AF2117" s="258">
        <v>63.99</v>
      </c>
      <c r="AG2117" s="156"/>
      <c r="DG2117" s="1054"/>
      <c r="DH2117" s="1323" t="str">
        <f t="shared" si="266"/>
        <v>Cooling Res ER2 10 Year EUL</v>
      </c>
      <c r="DI2117" s="970">
        <f>(INDEX('Avoided Cost Benefits'!$B$4:$B$866,MATCH(DH2117,'Avoided Cost Benefits'!$A$4:$A$866,0)))*F2117</f>
        <v>75.680138264628496</v>
      </c>
      <c r="DJ2117" s="1952">
        <f t="shared" si="267"/>
        <v>0</v>
      </c>
    </row>
    <row r="2118" spans="1:114" x14ac:dyDescent="0.25">
      <c r="A2118" s="442"/>
      <c r="B2118" s="1384">
        <f t="shared" si="264"/>
        <v>356400</v>
      </c>
      <c r="C2118" s="435" t="s">
        <v>1385</v>
      </c>
      <c r="D2118" s="1003" t="s">
        <v>600</v>
      </c>
      <c r="E2118" s="1299" t="s">
        <v>1387</v>
      </c>
      <c r="F2118" s="212">
        <f>ROUND(((J$2164*J$2165*(1/J$2167-1/J$2171))/1000),2)</f>
        <v>130.58000000000001</v>
      </c>
      <c r="G2118" s="81" t="s">
        <v>1214</v>
      </c>
      <c r="H2118" s="66">
        <f>VLOOKUP(G2118,'CP FACTORS'!$A$3:$B$38, 2, FALSE)</f>
        <v>0</v>
      </c>
      <c r="I2118" s="985">
        <f t="shared" si="265"/>
        <v>0</v>
      </c>
      <c r="J2118" s="57">
        <f>$J$2186</f>
        <v>10</v>
      </c>
      <c r="K2118" s="162">
        <v>0</v>
      </c>
      <c r="L2118" s="991"/>
      <c r="M2118" s="225"/>
      <c r="R2118" s="521"/>
      <c r="T2118" s="50"/>
      <c r="U2118" s="50"/>
      <c r="V2118" s="1315" t="s">
        <v>45</v>
      </c>
      <c r="W2118" s="156"/>
      <c r="X2118" s="156"/>
      <c r="Y2118" s="156"/>
      <c r="Z2118" s="156"/>
      <c r="AA2118" s="156"/>
      <c r="AB2118" s="156"/>
      <c r="AC2118" s="156"/>
      <c r="AD2118" s="47">
        <v>130.58000000000001</v>
      </c>
      <c r="AE2118" s="212">
        <v>130.58000000000001</v>
      </c>
      <c r="AF2118" s="258">
        <v>130.58000000000001</v>
      </c>
      <c r="AG2118" s="156"/>
      <c r="DG2118" s="777"/>
      <c r="DH2118" s="1299" t="str">
        <f t="shared" si="266"/>
        <v>Heating Res ER2 10 Year EUL</v>
      </c>
      <c r="DI2118" s="956">
        <f>(INDEX('Avoided Cost Benefits'!$B$4:$B$866,MATCH(DH2118,'Avoided Cost Benefits'!$A$4:$A$866,0)))*F2118</f>
        <v>40.602756741493856</v>
      </c>
      <c r="DJ2118" s="1952">
        <f t="shared" si="267"/>
        <v>0</v>
      </c>
    </row>
    <row r="2119" spans="1:114" x14ac:dyDescent="0.25">
      <c r="A2119" s="442"/>
      <c r="B2119" s="1384">
        <f t="shared" si="264"/>
        <v>356450</v>
      </c>
      <c r="C2119" s="435" t="s">
        <v>1388</v>
      </c>
      <c r="D2119" s="1003" t="s">
        <v>600</v>
      </c>
      <c r="E2119" s="1298" t="s">
        <v>1389</v>
      </c>
      <c r="F2119" s="212">
        <f>ROUND(((J$2174*J$2175*(1/J$2177-1/J$2180))/1000),2)</f>
        <v>570.58000000000004</v>
      </c>
      <c r="G2119" s="81" t="s">
        <v>1124</v>
      </c>
      <c r="H2119" s="66">
        <f>VLOOKUP(G2119,'CP FACTORS'!$A$3:$B$38, 2, FALSE)</f>
        <v>9.4741810000000004E-4</v>
      </c>
      <c r="I2119" s="985">
        <f t="shared" ref="I2119:I2134" si="268">ROUND(F2119*H2119,6)</f>
        <v>0.540578</v>
      </c>
      <c r="J2119" s="1007">
        <f>$J$2185</f>
        <v>5</v>
      </c>
      <c r="K2119" s="1008">
        <f>J$2187</f>
        <v>224.93182686576984</v>
      </c>
      <c r="L2119" s="991">
        <f>K$2164</f>
        <v>1.0111111111111111</v>
      </c>
      <c r="M2119" s="225"/>
      <c r="R2119" s="521"/>
      <c r="T2119" s="50"/>
      <c r="U2119" s="50"/>
      <c r="V2119" s="1319" t="s">
        <v>45</v>
      </c>
      <c r="W2119" s="927"/>
      <c r="X2119" s="927"/>
      <c r="Y2119" s="927"/>
      <c r="Z2119" s="927"/>
      <c r="AA2119" s="927"/>
      <c r="AB2119" s="927"/>
      <c r="AC2119" s="927"/>
      <c r="AD2119" s="989">
        <v>525.04999999999995</v>
      </c>
      <c r="AE2119" s="212">
        <v>525.04999999999995</v>
      </c>
      <c r="AF2119" s="258">
        <v>570.58000000000004</v>
      </c>
      <c r="AG2119" s="927"/>
      <c r="DG2119" s="1053">
        <f>(DI2119+DI2120+DI2121+DI2122)/(DJ2119+DJ2120+DJ2121+DJ2122)</f>
        <v>8.8028234464282242</v>
      </c>
      <c r="DH2119" s="1298" t="str">
        <f t="shared" si="266"/>
        <v>Cooling Res 5 Year EUL</v>
      </c>
      <c r="DI2119" s="953">
        <f>(INDEX('Avoided Cost Benefits'!$B$4:$B$866,MATCH(DH2119,'Avoided Cost Benefits'!$A$4:$A$866,0)))*F2119</f>
        <v>484.80503981732136</v>
      </c>
      <c r="DJ2119" s="1952">
        <f t="shared" ref="DJ2119:DJ2134" si="269">IFERROR(K2119/((1+DiscountRate)^(CurrentYear-DiscountYear)),0)</f>
        <v>224.93182686576984</v>
      </c>
    </row>
    <row r="2120" spans="1:114" x14ac:dyDescent="0.25">
      <c r="A2120" s="442"/>
      <c r="B2120" s="1384">
        <f t="shared" si="264"/>
        <v>356450</v>
      </c>
      <c r="C2120" s="435" t="s">
        <v>1388</v>
      </c>
      <c r="D2120" s="1003" t="s">
        <v>600</v>
      </c>
      <c r="E2120" s="1323" t="s">
        <v>1389</v>
      </c>
      <c r="F2120" s="212">
        <f>ROUND(((J$2164*J$2165*(1/J$2168-1/J$2171))/1000),2)</f>
        <v>2629.29</v>
      </c>
      <c r="G2120" s="81" t="s">
        <v>1125</v>
      </c>
      <c r="H2120" s="66">
        <f>VLOOKUP(G2120,'CP FACTORS'!$A$3:$B$38, 2, FALSE)</f>
        <v>0</v>
      </c>
      <c r="I2120" s="985">
        <f t="shared" si="268"/>
        <v>0</v>
      </c>
      <c r="J2120" s="57">
        <f>$J$2185</f>
        <v>5</v>
      </c>
      <c r="K2120" s="162">
        <v>0</v>
      </c>
      <c r="L2120" s="991"/>
      <c r="M2120" s="225"/>
      <c r="R2120" s="521"/>
      <c r="T2120" s="50"/>
      <c r="U2120" s="50"/>
      <c r="V2120" s="1315" t="s">
        <v>45</v>
      </c>
      <c r="W2120" s="156"/>
      <c r="X2120" s="156"/>
      <c r="Y2120" s="156"/>
      <c r="Z2120" s="156"/>
      <c r="AA2120" s="156"/>
      <c r="AB2120" s="156"/>
      <c r="AC2120" s="156"/>
      <c r="AD2120" s="47">
        <v>2629.29</v>
      </c>
      <c r="AE2120" s="212">
        <v>2629.29</v>
      </c>
      <c r="AF2120" s="258">
        <v>2629.29</v>
      </c>
      <c r="AG2120" s="156"/>
      <c r="DG2120" s="1054"/>
      <c r="DH2120" s="1323" t="str">
        <f t="shared" si="266"/>
        <v>Heating Res 5 Year EUL</v>
      </c>
      <c r="DI2120" s="970">
        <f>(INDEX('Avoided Cost Benefits'!$B$4:$B$866,MATCH(DH2120,'Avoided Cost Benefits'!$A$4:$A$866,0)))*F2120</f>
        <v>601.99428921204924</v>
      </c>
      <c r="DJ2120" s="1952">
        <f t="shared" si="269"/>
        <v>0</v>
      </c>
    </row>
    <row r="2121" spans="1:114" x14ac:dyDescent="0.25">
      <c r="A2121" s="442"/>
      <c r="B2121" s="1384">
        <f t="shared" si="264"/>
        <v>356450</v>
      </c>
      <c r="C2121" s="435" t="s">
        <v>1388</v>
      </c>
      <c r="D2121" s="1003" t="s">
        <v>600</v>
      </c>
      <c r="E2121" s="1323" t="s">
        <v>1390</v>
      </c>
      <c r="F2121" s="212">
        <f>ROUND(((J$2174*J$2175*(1/J$2178-1/J$2180))/1000),2)</f>
        <v>63.99</v>
      </c>
      <c r="G2121" s="81" t="s">
        <v>1178</v>
      </c>
      <c r="H2121" s="66">
        <f>VLOOKUP(G2121,'CP FACTORS'!$A$3:$B$38, 2, FALSE)</f>
        <v>9.4741810000000004E-4</v>
      </c>
      <c r="I2121" s="1006">
        <f t="shared" si="268"/>
        <v>6.0624999999999998E-2</v>
      </c>
      <c r="J2121" s="57">
        <f>$J$2186</f>
        <v>10</v>
      </c>
      <c r="K2121" s="162">
        <v>0</v>
      </c>
      <c r="L2121" s="991"/>
      <c r="M2121" s="225"/>
      <c r="R2121" s="521"/>
      <c r="T2121" s="50"/>
      <c r="U2121" s="50"/>
      <c r="V2121" s="1315" t="s">
        <v>45</v>
      </c>
      <c r="W2121" s="156"/>
      <c r="X2121" s="156"/>
      <c r="Y2121" s="156"/>
      <c r="Z2121" s="156"/>
      <c r="AA2121" s="156"/>
      <c r="AB2121" s="156"/>
      <c r="AC2121" s="156"/>
      <c r="AD2121" s="47">
        <v>63.99</v>
      </c>
      <c r="AE2121" s="212">
        <v>63.99</v>
      </c>
      <c r="AF2121" s="258">
        <v>63.99</v>
      </c>
      <c r="AG2121" s="156"/>
      <c r="DG2121" s="1054"/>
      <c r="DH2121" s="1323" t="str">
        <f t="shared" si="266"/>
        <v>Cooling Res ER2 10 Year EUL</v>
      </c>
      <c r="DI2121" s="970">
        <f>(INDEX('Avoided Cost Benefits'!$B$4:$B$866,MATCH(DH2121,'Avoided Cost Benefits'!$A$4:$A$866,0)))*F2121</f>
        <v>75.680138264628496</v>
      </c>
      <c r="DJ2121" s="1952">
        <f t="shared" si="269"/>
        <v>0</v>
      </c>
    </row>
    <row r="2122" spans="1:114" x14ac:dyDescent="0.25">
      <c r="A2122" s="442"/>
      <c r="B2122" s="1384">
        <f t="shared" si="264"/>
        <v>356450</v>
      </c>
      <c r="C2122" s="435" t="s">
        <v>1388</v>
      </c>
      <c r="D2122" s="1003" t="s">
        <v>600</v>
      </c>
      <c r="E2122" s="1299" t="s">
        <v>1390</v>
      </c>
      <c r="F2122" s="212">
        <f>ROUND(((J$2164*J$2165*(1/J$2169-1/J$2171))/1000),2)</f>
        <v>2629.29</v>
      </c>
      <c r="G2122" s="81" t="s">
        <v>1214</v>
      </c>
      <c r="H2122" s="66">
        <f>VLOOKUP(G2122,'CP FACTORS'!$A$3:$B$38, 2, FALSE)</f>
        <v>0</v>
      </c>
      <c r="I2122" s="985">
        <f t="shared" si="268"/>
        <v>0</v>
      </c>
      <c r="J2122" s="57">
        <f>$J$2186</f>
        <v>10</v>
      </c>
      <c r="K2122" s="162">
        <v>0</v>
      </c>
      <c r="L2122" s="991"/>
      <c r="M2122" s="225"/>
      <c r="R2122" s="521"/>
      <c r="T2122" s="50"/>
      <c r="U2122" s="50"/>
      <c r="V2122" s="1315" t="s">
        <v>45</v>
      </c>
      <c r="W2122" s="156"/>
      <c r="X2122" s="156"/>
      <c r="Y2122" s="156"/>
      <c r="Z2122" s="156"/>
      <c r="AA2122" s="156"/>
      <c r="AB2122" s="156"/>
      <c r="AC2122" s="156"/>
      <c r="AD2122" s="47">
        <v>2629.29</v>
      </c>
      <c r="AE2122" s="212">
        <v>2629.29</v>
      </c>
      <c r="AF2122" s="258">
        <v>2629.29</v>
      </c>
      <c r="AG2122" s="156"/>
      <c r="DG2122" s="777"/>
      <c r="DH2122" s="1299" t="str">
        <f t="shared" si="266"/>
        <v>Heating Res ER2 10 Year EUL</v>
      </c>
      <c r="DI2122" s="956">
        <f>(INDEX('Avoided Cost Benefits'!$B$4:$B$866,MATCH(DH2122,'Avoided Cost Benefits'!$A$4:$A$866,0)))*F2122</f>
        <v>817.55569208793361</v>
      </c>
      <c r="DJ2122" s="1952">
        <f t="shared" si="269"/>
        <v>0</v>
      </c>
    </row>
    <row r="2123" spans="1:114" x14ac:dyDescent="0.25">
      <c r="A2123" s="442"/>
      <c r="B2123" s="1384">
        <f t="shared" si="264"/>
        <v>356500</v>
      </c>
      <c r="C2123" s="435" t="s">
        <v>1391</v>
      </c>
      <c r="D2123" s="551" t="s">
        <v>600</v>
      </c>
      <c r="E2123" s="1298" t="s">
        <v>1392</v>
      </c>
      <c r="F2123" s="212">
        <f>ROUND(((J$2174*J$2175*(1/J$2178-1/J$2180))/1000),2)</f>
        <v>63.99</v>
      </c>
      <c r="G2123" s="81" t="s">
        <v>1124</v>
      </c>
      <c r="H2123" s="66">
        <f>VLOOKUP(G2123,'CP FACTORS'!$A$3:$B$38, 2, FALSE)</f>
        <v>9.4741810000000004E-4</v>
      </c>
      <c r="I2123" s="985">
        <f t="shared" si="268"/>
        <v>6.0624999999999998E-2</v>
      </c>
      <c r="J2123" s="57">
        <f>$J$2184</f>
        <v>15</v>
      </c>
      <c r="K2123" s="162">
        <f>J$2188</f>
        <v>84.93</v>
      </c>
      <c r="L2123" s="991">
        <f>K$2164</f>
        <v>1.0111111111111111</v>
      </c>
      <c r="M2123" s="225"/>
      <c r="R2123" s="521"/>
      <c r="T2123" s="50"/>
      <c r="U2123" s="50"/>
      <c r="V2123" s="1315" t="s">
        <v>45</v>
      </c>
      <c r="W2123" s="156"/>
      <c r="X2123" s="156"/>
      <c r="Y2123" s="156"/>
      <c r="Z2123" s="156"/>
      <c r="AA2123" s="156"/>
      <c r="AB2123" s="156"/>
      <c r="AC2123" s="156"/>
      <c r="AD2123" s="47">
        <v>63.99</v>
      </c>
      <c r="AE2123" s="212">
        <v>63.99</v>
      </c>
      <c r="AF2123" s="258">
        <v>63.99</v>
      </c>
      <c r="AG2123" s="156"/>
      <c r="DG2123" s="1053">
        <f>(DI2123+DI2124)/(DJ2123+DJ2124)</f>
        <v>2.3613625040216344</v>
      </c>
      <c r="DH2123" s="1298" t="str">
        <f>CONCATENATE(G2123," ",J2123," Year EUL")</f>
        <v>Cooling Res 15 Year EUL</v>
      </c>
      <c r="DI2123" s="953">
        <f>(INDEX('Avoided Cost Benefits'!$B$4:$B$866,MATCH(DH2123,'Avoided Cost Benefits'!$A$4:$A$866,0)))*F2123</f>
        <v>130.05055871033355</v>
      </c>
      <c r="DJ2123" s="1952">
        <f t="shared" si="269"/>
        <v>84.93</v>
      </c>
    </row>
    <row r="2124" spans="1:114" x14ac:dyDescent="0.25">
      <c r="A2124" s="442"/>
      <c r="B2124" s="1384">
        <f t="shared" si="264"/>
        <v>356500</v>
      </c>
      <c r="C2124" s="435" t="s">
        <v>1391</v>
      </c>
      <c r="D2124" s="551" t="s">
        <v>600</v>
      </c>
      <c r="E2124" s="1299" t="s">
        <v>1392</v>
      </c>
      <c r="F2124" s="212">
        <f>ROUND(((J$2164*J$2165*(1/J$2167-1/J$2171))/1000),2)</f>
        <v>130.58000000000001</v>
      </c>
      <c r="G2124" s="81" t="s">
        <v>1125</v>
      </c>
      <c r="H2124" s="66">
        <f>VLOOKUP(G2124,'CP FACTORS'!$A$3:$B$38, 2, FALSE)</f>
        <v>0</v>
      </c>
      <c r="I2124" s="985">
        <f t="shared" si="268"/>
        <v>0</v>
      </c>
      <c r="J2124" s="57">
        <f>$J$2184</f>
        <v>15</v>
      </c>
      <c r="K2124" s="162">
        <v>0</v>
      </c>
      <c r="L2124" s="991"/>
      <c r="M2124" s="225"/>
      <c r="R2124" s="521"/>
      <c r="T2124" s="50"/>
      <c r="U2124" s="50"/>
      <c r="V2124" s="1315" t="s">
        <v>45</v>
      </c>
      <c r="W2124" s="156"/>
      <c r="X2124" s="156"/>
      <c r="Y2124" s="156"/>
      <c r="Z2124" s="156"/>
      <c r="AA2124" s="156"/>
      <c r="AB2124" s="156"/>
      <c r="AC2124" s="156"/>
      <c r="AD2124" s="47">
        <v>130.58000000000001</v>
      </c>
      <c r="AE2124" s="212">
        <v>130.58000000000001</v>
      </c>
      <c r="AF2124" s="258">
        <v>130.58000000000001</v>
      </c>
      <c r="AG2124" s="156"/>
      <c r="DG2124" s="777"/>
      <c r="DH2124" s="1299" t="str">
        <f>CONCATENATE(G2124," ",J2124," Year EUL")</f>
        <v>Heating Res 15 Year EUL</v>
      </c>
      <c r="DI2124" s="956">
        <f>(INDEX('Avoided Cost Benefits'!$B$4:$B$866,MATCH(DH2124,'Avoided Cost Benefits'!$A$4:$A$866,0)))*F2124</f>
        <v>70.499958756223876</v>
      </c>
      <c r="DJ2124" s="1952">
        <f t="shared" si="269"/>
        <v>0</v>
      </c>
    </row>
    <row r="2125" spans="1:114" x14ac:dyDescent="0.25">
      <c r="A2125" s="442"/>
      <c r="B2125" s="1384">
        <f t="shared" si="264"/>
        <v>356550</v>
      </c>
      <c r="C2125" s="435" t="s">
        <v>1393</v>
      </c>
      <c r="D2125" s="551" t="s">
        <v>600</v>
      </c>
      <c r="E2125" s="1298" t="s">
        <v>1394</v>
      </c>
      <c r="F2125" s="212">
        <f>ROUND(((J$2174*J$2175*(1/J$2178-1/J$2180))/1000),2)</f>
        <v>63.99</v>
      </c>
      <c r="G2125" s="81" t="s">
        <v>1124</v>
      </c>
      <c r="H2125" s="66">
        <f>VLOOKUP(G2125,'CP FACTORS'!$A$3:$B$38, 2, FALSE)</f>
        <v>9.4741810000000004E-4</v>
      </c>
      <c r="I2125" s="985">
        <f t="shared" si="268"/>
        <v>6.0624999999999998E-2</v>
      </c>
      <c r="J2125" s="57">
        <f>$J$2184</f>
        <v>15</v>
      </c>
      <c r="K2125" s="162">
        <f>J$2188</f>
        <v>84.93</v>
      </c>
      <c r="L2125" s="991">
        <f>K$2164</f>
        <v>1.0111111111111111</v>
      </c>
      <c r="M2125" s="225"/>
      <c r="R2125" s="521"/>
      <c r="T2125" s="50"/>
      <c r="U2125" s="50"/>
      <c r="V2125" s="1315" t="s">
        <v>45</v>
      </c>
      <c r="W2125" s="156"/>
      <c r="X2125" s="156"/>
      <c r="Y2125" s="156"/>
      <c r="Z2125" s="156"/>
      <c r="AA2125" s="156"/>
      <c r="AB2125" s="156"/>
      <c r="AC2125" s="156"/>
      <c r="AD2125" s="47">
        <v>63.99</v>
      </c>
      <c r="AE2125" s="212">
        <v>63.99</v>
      </c>
      <c r="AF2125" s="258">
        <v>63.99</v>
      </c>
      <c r="AG2125" s="156"/>
      <c r="DG2125" s="1053">
        <f>(DI2125+DI2126)/(DJ2125+DJ2126)</f>
        <v>18.245620393386517</v>
      </c>
      <c r="DH2125" s="1298" t="str">
        <f t="shared" ref="DH2125:DH2150" si="270">CONCATENATE(G2125," ",J2125," Year EUL")</f>
        <v>Cooling Res 15 Year EUL</v>
      </c>
      <c r="DI2125" s="953">
        <f>(INDEX('Avoided Cost Benefits'!$B$4:$B$866,MATCH(DH2125,'Avoided Cost Benefits'!$A$4:$A$866,0)))*F2125</f>
        <v>130.05055871033355</v>
      </c>
      <c r="DJ2125" s="1952">
        <f t="shared" si="269"/>
        <v>84.93</v>
      </c>
    </row>
    <row r="2126" spans="1:114" x14ac:dyDescent="0.25">
      <c r="A2126" s="442"/>
      <c r="B2126" s="1384">
        <f t="shared" si="264"/>
        <v>356550</v>
      </c>
      <c r="C2126" s="435" t="s">
        <v>1393</v>
      </c>
      <c r="D2126" s="551" t="s">
        <v>600</v>
      </c>
      <c r="E2126" s="1299" t="s">
        <v>1394</v>
      </c>
      <c r="F2126" s="212">
        <f>ROUND(((J$2164*J$2165*(1/J$2169-1/J$2171))/1000),2)</f>
        <v>2629.29</v>
      </c>
      <c r="G2126" s="81" t="s">
        <v>1125</v>
      </c>
      <c r="H2126" s="66">
        <f>VLOOKUP(G2126,'CP FACTORS'!$A$3:$B$38, 2, FALSE)</f>
        <v>0</v>
      </c>
      <c r="I2126" s="985">
        <f t="shared" si="268"/>
        <v>0</v>
      </c>
      <c r="J2126" s="57">
        <f>$J$2184</f>
        <v>15</v>
      </c>
      <c r="K2126" s="162">
        <v>0</v>
      </c>
      <c r="L2126" s="991"/>
      <c r="M2126" s="225"/>
      <c r="R2126" s="521"/>
      <c r="T2126" s="50"/>
      <c r="U2126" s="50"/>
      <c r="V2126" s="1315" t="s">
        <v>45</v>
      </c>
      <c r="W2126" s="156"/>
      <c r="X2126" s="156"/>
      <c r="Y2126" s="156"/>
      <c r="Z2126" s="156"/>
      <c r="AA2126" s="156"/>
      <c r="AB2126" s="156"/>
      <c r="AC2126" s="156"/>
      <c r="AD2126" s="47">
        <v>2629.29</v>
      </c>
      <c r="AE2126" s="212">
        <v>2629.29</v>
      </c>
      <c r="AF2126" s="258">
        <v>2629.29</v>
      </c>
      <c r="AG2126" s="156"/>
      <c r="DG2126" s="777"/>
      <c r="DH2126" s="1299" t="str">
        <f t="shared" si="270"/>
        <v>Heating Res 15 Year EUL</v>
      </c>
      <c r="DI2126" s="956">
        <f>(INDEX('Avoided Cost Benefits'!$B$4:$B$866,MATCH(DH2126,'Avoided Cost Benefits'!$A$4:$A$866,0)))*F2126</f>
        <v>1419.5499812999835</v>
      </c>
      <c r="DJ2126" s="1952">
        <f t="shared" si="269"/>
        <v>0</v>
      </c>
    </row>
    <row r="2127" spans="1:114" x14ac:dyDescent="0.25">
      <c r="A2127" s="442"/>
      <c r="B2127" s="1384">
        <f t="shared" si="264"/>
        <v>356600</v>
      </c>
      <c r="C2127" s="1907" t="s">
        <v>1395</v>
      </c>
      <c r="D2127" s="551" t="s">
        <v>600</v>
      </c>
      <c r="E2127" s="1323" t="s">
        <v>1396</v>
      </c>
      <c r="F2127" s="1004">
        <f>ROUND(((J$2174*J$2175*(1/J$2176-1/J$2181))/1000),2)</f>
        <v>548.66</v>
      </c>
      <c r="G2127" s="1005" t="s">
        <v>1124</v>
      </c>
      <c r="H2127" s="939">
        <f>VLOOKUP(G2127,'CP FACTORS'!$A$3:$B$38, 2, FALSE)</f>
        <v>9.4741810000000004E-4</v>
      </c>
      <c r="I2127" s="1006">
        <f t="shared" si="268"/>
        <v>0.51980999999999999</v>
      </c>
      <c r="J2127" s="1007">
        <f>$J$2185</f>
        <v>5</v>
      </c>
      <c r="K2127" s="1008">
        <f>J$2187</f>
        <v>224.93182686576984</v>
      </c>
      <c r="L2127" s="1009">
        <f>K$2164</f>
        <v>1.0111111111111111</v>
      </c>
      <c r="M2127" s="225"/>
      <c r="R2127" s="521"/>
      <c r="T2127" s="50"/>
      <c r="U2127" s="50"/>
      <c r="V2127" s="1315" t="s">
        <v>45</v>
      </c>
      <c r="W2127" s="156"/>
      <c r="X2127" s="156"/>
      <c r="Y2127" s="156"/>
      <c r="Z2127" s="156"/>
      <c r="AA2127" s="156"/>
      <c r="AB2127" s="156"/>
      <c r="AC2127" s="156"/>
      <c r="AD2127" s="47">
        <v>505.03</v>
      </c>
      <c r="AE2127" s="212">
        <v>505.03</v>
      </c>
      <c r="AF2127" s="258">
        <v>548.66</v>
      </c>
      <c r="AG2127" s="156"/>
      <c r="DG2127" s="1053">
        <f>(DI2127+DI2128+DI2129+DI2130)/(DJ2127+DJ2128+DJ2129+DJ2130)</f>
        <v>4.1731558401739761</v>
      </c>
      <c r="DH2127" s="1298" t="str">
        <f t="shared" si="270"/>
        <v>Cooling Res 5 Year EUL</v>
      </c>
      <c r="DI2127" s="953">
        <f>(INDEX('Avoided Cost Benefits'!$B$4:$B$866,MATCH(DH2127,'Avoided Cost Benefits'!$A$4:$A$866,0)))*F2127</f>
        <v>466.18026069292915</v>
      </c>
      <c r="DJ2127" s="1952">
        <f t="shared" si="269"/>
        <v>224.93182686576984</v>
      </c>
    </row>
    <row r="2128" spans="1:114" x14ac:dyDescent="0.25">
      <c r="A2128" s="442"/>
      <c r="B2128" s="1384">
        <f t="shared" si="264"/>
        <v>356600</v>
      </c>
      <c r="C2128" s="435" t="s">
        <v>1395</v>
      </c>
      <c r="D2128" s="551" t="s">
        <v>600</v>
      </c>
      <c r="E2128" s="1323" t="s">
        <v>1396</v>
      </c>
      <c r="F2128" s="212">
        <f>ROUND(((J$2164*J$2165*(1/J$2166-1/J$2172))/1000),2)</f>
        <v>1288.67</v>
      </c>
      <c r="G2128" s="81" t="s">
        <v>1125</v>
      </c>
      <c r="H2128" s="66">
        <f>VLOOKUP(G2128,'CP FACTORS'!$A$3:$B$38, 2, FALSE)</f>
        <v>0</v>
      </c>
      <c r="I2128" s="985">
        <f t="shared" si="268"/>
        <v>0</v>
      </c>
      <c r="J2128" s="57">
        <f>$J$2185</f>
        <v>5</v>
      </c>
      <c r="K2128" s="162">
        <v>0</v>
      </c>
      <c r="L2128" s="991"/>
      <c r="M2128" s="225"/>
      <c r="R2128" s="521"/>
      <c r="T2128" s="50"/>
      <c r="U2128" s="50"/>
      <c r="V2128" s="1315" t="s">
        <v>45</v>
      </c>
      <c r="W2128" s="156"/>
      <c r="X2128" s="156"/>
      <c r="Y2128" s="156"/>
      <c r="Z2128" s="156"/>
      <c r="AA2128" s="156"/>
      <c r="AB2128" s="156"/>
      <c r="AC2128" s="156"/>
      <c r="AD2128" s="47">
        <v>1288.67</v>
      </c>
      <c r="AE2128" s="212">
        <v>1288.67</v>
      </c>
      <c r="AF2128" s="258">
        <v>1288.67</v>
      </c>
      <c r="AG2128" s="156"/>
      <c r="DG2128" s="1054"/>
      <c r="DH2128" s="1323" t="str">
        <f t="shared" si="270"/>
        <v>Heating Res 5 Year EUL</v>
      </c>
      <c r="DI2128" s="970">
        <f>(INDEX('Avoided Cost Benefits'!$B$4:$B$866,MATCH(DH2128,'Avoided Cost Benefits'!$A$4:$A$866,0)))*F2128</f>
        <v>295.04998713679038</v>
      </c>
      <c r="DJ2128" s="1952">
        <f t="shared" si="269"/>
        <v>0</v>
      </c>
    </row>
    <row r="2129" spans="1:114" x14ac:dyDescent="0.25">
      <c r="A2129" s="442"/>
      <c r="B2129" s="1384">
        <f t="shared" si="264"/>
        <v>356600</v>
      </c>
      <c r="C2129" s="435" t="s">
        <v>1395</v>
      </c>
      <c r="D2129" s="551" t="s">
        <v>600</v>
      </c>
      <c r="E2129" s="1323" t="s">
        <v>1397</v>
      </c>
      <c r="F2129" s="1004">
        <f>ROUND(((J$2174*J$2175*(1/J$2178-1/J$2181))/1000),2)</f>
        <v>105.12</v>
      </c>
      <c r="G2129" s="81" t="s">
        <v>1178</v>
      </c>
      <c r="H2129" s="66">
        <f>VLOOKUP(G2129,'CP FACTORS'!$A$3:$B$38, 2, FALSE)</f>
        <v>9.4741810000000004E-4</v>
      </c>
      <c r="I2129" s="1006">
        <f t="shared" si="268"/>
        <v>9.9593000000000001E-2</v>
      </c>
      <c r="J2129" s="57">
        <f>$J$2186</f>
        <v>10</v>
      </c>
      <c r="K2129" s="162">
        <v>0</v>
      </c>
      <c r="L2129" s="991"/>
      <c r="M2129" s="225"/>
      <c r="R2129" s="521"/>
      <c r="T2129" s="50"/>
      <c r="U2129" s="50"/>
      <c r="V2129" s="1315" t="s">
        <v>45</v>
      </c>
      <c r="W2129" s="156"/>
      <c r="X2129" s="156"/>
      <c r="Y2129" s="156"/>
      <c r="Z2129" s="156"/>
      <c r="AA2129" s="156"/>
      <c r="AB2129" s="156"/>
      <c r="AC2129" s="156"/>
      <c r="AD2129" s="47">
        <v>105.12</v>
      </c>
      <c r="AE2129" s="212">
        <v>105.12</v>
      </c>
      <c r="AF2129" s="258">
        <v>105.12</v>
      </c>
      <c r="AG2129" s="156"/>
      <c r="DG2129" s="1054"/>
      <c r="DH2129" s="1323" t="str">
        <f t="shared" si="270"/>
        <v>Cooling Res ER2 10 Year EUL</v>
      </c>
      <c r="DI2129" s="970">
        <f>(INDEX('Avoided Cost Benefits'!$B$4:$B$866,MATCH(DH2129,'Avoided Cost Benefits'!$A$4:$A$866,0)))*F2129</f>
        <v>124.32405273289181</v>
      </c>
      <c r="DJ2129" s="1952">
        <f t="shared" si="269"/>
        <v>0</v>
      </c>
    </row>
    <row r="2130" spans="1:114" x14ac:dyDescent="0.25">
      <c r="A2130" s="442"/>
      <c r="B2130" s="1384">
        <f t="shared" si="264"/>
        <v>356600</v>
      </c>
      <c r="C2130" s="435" t="s">
        <v>1395</v>
      </c>
      <c r="D2130" s="551" t="s">
        <v>600</v>
      </c>
      <c r="E2130" s="1299" t="s">
        <v>1397</v>
      </c>
      <c r="F2130" s="212">
        <f>ROUND(((J$2164*J$2165*(1/J$2167-1/J$2172))/1000),2)</f>
        <v>170.84</v>
      </c>
      <c r="G2130" s="81" t="s">
        <v>1214</v>
      </c>
      <c r="H2130" s="66">
        <f>VLOOKUP(G2130,'CP FACTORS'!$A$3:$B$38, 2, FALSE)</f>
        <v>0</v>
      </c>
      <c r="I2130" s="985">
        <f t="shared" si="268"/>
        <v>0</v>
      </c>
      <c r="J2130" s="57">
        <f>$J$2186</f>
        <v>10</v>
      </c>
      <c r="K2130" s="162">
        <v>0</v>
      </c>
      <c r="L2130" s="991"/>
      <c r="M2130" s="225"/>
      <c r="R2130" s="521"/>
      <c r="T2130" s="50"/>
      <c r="U2130" s="50"/>
      <c r="V2130" s="1315" t="s">
        <v>45</v>
      </c>
      <c r="W2130" s="156"/>
      <c r="X2130" s="156"/>
      <c r="Y2130" s="156"/>
      <c r="Z2130" s="156"/>
      <c r="AA2130" s="156"/>
      <c r="AB2130" s="156"/>
      <c r="AC2130" s="156"/>
      <c r="AD2130" s="47">
        <v>170.84</v>
      </c>
      <c r="AE2130" s="212">
        <v>170.84</v>
      </c>
      <c r="AF2130" s="258">
        <v>170.84</v>
      </c>
      <c r="AG2130" s="156"/>
      <c r="DG2130" s="777"/>
      <c r="DH2130" s="1299" t="str">
        <f t="shared" si="270"/>
        <v>Heating Res ER2 10 Year EUL</v>
      </c>
      <c r="DI2130" s="956">
        <f>(INDEX('Avoided Cost Benefits'!$B$4:$B$866,MATCH(DH2130,'Avoided Cost Benefits'!$A$4:$A$866,0)))*F2130</f>
        <v>53.121266363277755</v>
      </c>
      <c r="DJ2130" s="1952">
        <f t="shared" si="269"/>
        <v>0</v>
      </c>
    </row>
    <row r="2131" spans="1:114" x14ac:dyDescent="0.25">
      <c r="A2131" s="442"/>
      <c r="B2131" s="1384">
        <f t="shared" si="264"/>
        <v>356650</v>
      </c>
      <c r="C2131" s="435" t="s">
        <v>1398</v>
      </c>
      <c r="D2131" s="551" t="s">
        <v>600</v>
      </c>
      <c r="E2131" s="1298" t="s">
        <v>1399</v>
      </c>
      <c r="F2131" s="212">
        <f>ROUND(((J$2174*J$2175*(1/J$2177-1/J$2181))/1000),2)</f>
        <v>611.71</v>
      </c>
      <c r="G2131" s="81" t="s">
        <v>1124</v>
      </c>
      <c r="H2131" s="66">
        <f>VLOOKUP(G2131,'CP FACTORS'!$A$3:$B$38, 2, FALSE)</f>
        <v>9.4741810000000004E-4</v>
      </c>
      <c r="I2131" s="985">
        <f t="shared" si="268"/>
        <v>0.57954499999999998</v>
      </c>
      <c r="J2131" s="1007">
        <f>$J$2185</f>
        <v>5</v>
      </c>
      <c r="K2131" s="1008">
        <f>J$2187</f>
        <v>224.93182686576984</v>
      </c>
      <c r="L2131" s="991">
        <f>K$2164</f>
        <v>1.0111111111111111</v>
      </c>
      <c r="M2131" s="225"/>
      <c r="R2131" s="521"/>
      <c r="T2131" s="50"/>
      <c r="U2131" s="50"/>
      <c r="V2131" s="1315" t="s">
        <v>45</v>
      </c>
      <c r="W2131" s="156"/>
      <c r="X2131" s="156"/>
      <c r="Y2131" s="156"/>
      <c r="Z2131" s="156"/>
      <c r="AA2131" s="156"/>
      <c r="AB2131" s="156"/>
      <c r="AC2131" s="156"/>
      <c r="AD2131" s="47">
        <v>566.19000000000005</v>
      </c>
      <c r="AE2131" s="212">
        <v>566.19000000000005</v>
      </c>
      <c r="AF2131" s="258">
        <v>611.71</v>
      </c>
      <c r="AG2131" s="156"/>
      <c r="DG2131" s="1053">
        <f>(DI2131+DI2132+DI2133+DI2134)/(DJ2131+DJ2132+DJ2133+DJ2134)</f>
        <v>9.2710861392380099</v>
      </c>
      <c r="DH2131" s="1298" t="str">
        <f t="shared" si="270"/>
        <v>Cooling Res 5 Year EUL</v>
      </c>
      <c r="DI2131" s="953">
        <f>(INDEX('Avoided Cost Benefits'!$B$4:$B$866,MATCH(DH2131,'Avoided Cost Benefits'!$A$4:$A$866,0)))*F2131</f>
        <v>519.75199079297147</v>
      </c>
      <c r="DJ2131" s="1952">
        <f t="shared" si="269"/>
        <v>224.93182686576984</v>
      </c>
    </row>
    <row r="2132" spans="1:114" x14ac:dyDescent="0.25">
      <c r="A2132" s="442"/>
      <c r="B2132" s="1384">
        <f t="shared" si="264"/>
        <v>356650</v>
      </c>
      <c r="C2132" s="435" t="s">
        <v>1398</v>
      </c>
      <c r="D2132" s="551" t="s">
        <v>600</v>
      </c>
      <c r="E2132" s="1323" t="s">
        <v>1399</v>
      </c>
      <c r="F2132" s="212">
        <f>ROUND(((J$2164*J$2165*(1/J$2168-1/J$2172))/1000),2)</f>
        <v>2669.55</v>
      </c>
      <c r="G2132" s="81" t="s">
        <v>1125</v>
      </c>
      <c r="H2132" s="66">
        <f>VLOOKUP(G2132,'CP FACTORS'!$A$3:$B$38, 2, FALSE)</f>
        <v>0</v>
      </c>
      <c r="I2132" s="985">
        <f t="shared" si="268"/>
        <v>0</v>
      </c>
      <c r="J2132" s="57">
        <f>$J$2185</f>
        <v>5</v>
      </c>
      <c r="K2132" s="162">
        <v>0</v>
      </c>
      <c r="L2132" s="991"/>
      <c r="M2132" s="225"/>
      <c r="R2132" s="521"/>
      <c r="T2132" s="50"/>
      <c r="U2132" s="50"/>
      <c r="V2132" s="1315" t="s">
        <v>45</v>
      </c>
      <c r="W2132" s="156"/>
      <c r="X2132" s="156"/>
      <c r="Y2132" s="156"/>
      <c r="Z2132" s="156"/>
      <c r="AA2132" s="156"/>
      <c r="AB2132" s="156"/>
      <c r="AC2132" s="156"/>
      <c r="AD2132" s="47">
        <v>2669.55</v>
      </c>
      <c r="AE2132" s="212">
        <v>2669.55</v>
      </c>
      <c r="AF2132" s="258">
        <v>2669.55</v>
      </c>
      <c r="AG2132" s="156"/>
      <c r="DG2132" s="1054"/>
      <c r="DH2132" s="1323" t="str">
        <f t="shared" si="270"/>
        <v>Heating Res 5 Year EUL</v>
      </c>
      <c r="DI2132" s="970">
        <f>(INDEX('Avoided Cost Benefits'!$B$4:$B$866,MATCH(DH2132,'Avoided Cost Benefits'!$A$4:$A$866,0)))*F2132</f>
        <v>611.21209709314155</v>
      </c>
      <c r="DJ2132" s="1952">
        <f t="shared" si="269"/>
        <v>0</v>
      </c>
    </row>
    <row r="2133" spans="1:114" x14ac:dyDescent="0.25">
      <c r="A2133" s="442"/>
      <c r="B2133" s="1384">
        <f t="shared" si="264"/>
        <v>356650</v>
      </c>
      <c r="C2133" s="435" t="s">
        <v>1398</v>
      </c>
      <c r="D2133" s="551" t="s">
        <v>600</v>
      </c>
      <c r="E2133" s="1323" t="s">
        <v>1400</v>
      </c>
      <c r="F2133" s="212">
        <f>ROUND(((J$2174*J$2175*(1/J$2178-1/J$2181))/1000),2)</f>
        <v>105.12</v>
      </c>
      <c r="G2133" s="81" t="s">
        <v>1178</v>
      </c>
      <c r="H2133" s="66">
        <f>VLOOKUP(G2133,'CP FACTORS'!$A$3:$B$38, 2, FALSE)</f>
        <v>9.4741810000000004E-4</v>
      </c>
      <c r="I2133" s="1006">
        <f t="shared" si="268"/>
        <v>9.9593000000000001E-2</v>
      </c>
      <c r="J2133" s="57">
        <f>$J$2186</f>
        <v>10</v>
      </c>
      <c r="K2133" s="162">
        <v>0</v>
      </c>
      <c r="L2133" s="991"/>
      <c r="M2133" s="225"/>
      <c r="R2133" s="521"/>
      <c r="T2133" s="50"/>
      <c r="U2133" s="50"/>
      <c r="V2133" s="1315" t="s">
        <v>45</v>
      </c>
      <c r="W2133" s="156"/>
      <c r="X2133" s="156"/>
      <c r="Y2133" s="156"/>
      <c r="Z2133" s="156"/>
      <c r="AA2133" s="156"/>
      <c r="AB2133" s="156"/>
      <c r="AC2133" s="156"/>
      <c r="AD2133" s="47">
        <v>105.12</v>
      </c>
      <c r="AE2133" s="212">
        <v>105.12</v>
      </c>
      <c r="AF2133" s="258">
        <v>105.12</v>
      </c>
      <c r="AG2133" s="156"/>
      <c r="DG2133" s="1054"/>
      <c r="DH2133" s="1323" t="str">
        <f t="shared" si="270"/>
        <v>Cooling Res ER2 10 Year EUL</v>
      </c>
      <c r="DI2133" s="970">
        <f>(INDEX('Avoided Cost Benefits'!$B$4:$B$866,MATCH(DH2133,'Avoided Cost Benefits'!$A$4:$A$866,0)))*F2133</f>
        <v>124.32405273289181</v>
      </c>
      <c r="DJ2133" s="1952">
        <f t="shared" si="269"/>
        <v>0</v>
      </c>
    </row>
    <row r="2134" spans="1:114" x14ac:dyDescent="0.25">
      <c r="A2134" s="442"/>
      <c r="B2134" s="1384">
        <f t="shared" si="264"/>
        <v>356650</v>
      </c>
      <c r="C2134" s="435" t="s">
        <v>1398</v>
      </c>
      <c r="D2134" s="551" t="s">
        <v>600</v>
      </c>
      <c r="E2134" s="1299" t="s">
        <v>1400</v>
      </c>
      <c r="F2134" s="212">
        <f>ROUND(((J$2164*J$2165*(1/J$2169-1/J$2172))/1000),2)</f>
        <v>2669.55</v>
      </c>
      <c r="G2134" s="81" t="s">
        <v>1214</v>
      </c>
      <c r="H2134" s="66">
        <f>VLOOKUP(G2134,'CP FACTORS'!$A$3:$B$38, 2, FALSE)</f>
        <v>0</v>
      </c>
      <c r="I2134" s="985">
        <f t="shared" si="268"/>
        <v>0</v>
      </c>
      <c r="J2134" s="57">
        <f>$J$2186</f>
        <v>10</v>
      </c>
      <c r="K2134" s="162">
        <v>0</v>
      </c>
      <c r="L2134" s="991"/>
      <c r="M2134" s="225"/>
      <c r="R2134" s="521"/>
      <c r="T2134" s="50"/>
      <c r="U2134" s="50"/>
      <c r="V2134" s="1315" t="s">
        <v>45</v>
      </c>
      <c r="W2134" s="156"/>
      <c r="X2134" s="156"/>
      <c r="Y2134" s="156"/>
      <c r="Z2134" s="156"/>
      <c r="AA2134" s="156"/>
      <c r="AB2134" s="156"/>
      <c r="AC2134" s="156"/>
      <c r="AD2134" s="47">
        <v>2669.55</v>
      </c>
      <c r="AE2134" s="212">
        <v>2669.55</v>
      </c>
      <c r="AF2134" s="258">
        <v>2669.55</v>
      </c>
      <c r="AG2134" s="156"/>
      <c r="DG2134" s="777"/>
      <c r="DH2134" s="1299" t="str">
        <f t="shared" si="270"/>
        <v>Heating Res ER2 10 Year EUL</v>
      </c>
      <c r="DI2134" s="956">
        <f>(INDEX('Avoided Cost Benefits'!$B$4:$B$866,MATCH(DH2134,'Avoided Cost Benefits'!$A$4:$A$866,0)))*F2134</f>
        <v>830.0742017097175</v>
      </c>
      <c r="DJ2134" s="1952">
        <f t="shared" si="269"/>
        <v>0</v>
      </c>
    </row>
    <row r="2135" spans="1:114" x14ac:dyDescent="0.25">
      <c r="A2135" s="442"/>
      <c r="B2135" s="1384">
        <f t="shared" ref="B2135:B2150" si="271">VALUE(LEFT(C2135,6))</f>
        <v>356700</v>
      </c>
      <c r="C2135" s="435" t="s">
        <v>1401</v>
      </c>
      <c r="D2135" s="551" t="s">
        <v>600</v>
      </c>
      <c r="E2135" s="1298" t="s">
        <v>1402</v>
      </c>
      <c r="F2135" s="212">
        <f>ROUND(((J$2174*J$2175*(1/J$2178-1/J$2181))/1000),2)</f>
        <v>105.12</v>
      </c>
      <c r="G2135" s="81" t="s">
        <v>1124</v>
      </c>
      <c r="H2135" s="66">
        <f>VLOOKUP(G2135,'CP FACTORS'!$A$3:$B$38, 2, FALSE)</f>
        <v>9.4741810000000004E-4</v>
      </c>
      <c r="I2135" s="985">
        <f t="shared" ref="I2135:I2150" si="272">ROUND(F2135*H2135,6)</f>
        <v>9.9593000000000001E-2</v>
      </c>
      <c r="J2135" s="57">
        <f>$J$2184</f>
        <v>15</v>
      </c>
      <c r="K2135" s="162">
        <f>J$2188</f>
        <v>84.93</v>
      </c>
      <c r="L2135" s="991">
        <f>K$2164</f>
        <v>1.0111111111111111</v>
      </c>
      <c r="M2135" s="225"/>
      <c r="R2135" s="521"/>
      <c r="T2135" s="50"/>
      <c r="U2135" s="50"/>
      <c r="V2135" s="1315" t="s">
        <v>45</v>
      </c>
      <c r="W2135" s="156"/>
      <c r="X2135" s="156"/>
      <c r="Y2135" s="156"/>
      <c r="Z2135" s="156"/>
      <c r="AA2135" s="156"/>
      <c r="AB2135" s="156"/>
      <c r="AC2135" s="156"/>
      <c r="AD2135" s="47">
        <v>105.12</v>
      </c>
      <c r="AE2135" s="212">
        <v>105.12</v>
      </c>
      <c r="AF2135" s="258">
        <v>105.12</v>
      </c>
      <c r="AG2135" s="156"/>
      <c r="DG2135" s="1053">
        <f>(DI2135+DI2136)/(DJ2135+DJ2136)</f>
        <v>3.6015271448645594</v>
      </c>
      <c r="DH2135" s="1298" t="str">
        <f t="shared" si="270"/>
        <v>Cooling Res 15 Year EUL</v>
      </c>
      <c r="DI2135" s="953">
        <f>(INDEX('Avoided Cost Benefits'!$B$4:$B$866,MATCH(DH2135,'Avoided Cost Benefits'!$A$4:$A$866,0)))*F2135</f>
        <v>213.64142415424695</v>
      </c>
      <c r="DJ2135" s="1952">
        <f t="shared" ref="DJ2135:DJ2150" si="273">IFERROR(K2135/((1+DiscountRate)^(CurrentYear-DiscountYear)),0)</f>
        <v>84.93</v>
      </c>
    </row>
    <row r="2136" spans="1:114" x14ac:dyDescent="0.25">
      <c r="A2136" s="442"/>
      <c r="B2136" s="1384">
        <f t="shared" si="271"/>
        <v>356700</v>
      </c>
      <c r="C2136" s="435" t="s">
        <v>1401</v>
      </c>
      <c r="D2136" s="551" t="s">
        <v>600</v>
      </c>
      <c r="E2136" s="1299" t="s">
        <v>1402</v>
      </c>
      <c r="F2136" s="212">
        <f>ROUND(((J$2164*J$2165*(1/J$2167-1/J$2172))/1000),2)</f>
        <v>170.84</v>
      </c>
      <c r="G2136" s="81" t="s">
        <v>1125</v>
      </c>
      <c r="H2136" s="66">
        <f>VLOOKUP(G2136,'CP FACTORS'!$A$3:$B$38, 2, FALSE)</f>
        <v>0</v>
      </c>
      <c r="I2136" s="985">
        <f t="shared" si="272"/>
        <v>0</v>
      </c>
      <c r="J2136" s="57">
        <f>$J$2184</f>
        <v>15</v>
      </c>
      <c r="K2136" s="162">
        <v>0</v>
      </c>
      <c r="L2136" s="991"/>
      <c r="M2136" s="225"/>
      <c r="R2136" s="521"/>
      <c r="T2136" s="50"/>
      <c r="U2136" s="50"/>
      <c r="V2136" s="1315" t="s">
        <v>45</v>
      </c>
      <c r="W2136" s="156"/>
      <c r="X2136" s="156"/>
      <c r="Y2136" s="156"/>
      <c r="Z2136" s="156"/>
      <c r="AA2136" s="156"/>
      <c r="AB2136" s="156"/>
      <c r="AC2136" s="156"/>
      <c r="AD2136" s="47">
        <v>170.84</v>
      </c>
      <c r="AE2136" s="212">
        <v>170.84</v>
      </c>
      <c r="AF2136" s="258">
        <v>170.84</v>
      </c>
      <c r="AG2136" s="156"/>
      <c r="DG2136" s="777"/>
      <c r="DH2136" s="1299" t="str">
        <f t="shared" si="270"/>
        <v>Heating Res 15 Year EUL</v>
      </c>
      <c r="DI2136" s="956">
        <f>(INDEX('Avoided Cost Benefits'!$B$4:$B$866,MATCH(DH2136,'Avoided Cost Benefits'!$A$4:$A$866,0)))*F2136</f>
        <v>92.236276259100066</v>
      </c>
      <c r="DJ2136" s="1952">
        <f t="shared" si="273"/>
        <v>0</v>
      </c>
    </row>
    <row r="2137" spans="1:114" x14ac:dyDescent="0.25">
      <c r="A2137" s="442"/>
      <c r="B2137" s="1384">
        <f t="shared" si="271"/>
        <v>356750</v>
      </c>
      <c r="C2137" s="435" t="s">
        <v>1403</v>
      </c>
      <c r="D2137" s="551" t="s">
        <v>600</v>
      </c>
      <c r="E2137" s="1298" t="s">
        <v>1404</v>
      </c>
      <c r="F2137" s="212">
        <f>ROUND(((J$2174*J$2175*(1/J$2178-1/J$2181))/1000),2)</f>
        <v>105.12</v>
      </c>
      <c r="G2137" s="81" t="s">
        <v>1124</v>
      </c>
      <c r="H2137" s="66">
        <f>VLOOKUP(G2137,'CP FACTORS'!$A$3:$B$38, 2, FALSE)</f>
        <v>9.4741810000000004E-4</v>
      </c>
      <c r="I2137" s="985">
        <f t="shared" si="272"/>
        <v>9.9593000000000001E-2</v>
      </c>
      <c r="J2137" s="57">
        <f>$J$2184</f>
        <v>15</v>
      </c>
      <c r="K2137" s="162">
        <f>J$2188</f>
        <v>84.93</v>
      </c>
      <c r="L2137" s="991">
        <f>K$2164</f>
        <v>1.0111111111111111</v>
      </c>
      <c r="M2137" s="225"/>
      <c r="R2137" s="521"/>
      <c r="T2137" s="50"/>
      <c r="U2137" s="50"/>
      <c r="V2137" s="1315" t="s">
        <v>45</v>
      </c>
      <c r="W2137" s="156"/>
      <c r="X2137" s="156"/>
      <c r="Y2137" s="156"/>
      <c r="Z2137" s="156"/>
      <c r="AA2137" s="156"/>
      <c r="AB2137" s="156"/>
      <c r="AC2137" s="156"/>
      <c r="AD2137" s="47">
        <v>105.12</v>
      </c>
      <c r="AE2137" s="212">
        <v>105.12</v>
      </c>
      <c r="AF2137" s="258">
        <v>105.12</v>
      </c>
      <c r="AG2137" s="156"/>
      <c r="DG2137" s="1053">
        <f>(DI2137+DI2138)/(DJ2137+DJ2138)</f>
        <v>19.485785034229444</v>
      </c>
      <c r="DH2137" s="1298" t="str">
        <f t="shared" si="270"/>
        <v>Cooling Res 15 Year EUL</v>
      </c>
      <c r="DI2137" s="953">
        <f>(INDEX('Avoided Cost Benefits'!$B$4:$B$866,MATCH(DH2137,'Avoided Cost Benefits'!$A$4:$A$866,0)))*F2137</f>
        <v>213.64142415424695</v>
      </c>
      <c r="DJ2137" s="1952">
        <f t="shared" si="273"/>
        <v>84.93</v>
      </c>
    </row>
    <row r="2138" spans="1:114" x14ac:dyDescent="0.25">
      <c r="A2138" s="442"/>
      <c r="B2138" s="1384">
        <f t="shared" si="271"/>
        <v>356750</v>
      </c>
      <c r="C2138" s="435" t="s">
        <v>1403</v>
      </c>
      <c r="D2138" s="551" t="s">
        <v>600</v>
      </c>
      <c r="E2138" s="1299" t="s">
        <v>1404</v>
      </c>
      <c r="F2138" s="212">
        <f>ROUND(((J$2164*J$2165*(1/J$2169-1/J$2172))/1000),2)</f>
        <v>2669.55</v>
      </c>
      <c r="G2138" s="81" t="s">
        <v>1125</v>
      </c>
      <c r="H2138" s="66">
        <f>VLOOKUP(G2138,'CP FACTORS'!$A$3:$B$38, 2, FALSE)</f>
        <v>0</v>
      </c>
      <c r="I2138" s="985">
        <f t="shared" si="272"/>
        <v>0</v>
      </c>
      <c r="J2138" s="57">
        <f>$J$2184</f>
        <v>15</v>
      </c>
      <c r="K2138" s="162">
        <v>0</v>
      </c>
      <c r="L2138" s="991"/>
      <c r="M2138" s="225"/>
      <c r="R2138" s="521"/>
      <c r="T2138" s="50"/>
      <c r="U2138" s="50"/>
      <c r="V2138" s="1315" t="s">
        <v>45</v>
      </c>
      <c r="W2138" s="156"/>
      <c r="X2138" s="156"/>
      <c r="Y2138" s="156"/>
      <c r="Z2138" s="156"/>
      <c r="AA2138" s="156"/>
      <c r="AB2138" s="156"/>
      <c r="AC2138" s="156"/>
      <c r="AD2138" s="47">
        <v>2669.55</v>
      </c>
      <c r="AE2138" s="212">
        <v>2669.55</v>
      </c>
      <c r="AF2138" s="258">
        <v>2669.55</v>
      </c>
      <c r="AG2138" s="156"/>
      <c r="DG2138" s="777"/>
      <c r="DH2138" s="1299" t="str">
        <f t="shared" si="270"/>
        <v>Heating Res 15 Year EUL</v>
      </c>
      <c r="DI2138" s="956">
        <f>(INDEX('Avoided Cost Benefits'!$B$4:$B$866,MATCH(DH2138,'Avoided Cost Benefits'!$A$4:$A$866,0)))*F2138</f>
        <v>1441.2862988028598</v>
      </c>
      <c r="DJ2138" s="1952">
        <f t="shared" si="273"/>
        <v>0</v>
      </c>
    </row>
    <row r="2139" spans="1:114" x14ac:dyDescent="0.25">
      <c r="A2139" s="442"/>
      <c r="B2139" s="1384">
        <f t="shared" si="271"/>
        <v>356800</v>
      </c>
      <c r="C2139" s="1907" t="s">
        <v>1405</v>
      </c>
      <c r="D2139" s="551" t="s">
        <v>600</v>
      </c>
      <c r="E2139" s="1323" t="s">
        <v>1406</v>
      </c>
      <c r="F2139" s="1004">
        <f>ROUND(((J$2174*J$2175*(1/J$2176-1/J$2182))/1000),2)</f>
        <v>584.30999999999995</v>
      </c>
      <c r="G2139" s="1005" t="s">
        <v>1124</v>
      </c>
      <c r="H2139" s="939">
        <f>VLOOKUP(G2139,'CP FACTORS'!$A$3:$B$38, 2, FALSE)</f>
        <v>9.4741810000000004E-4</v>
      </c>
      <c r="I2139" s="1006">
        <f t="shared" si="272"/>
        <v>0.55358600000000002</v>
      </c>
      <c r="J2139" s="1007">
        <f>$J$2185</f>
        <v>5</v>
      </c>
      <c r="K2139" s="1008">
        <f>J$2187</f>
        <v>224.93182686576984</v>
      </c>
      <c r="L2139" s="1009">
        <f>K$2164</f>
        <v>1.0111111111111111</v>
      </c>
      <c r="M2139" s="225"/>
      <c r="R2139" s="521"/>
      <c r="T2139" s="50"/>
      <c r="U2139" s="50"/>
      <c r="V2139" s="1315" t="s">
        <v>45</v>
      </c>
      <c r="W2139" s="156"/>
      <c r="X2139" s="156"/>
      <c r="Y2139" s="156"/>
      <c r="Z2139" s="156"/>
      <c r="AA2139" s="156"/>
      <c r="AB2139" s="156"/>
      <c r="AC2139" s="156"/>
      <c r="AD2139" s="47">
        <v>540.66999999999996</v>
      </c>
      <c r="AE2139" s="212">
        <v>540.66999999999996</v>
      </c>
      <c r="AF2139" s="258">
        <v>584.30999999999995</v>
      </c>
      <c r="AG2139" s="156"/>
      <c r="DG2139" s="1053">
        <f>(DI2139+DI2140+DI2141+DI2142)/(DJ2139+DJ2140+DJ2141+DJ2142)</f>
        <v>4.5905121733042673</v>
      </c>
      <c r="DH2139" s="1298" t="str">
        <f t="shared" si="270"/>
        <v>Cooling Res 5 Year EUL</v>
      </c>
      <c r="DI2139" s="953">
        <f>(INDEX('Avoided Cost Benefits'!$B$4:$B$866,MATCH(DH2139,'Avoided Cost Benefits'!$A$4:$A$866,0)))*F2139</f>
        <v>496.47101688748114</v>
      </c>
      <c r="DJ2139" s="1952">
        <f t="shared" si="273"/>
        <v>224.93182686576984</v>
      </c>
    </row>
    <row r="2140" spans="1:114" x14ac:dyDescent="0.25">
      <c r="A2140" s="442"/>
      <c r="B2140" s="1384">
        <f t="shared" si="271"/>
        <v>356800</v>
      </c>
      <c r="C2140" s="435" t="s">
        <v>1405</v>
      </c>
      <c r="D2140" s="551" t="s">
        <v>600</v>
      </c>
      <c r="E2140" s="1323" t="s">
        <v>1406</v>
      </c>
      <c r="F2140" s="212">
        <f>ROUND(((J$2164*J$2165*(1/J$2166-1/J$2173))/1000),2)</f>
        <v>1328.35</v>
      </c>
      <c r="G2140" s="81" t="s">
        <v>1125</v>
      </c>
      <c r="H2140" s="66">
        <f>VLOOKUP(G2140,'CP FACTORS'!$A$3:$B$38, 2, FALSE)</f>
        <v>0</v>
      </c>
      <c r="I2140" s="985">
        <f t="shared" si="272"/>
        <v>0</v>
      </c>
      <c r="J2140" s="57">
        <f>$J$2185</f>
        <v>5</v>
      </c>
      <c r="K2140" s="162">
        <v>0</v>
      </c>
      <c r="L2140" s="991"/>
      <c r="M2140" s="225"/>
      <c r="R2140" s="521"/>
      <c r="T2140" s="50"/>
      <c r="U2140" s="50"/>
      <c r="V2140" s="1315" t="s">
        <v>45</v>
      </c>
      <c r="W2140" s="156"/>
      <c r="X2140" s="156"/>
      <c r="Y2140" s="156"/>
      <c r="Z2140" s="156"/>
      <c r="AA2140" s="156"/>
      <c r="AB2140" s="156"/>
      <c r="AC2140" s="156"/>
      <c r="AD2140" s="47">
        <v>1328.35</v>
      </c>
      <c r="AE2140" s="212">
        <v>1328.35</v>
      </c>
      <c r="AF2140" s="258">
        <v>1328.35</v>
      </c>
      <c r="AG2140" s="156"/>
      <c r="DG2140" s="1054"/>
      <c r="DH2140" s="1323" t="str">
        <f t="shared" si="270"/>
        <v>Heating Res 5 Year EUL</v>
      </c>
      <c r="DI2140" s="970">
        <f>(INDEX('Avoided Cost Benefits'!$B$4:$B$866,MATCH(DH2140,'Avoided Cost Benefits'!$A$4:$A$866,0)))*F2140</f>
        <v>304.13499997140889</v>
      </c>
      <c r="DJ2140" s="1952">
        <f t="shared" si="273"/>
        <v>0</v>
      </c>
    </row>
    <row r="2141" spans="1:114" x14ac:dyDescent="0.25">
      <c r="A2141" s="442"/>
      <c r="B2141" s="1384">
        <f t="shared" si="271"/>
        <v>356800</v>
      </c>
      <c r="C2141" s="435" t="s">
        <v>1405</v>
      </c>
      <c r="D2141" s="551" t="s">
        <v>600</v>
      </c>
      <c r="E2141" s="1323" t="s">
        <v>1407</v>
      </c>
      <c r="F2141" s="1004">
        <f>ROUND(((J$2174*J$2175*(1/J$2178-1/J$2182))/1000),2)</f>
        <v>140.77000000000001</v>
      </c>
      <c r="G2141" s="81" t="s">
        <v>1178</v>
      </c>
      <c r="H2141" s="66">
        <f>VLOOKUP(G2141,'CP FACTORS'!$A$3:$B$38, 2, FALSE)</f>
        <v>9.4741810000000004E-4</v>
      </c>
      <c r="I2141" s="1006">
        <f t="shared" si="272"/>
        <v>0.13336799999999999</v>
      </c>
      <c r="J2141" s="57">
        <f>$J$2186</f>
        <v>10</v>
      </c>
      <c r="K2141" s="162">
        <v>0</v>
      </c>
      <c r="L2141" s="991"/>
      <c r="M2141" s="225"/>
      <c r="R2141" s="521"/>
      <c r="T2141" s="50"/>
      <c r="U2141" s="50"/>
      <c r="V2141" s="1315" t="s">
        <v>45</v>
      </c>
      <c r="W2141" s="156"/>
      <c r="X2141" s="156"/>
      <c r="Y2141" s="156"/>
      <c r="Z2141" s="156"/>
      <c r="AA2141" s="156"/>
      <c r="AB2141" s="156"/>
      <c r="AC2141" s="156"/>
      <c r="AD2141" s="47">
        <v>140.77000000000001</v>
      </c>
      <c r="AE2141" s="212">
        <v>140.77000000000001</v>
      </c>
      <c r="AF2141" s="258">
        <v>140.77000000000001</v>
      </c>
      <c r="AG2141" s="156"/>
      <c r="DG2141" s="1054"/>
      <c r="DH2141" s="1323" t="str">
        <f t="shared" si="270"/>
        <v>Cooling Res ER2 10 Year EUL</v>
      </c>
      <c r="DI2141" s="970">
        <f>(INDEX('Avoided Cost Benefits'!$B$4:$B$866,MATCH(DH2141,'Avoided Cost Benefits'!$A$4:$A$866,0)))*F2141</f>
        <v>166.48684268654091</v>
      </c>
      <c r="DJ2141" s="1952">
        <f t="shared" si="273"/>
        <v>0</v>
      </c>
    </row>
    <row r="2142" spans="1:114" x14ac:dyDescent="0.25">
      <c r="A2142" s="442"/>
      <c r="B2142" s="1384">
        <f t="shared" si="271"/>
        <v>356800</v>
      </c>
      <c r="C2142" s="435" t="s">
        <v>1405</v>
      </c>
      <c r="D2142" s="551" t="s">
        <v>600</v>
      </c>
      <c r="E2142" s="1299" t="s">
        <v>1407</v>
      </c>
      <c r="F2142" s="212">
        <f>ROUND(((J$2164*J$2165*(1/J$2167-1/J$2173))/1000),2)</f>
        <v>210.52</v>
      </c>
      <c r="G2142" s="81" t="s">
        <v>1214</v>
      </c>
      <c r="H2142" s="66">
        <f>VLOOKUP(G2142,'CP FACTORS'!$A$3:$B$38, 2, FALSE)</f>
        <v>0</v>
      </c>
      <c r="I2142" s="985">
        <f t="shared" si="272"/>
        <v>0</v>
      </c>
      <c r="J2142" s="57">
        <f>$J$2186</f>
        <v>10</v>
      </c>
      <c r="K2142" s="162">
        <v>0</v>
      </c>
      <c r="L2142" s="991"/>
      <c r="M2142" s="225"/>
      <c r="R2142" s="521"/>
      <c r="T2142" s="50"/>
      <c r="U2142" s="50"/>
      <c r="V2142" s="1315" t="s">
        <v>45</v>
      </c>
      <c r="W2142" s="156"/>
      <c r="X2142" s="156"/>
      <c r="Y2142" s="156"/>
      <c r="Z2142" s="156"/>
      <c r="AA2142" s="156"/>
      <c r="AB2142" s="156"/>
      <c r="AC2142" s="156"/>
      <c r="AD2142" s="47">
        <v>210.52</v>
      </c>
      <c r="AE2142" s="212">
        <v>210.52</v>
      </c>
      <c r="AF2142" s="258">
        <v>210.52</v>
      </c>
      <c r="AG2142" s="156"/>
      <c r="DG2142" s="777"/>
      <c r="DH2142" s="1299" t="str">
        <f t="shared" si="270"/>
        <v>Heating Res ER2 10 Year EUL</v>
      </c>
      <c r="DI2142" s="956">
        <f>(INDEX('Avoided Cost Benefits'!$B$4:$B$866,MATCH(DH2142,'Avoided Cost Benefits'!$A$4:$A$866,0)))*F2142</f>
        <v>65.459429845453258</v>
      </c>
      <c r="DJ2142" s="1952">
        <f t="shared" si="273"/>
        <v>0</v>
      </c>
    </row>
    <row r="2143" spans="1:114" x14ac:dyDescent="0.25">
      <c r="A2143" s="442"/>
      <c r="B2143" s="1384">
        <f t="shared" si="271"/>
        <v>356850</v>
      </c>
      <c r="C2143" s="435" t="s">
        <v>1408</v>
      </c>
      <c r="D2143" s="551" t="s">
        <v>600</v>
      </c>
      <c r="E2143" s="1298" t="s">
        <v>1409</v>
      </c>
      <c r="F2143" s="212">
        <f>ROUND(((J$2174*J$2175*(1/J$2177-1/J$2182))/1000),2)</f>
        <v>647.36</v>
      </c>
      <c r="G2143" s="81" t="s">
        <v>1124</v>
      </c>
      <c r="H2143" s="66">
        <f>VLOOKUP(G2143,'CP FACTORS'!$A$3:$B$38, 2, FALSE)</f>
        <v>9.4741810000000004E-4</v>
      </c>
      <c r="I2143" s="985">
        <f t="shared" si="272"/>
        <v>0.61332100000000001</v>
      </c>
      <c r="J2143" s="1007">
        <f>$J$2185</f>
        <v>5</v>
      </c>
      <c r="K2143" s="1008">
        <f>J$2187</f>
        <v>224.93182686576984</v>
      </c>
      <c r="L2143" s="991">
        <f>K$2164</f>
        <v>1.0111111111111111</v>
      </c>
      <c r="M2143" s="225"/>
      <c r="R2143" s="521"/>
      <c r="T2143" s="50"/>
      <c r="U2143" s="50"/>
      <c r="V2143" s="1315" t="s">
        <v>45</v>
      </c>
      <c r="W2143" s="156"/>
      <c r="X2143" s="156"/>
      <c r="Y2143" s="156"/>
      <c r="Z2143" s="156"/>
      <c r="AA2143" s="156"/>
      <c r="AB2143" s="156"/>
      <c r="AC2143" s="156"/>
      <c r="AD2143" s="47">
        <v>601.84</v>
      </c>
      <c r="AE2143" s="212">
        <v>601.84</v>
      </c>
      <c r="AF2143" s="258">
        <v>647.36</v>
      </c>
      <c r="AG2143" s="156"/>
      <c r="DG2143" s="1053">
        <f>(DI2143+DI2144+DI2145+DI2146)/(DJ2143+DJ2144+DJ2145+DJ2146)</f>
        <v>9.6884424723683011</v>
      </c>
      <c r="DH2143" s="1298" t="str">
        <f t="shared" si="270"/>
        <v>Cooling Res 5 Year EUL</v>
      </c>
      <c r="DI2143" s="953">
        <f>(INDEX('Avoided Cost Benefits'!$B$4:$B$866,MATCH(DH2143,'Avoided Cost Benefits'!$A$4:$A$866,0)))*F2143</f>
        <v>550.04274698752351</v>
      </c>
      <c r="DJ2143" s="1952">
        <f t="shared" si="273"/>
        <v>224.93182686576984</v>
      </c>
    </row>
    <row r="2144" spans="1:114" x14ac:dyDescent="0.25">
      <c r="A2144" s="442"/>
      <c r="B2144" s="1384">
        <f t="shared" si="271"/>
        <v>356850</v>
      </c>
      <c r="C2144" s="435" t="s">
        <v>1408</v>
      </c>
      <c r="D2144" s="551" t="s">
        <v>600</v>
      </c>
      <c r="E2144" s="1323" t="s">
        <v>1409</v>
      </c>
      <c r="F2144" s="170">
        <f>ROUND(((J$2164*J$2165*(1/J$2168-1/J$2173))/1000),2)</f>
        <v>2709.23</v>
      </c>
      <c r="G2144" s="81" t="s">
        <v>1125</v>
      </c>
      <c r="H2144" s="66">
        <f>VLOOKUP(G2144,'CP FACTORS'!$A$3:$B$38, 2, FALSE)</f>
        <v>0</v>
      </c>
      <c r="I2144" s="985">
        <f t="shared" si="272"/>
        <v>0</v>
      </c>
      <c r="J2144" s="57">
        <f>$J$2185</f>
        <v>5</v>
      </c>
      <c r="K2144" s="162">
        <v>0</v>
      </c>
      <c r="L2144" s="991"/>
      <c r="M2144" s="225"/>
      <c r="R2144" s="521"/>
      <c r="T2144" s="50"/>
      <c r="U2144" s="50"/>
      <c r="V2144" s="1315" t="s">
        <v>45</v>
      </c>
      <c r="W2144" s="156"/>
      <c r="X2144" s="156"/>
      <c r="Y2144" s="156"/>
      <c r="Z2144" s="156"/>
      <c r="AA2144" s="156"/>
      <c r="AB2144" s="156"/>
      <c r="AC2144" s="156"/>
      <c r="AD2144" s="47">
        <v>2709.23</v>
      </c>
      <c r="AE2144" s="212">
        <v>2709.23</v>
      </c>
      <c r="AF2144" s="258">
        <v>2709.23</v>
      </c>
      <c r="AG2144" s="156"/>
      <c r="DG2144" s="1054"/>
      <c r="DH2144" s="1323" t="str">
        <f t="shared" si="270"/>
        <v>Heating Res 5 Year EUL</v>
      </c>
      <c r="DI2144" s="970">
        <f>(INDEX('Avoided Cost Benefits'!$B$4:$B$866,MATCH(DH2144,'Avoided Cost Benefits'!$A$4:$A$866,0)))*F2144</f>
        <v>620.29710992776006</v>
      </c>
      <c r="DJ2144" s="1952">
        <f t="shared" si="273"/>
        <v>0</v>
      </c>
    </row>
    <row r="2145" spans="1:114" x14ac:dyDescent="0.25">
      <c r="A2145" s="442"/>
      <c r="B2145" s="1384">
        <f t="shared" si="271"/>
        <v>356850</v>
      </c>
      <c r="C2145" s="435" t="s">
        <v>1408</v>
      </c>
      <c r="D2145" s="551" t="s">
        <v>600</v>
      </c>
      <c r="E2145" s="1323" t="s">
        <v>1410</v>
      </c>
      <c r="F2145" s="212">
        <f>ROUND(((J$2174*J$2175*(1/J$2178-1/J$2182))/1000),2)</f>
        <v>140.77000000000001</v>
      </c>
      <c r="G2145" s="81" t="s">
        <v>1178</v>
      </c>
      <c r="H2145" s="66">
        <f>VLOOKUP(G2145,'CP FACTORS'!$A$3:$B$38, 2, FALSE)</f>
        <v>9.4741810000000004E-4</v>
      </c>
      <c r="I2145" s="1006">
        <f t="shared" si="272"/>
        <v>0.13336799999999999</v>
      </c>
      <c r="J2145" s="57">
        <f>$J$2186</f>
        <v>10</v>
      </c>
      <c r="K2145" s="162">
        <v>0</v>
      </c>
      <c r="L2145" s="991"/>
      <c r="M2145" s="225"/>
      <c r="R2145" s="521"/>
      <c r="T2145" s="50"/>
      <c r="U2145" s="50"/>
      <c r="V2145" s="1315" t="s">
        <v>45</v>
      </c>
      <c r="W2145" s="156"/>
      <c r="X2145" s="156"/>
      <c r="Y2145" s="156"/>
      <c r="Z2145" s="156"/>
      <c r="AA2145" s="156"/>
      <c r="AB2145" s="156"/>
      <c r="AC2145" s="156"/>
      <c r="AD2145" s="47">
        <v>140.77000000000001</v>
      </c>
      <c r="AE2145" s="212">
        <v>140.77000000000001</v>
      </c>
      <c r="AF2145" s="258">
        <v>140.77000000000001</v>
      </c>
      <c r="AG2145" s="156"/>
      <c r="DG2145" s="1054"/>
      <c r="DH2145" s="1323" t="str">
        <f t="shared" si="270"/>
        <v>Cooling Res ER2 10 Year EUL</v>
      </c>
      <c r="DI2145" s="970">
        <f>(INDEX('Avoided Cost Benefits'!$B$4:$B$866,MATCH(DH2145,'Avoided Cost Benefits'!$A$4:$A$866,0)))*F2145</f>
        <v>166.48684268654091</v>
      </c>
      <c r="DJ2145" s="1952">
        <f t="shared" si="273"/>
        <v>0</v>
      </c>
    </row>
    <row r="2146" spans="1:114" x14ac:dyDescent="0.25">
      <c r="A2146" s="442"/>
      <c r="B2146" s="1384">
        <f t="shared" si="271"/>
        <v>356850</v>
      </c>
      <c r="C2146" s="435" t="s">
        <v>1408</v>
      </c>
      <c r="D2146" s="551" t="s">
        <v>600</v>
      </c>
      <c r="E2146" s="1299" t="s">
        <v>1410</v>
      </c>
      <c r="F2146" s="212">
        <f>ROUND(((J$2164*J$2165*(1/J$2169-1/J$2173))/1000),2)</f>
        <v>2709.23</v>
      </c>
      <c r="G2146" s="81" t="s">
        <v>1214</v>
      </c>
      <c r="H2146" s="66">
        <f>VLOOKUP(G2146,'CP FACTORS'!$A$3:$B$38, 2, FALSE)</f>
        <v>0</v>
      </c>
      <c r="I2146" s="985">
        <f t="shared" si="272"/>
        <v>0</v>
      </c>
      <c r="J2146" s="57">
        <f>$J$2186</f>
        <v>10</v>
      </c>
      <c r="K2146" s="162">
        <v>0</v>
      </c>
      <c r="L2146" s="991"/>
      <c r="M2146" s="225"/>
      <c r="R2146" s="521"/>
      <c r="T2146" s="50"/>
      <c r="U2146" s="50"/>
      <c r="V2146" s="1315" t="s">
        <v>45</v>
      </c>
      <c r="W2146" s="156"/>
      <c r="X2146" s="156"/>
      <c r="Y2146" s="156"/>
      <c r="Z2146" s="156"/>
      <c r="AA2146" s="156"/>
      <c r="AB2146" s="156"/>
      <c r="AC2146" s="156"/>
      <c r="AD2146" s="47">
        <v>2709.23</v>
      </c>
      <c r="AE2146" s="212">
        <v>2709.23</v>
      </c>
      <c r="AF2146" s="258">
        <v>2709.23</v>
      </c>
      <c r="AG2146" s="156"/>
      <c r="DG2146" s="777"/>
      <c r="DH2146" s="1299" t="str">
        <f t="shared" si="270"/>
        <v>Heating Res ER2 10 Year EUL</v>
      </c>
      <c r="DI2146" s="956">
        <f>(INDEX('Avoided Cost Benefits'!$B$4:$B$866,MATCH(DH2146,'Avoided Cost Benefits'!$A$4:$A$866,0)))*F2146</f>
        <v>842.41236519189295</v>
      </c>
      <c r="DJ2146" s="1952">
        <f t="shared" si="273"/>
        <v>0</v>
      </c>
    </row>
    <row r="2147" spans="1:114" x14ac:dyDescent="0.25">
      <c r="A2147" s="442"/>
      <c r="B2147" s="1384">
        <f t="shared" si="271"/>
        <v>356900</v>
      </c>
      <c r="C2147" s="435" t="s">
        <v>1411</v>
      </c>
      <c r="D2147" s="551" t="s">
        <v>600</v>
      </c>
      <c r="E2147" s="1298" t="s">
        <v>1412</v>
      </c>
      <c r="F2147" s="212">
        <f>ROUND(((J$2174*J$2175*(1/J$2178-1/J$2182))/1000),2)</f>
        <v>140.77000000000001</v>
      </c>
      <c r="G2147" s="81" t="s">
        <v>1124</v>
      </c>
      <c r="H2147" s="66">
        <f>VLOOKUP(G2147,'CP FACTORS'!$A$3:$B$38, 2, FALSE)</f>
        <v>9.4741810000000004E-4</v>
      </c>
      <c r="I2147" s="985">
        <f t="shared" si="272"/>
        <v>0.13336799999999999</v>
      </c>
      <c r="J2147" s="57">
        <f>$J$2184</f>
        <v>15</v>
      </c>
      <c r="K2147" s="162">
        <f>J$2188</f>
        <v>84.93</v>
      </c>
      <c r="L2147" s="991">
        <f>K$2164</f>
        <v>1.0111111111111111</v>
      </c>
      <c r="M2147" s="225"/>
      <c r="R2147" s="521"/>
      <c r="T2147" s="50"/>
      <c r="U2147" s="50"/>
      <c r="V2147" s="1315" t="s">
        <v>45</v>
      </c>
      <c r="W2147" s="156"/>
      <c r="X2147" s="156"/>
      <c r="Y2147" s="156"/>
      <c r="Z2147" s="156"/>
      <c r="AA2147" s="156"/>
      <c r="AB2147" s="156"/>
      <c r="AC2147" s="156"/>
      <c r="AD2147" s="47">
        <v>140.77000000000001</v>
      </c>
      <c r="AE2147" s="212">
        <v>140.77000000000001</v>
      </c>
      <c r="AF2147" s="258">
        <v>140.77000000000001</v>
      </c>
      <c r="AG2147" s="156"/>
      <c r="DG2147" s="1053">
        <f>(DI2147+DI2148)/(DJ2147+DJ2148)</f>
        <v>4.706869455767599</v>
      </c>
      <c r="DH2147" s="1298" t="str">
        <f t="shared" si="270"/>
        <v>Cooling Res 15 Year EUL</v>
      </c>
      <c r="DI2147" s="953">
        <f>(INDEX('Avoided Cost Benefits'!$B$4:$B$866,MATCH(DH2147,'Avoided Cost Benefits'!$A$4:$A$866,0)))*F2147</f>
        <v>286.09497030244813</v>
      </c>
      <c r="DJ2147" s="1952">
        <f t="shared" si="273"/>
        <v>84.93</v>
      </c>
    </row>
    <row r="2148" spans="1:114" x14ac:dyDescent="0.25">
      <c r="A2148" s="442"/>
      <c r="B2148" s="1384">
        <f t="shared" si="271"/>
        <v>356900</v>
      </c>
      <c r="C2148" s="435" t="s">
        <v>1411</v>
      </c>
      <c r="D2148" s="551" t="s">
        <v>600</v>
      </c>
      <c r="E2148" s="1299" t="s">
        <v>1412</v>
      </c>
      <c r="F2148" s="212">
        <f>ROUND(((J$2164*J$2165*(1/J$2167-1/J$2173))/1000),2)</f>
        <v>210.52</v>
      </c>
      <c r="G2148" s="81" t="s">
        <v>1125</v>
      </c>
      <c r="H2148" s="66">
        <f>VLOOKUP(G2148,'CP FACTORS'!$A$3:$B$38, 2, FALSE)</f>
        <v>0</v>
      </c>
      <c r="I2148" s="985">
        <f t="shared" si="272"/>
        <v>0</v>
      </c>
      <c r="J2148" s="57">
        <f>$J$2184</f>
        <v>15</v>
      </c>
      <c r="K2148" s="162">
        <v>0</v>
      </c>
      <c r="L2148" s="991"/>
      <c r="M2148" s="225"/>
      <c r="R2148" s="521"/>
      <c r="T2148" s="50"/>
      <c r="U2148" s="50"/>
      <c r="V2148" s="1315" t="s">
        <v>45</v>
      </c>
      <c r="W2148" s="156"/>
      <c r="X2148" s="156"/>
      <c r="Y2148" s="156"/>
      <c r="Z2148" s="156"/>
      <c r="AA2148" s="156"/>
      <c r="AB2148" s="156"/>
      <c r="AC2148" s="156"/>
      <c r="AD2148" s="47">
        <v>210.52</v>
      </c>
      <c r="AE2148" s="212">
        <v>210.52</v>
      </c>
      <c r="AF2148" s="258">
        <v>210.52</v>
      </c>
      <c r="AG2148" s="156"/>
      <c r="DG2148" s="777"/>
      <c r="DH2148" s="1299" t="str">
        <f t="shared" si="270"/>
        <v>Heating Res 15 Year EUL</v>
      </c>
      <c r="DI2148" s="956">
        <f>(INDEX('Avoided Cost Benefits'!$B$4:$B$866,MATCH(DH2148,'Avoided Cost Benefits'!$A$4:$A$866,0)))*F2148</f>
        <v>113.65945257589408</v>
      </c>
      <c r="DJ2148" s="1952">
        <f t="shared" si="273"/>
        <v>0</v>
      </c>
    </row>
    <row r="2149" spans="1:114" x14ac:dyDescent="0.25">
      <c r="A2149" s="442"/>
      <c r="B2149" s="1384">
        <f t="shared" si="271"/>
        <v>356950</v>
      </c>
      <c r="C2149" s="435" t="s">
        <v>1413</v>
      </c>
      <c r="D2149" s="1331" t="s">
        <v>600</v>
      </c>
      <c r="E2149" s="1298" t="s">
        <v>1414</v>
      </c>
      <c r="F2149" s="212">
        <f>ROUND(((J$2174*J$2175*(1/J$2178-1/J$2182))/1000),2)</f>
        <v>140.77000000000001</v>
      </c>
      <c r="G2149" s="81" t="s">
        <v>1124</v>
      </c>
      <c r="H2149" s="66">
        <f>VLOOKUP(G2149,'CP FACTORS'!$A$3:$B$38, 2, FALSE)</f>
        <v>9.4741810000000004E-4</v>
      </c>
      <c r="I2149" s="985">
        <f t="shared" si="272"/>
        <v>0.13336799999999999</v>
      </c>
      <c r="J2149" s="57">
        <f>$J$2184</f>
        <v>15</v>
      </c>
      <c r="K2149" s="162">
        <f>J$2188</f>
        <v>84.93</v>
      </c>
      <c r="L2149" s="991">
        <f>K$2164</f>
        <v>1.0111111111111111</v>
      </c>
      <c r="M2149" s="225"/>
      <c r="R2149" s="521"/>
      <c r="T2149" s="50"/>
      <c r="U2149" s="50"/>
      <c r="V2149" s="1315" t="s">
        <v>45</v>
      </c>
      <c r="W2149" s="156"/>
      <c r="X2149" s="156"/>
      <c r="Y2149" s="156"/>
      <c r="Z2149" s="156"/>
      <c r="AA2149" s="156"/>
      <c r="AB2149" s="156"/>
      <c r="AC2149" s="156"/>
      <c r="AD2149" s="47">
        <v>140.77000000000001</v>
      </c>
      <c r="AE2149" s="212">
        <v>140.77000000000001</v>
      </c>
      <c r="AF2149" s="258">
        <v>140.77000000000001</v>
      </c>
      <c r="AG2149" s="156"/>
      <c r="DG2149" s="1053">
        <f>(DI2149+DI2150)/(DJ2149+DJ2150)</f>
        <v>20.591127345132485</v>
      </c>
      <c r="DH2149" s="1298" t="str">
        <f t="shared" si="270"/>
        <v>Cooling Res 15 Year EUL</v>
      </c>
      <c r="DI2149" s="953">
        <f>(INDEX('Avoided Cost Benefits'!$B$4:$B$866,MATCH(DH2149,'Avoided Cost Benefits'!$A$4:$A$866,0)))*F2149</f>
        <v>286.09497030244813</v>
      </c>
      <c r="DJ2149" s="1952">
        <f t="shared" si="273"/>
        <v>84.93</v>
      </c>
    </row>
    <row r="2150" spans="1:114" x14ac:dyDescent="0.25">
      <c r="A2150" s="442"/>
      <c r="B2150" s="1384">
        <f t="shared" si="271"/>
        <v>356950</v>
      </c>
      <c r="C2150" s="435" t="s">
        <v>1413</v>
      </c>
      <c r="D2150" s="551" t="s">
        <v>600</v>
      </c>
      <c r="E2150" s="1299" t="s">
        <v>1414</v>
      </c>
      <c r="F2150" s="212">
        <f>ROUND(((J$2164*J$2165*(1/J$2169-1/J$2173))/1000),2)</f>
        <v>2709.23</v>
      </c>
      <c r="G2150" s="81" t="s">
        <v>1125</v>
      </c>
      <c r="H2150" s="66">
        <f>VLOOKUP(G2150,'CP FACTORS'!$A$3:$B$38, 2, FALSE)</f>
        <v>0</v>
      </c>
      <c r="I2150" s="985">
        <f t="shared" si="272"/>
        <v>0</v>
      </c>
      <c r="J2150" s="57">
        <f>$J$2184</f>
        <v>15</v>
      </c>
      <c r="K2150" s="162">
        <v>0</v>
      </c>
      <c r="L2150" s="991"/>
      <c r="M2150" s="225"/>
      <c r="R2150" s="521"/>
      <c r="T2150" s="50"/>
      <c r="U2150" s="50"/>
      <c r="V2150" s="1315" t="s">
        <v>45</v>
      </c>
      <c r="W2150" s="156"/>
      <c r="X2150" s="156"/>
      <c r="Y2150" s="156"/>
      <c r="Z2150" s="156"/>
      <c r="AA2150" s="156"/>
      <c r="AB2150" s="156"/>
      <c r="AC2150" s="156"/>
      <c r="AD2150" s="47">
        <v>2709.23</v>
      </c>
      <c r="AE2150" s="212">
        <v>2709.23</v>
      </c>
      <c r="AF2150" s="258">
        <v>2709.23</v>
      </c>
      <c r="AG2150" s="156"/>
      <c r="DG2150" s="777"/>
      <c r="DH2150" s="1299" t="str">
        <f t="shared" si="270"/>
        <v>Heating Res 15 Year EUL</v>
      </c>
      <c r="DI2150" s="956">
        <f>(INDEX('Avoided Cost Benefits'!$B$4:$B$866,MATCH(DH2150,'Avoided Cost Benefits'!$A$4:$A$866,0)))*F2150</f>
        <v>1462.7094751196539</v>
      </c>
      <c r="DJ2150" s="1952">
        <f t="shared" si="273"/>
        <v>0</v>
      </c>
    </row>
    <row r="2151" spans="1:114" hidden="1" outlineLevel="1" x14ac:dyDescent="0.25">
      <c r="A2151" s="442"/>
      <c r="C2151" s="49"/>
      <c r="D2151" s="74" t="s">
        <v>94</v>
      </c>
      <c r="E2151" s="270" t="s">
        <v>1415</v>
      </c>
      <c r="F2151" s="530"/>
      <c r="G2151" s="550"/>
      <c r="H2151" s="49"/>
      <c r="I2151" s="100" t="s">
        <v>1416</v>
      </c>
      <c r="J2151" s="49"/>
      <c r="K2151" s="49"/>
      <c r="L2151" s="49"/>
      <c r="M2151" s="49"/>
      <c r="Q2151" s="100"/>
      <c r="T2151" s="50"/>
      <c r="U2151" s="50"/>
      <c r="V2151" s="50"/>
      <c r="DG2151" s="555"/>
      <c r="DH2151" s="555"/>
      <c r="DI2151" s="1049"/>
      <c r="DJ2151" s="1127"/>
    </row>
    <row r="2152" spans="1:114" hidden="1" outlineLevel="1" x14ac:dyDescent="0.25">
      <c r="A2152" s="442"/>
      <c r="C2152" s="49"/>
      <c r="D2152" s="71" t="s">
        <v>604</v>
      </c>
      <c r="E2152" s="50" t="s">
        <v>1132</v>
      </c>
      <c r="G2152" s="100"/>
      <c r="I2152" s="100"/>
      <c r="T2152" s="50"/>
      <c r="U2152" s="50"/>
      <c r="V2152" s="50"/>
      <c r="DG2152" s="555"/>
      <c r="DH2152" s="555"/>
      <c r="DI2152" s="1049"/>
      <c r="DJ2152" s="1127"/>
    </row>
    <row r="2153" spans="1:114" hidden="1" outlineLevel="1" x14ac:dyDescent="0.25">
      <c r="A2153" s="442"/>
      <c r="C2153" s="49"/>
      <c r="D2153" s="71"/>
      <c r="E2153" s="50" t="s">
        <v>1133</v>
      </c>
      <c r="G2153" s="100"/>
      <c r="H2153" s="49"/>
      <c r="T2153" s="50"/>
      <c r="U2153" s="50"/>
      <c r="V2153" s="50"/>
      <c r="W2153" s="50"/>
      <c r="X2153" s="50"/>
      <c r="Y2153" s="50"/>
      <c r="Z2153" s="50"/>
      <c r="AA2153" s="50"/>
      <c r="AB2153" s="50"/>
      <c r="AC2153" s="50"/>
      <c r="AD2153" s="50"/>
      <c r="AE2153" s="50"/>
      <c r="DG2153" s="555"/>
      <c r="DH2153" s="555"/>
      <c r="DI2153" s="1049"/>
      <c r="DJ2153" s="1127"/>
    </row>
    <row r="2154" spans="1:114" hidden="1" outlineLevel="1" x14ac:dyDescent="0.25">
      <c r="A2154" s="442"/>
      <c r="C2154" s="49"/>
      <c r="D2154" s="100"/>
      <c r="E2154" s="100"/>
      <c r="G2154" s="100"/>
      <c r="H2154" s="49"/>
      <c r="T2154" s="50"/>
      <c r="U2154" s="50"/>
      <c r="V2154" s="50"/>
      <c r="W2154" s="50"/>
      <c r="X2154" s="50"/>
      <c r="Y2154" s="50"/>
      <c r="Z2154" s="50"/>
      <c r="AA2154" s="50"/>
      <c r="AB2154" s="50"/>
      <c r="AC2154" s="50"/>
      <c r="AD2154" s="50"/>
      <c r="AE2154" s="50"/>
      <c r="DG2154" s="555"/>
      <c r="DH2154" s="555"/>
      <c r="DI2154" s="1049"/>
      <c r="DJ2154" s="1127"/>
    </row>
    <row r="2155" spans="1:114" hidden="1" outlineLevel="1" x14ac:dyDescent="0.25">
      <c r="A2155" s="442"/>
      <c r="C2155" s="49"/>
      <c r="D2155" s="100"/>
      <c r="E2155" s="100" t="s">
        <v>1417</v>
      </c>
      <c r="G2155" s="100"/>
      <c r="H2155" s="49"/>
      <c r="T2155" s="50"/>
      <c r="U2155" s="50"/>
      <c r="V2155" s="50"/>
      <c r="W2155" s="50"/>
      <c r="X2155" s="50"/>
      <c r="Y2155" s="50"/>
      <c r="Z2155" s="50"/>
      <c r="AA2155" s="50"/>
      <c r="AB2155" s="50"/>
      <c r="AC2155" s="50"/>
      <c r="AD2155" s="50"/>
      <c r="AE2155" s="50"/>
      <c r="DG2155" s="555"/>
      <c r="DH2155" s="555"/>
      <c r="DI2155" s="1049"/>
      <c r="DJ2155" s="1127"/>
    </row>
    <row r="2156" spans="1:114" hidden="1" outlineLevel="1" x14ac:dyDescent="0.25">
      <c r="A2156" s="442"/>
      <c r="C2156" s="49"/>
      <c r="D2156" s="100"/>
      <c r="E2156" s="100" t="s">
        <v>1418</v>
      </c>
      <c r="G2156" s="100"/>
      <c r="H2156" s="49"/>
      <c r="T2156" s="50"/>
      <c r="U2156" s="50"/>
      <c r="V2156" s="50"/>
      <c r="W2156" s="50"/>
      <c r="X2156" s="50"/>
      <c r="Y2156" s="50"/>
      <c r="Z2156" s="50"/>
      <c r="AA2156" s="50"/>
      <c r="AB2156" s="50"/>
      <c r="AC2156" s="50"/>
      <c r="AD2156" s="50"/>
      <c r="AE2156" s="50"/>
      <c r="DG2156" s="555"/>
      <c r="DH2156" s="555"/>
      <c r="DI2156" s="1049"/>
      <c r="DJ2156" s="1127"/>
    </row>
    <row r="2157" spans="1:114" hidden="1" outlineLevel="1" x14ac:dyDescent="0.25">
      <c r="A2157" s="442"/>
      <c r="C2157" s="49"/>
      <c r="D2157" s="100"/>
      <c r="E2157" s="100" t="s">
        <v>1419</v>
      </c>
      <c r="G2157" s="100"/>
      <c r="H2157" s="49"/>
      <c r="T2157" s="50"/>
      <c r="U2157" s="50"/>
      <c r="V2157" s="50"/>
      <c r="W2157" s="50"/>
      <c r="X2157" s="50"/>
      <c r="Y2157" s="50"/>
      <c r="Z2157" s="50"/>
      <c r="AA2157" s="50"/>
      <c r="AB2157" s="50"/>
      <c r="AC2157" s="50"/>
      <c r="AD2157" s="50"/>
      <c r="AE2157" s="50"/>
      <c r="DG2157" s="555"/>
      <c r="DH2157" s="555"/>
      <c r="DI2157" s="1049"/>
      <c r="DJ2157" s="1127"/>
    </row>
    <row r="2158" spans="1:114" hidden="1" outlineLevel="1" x14ac:dyDescent="0.25">
      <c r="A2158" s="442"/>
      <c r="C2158" s="49"/>
      <c r="E2158" s="100" t="s">
        <v>1420</v>
      </c>
      <c r="G2158" s="100"/>
      <c r="H2158" s="49"/>
      <c r="T2158" s="50"/>
      <c r="U2158" s="50"/>
      <c r="V2158" s="50"/>
      <c r="W2158" s="50"/>
      <c r="X2158" s="50"/>
      <c r="Y2158" s="50"/>
      <c r="Z2158" s="50"/>
      <c r="AA2158" s="50"/>
      <c r="AB2158" s="50"/>
      <c r="AC2158" s="50"/>
      <c r="AD2158" s="50"/>
      <c r="AE2158" s="50"/>
      <c r="DG2158" s="555"/>
      <c r="DH2158" s="555"/>
      <c r="DI2158" s="1049"/>
      <c r="DJ2158" s="1127"/>
    </row>
    <row r="2159" spans="1:114" hidden="1" outlineLevel="1" x14ac:dyDescent="0.25">
      <c r="A2159" s="442"/>
      <c r="C2159" s="49"/>
      <c r="D2159" s="100"/>
      <c r="E2159" s="50" t="s">
        <v>1141</v>
      </c>
      <c r="G2159" s="100"/>
      <c r="H2159" s="49"/>
      <c r="T2159" s="50"/>
      <c r="U2159" s="50"/>
      <c r="V2159" s="50"/>
      <c r="W2159" s="50"/>
      <c r="X2159" s="50"/>
      <c r="Y2159" s="50"/>
      <c r="Z2159" s="50"/>
      <c r="AA2159" s="50"/>
      <c r="AB2159" s="50"/>
      <c r="AC2159" s="50"/>
      <c r="AD2159" s="50"/>
      <c r="AE2159" s="50"/>
      <c r="DG2159" s="555"/>
      <c r="DH2159" s="555"/>
      <c r="DI2159" s="1049"/>
      <c r="DJ2159" s="1127"/>
    </row>
    <row r="2160" spans="1:114" hidden="1" outlineLevel="1" x14ac:dyDescent="0.25">
      <c r="A2160" s="442"/>
      <c r="C2160" s="49"/>
      <c r="D2160" s="100"/>
      <c r="G2160" s="100"/>
      <c r="H2160" s="49"/>
      <c r="T2160" s="50"/>
      <c r="U2160" s="50"/>
      <c r="V2160" s="50"/>
      <c r="W2160" s="50"/>
      <c r="X2160" s="50"/>
      <c r="Y2160" s="50"/>
      <c r="Z2160" s="50"/>
      <c r="AA2160" s="50"/>
      <c r="AB2160" s="50"/>
      <c r="AC2160" s="50"/>
      <c r="AD2160" s="50"/>
      <c r="AE2160" s="50"/>
      <c r="DG2160" s="555"/>
      <c r="DH2160" s="555"/>
      <c r="DI2160" s="1049"/>
      <c r="DJ2160" s="1127"/>
    </row>
    <row r="2161" spans="1:114" hidden="1" outlineLevel="1" x14ac:dyDescent="0.25">
      <c r="A2161" s="442"/>
      <c r="C2161" s="49"/>
      <c r="D2161" s="100"/>
      <c r="E2161" s="50" t="s">
        <v>709</v>
      </c>
      <c r="G2161" s="100"/>
      <c r="H2161" s="49"/>
      <c r="T2161" s="50"/>
      <c r="U2161" s="50"/>
      <c r="V2161" s="50"/>
      <c r="W2161" s="50"/>
      <c r="X2161" s="50"/>
      <c r="Y2161" s="50"/>
      <c r="Z2161" s="50"/>
      <c r="AA2161" s="50"/>
      <c r="AB2161" s="50"/>
      <c r="AC2161" s="50"/>
      <c r="AD2161" s="50"/>
      <c r="AE2161" s="50"/>
      <c r="DG2161" s="555"/>
      <c r="DH2161" s="555"/>
      <c r="DI2161" s="1049"/>
      <c r="DJ2161" s="1127"/>
    </row>
    <row r="2162" spans="1:114" hidden="1" outlineLevel="1" x14ac:dyDescent="0.25">
      <c r="A2162" s="442"/>
      <c r="C2162" s="49"/>
      <c r="D2162" s="100"/>
      <c r="E2162" s="100"/>
      <c r="G2162" s="100"/>
      <c r="H2162" s="49"/>
      <c r="I2162" s="49"/>
      <c r="J2162" s="49"/>
      <c r="K2162" s="49"/>
      <c r="L2162" s="49"/>
      <c r="M2162" s="49"/>
      <c r="T2162" s="50"/>
      <c r="U2162" s="50"/>
      <c r="V2162" s="50"/>
      <c r="DG2162" s="555"/>
      <c r="DH2162" s="555"/>
      <c r="DI2162" s="1049"/>
    </row>
    <row r="2163" spans="1:114" ht="30" hidden="1" outlineLevel="1" x14ac:dyDescent="0.25">
      <c r="A2163" s="442"/>
      <c r="C2163" s="49"/>
      <c r="D2163" s="1373" t="s">
        <v>712</v>
      </c>
      <c r="E2163" s="1373" t="s">
        <v>608</v>
      </c>
      <c r="F2163" s="2108" t="s">
        <v>609</v>
      </c>
      <c r="G2163" s="2108"/>
      <c r="H2163" s="2108"/>
      <c r="I2163" s="1300" t="s">
        <v>42</v>
      </c>
      <c r="J2163" s="1300" t="s">
        <v>610</v>
      </c>
      <c r="K2163" s="1300" t="s">
        <v>1004</v>
      </c>
      <c r="L2163" s="1300" t="s">
        <v>1005</v>
      </c>
      <c r="T2163" s="50"/>
      <c r="U2163" s="50"/>
      <c r="V2163" s="165" t="s">
        <v>52</v>
      </c>
      <c r="W2163" s="649" t="e">
        <f>#REF!</f>
        <v>#REF!</v>
      </c>
      <c r="X2163" s="649" t="e">
        <f>#REF!</f>
        <v>#REF!</v>
      </c>
      <c r="Y2163" s="649" t="e">
        <f>#REF!</f>
        <v>#REF!</v>
      </c>
      <c r="Z2163" s="649" t="e">
        <f>#REF!</f>
        <v>#REF!</v>
      </c>
      <c r="AA2163" s="649" t="e">
        <f>#REF!</f>
        <v>#REF!</v>
      </c>
      <c r="AB2163" s="649" t="e">
        <f>#REF!</f>
        <v>#REF!</v>
      </c>
      <c r="AC2163" s="649" t="e">
        <f>#REF!</f>
        <v>#REF!</v>
      </c>
      <c r="AD2163" s="649" t="e">
        <f>#REF!</f>
        <v>#REF!</v>
      </c>
      <c r="AE2163" s="649" t="e">
        <f>#REF!</f>
        <v>#REF!</v>
      </c>
      <c r="AF2163" s="649" t="e">
        <f>#REF!</f>
        <v>#REF!</v>
      </c>
      <c r="AG2163" s="649" t="e">
        <f>#REF!</f>
        <v>#REF!</v>
      </c>
      <c r="DG2163" s="555"/>
      <c r="DH2163" s="555"/>
      <c r="DI2163" s="1049"/>
    </row>
    <row r="2164" spans="1:114" hidden="1" outlineLevel="1" x14ac:dyDescent="0.25">
      <c r="A2164" s="442"/>
      <c r="C2164" s="49"/>
      <c r="D2164" s="1315" t="s">
        <v>1143</v>
      </c>
      <c r="E2164" s="1297" t="s">
        <v>1421</v>
      </c>
      <c r="F2164" s="2176" t="s">
        <v>1422</v>
      </c>
      <c r="G2164" s="2176"/>
      <c r="H2164" s="2176"/>
      <c r="I2164" s="1326"/>
      <c r="J2164" s="1615">
        <f>AVERAGE(9400, 12000,15000)</f>
        <v>12133.333333333334</v>
      </c>
      <c r="K2164" s="45">
        <f>J2164/12000</f>
        <v>1.0111111111111111</v>
      </c>
      <c r="L2164" s="887" t="s">
        <v>1423</v>
      </c>
      <c r="T2164" s="50"/>
      <c r="U2164" s="50"/>
      <c r="V2164" s="1297" t="s">
        <v>1143</v>
      </c>
      <c r="W2164" s="1607"/>
      <c r="X2164" s="1607"/>
      <c r="Y2164" s="1607"/>
      <c r="Z2164" s="1607"/>
      <c r="AA2164" s="1607"/>
      <c r="AB2164" s="1607"/>
      <c r="AC2164" s="1607"/>
      <c r="AD2164" s="1654">
        <v>12133.333333333334</v>
      </c>
      <c r="AE2164" s="1607">
        <v>12133.333333333334</v>
      </c>
      <c r="AF2164" s="258">
        <f t="shared" ref="AF2164:AF2188" si="274">IF(J2164&lt;&gt;"",J2164,"")</f>
        <v>12133.333333333334</v>
      </c>
      <c r="AG2164" s="1607"/>
      <c r="DG2164" s="555"/>
      <c r="DH2164" s="555"/>
      <c r="DI2164" s="1049"/>
    </row>
    <row r="2165" spans="1:114" ht="15" hidden="1" customHeight="1" outlineLevel="1" x14ac:dyDescent="0.25">
      <c r="A2165" s="442"/>
      <c r="C2165" s="49"/>
      <c r="D2165" s="1315" t="s">
        <v>1146</v>
      </c>
      <c r="E2165" s="1297" t="s">
        <v>1147</v>
      </c>
      <c r="F2165" s="2189"/>
      <c r="G2165" s="2189"/>
      <c r="H2165" s="2189"/>
      <c r="I2165" s="1326"/>
      <c r="J2165" s="1616">
        <v>1040</v>
      </c>
      <c r="K2165" s="1371"/>
      <c r="L2165" s="887" t="s">
        <v>1424</v>
      </c>
      <c r="T2165" s="50"/>
      <c r="U2165" s="50"/>
      <c r="V2165" s="1297" t="s">
        <v>1146</v>
      </c>
      <c r="W2165" s="1326"/>
      <c r="X2165" s="1326"/>
      <c r="Y2165" s="1326"/>
      <c r="Z2165" s="1326"/>
      <c r="AA2165" s="1326"/>
      <c r="AB2165" s="1326"/>
      <c r="AC2165" s="1326"/>
      <c r="AD2165" s="794">
        <v>1040</v>
      </c>
      <c r="AE2165" s="1326">
        <v>1040</v>
      </c>
      <c r="AF2165" s="258">
        <f t="shared" si="274"/>
        <v>1040</v>
      </c>
      <c r="AG2165" s="1326"/>
      <c r="DG2165" s="555"/>
      <c r="DH2165" s="555"/>
      <c r="DI2165" s="1049"/>
    </row>
    <row r="2166" spans="1:114" ht="14.65" hidden="1" customHeight="1" outlineLevel="1" x14ac:dyDescent="0.25">
      <c r="A2166" s="442"/>
      <c r="C2166" s="49"/>
      <c r="D2166" s="2187" t="s">
        <v>1149</v>
      </c>
      <c r="E2166" s="2177" t="s">
        <v>1150</v>
      </c>
      <c r="F2166" s="2176" t="s">
        <v>1425</v>
      </c>
      <c r="G2166" s="2176"/>
      <c r="H2166" s="2176"/>
      <c r="I2166" s="1326"/>
      <c r="J2166" s="1516">
        <v>5.44</v>
      </c>
      <c r="K2166" s="1371"/>
      <c r="L2166" s="887" t="s">
        <v>1424</v>
      </c>
      <c r="T2166" s="50"/>
      <c r="U2166" s="50"/>
      <c r="V2166" s="2177" t="s">
        <v>1151</v>
      </c>
      <c r="W2166" s="1326"/>
      <c r="X2166" s="1326"/>
      <c r="Y2166" s="1326"/>
      <c r="Z2166" s="1326"/>
      <c r="AA2166" s="1326"/>
      <c r="AB2166" s="1326"/>
      <c r="AC2166" s="1326"/>
      <c r="AD2166" s="794">
        <v>5.44</v>
      </c>
      <c r="AE2166" s="1326">
        <v>5.44</v>
      </c>
      <c r="AF2166" s="258">
        <f t="shared" si="274"/>
        <v>5.44</v>
      </c>
      <c r="AG2166" s="1326"/>
      <c r="DG2166" s="555"/>
      <c r="DH2166" s="555"/>
      <c r="DI2166" s="1049"/>
    </row>
    <row r="2167" spans="1:114" hidden="1" outlineLevel="1" x14ac:dyDescent="0.25">
      <c r="A2167" s="442"/>
      <c r="C2167" s="49"/>
      <c r="D2167" s="2187"/>
      <c r="E2167" s="2177"/>
      <c r="F2167" s="2176" t="s">
        <v>1426</v>
      </c>
      <c r="G2167" s="2176"/>
      <c r="H2167" s="2176"/>
      <c r="I2167" s="1326"/>
      <c r="J2167" s="1602">
        <v>10.5</v>
      </c>
      <c r="K2167" s="1371"/>
      <c r="L2167" s="887" t="s">
        <v>1427</v>
      </c>
      <c r="T2167" s="50"/>
      <c r="U2167" s="50"/>
      <c r="V2167" s="2177"/>
      <c r="W2167" s="1326"/>
      <c r="X2167" s="1326"/>
      <c r="Y2167" s="1326"/>
      <c r="Z2167" s="1326"/>
      <c r="AA2167" s="1326"/>
      <c r="AB2167" s="1326"/>
      <c r="AC2167" s="1326"/>
      <c r="AD2167" s="794">
        <v>10.5</v>
      </c>
      <c r="AE2167" s="1326">
        <v>10.5</v>
      </c>
      <c r="AF2167" s="258">
        <f t="shared" si="274"/>
        <v>10.5</v>
      </c>
      <c r="AG2167" s="1326"/>
      <c r="DG2167" s="555"/>
      <c r="DH2167" s="555"/>
      <c r="DI2167" s="1049"/>
    </row>
    <row r="2168" spans="1:114" hidden="1" outlineLevel="1" x14ac:dyDescent="0.25">
      <c r="A2168" s="442"/>
      <c r="C2168" s="49"/>
      <c r="D2168" s="2187"/>
      <c r="E2168" s="2177"/>
      <c r="F2168" s="2176" t="s">
        <v>1428</v>
      </c>
      <c r="G2168" s="2176"/>
      <c r="H2168" s="2176"/>
      <c r="I2168" s="1326"/>
      <c r="J2168" s="1616">
        <v>3.41</v>
      </c>
      <c r="K2168" s="1371"/>
      <c r="L2168" s="887" t="s">
        <v>1429</v>
      </c>
      <c r="T2168" s="50"/>
      <c r="U2168" s="50"/>
      <c r="V2168" s="2177"/>
      <c r="W2168" s="1326"/>
      <c r="X2168" s="1326"/>
      <c r="Y2168" s="1326"/>
      <c r="Z2168" s="1326"/>
      <c r="AA2168" s="1326"/>
      <c r="AB2168" s="1326"/>
      <c r="AC2168" s="1326"/>
      <c r="AD2168" s="794">
        <v>3.41</v>
      </c>
      <c r="AE2168" s="1326">
        <v>3.41</v>
      </c>
      <c r="AF2168" s="258">
        <f t="shared" si="274"/>
        <v>3.41</v>
      </c>
      <c r="AG2168" s="1326"/>
      <c r="DG2168" s="555"/>
      <c r="DH2168" s="555"/>
      <c r="DI2168" s="1049"/>
    </row>
    <row r="2169" spans="1:114" hidden="1" outlineLevel="1" x14ac:dyDescent="0.25">
      <c r="A2169" s="442"/>
      <c r="C2169" s="49"/>
      <c r="D2169" s="2187"/>
      <c r="E2169" s="2177"/>
      <c r="F2169" s="2176" t="s">
        <v>1430</v>
      </c>
      <c r="G2169" s="2176"/>
      <c r="H2169" s="2176"/>
      <c r="I2169" s="1326"/>
      <c r="J2169" s="1616">
        <v>3.41</v>
      </c>
      <c r="K2169" s="1371"/>
      <c r="L2169" s="887" t="s">
        <v>1429</v>
      </c>
      <c r="T2169" s="50"/>
      <c r="U2169" s="50"/>
      <c r="V2169" s="2177"/>
      <c r="W2169" s="1326"/>
      <c r="X2169" s="1326"/>
      <c r="Y2169" s="1326"/>
      <c r="Z2169" s="1326"/>
      <c r="AA2169" s="1326"/>
      <c r="AB2169" s="1326"/>
      <c r="AC2169" s="1326"/>
      <c r="AD2169" s="794">
        <v>3.41</v>
      </c>
      <c r="AE2169" s="1326">
        <v>3.41</v>
      </c>
      <c r="AF2169" s="258">
        <f t="shared" si="274"/>
        <v>3.41</v>
      </c>
      <c r="AG2169" s="1326"/>
      <c r="DG2169" s="555"/>
      <c r="DH2169" s="555"/>
      <c r="DI2169" s="1049"/>
    </row>
    <row r="2170" spans="1:114" ht="15" hidden="1" customHeight="1" outlineLevel="1" x14ac:dyDescent="0.25">
      <c r="A2170" s="442"/>
      <c r="C2170" s="49"/>
      <c r="D2170" s="2187"/>
      <c r="E2170" s="2177"/>
      <c r="F2170" s="2176" t="s">
        <v>1431</v>
      </c>
      <c r="G2170" s="2176"/>
      <c r="H2170" s="2176"/>
      <c r="I2170" s="1326"/>
      <c r="J2170" s="1602">
        <v>11.58</v>
      </c>
      <c r="K2170" s="1371"/>
      <c r="L2170" s="887" t="s">
        <v>1432</v>
      </c>
      <c r="T2170" s="50"/>
      <c r="U2170" s="50"/>
      <c r="V2170" s="2177"/>
      <c r="W2170" s="1326"/>
      <c r="X2170" s="1326"/>
      <c r="Y2170" s="1326"/>
      <c r="Z2170" s="1326"/>
      <c r="AA2170" s="1326"/>
      <c r="AB2170" s="1326"/>
      <c r="AC2170" s="1326"/>
      <c r="AD2170" s="794">
        <v>11.58</v>
      </c>
      <c r="AE2170" s="1326">
        <v>11.58</v>
      </c>
      <c r="AF2170" s="258">
        <f t="shared" si="274"/>
        <v>11.58</v>
      </c>
      <c r="AG2170" s="1326"/>
      <c r="DG2170" s="555"/>
      <c r="DH2170" s="555"/>
      <c r="DI2170" s="1049"/>
    </row>
    <row r="2171" spans="1:114" ht="15" hidden="1" customHeight="1" outlineLevel="1" x14ac:dyDescent="0.25">
      <c r="A2171" s="442"/>
      <c r="C2171" s="49"/>
      <c r="D2171" s="2187"/>
      <c r="E2171" s="2177"/>
      <c r="F2171" s="2176" t="s">
        <v>1433</v>
      </c>
      <c r="G2171" s="2176"/>
      <c r="H2171" s="2176"/>
      <c r="I2171" s="1326"/>
      <c r="J2171" s="1602">
        <v>11.78</v>
      </c>
      <c r="K2171" s="1371"/>
      <c r="L2171" s="887" t="s">
        <v>1432</v>
      </c>
      <c r="T2171" s="50"/>
      <c r="U2171" s="50"/>
      <c r="V2171" s="2177"/>
      <c r="W2171" s="1326"/>
      <c r="X2171" s="1326"/>
      <c r="Y2171" s="1326"/>
      <c r="Z2171" s="1326"/>
      <c r="AA2171" s="1326"/>
      <c r="AB2171" s="1326"/>
      <c r="AC2171" s="1326"/>
      <c r="AD2171" s="794">
        <v>11.78</v>
      </c>
      <c r="AE2171" s="1326">
        <v>11.78</v>
      </c>
      <c r="AF2171" s="258">
        <f t="shared" si="274"/>
        <v>11.78</v>
      </c>
      <c r="AG2171" s="1326"/>
      <c r="DG2171" s="555"/>
      <c r="DH2171" s="555"/>
      <c r="DI2171" s="1049"/>
    </row>
    <row r="2172" spans="1:114" ht="15" hidden="1" customHeight="1" outlineLevel="1" x14ac:dyDescent="0.25">
      <c r="A2172" s="442"/>
      <c r="C2172" s="49"/>
      <c r="D2172" s="2187"/>
      <c r="E2172" s="2177"/>
      <c r="F2172" s="2176" t="s">
        <v>1434</v>
      </c>
      <c r="G2172" s="2176"/>
      <c r="H2172" s="2176"/>
      <c r="I2172" s="1326"/>
      <c r="J2172" s="1602">
        <v>12.24</v>
      </c>
      <c r="K2172" s="1371"/>
      <c r="L2172" s="887" t="s">
        <v>1432</v>
      </c>
      <c r="T2172" s="50"/>
      <c r="U2172" s="50"/>
      <c r="V2172" s="2177"/>
      <c r="W2172" s="1326"/>
      <c r="X2172" s="1326"/>
      <c r="Y2172" s="1326"/>
      <c r="Z2172" s="1326"/>
      <c r="AA2172" s="1326"/>
      <c r="AB2172" s="1326"/>
      <c r="AC2172" s="1326"/>
      <c r="AD2172" s="794">
        <v>12.24</v>
      </c>
      <c r="AE2172" s="1326">
        <v>12.24</v>
      </c>
      <c r="AF2172" s="258">
        <f t="shared" si="274"/>
        <v>12.24</v>
      </c>
      <c r="AG2172" s="1326"/>
      <c r="DG2172" s="555"/>
      <c r="DH2172" s="555"/>
      <c r="DI2172" s="1049"/>
    </row>
    <row r="2173" spans="1:114" ht="15" hidden="1" customHeight="1" outlineLevel="1" x14ac:dyDescent="0.25">
      <c r="A2173" s="442"/>
      <c r="C2173" s="49"/>
      <c r="D2173" s="2187"/>
      <c r="E2173" s="2177"/>
      <c r="F2173" s="2176" t="s">
        <v>1435</v>
      </c>
      <c r="G2173" s="2176"/>
      <c r="H2173" s="2176"/>
      <c r="I2173" s="1326"/>
      <c r="J2173" s="1602">
        <v>12.73</v>
      </c>
      <c r="K2173" s="1371"/>
      <c r="L2173" s="887" t="s">
        <v>1432</v>
      </c>
      <c r="T2173" s="50"/>
      <c r="U2173" s="50"/>
      <c r="V2173" s="2177"/>
      <c r="W2173" s="1326"/>
      <c r="X2173" s="1326"/>
      <c r="Y2173" s="1326"/>
      <c r="Z2173" s="1326"/>
      <c r="AA2173" s="1326"/>
      <c r="AB2173" s="1326"/>
      <c r="AC2173" s="1326"/>
      <c r="AD2173" s="794">
        <v>12.73</v>
      </c>
      <c r="AE2173" s="1326">
        <v>12.73</v>
      </c>
      <c r="AF2173" s="258">
        <f t="shared" si="274"/>
        <v>12.73</v>
      </c>
      <c r="AG2173" s="1326"/>
      <c r="DG2173" s="555"/>
      <c r="DH2173" s="555"/>
      <c r="DI2173" s="1049"/>
    </row>
    <row r="2174" spans="1:114" hidden="1" outlineLevel="1" x14ac:dyDescent="0.25">
      <c r="A2174" s="442"/>
      <c r="C2174" s="49"/>
      <c r="D2174" s="1315" t="s">
        <v>1158</v>
      </c>
      <c r="E2174" s="1297" t="s">
        <v>1436</v>
      </c>
      <c r="F2174" s="2176" t="s">
        <v>1422</v>
      </c>
      <c r="G2174" s="2176"/>
      <c r="H2174" s="2176"/>
      <c r="I2174" s="1326"/>
      <c r="J2174" s="1615">
        <f>AVERAGE(9400, 12000,15000)</f>
        <v>12133.333333333334</v>
      </c>
      <c r="K2174" s="45">
        <f>J2174/12000</f>
        <v>1.0111111111111111</v>
      </c>
      <c r="L2174" s="887" t="s">
        <v>1423</v>
      </c>
      <c r="T2174" s="50"/>
      <c r="U2174" s="50"/>
      <c r="V2174" s="1297" t="s">
        <v>1158</v>
      </c>
      <c r="W2174" s="1607"/>
      <c r="X2174" s="1607"/>
      <c r="Y2174" s="1607"/>
      <c r="Z2174" s="1607"/>
      <c r="AA2174" s="1607"/>
      <c r="AB2174" s="1607"/>
      <c r="AC2174" s="1607"/>
      <c r="AD2174" s="1654">
        <v>12133.333333333334</v>
      </c>
      <c r="AE2174" s="1607">
        <v>12133.333333333334</v>
      </c>
      <c r="AF2174" s="258">
        <f t="shared" si="274"/>
        <v>12133.333333333334</v>
      </c>
      <c r="AG2174" s="1607"/>
      <c r="DG2174" s="555"/>
      <c r="DH2174" s="555"/>
      <c r="DI2174" s="1049"/>
    </row>
    <row r="2175" spans="1:114" hidden="1" outlineLevel="1" x14ac:dyDescent="0.25">
      <c r="A2175" s="442"/>
      <c r="C2175" s="49"/>
      <c r="D2175" s="640" t="s">
        <v>1160</v>
      </c>
      <c r="E2175" s="1990" t="s">
        <v>1161</v>
      </c>
      <c r="F2175" s="2189"/>
      <c r="G2175" s="2189"/>
      <c r="H2175" s="2189"/>
      <c r="I2175" s="887"/>
      <c r="J2175" s="1621">
        <v>617</v>
      </c>
      <c r="K2175" s="1371"/>
      <c r="L2175" s="887" t="s">
        <v>1424</v>
      </c>
      <c r="T2175" s="50"/>
      <c r="U2175" s="50"/>
      <c r="V2175" s="1990" t="s">
        <v>1160</v>
      </c>
      <c r="W2175" s="887"/>
      <c r="X2175" s="887"/>
      <c r="Y2175" s="887"/>
      <c r="Z2175" s="887"/>
      <c r="AA2175" s="887"/>
      <c r="AB2175" s="887"/>
      <c r="AC2175" s="887"/>
      <c r="AD2175" s="1493">
        <v>617</v>
      </c>
      <c r="AE2175" s="887">
        <v>617</v>
      </c>
      <c r="AF2175" s="258">
        <f t="shared" si="274"/>
        <v>617</v>
      </c>
      <c r="AG2175" s="887"/>
      <c r="DG2175" s="555"/>
      <c r="DH2175" s="555"/>
      <c r="DI2175" s="1049"/>
    </row>
    <row r="2176" spans="1:114" ht="14.65" hidden="1" customHeight="1" outlineLevel="1" x14ac:dyDescent="0.25">
      <c r="A2176" s="442"/>
      <c r="C2176" s="49"/>
      <c r="D2176" s="2187" t="s">
        <v>1162</v>
      </c>
      <c r="E2176" s="2177" t="s">
        <v>1163</v>
      </c>
      <c r="F2176" s="2176" t="s">
        <v>1437</v>
      </c>
      <c r="G2176" s="2176"/>
      <c r="H2176" s="2176"/>
      <c r="I2176" s="1326"/>
      <c r="J2176" s="1516">
        <v>6.91</v>
      </c>
      <c r="K2176" s="1371"/>
      <c r="L2176" s="887" t="s">
        <v>1424</v>
      </c>
      <c r="T2176" s="50"/>
      <c r="U2176" s="50"/>
      <c r="V2176" s="2177" t="s">
        <v>1164</v>
      </c>
      <c r="W2176" s="1326"/>
      <c r="X2176" s="1326"/>
      <c r="Y2176" s="1326"/>
      <c r="Z2176" s="1326"/>
      <c r="AA2176" s="1326"/>
      <c r="AB2176" s="1326"/>
      <c r="AC2176" s="1326"/>
      <c r="AD2176" s="794">
        <v>7.2</v>
      </c>
      <c r="AE2176" s="1326">
        <v>7.2</v>
      </c>
      <c r="AF2176" s="258">
        <f t="shared" si="274"/>
        <v>6.91</v>
      </c>
      <c r="AG2176" s="1326"/>
      <c r="DG2176" s="555"/>
      <c r="DH2176" s="555"/>
      <c r="DI2176" s="1049"/>
    </row>
    <row r="2177" spans="1:115" hidden="1" outlineLevel="1" x14ac:dyDescent="0.25">
      <c r="A2177" s="442"/>
      <c r="C2177" s="49"/>
      <c r="D2177" s="2187"/>
      <c r="E2177" s="2177"/>
      <c r="F2177" s="2176" t="s">
        <v>1438</v>
      </c>
      <c r="G2177" s="2176"/>
      <c r="H2177" s="2176"/>
      <c r="I2177" s="1326"/>
      <c r="J2177" s="1516">
        <v>6.53</v>
      </c>
      <c r="K2177" s="1371"/>
      <c r="L2177" s="887" t="s">
        <v>1424</v>
      </c>
      <c r="T2177" s="50"/>
      <c r="U2177" s="50"/>
      <c r="V2177" s="2177"/>
      <c r="W2177" s="1326"/>
      <c r="X2177" s="1326"/>
      <c r="Y2177" s="1326"/>
      <c r="Z2177" s="1326"/>
      <c r="AA2177" s="1326"/>
      <c r="AB2177" s="1326"/>
      <c r="AC2177" s="1326"/>
      <c r="AD2177" s="794">
        <v>6.8</v>
      </c>
      <c r="AE2177" s="1326">
        <v>6.8</v>
      </c>
      <c r="AF2177" s="258">
        <f t="shared" si="274"/>
        <v>6.53</v>
      </c>
      <c r="AG2177" s="1326"/>
      <c r="DG2177" s="555"/>
      <c r="DH2177" s="555"/>
      <c r="DI2177" s="1049"/>
    </row>
    <row r="2178" spans="1:115" hidden="1" outlineLevel="1" x14ac:dyDescent="0.25">
      <c r="A2178" s="442"/>
      <c r="C2178" s="49"/>
      <c r="D2178" s="2187"/>
      <c r="E2178" s="2177"/>
      <c r="F2178" s="2176" t="s">
        <v>1426</v>
      </c>
      <c r="G2178" s="2176"/>
      <c r="H2178" s="2176"/>
      <c r="I2178" s="1326"/>
      <c r="J2178" s="1602">
        <v>11.7</v>
      </c>
      <c r="K2178" s="1371"/>
      <c r="L2178" s="887" t="s">
        <v>1427</v>
      </c>
      <c r="T2178" s="50"/>
      <c r="U2178" s="50"/>
      <c r="V2178" s="2177"/>
      <c r="W2178" s="1326"/>
      <c r="X2178" s="1326"/>
      <c r="Y2178" s="1326"/>
      <c r="Z2178" s="1326"/>
      <c r="AA2178" s="1326"/>
      <c r="AB2178" s="1326"/>
      <c r="AC2178" s="1326"/>
      <c r="AD2178" s="794">
        <v>11.7</v>
      </c>
      <c r="AE2178" s="1326">
        <v>11.7</v>
      </c>
      <c r="AF2178" s="258">
        <f t="shared" si="274"/>
        <v>11.7</v>
      </c>
      <c r="AG2178" s="1326"/>
      <c r="DG2178" s="555"/>
      <c r="DH2178" s="555"/>
      <c r="DI2178" s="1049"/>
    </row>
    <row r="2179" spans="1:115" hidden="1" outlineLevel="1" x14ac:dyDescent="0.25">
      <c r="A2179" s="442"/>
      <c r="C2179" s="49"/>
      <c r="D2179" s="2187"/>
      <c r="E2179" s="2177"/>
      <c r="F2179" s="2176" t="s">
        <v>1431</v>
      </c>
      <c r="G2179" s="2176"/>
      <c r="H2179" s="2176"/>
      <c r="I2179" s="1326"/>
      <c r="J2179" s="1602">
        <v>12</v>
      </c>
      <c r="K2179" s="1371"/>
      <c r="L2179" s="887" t="s">
        <v>1439</v>
      </c>
      <c r="T2179" s="50"/>
      <c r="U2179" s="50"/>
      <c r="V2179" s="2177"/>
      <c r="W2179" s="1326"/>
      <c r="X2179" s="1326"/>
      <c r="Y2179" s="1326"/>
      <c r="Z2179" s="1326"/>
      <c r="AA2179" s="1326"/>
      <c r="AB2179" s="1326"/>
      <c r="AC2179" s="1326"/>
      <c r="AD2179" s="794">
        <v>12</v>
      </c>
      <c r="AE2179" s="1326">
        <v>12</v>
      </c>
      <c r="AF2179" s="258">
        <f t="shared" si="274"/>
        <v>12</v>
      </c>
      <c r="AG2179" s="1326"/>
      <c r="DG2179" s="555"/>
      <c r="DH2179" s="555"/>
      <c r="DI2179" s="1049"/>
    </row>
    <row r="2180" spans="1:115" hidden="1" outlineLevel="1" x14ac:dyDescent="0.25">
      <c r="A2180" s="442"/>
      <c r="C2180" s="49"/>
      <c r="D2180" s="2187"/>
      <c r="E2180" s="2177"/>
      <c r="F2180" s="2176" t="s">
        <v>1433</v>
      </c>
      <c r="G2180" s="2176"/>
      <c r="H2180" s="2176"/>
      <c r="I2180" s="1326"/>
      <c r="J2180" s="1602">
        <v>13</v>
      </c>
      <c r="K2180" s="1371"/>
      <c r="L2180" s="887" t="s">
        <v>1167</v>
      </c>
      <c r="T2180" s="50"/>
      <c r="U2180" s="50"/>
      <c r="V2180" s="2177"/>
      <c r="W2180" s="1326"/>
      <c r="X2180" s="1326"/>
      <c r="Y2180" s="1326"/>
      <c r="Z2180" s="1326"/>
      <c r="AA2180" s="1326"/>
      <c r="AB2180" s="1326"/>
      <c r="AC2180" s="1326"/>
      <c r="AD2180" s="794">
        <v>13</v>
      </c>
      <c r="AE2180" s="1326">
        <v>13</v>
      </c>
      <c r="AF2180" s="258">
        <f t="shared" si="274"/>
        <v>13</v>
      </c>
      <c r="AG2180" s="1326"/>
      <c r="DG2180" s="555"/>
      <c r="DH2180" s="555"/>
      <c r="DI2180" s="1049"/>
    </row>
    <row r="2181" spans="1:115" hidden="1" outlineLevel="1" x14ac:dyDescent="0.25">
      <c r="A2181" s="442"/>
      <c r="C2181" s="49"/>
      <c r="D2181" s="2187"/>
      <c r="E2181" s="2177"/>
      <c r="F2181" s="2176" t="s">
        <v>1434</v>
      </c>
      <c r="G2181" s="2176"/>
      <c r="H2181" s="2176"/>
      <c r="I2181" s="1326"/>
      <c r="J2181" s="1602">
        <v>14</v>
      </c>
      <c r="K2181" s="1371"/>
      <c r="L2181" s="887" t="s">
        <v>1167</v>
      </c>
      <c r="T2181" s="50"/>
      <c r="U2181" s="50"/>
      <c r="V2181" s="2177"/>
      <c r="W2181" s="1326"/>
      <c r="X2181" s="1326"/>
      <c r="Y2181" s="1326"/>
      <c r="Z2181" s="1326"/>
      <c r="AA2181" s="1326"/>
      <c r="AB2181" s="1326"/>
      <c r="AC2181" s="1326"/>
      <c r="AD2181" s="794">
        <v>14</v>
      </c>
      <c r="AE2181" s="1326">
        <v>14</v>
      </c>
      <c r="AF2181" s="258">
        <f t="shared" si="274"/>
        <v>14</v>
      </c>
      <c r="AG2181" s="1326"/>
      <c r="DG2181" s="555"/>
      <c r="DH2181" s="555"/>
      <c r="DI2181" s="1049"/>
    </row>
    <row r="2182" spans="1:115" hidden="1" outlineLevel="1" x14ac:dyDescent="0.25">
      <c r="A2182" s="442"/>
      <c r="C2182" s="49"/>
      <c r="D2182" s="2187"/>
      <c r="E2182" s="2177"/>
      <c r="F2182" s="2176" t="s">
        <v>1435</v>
      </c>
      <c r="G2182" s="2176"/>
      <c r="H2182" s="2176"/>
      <c r="I2182" s="1326"/>
      <c r="J2182" s="1602">
        <v>15</v>
      </c>
      <c r="K2182" s="1371"/>
      <c r="L2182" s="887" t="s">
        <v>1167</v>
      </c>
      <c r="T2182" s="50"/>
      <c r="U2182" s="50"/>
      <c r="V2182" s="2177"/>
      <c r="W2182" s="1326"/>
      <c r="X2182" s="1326"/>
      <c r="Y2182" s="1326"/>
      <c r="Z2182" s="1326"/>
      <c r="AA2182" s="1326"/>
      <c r="AB2182" s="1326"/>
      <c r="AC2182" s="1326"/>
      <c r="AD2182" s="794">
        <v>15</v>
      </c>
      <c r="AE2182" s="1326">
        <v>15</v>
      </c>
      <c r="AF2182" s="258">
        <f t="shared" si="274"/>
        <v>15</v>
      </c>
      <c r="AG2182" s="1326"/>
      <c r="DG2182" s="555"/>
      <c r="DH2182" s="555"/>
      <c r="DI2182" s="1049"/>
    </row>
    <row r="2183" spans="1:115" hidden="1" outlineLevel="1" x14ac:dyDescent="0.25">
      <c r="A2183" s="442"/>
      <c r="C2183" s="49"/>
      <c r="D2183" s="1315" t="s">
        <v>104</v>
      </c>
      <c r="E2183" s="1297" t="s">
        <v>951</v>
      </c>
      <c r="F2183" s="2176" t="s">
        <v>734</v>
      </c>
      <c r="G2183" s="2176"/>
      <c r="H2183" s="2176"/>
      <c r="I2183" s="986"/>
      <c r="J2183" s="1514">
        <v>1</v>
      </c>
      <c r="K2183" s="228"/>
      <c r="L2183" s="1371" t="s">
        <v>1037</v>
      </c>
      <c r="T2183" s="145"/>
      <c r="U2183" s="39"/>
      <c r="V2183" s="1297" t="s">
        <v>104</v>
      </c>
      <c r="W2183" s="228"/>
      <c r="X2183" s="228"/>
      <c r="Y2183" s="228"/>
      <c r="Z2183" s="228"/>
      <c r="AA2183" s="228"/>
      <c r="AB2183" s="228"/>
      <c r="AC2183" s="228"/>
      <c r="AD2183" s="226">
        <v>1</v>
      </c>
      <c r="AE2183" s="228">
        <v>1</v>
      </c>
      <c r="AF2183" s="258">
        <f t="shared" si="274"/>
        <v>1</v>
      </c>
      <c r="AG2183" s="228"/>
      <c r="AH2183" s="39"/>
      <c r="AI2183" s="39"/>
      <c r="AJ2183" s="39"/>
      <c r="AK2183" s="39"/>
      <c r="AL2183" s="39"/>
      <c r="AM2183" s="39"/>
      <c r="AN2183" s="39"/>
      <c r="AO2183" s="39"/>
      <c r="AP2183" s="39"/>
      <c r="AQ2183" s="39"/>
      <c r="AR2183" s="39"/>
      <c r="AS2183" s="39"/>
      <c r="AT2183" s="39"/>
      <c r="AU2183" s="39"/>
      <c r="AV2183" s="39"/>
      <c r="AW2183" s="39"/>
      <c r="AX2183" s="39"/>
      <c r="AY2183" s="39"/>
      <c r="AZ2183" s="39"/>
      <c r="BA2183" s="39"/>
      <c r="BB2183" s="39"/>
      <c r="BC2183" s="39"/>
      <c r="BD2183" s="39"/>
      <c r="BE2183" s="39"/>
      <c r="BF2183" s="39"/>
      <c r="BG2183" s="39"/>
      <c r="BH2183" s="39"/>
      <c r="BI2183" s="39"/>
      <c r="BJ2183" s="39"/>
      <c r="BK2183" s="39"/>
      <c r="BL2183" s="39"/>
      <c r="BM2183" s="39"/>
      <c r="BN2183" s="39"/>
      <c r="BO2183" s="39"/>
      <c r="BP2183" s="39"/>
      <c r="BQ2183" s="39"/>
      <c r="BR2183" s="39"/>
      <c r="BS2183" s="39"/>
      <c r="BT2183" s="39"/>
      <c r="BU2183" s="39"/>
      <c r="BV2183" s="39"/>
      <c r="BW2183" s="39"/>
      <c r="BX2183" s="39"/>
      <c r="BY2183" s="39"/>
      <c r="BZ2183" s="39"/>
      <c r="CA2183" s="39"/>
      <c r="CB2183" s="39"/>
      <c r="CC2183" s="39"/>
      <c r="CD2183" s="39"/>
      <c r="CE2183" s="39"/>
      <c r="CF2183" s="39"/>
      <c r="CG2183" s="39"/>
      <c r="CH2183" s="39"/>
      <c r="CI2183" s="39"/>
      <c r="CJ2183" s="39"/>
      <c r="CK2183" s="39"/>
      <c r="CL2183" s="39"/>
      <c r="CM2183" s="39"/>
      <c r="CN2183" s="39"/>
      <c r="CO2183" s="39"/>
      <c r="CP2183" s="39"/>
      <c r="CQ2183" s="39"/>
      <c r="CR2183" s="39"/>
      <c r="CS2183" s="39"/>
      <c r="CT2183" s="39"/>
      <c r="CU2183" s="39"/>
      <c r="CV2183" s="39"/>
      <c r="CW2183" s="39"/>
      <c r="CX2183" s="39"/>
      <c r="CY2183" s="39"/>
      <c r="CZ2183" s="39"/>
      <c r="DA2183" s="39"/>
      <c r="DB2183" s="39"/>
      <c r="DC2183" s="39"/>
      <c r="DD2183" s="39"/>
      <c r="DE2183" s="39"/>
      <c r="DF2183" s="39"/>
      <c r="DG2183" s="1043"/>
      <c r="DH2183" s="555"/>
      <c r="DI2183" s="1049"/>
      <c r="DJ2183" s="1127"/>
      <c r="DK2183" s="39"/>
    </row>
    <row r="2184" spans="1:115" hidden="1" outlineLevel="1" x14ac:dyDescent="0.25">
      <c r="A2184" s="442"/>
      <c r="C2184" s="49"/>
      <c r="D2184" s="2187" t="s">
        <v>1440</v>
      </c>
      <c r="E2184" s="2177" t="s">
        <v>792</v>
      </c>
      <c r="F2184" s="2176" t="s">
        <v>1426</v>
      </c>
      <c r="G2184" s="2176"/>
      <c r="H2184" s="2176"/>
      <c r="I2184" s="1326"/>
      <c r="J2184" s="1616">
        <v>15</v>
      </c>
      <c r="K2184" s="1371"/>
      <c r="L2184" s="887" t="s">
        <v>1424</v>
      </c>
      <c r="T2184" s="50"/>
      <c r="U2184" s="50"/>
      <c r="V2184" s="2177" t="s">
        <v>49</v>
      </c>
      <c r="W2184" s="1326"/>
      <c r="X2184" s="1326"/>
      <c r="Y2184" s="1326"/>
      <c r="Z2184" s="1326"/>
      <c r="AA2184" s="1326"/>
      <c r="AB2184" s="1326"/>
      <c r="AC2184" s="1326"/>
      <c r="AD2184" s="794">
        <v>15</v>
      </c>
      <c r="AE2184" s="1326">
        <v>15</v>
      </c>
      <c r="AF2184" s="258">
        <f t="shared" si="274"/>
        <v>15</v>
      </c>
      <c r="AG2184" s="1326"/>
      <c r="DG2184" s="555"/>
      <c r="DH2184" s="555"/>
      <c r="DI2184" s="1049"/>
    </row>
    <row r="2185" spans="1:115" hidden="1" outlineLevel="1" x14ac:dyDescent="0.25">
      <c r="A2185" s="442"/>
      <c r="C2185" s="49"/>
      <c r="D2185" s="2187"/>
      <c r="E2185" s="2177"/>
      <c r="F2185" s="2176" t="s">
        <v>1441</v>
      </c>
      <c r="G2185" s="2176"/>
      <c r="H2185" s="2176"/>
      <c r="I2185" s="1326"/>
      <c r="J2185" s="1616">
        <v>5</v>
      </c>
      <c r="K2185" s="1371"/>
      <c r="L2185" s="887" t="s">
        <v>1424</v>
      </c>
      <c r="T2185" s="50"/>
      <c r="U2185" s="50"/>
      <c r="V2185" s="2177"/>
      <c r="W2185" s="1326"/>
      <c r="X2185" s="1326"/>
      <c r="Y2185" s="1326"/>
      <c r="Z2185" s="1326"/>
      <c r="AA2185" s="1326"/>
      <c r="AB2185" s="1326"/>
      <c r="AC2185" s="1326"/>
      <c r="AD2185" s="794">
        <v>5</v>
      </c>
      <c r="AE2185" s="1326">
        <v>5</v>
      </c>
      <c r="AF2185" s="258">
        <f t="shared" si="274"/>
        <v>5</v>
      </c>
      <c r="AG2185" s="1326"/>
      <c r="DG2185" s="555"/>
      <c r="DH2185" s="555"/>
      <c r="DI2185" s="1049"/>
    </row>
    <row r="2186" spans="1:115" hidden="1" outlineLevel="1" x14ac:dyDescent="0.25">
      <c r="A2186" s="442"/>
      <c r="C2186" s="49"/>
      <c r="D2186" s="2187"/>
      <c r="E2186" s="2177"/>
      <c r="F2186" s="2176" t="s">
        <v>1442</v>
      </c>
      <c r="G2186" s="2176"/>
      <c r="H2186" s="2176"/>
      <c r="I2186" s="1326"/>
      <c r="J2186" s="1616">
        <v>10</v>
      </c>
      <c r="K2186" s="1371"/>
      <c r="L2186" s="887" t="s">
        <v>1424</v>
      </c>
      <c r="T2186" s="50"/>
      <c r="U2186" s="50"/>
      <c r="V2186" s="2177"/>
      <c r="W2186" s="1326"/>
      <c r="X2186" s="1326"/>
      <c r="Y2186" s="1326"/>
      <c r="Z2186" s="1326"/>
      <c r="AA2186" s="1326"/>
      <c r="AB2186" s="1326"/>
      <c r="AC2186" s="1326"/>
      <c r="AD2186" s="794">
        <v>10</v>
      </c>
      <c r="AE2186" s="1326">
        <v>10</v>
      </c>
      <c r="AF2186" s="258">
        <f t="shared" si="274"/>
        <v>10</v>
      </c>
      <c r="AG2186" s="1326"/>
      <c r="DG2186" s="555"/>
      <c r="DH2186" s="555"/>
      <c r="DI2186" s="1049"/>
    </row>
    <row r="2187" spans="1:115" ht="15" hidden="1" customHeight="1" outlineLevel="1" x14ac:dyDescent="0.25">
      <c r="A2187" s="442"/>
      <c r="C2187" s="49"/>
      <c r="D2187" s="2187" t="s">
        <v>50</v>
      </c>
      <c r="E2187" s="2177" t="s">
        <v>819</v>
      </c>
      <c r="F2187" s="2176" t="s">
        <v>1425</v>
      </c>
      <c r="G2187" s="2176"/>
      <c r="H2187" s="2176"/>
      <c r="I2187" s="1326"/>
      <c r="J2187" s="1613">
        <f>1047*K2174-1039*K2174/(1+0.0595)^(5-1)</f>
        <v>224.93182686576984</v>
      </c>
      <c r="K2187" s="1371"/>
      <c r="L2187" s="887" t="s">
        <v>1424</v>
      </c>
      <c r="T2187" s="50"/>
      <c r="U2187" s="50"/>
      <c r="V2187" s="2177" t="s">
        <v>50</v>
      </c>
      <c r="W2187" s="231"/>
      <c r="X2187" s="231"/>
      <c r="Y2187" s="231"/>
      <c r="Z2187" s="231"/>
      <c r="AA2187" s="231"/>
      <c r="AB2187" s="231"/>
      <c r="AC2187" s="231"/>
      <c r="AD2187" s="230">
        <v>224.93182686576984</v>
      </c>
      <c r="AE2187" s="231">
        <v>224.93182686576984</v>
      </c>
      <c r="AF2187" s="258">
        <f t="shared" si="274"/>
        <v>224.93182686576984</v>
      </c>
      <c r="AG2187" s="231"/>
      <c r="DG2187" s="555"/>
      <c r="DH2187" s="555"/>
      <c r="DI2187" s="1049"/>
    </row>
    <row r="2188" spans="1:115" ht="15" hidden="1" customHeight="1" outlineLevel="1" x14ac:dyDescent="0.25">
      <c r="A2188" s="442"/>
      <c r="C2188" s="49"/>
      <c r="D2188" s="2187"/>
      <c r="E2188" s="2177"/>
      <c r="F2188" s="2176" t="s">
        <v>1426</v>
      </c>
      <c r="G2188" s="2176"/>
      <c r="H2188" s="2176"/>
      <c r="I2188" s="1326"/>
      <c r="J2188" s="1613">
        <f>ROUND(84*K2174, 2)</f>
        <v>84.93</v>
      </c>
      <c r="K2188" s="1371"/>
      <c r="L2188" s="887" t="s">
        <v>1424</v>
      </c>
      <c r="T2188" s="50"/>
      <c r="U2188" s="50"/>
      <c r="V2188" s="2177"/>
      <c r="W2188" s="231"/>
      <c r="X2188" s="231"/>
      <c r="Y2188" s="231"/>
      <c r="Z2188" s="231"/>
      <c r="AA2188" s="231"/>
      <c r="AB2188" s="231"/>
      <c r="AC2188" s="231"/>
      <c r="AD2188" s="230">
        <v>84.93</v>
      </c>
      <c r="AE2188" s="231">
        <v>84.93</v>
      </c>
      <c r="AF2188" s="258">
        <f t="shared" si="274"/>
        <v>84.93</v>
      </c>
      <c r="AG2188" s="231"/>
      <c r="DG2188" s="555"/>
      <c r="DH2188" s="555"/>
      <c r="DI2188" s="1049"/>
    </row>
    <row r="2189" spans="1:115" collapsed="1" x14ac:dyDescent="0.25">
      <c r="A2189" s="442"/>
      <c r="C2189" s="49"/>
      <c r="D2189" s="393"/>
      <c r="E2189" s="393"/>
      <c r="F2189" s="1365"/>
      <c r="G2189" s="1365"/>
      <c r="H2189" s="1365"/>
      <c r="I2189" s="1365"/>
      <c r="J2189" s="885"/>
      <c r="K2189" s="545"/>
      <c r="L2189" s="1365"/>
      <c r="T2189" s="50"/>
      <c r="U2189" s="50"/>
      <c r="V2189" s="50"/>
      <c r="DH2189" s="555"/>
    </row>
    <row r="2190" spans="1:115" x14ac:dyDescent="0.25">
      <c r="A2190" s="442"/>
      <c r="DH2190" s="555"/>
    </row>
    <row r="2191" spans="1:115" x14ac:dyDescent="0.25">
      <c r="A2191" s="442"/>
    </row>
    <row r="2192" spans="1:115" x14ac:dyDescent="0.25">
      <c r="A2192" s="442"/>
    </row>
    <row r="2193" spans="1:1" x14ac:dyDescent="0.25">
      <c r="A2193" s="442"/>
    </row>
    <row r="2194" spans="1:1" x14ac:dyDescent="0.25">
      <c r="A2194" s="442"/>
    </row>
    <row r="2195" spans="1:1" x14ac:dyDescent="0.25">
      <c r="A2195" s="442"/>
    </row>
    <row r="2196" spans="1:1" x14ac:dyDescent="0.25">
      <c r="A2196" s="442"/>
    </row>
    <row r="2197" spans="1:1" x14ac:dyDescent="0.25">
      <c r="A2197" s="442"/>
    </row>
    <row r="2198" spans="1:1" x14ac:dyDescent="0.25">
      <c r="A2198" s="442"/>
    </row>
    <row r="2199" spans="1:1" x14ac:dyDescent="0.25">
      <c r="A2199" s="442"/>
    </row>
    <row r="2200" spans="1:1" x14ac:dyDescent="0.25">
      <c r="A2200" s="442"/>
    </row>
    <row r="2201" spans="1:1" x14ac:dyDescent="0.25">
      <c r="A2201" s="442"/>
    </row>
    <row r="2202" spans="1:1" x14ac:dyDescent="0.25">
      <c r="A2202" s="442"/>
    </row>
    <row r="2203" spans="1:1" x14ac:dyDescent="0.25">
      <c r="A2203" s="442"/>
    </row>
    <row r="2204" spans="1:1" x14ac:dyDescent="0.25">
      <c r="A2204" s="442"/>
    </row>
    <row r="2205" spans="1:1" x14ac:dyDescent="0.25">
      <c r="A2205" s="442"/>
    </row>
    <row r="2206" spans="1:1" x14ac:dyDescent="0.25">
      <c r="A2206" s="442"/>
    </row>
    <row r="2207" spans="1:1" x14ac:dyDescent="0.25">
      <c r="A2207" s="442"/>
    </row>
    <row r="2208" spans="1:1" x14ac:dyDescent="0.25">
      <c r="A2208" s="442"/>
    </row>
    <row r="2209" spans="1:1" x14ac:dyDescent="0.25">
      <c r="A2209" s="442"/>
    </row>
    <row r="2210" spans="1:1" x14ac:dyDescent="0.25">
      <c r="A2210" s="442"/>
    </row>
    <row r="2211" spans="1:1" x14ac:dyDescent="0.25">
      <c r="A2211" s="442"/>
    </row>
    <row r="2212" spans="1:1" x14ac:dyDescent="0.25">
      <c r="A2212" s="442"/>
    </row>
    <row r="2213" spans="1:1" x14ac:dyDescent="0.25">
      <c r="A2213" s="442"/>
    </row>
    <row r="2214" spans="1:1" x14ac:dyDescent="0.25">
      <c r="A2214" s="442"/>
    </row>
    <row r="2215" spans="1:1" x14ac:dyDescent="0.25">
      <c r="A2215" s="442"/>
    </row>
    <row r="2216" spans="1:1" x14ac:dyDescent="0.25">
      <c r="A2216" s="442"/>
    </row>
    <row r="2217" spans="1:1" x14ac:dyDescent="0.25">
      <c r="A2217" s="442"/>
    </row>
    <row r="2218" spans="1:1" x14ac:dyDescent="0.25">
      <c r="A2218" s="442"/>
    </row>
    <row r="2219" spans="1:1" x14ac:dyDescent="0.25">
      <c r="A2219" s="442"/>
    </row>
    <row r="2220" spans="1:1" x14ac:dyDescent="0.25">
      <c r="A2220" s="442"/>
    </row>
    <row r="2221" spans="1:1" x14ac:dyDescent="0.25">
      <c r="A2221" s="442"/>
    </row>
    <row r="2222" spans="1:1" x14ac:dyDescent="0.25">
      <c r="A2222" s="442"/>
    </row>
    <row r="2223" spans="1:1" x14ac:dyDescent="0.25">
      <c r="A2223" s="442"/>
    </row>
    <row r="2224" spans="1:1" x14ac:dyDescent="0.25">
      <c r="A2224" s="442"/>
    </row>
    <row r="2225" spans="1:1" x14ac:dyDescent="0.25">
      <c r="A2225" s="442"/>
    </row>
    <row r="2226" spans="1:1" x14ac:dyDescent="0.25">
      <c r="A2226" s="442"/>
    </row>
    <row r="2227" spans="1:1" x14ac:dyDescent="0.25">
      <c r="A2227" s="442"/>
    </row>
    <row r="2228" spans="1:1" x14ac:dyDescent="0.25">
      <c r="A2228" s="442"/>
    </row>
    <row r="2229" spans="1:1" x14ac:dyDescent="0.25">
      <c r="A2229" s="442"/>
    </row>
    <row r="2230" spans="1:1" x14ac:dyDescent="0.25">
      <c r="A2230" s="442"/>
    </row>
    <row r="2231" spans="1:1" x14ac:dyDescent="0.25">
      <c r="A2231" s="442"/>
    </row>
    <row r="2232" spans="1:1" x14ac:dyDescent="0.25">
      <c r="A2232" s="442"/>
    </row>
    <row r="2233" spans="1:1" x14ac:dyDescent="0.25">
      <c r="A2233" s="442"/>
    </row>
    <row r="2234" spans="1:1" x14ac:dyDescent="0.25">
      <c r="A2234" s="442"/>
    </row>
    <row r="2235" spans="1:1" x14ac:dyDescent="0.25">
      <c r="A2235" s="442"/>
    </row>
    <row r="2236" spans="1:1" x14ac:dyDescent="0.25">
      <c r="A2236" s="442"/>
    </row>
    <row r="2237" spans="1:1" x14ac:dyDescent="0.25">
      <c r="A2237" s="442"/>
    </row>
    <row r="2238" spans="1:1" x14ac:dyDescent="0.25">
      <c r="A2238" s="442"/>
    </row>
    <row r="2239" spans="1:1" x14ac:dyDescent="0.25">
      <c r="A2239" s="442"/>
    </row>
    <row r="2240" spans="1:1" x14ac:dyDescent="0.25">
      <c r="A2240" s="442"/>
    </row>
    <row r="2241" spans="1:1" x14ac:dyDescent="0.25">
      <c r="A2241" s="442"/>
    </row>
    <row r="2242" spans="1:1" x14ac:dyDescent="0.25">
      <c r="A2242" s="442"/>
    </row>
    <row r="2243" spans="1:1" x14ac:dyDescent="0.25">
      <c r="A2243" s="442"/>
    </row>
    <row r="2244" spans="1:1" x14ac:dyDescent="0.25">
      <c r="A2244" s="442"/>
    </row>
    <row r="2245" spans="1:1" x14ac:dyDescent="0.25">
      <c r="A2245" s="442"/>
    </row>
    <row r="2246" spans="1:1" x14ac:dyDescent="0.25">
      <c r="A2246" s="442"/>
    </row>
    <row r="2247" spans="1:1" x14ac:dyDescent="0.25">
      <c r="A2247" s="442"/>
    </row>
    <row r="2248" spans="1:1" x14ac:dyDescent="0.25">
      <c r="A2248" s="442"/>
    </row>
    <row r="2249" spans="1:1" x14ac:dyDescent="0.25">
      <c r="A2249" s="442"/>
    </row>
    <row r="2250" spans="1:1" x14ac:dyDescent="0.25">
      <c r="A2250" s="442"/>
    </row>
    <row r="2251" spans="1:1" x14ac:dyDescent="0.25">
      <c r="A2251" s="442"/>
    </row>
    <row r="2252" spans="1:1" x14ac:dyDescent="0.25">
      <c r="A2252" s="442"/>
    </row>
    <row r="2253" spans="1:1" x14ac:dyDescent="0.25">
      <c r="A2253" s="442"/>
    </row>
    <row r="2254" spans="1:1" x14ac:dyDescent="0.25">
      <c r="A2254" s="442"/>
    </row>
    <row r="2255" spans="1:1" x14ac:dyDescent="0.25">
      <c r="A2255" s="442"/>
    </row>
    <row r="2256" spans="1:1" x14ac:dyDescent="0.25">
      <c r="A2256" s="442"/>
    </row>
    <row r="2257" spans="1:1" x14ac:dyDescent="0.25">
      <c r="A2257" s="442"/>
    </row>
    <row r="2258" spans="1:1" x14ac:dyDescent="0.25">
      <c r="A2258" s="442"/>
    </row>
    <row r="2259" spans="1:1" x14ac:dyDescent="0.25">
      <c r="A2259" s="442"/>
    </row>
    <row r="2260" spans="1:1" x14ac:dyDescent="0.25">
      <c r="A2260" s="442"/>
    </row>
    <row r="2261" spans="1:1" x14ac:dyDescent="0.25">
      <c r="A2261" s="442"/>
    </row>
    <row r="2262" spans="1:1" x14ac:dyDescent="0.25">
      <c r="A2262" s="442"/>
    </row>
    <row r="2263" spans="1:1" x14ac:dyDescent="0.25">
      <c r="A2263" s="442"/>
    </row>
    <row r="2264" spans="1:1" x14ac:dyDescent="0.25">
      <c r="A2264" s="442"/>
    </row>
    <row r="2265" spans="1:1" x14ac:dyDescent="0.25">
      <c r="A2265" s="442"/>
    </row>
    <row r="2266" spans="1:1" x14ac:dyDescent="0.25">
      <c r="A2266" s="442"/>
    </row>
    <row r="2267" spans="1:1" x14ac:dyDescent="0.25">
      <c r="A2267" s="442"/>
    </row>
    <row r="2268" spans="1:1" x14ac:dyDescent="0.25">
      <c r="A2268" s="442"/>
    </row>
    <row r="2269" spans="1:1" x14ac:dyDescent="0.25">
      <c r="A2269" s="442"/>
    </row>
    <row r="2270" spans="1:1" x14ac:dyDescent="0.25">
      <c r="A2270" s="442"/>
    </row>
    <row r="2271" spans="1:1" x14ac:dyDescent="0.25">
      <c r="A2271" s="442"/>
    </row>
    <row r="2272" spans="1:1" x14ac:dyDescent="0.25">
      <c r="A2272" s="442"/>
    </row>
    <row r="2273" spans="1:1" x14ac:dyDescent="0.25">
      <c r="A2273" s="442"/>
    </row>
    <row r="2274" spans="1:1" x14ac:dyDescent="0.25">
      <c r="A2274" s="442"/>
    </row>
    <row r="2275" spans="1:1" x14ac:dyDescent="0.25">
      <c r="A2275" s="442"/>
    </row>
    <row r="2276" spans="1:1" x14ac:dyDescent="0.25">
      <c r="A2276" s="442"/>
    </row>
    <row r="2277" spans="1:1" x14ac:dyDescent="0.25">
      <c r="A2277" s="442"/>
    </row>
    <row r="2278" spans="1:1" x14ac:dyDescent="0.25">
      <c r="A2278" s="442"/>
    </row>
    <row r="2279" spans="1:1" x14ac:dyDescent="0.25">
      <c r="A2279" s="442"/>
    </row>
    <row r="2280" spans="1:1" x14ac:dyDescent="0.25">
      <c r="A2280" s="442"/>
    </row>
    <row r="2281" spans="1:1" x14ac:dyDescent="0.25">
      <c r="A2281" s="442"/>
    </row>
    <row r="2282" spans="1:1" x14ac:dyDescent="0.25">
      <c r="A2282" s="442"/>
    </row>
    <row r="2283" spans="1:1" x14ac:dyDescent="0.25">
      <c r="A2283" s="442"/>
    </row>
    <row r="2284" spans="1:1" x14ac:dyDescent="0.25">
      <c r="A2284" s="442"/>
    </row>
    <row r="2285" spans="1:1" x14ac:dyDescent="0.25">
      <c r="A2285" s="442"/>
    </row>
    <row r="2286" spans="1:1" x14ac:dyDescent="0.25">
      <c r="A2286" s="442"/>
    </row>
    <row r="2287" spans="1:1" x14ac:dyDescent="0.25">
      <c r="A2287" s="442"/>
    </row>
    <row r="2288" spans="1:1" x14ac:dyDescent="0.25">
      <c r="A2288" s="442"/>
    </row>
    <row r="2289" spans="1:1" x14ac:dyDescent="0.25">
      <c r="A2289" s="442"/>
    </row>
    <row r="2290" spans="1:1" x14ac:dyDescent="0.25">
      <c r="A2290" s="442"/>
    </row>
    <row r="2291" spans="1:1" x14ac:dyDescent="0.25">
      <c r="A2291" s="442"/>
    </row>
    <row r="2292" spans="1:1" x14ac:dyDescent="0.25">
      <c r="A2292" s="442"/>
    </row>
    <row r="2293" spans="1:1" x14ac:dyDescent="0.25">
      <c r="A2293" s="442"/>
    </row>
    <row r="2294" spans="1:1" x14ac:dyDescent="0.25">
      <c r="A2294" s="442"/>
    </row>
    <row r="2295" spans="1:1" x14ac:dyDescent="0.25">
      <c r="A2295" s="442"/>
    </row>
    <row r="2296" spans="1:1" x14ac:dyDescent="0.25">
      <c r="A2296" s="442"/>
    </row>
    <row r="2297" spans="1:1" x14ac:dyDescent="0.25">
      <c r="A2297" s="442"/>
    </row>
    <row r="2298" spans="1:1" x14ac:dyDescent="0.25">
      <c r="A2298" s="442"/>
    </row>
    <row r="2299" spans="1:1" x14ac:dyDescent="0.25">
      <c r="A2299" s="442"/>
    </row>
    <row r="2300" spans="1:1" x14ac:dyDescent="0.25">
      <c r="A2300" s="442"/>
    </row>
    <row r="2301" spans="1:1" x14ac:dyDescent="0.25">
      <c r="A2301" s="442"/>
    </row>
    <row r="2302" spans="1:1" x14ac:dyDescent="0.25">
      <c r="A2302" s="442"/>
    </row>
    <row r="2303" spans="1:1" x14ac:dyDescent="0.25">
      <c r="A2303" s="442"/>
    </row>
    <row r="2304" spans="1:1" x14ac:dyDescent="0.25">
      <c r="A2304" s="442"/>
    </row>
    <row r="2305" spans="1:1" x14ac:dyDescent="0.25">
      <c r="A2305" s="442"/>
    </row>
    <row r="2306" spans="1:1" x14ac:dyDescent="0.25">
      <c r="A2306" s="442"/>
    </row>
    <row r="2307" spans="1:1" x14ac:dyDescent="0.25">
      <c r="A2307" s="442"/>
    </row>
    <row r="2308" spans="1:1" x14ac:dyDescent="0.25">
      <c r="A2308" s="442"/>
    </row>
    <row r="2309" spans="1:1" x14ac:dyDescent="0.25">
      <c r="A2309" s="442"/>
    </row>
    <row r="2310" spans="1:1" x14ac:dyDescent="0.25">
      <c r="A2310" s="442"/>
    </row>
    <row r="2311" spans="1:1" x14ac:dyDescent="0.25">
      <c r="A2311" s="442"/>
    </row>
    <row r="2312" spans="1:1" x14ac:dyDescent="0.25">
      <c r="A2312" s="442"/>
    </row>
    <row r="2313" spans="1:1" x14ac:dyDescent="0.25">
      <c r="A2313" s="442"/>
    </row>
    <row r="2314" spans="1:1" x14ac:dyDescent="0.25">
      <c r="A2314" s="442"/>
    </row>
    <row r="2315" spans="1:1" x14ac:dyDescent="0.25">
      <c r="A2315" s="442"/>
    </row>
    <row r="2316" spans="1:1" x14ac:dyDescent="0.25">
      <c r="A2316" s="442"/>
    </row>
    <row r="2317" spans="1:1" x14ac:dyDescent="0.25">
      <c r="A2317" s="442"/>
    </row>
    <row r="2318" spans="1:1" x14ac:dyDescent="0.25">
      <c r="A2318" s="442"/>
    </row>
    <row r="2319" spans="1:1" x14ac:dyDescent="0.25">
      <c r="A2319" s="442"/>
    </row>
    <row r="2320" spans="1:1" x14ac:dyDescent="0.25">
      <c r="A2320" s="442"/>
    </row>
    <row r="2321" spans="1:1" x14ac:dyDescent="0.25">
      <c r="A2321" s="442"/>
    </row>
    <row r="2322" spans="1:1" x14ac:dyDescent="0.25">
      <c r="A2322" s="442"/>
    </row>
    <row r="2323" spans="1:1" x14ac:dyDescent="0.25">
      <c r="A2323" s="442"/>
    </row>
    <row r="2324" spans="1:1" x14ac:dyDescent="0.25">
      <c r="A2324" s="442"/>
    </row>
    <row r="2325" spans="1:1" x14ac:dyDescent="0.25">
      <c r="A2325" s="442"/>
    </row>
    <row r="2326" spans="1:1" x14ac:dyDescent="0.25">
      <c r="A2326" s="442"/>
    </row>
    <row r="2327" spans="1:1" x14ac:dyDescent="0.25">
      <c r="A2327" s="442"/>
    </row>
    <row r="2328" spans="1:1" x14ac:dyDescent="0.25">
      <c r="A2328" s="442"/>
    </row>
    <row r="2329" spans="1:1" x14ac:dyDescent="0.25">
      <c r="A2329" s="442"/>
    </row>
    <row r="2330" spans="1:1" x14ac:dyDescent="0.25">
      <c r="A2330" s="442"/>
    </row>
    <row r="2331" spans="1:1" x14ac:dyDescent="0.25">
      <c r="A2331" s="442"/>
    </row>
    <row r="2332" spans="1:1" x14ac:dyDescent="0.25">
      <c r="A2332" s="442"/>
    </row>
    <row r="2333" spans="1:1" x14ac:dyDescent="0.25">
      <c r="A2333" s="442"/>
    </row>
    <row r="2334" spans="1:1" x14ac:dyDescent="0.25">
      <c r="A2334" s="442"/>
    </row>
    <row r="2335" spans="1:1" x14ac:dyDescent="0.25">
      <c r="A2335" s="442"/>
    </row>
    <row r="2336" spans="1:1" x14ac:dyDescent="0.25">
      <c r="A2336" s="442"/>
    </row>
    <row r="2337" spans="1:1" x14ac:dyDescent="0.25">
      <c r="A2337" s="442"/>
    </row>
    <row r="2338" spans="1:1" x14ac:dyDescent="0.25">
      <c r="A2338" s="442"/>
    </row>
    <row r="2339" spans="1:1" x14ac:dyDescent="0.25">
      <c r="A2339" s="442"/>
    </row>
    <row r="2340" spans="1:1" x14ac:dyDescent="0.25">
      <c r="A2340" s="442"/>
    </row>
    <row r="2341" spans="1:1" x14ac:dyDescent="0.25">
      <c r="A2341" s="442"/>
    </row>
    <row r="2342" spans="1:1" x14ac:dyDescent="0.25">
      <c r="A2342" s="442"/>
    </row>
    <row r="2343" spans="1:1" x14ac:dyDescent="0.25">
      <c r="A2343" s="442"/>
    </row>
    <row r="2344" spans="1:1" x14ac:dyDescent="0.25">
      <c r="A2344" s="442"/>
    </row>
    <row r="2345" spans="1:1" x14ac:dyDescent="0.25">
      <c r="A2345" s="442"/>
    </row>
    <row r="2346" spans="1:1" x14ac:dyDescent="0.25">
      <c r="A2346" s="442"/>
    </row>
    <row r="2347" spans="1:1" x14ac:dyDescent="0.25">
      <c r="A2347" s="442"/>
    </row>
    <row r="2348" spans="1:1" x14ac:dyDescent="0.25">
      <c r="A2348" s="442"/>
    </row>
    <row r="2349" spans="1:1" x14ac:dyDescent="0.25">
      <c r="A2349" s="442"/>
    </row>
    <row r="2350" spans="1:1" x14ac:dyDescent="0.25">
      <c r="A2350" s="442"/>
    </row>
    <row r="2351" spans="1:1" x14ac:dyDescent="0.25">
      <c r="A2351" s="442"/>
    </row>
    <row r="2352" spans="1:1" x14ac:dyDescent="0.25">
      <c r="A2352" s="442"/>
    </row>
    <row r="2353" spans="1:1" x14ac:dyDescent="0.25">
      <c r="A2353" s="442"/>
    </row>
    <row r="2354" spans="1:1" x14ac:dyDescent="0.25">
      <c r="A2354" s="442"/>
    </row>
    <row r="2355" spans="1:1" x14ac:dyDescent="0.25">
      <c r="A2355" s="442"/>
    </row>
    <row r="2356" spans="1:1" x14ac:dyDescent="0.25">
      <c r="A2356" s="442"/>
    </row>
    <row r="2357" spans="1:1" x14ac:dyDescent="0.25">
      <c r="A2357" s="442"/>
    </row>
    <row r="2358" spans="1:1" x14ac:dyDescent="0.25">
      <c r="A2358" s="442"/>
    </row>
    <row r="2359" spans="1:1" x14ac:dyDescent="0.25">
      <c r="A2359" s="442"/>
    </row>
    <row r="2360" spans="1:1" x14ac:dyDescent="0.25">
      <c r="A2360" s="442"/>
    </row>
    <row r="2361" spans="1:1" x14ac:dyDescent="0.25">
      <c r="A2361" s="442"/>
    </row>
    <row r="2362" spans="1:1" x14ac:dyDescent="0.25">
      <c r="A2362" s="442"/>
    </row>
    <row r="2363" spans="1:1" x14ac:dyDescent="0.25">
      <c r="A2363" s="442"/>
    </row>
    <row r="2364" spans="1:1" x14ac:dyDescent="0.25">
      <c r="A2364" s="442"/>
    </row>
    <row r="2365" spans="1:1" x14ac:dyDescent="0.25">
      <c r="A2365" s="442"/>
    </row>
    <row r="2366" spans="1:1" x14ac:dyDescent="0.25">
      <c r="A2366" s="442"/>
    </row>
    <row r="2367" spans="1:1" x14ac:dyDescent="0.25">
      <c r="A2367" s="442"/>
    </row>
    <row r="2368" spans="1:1" x14ac:dyDescent="0.25">
      <c r="A2368" s="442"/>
    </row>
    <row r="2369" spans="1:1" x14ac:dyDescent="0.25">
      <c r="A2369" s="442"/>
    </row>
    <row r="2370" spans="1:1" x14ac:dyDescent="0.25">
      <c r="A2370" s="442"/>
    </row>
    <row r="2371" spans="1:1" x14ac:dyDescent="0.25">
      <c r="A2371" s="442"/>
    </row>
    <row r="2372" spans="1:1" x14ac:dyDescent="0.25">
      <c r="A2372" s="442"/>
    </row>
    <row r="2373" spans="1:1" x14ac:dyDescent="0.25">
      <c r="A2373" s="442"/>
    </row>
    <row r="2374" spans="1:1" x14ac:dyDescent="0.25">
      <c r="A2374" s="442"/>
    </row>
    <row r="2375" spans="1:1" x14ac:dyDescent="0.25">
      <c r="A2375" s="442"/>
    </row>
    <row r="2376" spans="1:1" x14ac:dyDescent="0.25">
      <c r="A2376" s="442"/>
    </row>
    <row r="2377" spans="1:1" x14ac:dyDescent="0.25">
      <c r="A2377" s="442"/>
    </row>
    <row r="2378" spans="1:1" x14ac:dyDescent="0.25">
      <c r="A2378" s="442"/>
    </row>
    <row r="2379" spans="1:1" x14ac:dyDescent="0.25">
      <c r="A2379" s="442"/>
    </row>
    <row r="2380" spans="1:1" x14ac:dyDescent="0.25">
      <c r="A2380" s="442"/>
    </row>
    <row r="2381" spans="1:1" x14ac:dyDescent="0.25">
      <c r="A2381" s="442"/>
    </row>
    <row r="2382" spans="1:1" x14ac:dyDescent="0.25">
      <c r="A2382" s="442"/>
    </row>
    <row r="2383" spans="1:1" x14ac:dyDescent="0.25">
      <c r="A2383" s="442"/>
    </row>
    <row r="2384" spans="1:1" x14ac:dyDescent="0.25">
      <c r="A2384" s="442"/>
    </row>
    <row r="2385" spans="1:1" x14ac:dyDescent="0.25">
      <c r="A2385" s="442"/>
    </row>
    <row r="2386" spans="1:1" x14ac:dyDescent="0.25">
      <c r="A2386" s="442"/>
    </row>
    <row r="2387" spans="1:1" x14ac:dyDescent="0.25">
      <c r="A2387" s="442"/>
    </row>
    <row r="2388" spans="1:1" x14ac:dyDescent="0.25">
      <c r="A2388" s="442"/>
    </row>
    <row r="2389" spans="1:1" x14ac:dyDescent="0.25">
      <c r="A2389" s="442"/>
    </row>
    <row r="2390" spans="1:1" x14ac:dyDescent="0.25">
      <c r="A2390" s="442"/>
    </row>
    <row r="2391" spans="1:1" x14ac:dyDescent="0.25">
      <c r="A2391" s="442"/>
    </row>
    <row r="2392" spans="1:1" x14ac:dyDescent="0.25">
      <c r="A2392" s="442"/>
    </row>
    <row r="2393" spans="1:1" x14ac:dyDescent="0.25">
      <c r="A2393" s="442"/>
    </row>
    <row r="2394" spans="1:1" x14ac:dyDescent="0.25">
      <c r="A2394" s="442"/>
    </row>
    <row r="2395" spans="1:1" x14ac:dyDescent="0.25">
      <c r="A2395" s="442"/>
    </row>
    <row r="2396" spans="1:1" x14ac:dyDescent="0.25">
      <c r="A2396" s="442"/>
    </row>
    <row r="2397" spans="1:1" x14ac:dyDescent="0.25">
      <c r="A2397" s="442"/>
    </row>
    <row r="2398" spans="1:1" x14ac:dyDescent="0.25">
      <c r="A2398" s="442"/>
    </row>
    <row r="2399" spans="1:1" x14ac:dyDescent="0.25">
      <c r="A2399" s="442"/>
    </row>
    <row r="2400" spans="1:1" x14ac:dyDescent="0.25">
      <c r="A2400" s="442"/>
    </row>
    <row r="2401" spans="1:1" x14ac:dyDescent="0.25">
      <c r="A2401" s="442"/>
    </row>
    <row r="2402" spans="1:1" x14ac:dyDescent="0.25">
      <c r="A2402" s="442"/>
    </row>
    <row r="2403" spans="1:1" x14ac:dyDescent="0.25">
      <c r="A2403" s="442"/>
    </row>
    <row r="2404" spans="1:1" x14ac:dyDescent="0.25">
      <c r="A2404" s="442"/>
    </row>
    <row r="2405" spans="1:1" x14ac:dyDescent="0.25">
      <c r="A2405" s="442"/>
    </row>
    <row r="2406" spans="1:1" x14ac:dyDescent="0.25">
      <c r="A2406" s="442"/>
    </row>
    <row r="2407" spans="1:1" x14ac:dyDescent="0.25">
      <c r="A2407" s="442"/>
    </row>
    <row r="2408" spans="1:1" x14ac:dyDescent="0.25">
      <c r="A2408" s="442"/>
    </row>
    <row r="2409" spans="1:1" x14ac:dyDescent="0.25">
      <c r="A2409" s="442"/>
    </row>
    <row r="2410" spans="1:1" x14ac:dyDescent="0.25">
      <c r="A2410" s="442"/>
    </row>
    <row r="2411" spans="1:1" x14ac:dyDescent="0.25">
      <c r="A2411" s="442"/>
    </row>
    <row r="2412" spans="1:1" x14ac:dyDescent="0.25">
      <c r="A2412" s="442"/>
    </row>
    <row r="2413" spans="1:1" x14ac:dyDescent="0.25">
      <c r="A2413" s="442"/>
    </row>
    <row r="2414" spans="1:1" x14ac:dyDescent="0.25">
      <c r="A2414" s="442"/>
    </row>
    <row r="2415" spans="1:1" x14ac:dyDescent="0.25">
      <c r="A2415" s="442"/>
    </row>
    <row r="2416" spans="1:1" x14ac:dyDescent="0.25">
      <c r="A2416" s="442"/>
    </row>
    <row r="2417" spans="1:1" x14ac:dyDescent="0.25">
      <c r="A2417" s="442"/>
    </row>
    <row r="2418" spans="1:1" x14ac:dyDescent="0.25">
      <c r="A2418" s="442"/>
    </row>
    <row r="2419" spans="1:1" x14ac:dyDescent="0.25">
      <c r="A2419" s="442"/>
    </row>
    <row r="2420" spans="1:1" x14ac:dyDescent="0.25">
      <c r="A2420" s="442"/>
    </row>
    <row r="2421" spans="1:1" x14ac:dyDescent="0.25">
      <c r="A2421" s="442"/>
    </row>
    <row r="2422" spans="1:1" x14ac:dyDescent="0.25">
      <c r="A2422" s="442"/>
    </row>
    <row r="2423" spans="1:1" x14ac:dyDescent="0.25">
      <c r="A2423" s="442"/>
    </row>
    <row r="2424" spans="1:1" x14ac:dyDescent="0.25">
      <c r="A2424" s="442"/>
    </row>
    <row r="2425" spans="1:1" x14ac:dyDescent="0.25">
      <c r="A2425" s="442"/>
    </row>
    <row r="2426" spans="1:1" x14ac:dyDescent="0.25">
      <c r="A2426" s="442"/>
    </row>
    <row r="2427" spans="1:1" x14ac:dyDescent="0.25">
      <c r="A2427" s="442"/>
    </row>
    <row r="2428" spans="1:1" x14ac:dyDescent="0.25">
      <c r="A2428" s="442"/>
    </row>
    <row r="2429" spans="1:1" x14ac:dyDescent="0.25">
      <c r="A2429" s="442"/>
    </row>
    <row r="2430" spans="1:1" x14ac:dyDescent="0.25">
      <c r="A2430" s="442"/>
    </row>
    <row r="2431" spans="1:1" x14ac:dyDescent="0.25">
      <c r="A2431" s="442"/>
    </row>
    <row r="2432" spans="1:1" x14ac:dyDescent="0.25">
      <c r="A2432" s="442"/>
    </row>
    <row r="2433" spans="1:1" x14ac:dyDescent="0.25">
      <c r="A2433" s="442"/>
    </row>
    <row r="2434" spans="1:1" x14ac:dyDescent="0.25">
      <c r="A2434" s="442"/>
    </row>
    <row r="2435" spans="1:1" x14ac:dyDescent="0.25">
      <c r="A2435" s="442"/>
    </row>
    <row r="2436" spans="1:1" x14ac:dyDescent="0.25">
      <c r="A2436" s="442"/>
    </row>
    <row r="2437" spans="1:1" x14ac:dyDescent="0.25">
      <c r="A2437" s="442"/>
    </row>
    <row r="2438" spans="1:1" x14ac:dyDescent="0.25">
      <c r="A2438" s="442"/>
    </row>
    <row r="2439" spans="1:1" x14ac:dyDescent="0.25">
      <c r="A2439" s="442"/>
    </row>
    <row r="2440" spans="1:1" x14ac:dyDescent="0.25">
      <c r="A2440" s="442"/>
    </row>
    <row r="2441" spans="1:1" x14ac:dyDescent="0.25">
      <c r="A2441" s="442"/>
    </row>
    <row r="2442" spans="1:1" x14ac:dyDescent="0.25">
      <c r="A2442" s="442"/>
    </row>
    <row r="2443" spans="1:1" x14ac:dyDescent="0.25">
      <c r="A2443" s="442"/>
    </row>
    <row r="2444" spans="1:1" x14ac:dyDescent="0.25">
      <c r="A2444" s="442"/>
    </row>
    <row r="2445" spans="1:1" x14ac:dyDescent="0.25">
      <c r="A2445" s="442"/>
    </row>
    <row r="2446" spans="1:1" x14ac:dyDescent="0.25">
      <c r="A2446" s="442"/>
    </row>
    <row r="2447" spans="1:1" x14ac:dyDescent="0.25">
      <c r="A2447" s="442"/>
    </row>
    <row r="2448" spans="1:1" x14ac:dyDescent="0.25">
      <c r="A2448" s="442"/>
    </row>
    <row r="2449" spans="1:1" x14ac:dyDescent="0.25">
      <c r="A2449" s="442"/>
    </row>
    <row r="2450" spans="1:1" x14ac:dyDescent="0.25">
      <c r="A2450" s="442"/>
    </row>
    <row r="2451" spans="1:1" x14ac:dyDescent="0.25">
      <c r="A2451" s="442"/>
    </row>
    <row r="2452" spans="1:1" x14ac:dyDescent="0.25">
      <c r="A2452" s="442"/>
    </row>
    <row r="2453" spans="1:1" x14ac:dyDescent="0.25">
      <c r="A2453" s="442"/>
    </row>
    <row r="2454" spans="1:1" x14ac:dyDescent="0.25">
      <c r="A2454" s="442"/>
    </row>
    <row r="2455" spans="1:1" x14ac:dyDescent="0.25">
      <c r="A2455" s="442"/>
    </row>
    <row r="2456" spans="1:1" x14ac:dyDescent="0.25">
      <c r="A2456" s="442"/>
    </row>
    <row r="2457" spans="1:1" x14ac:dyDescent="0.25">
      <c r="A2457" s="442"/>
    </row>
    <row r="2458" spans="1:1" x14ac:dyDescent="0.25">
      <c r="A2458" s="442"/>
    </row>
    <row r="2459" spans="1:1" x14ac:dyDescent="0.25">
      <c r="A2459" s="442"/>
    </row>
    <row r="2460" spans="1:1" x14ac:dyDescent="0.25">
      <c r="A2460" s="442"/>
    </row>
    <row r="2461" spans="1:1" x14ac:dyDescent="0.25">
      <c r="A2461" s="442"/>
    </row>
    <row r="2462" spans="1:1" x14ac:dyDescent="0.25">
      <c r="A2462" s="442"/>
    </row>
    <row r="2463" spans="1:1" x14ac:dyDescent="0.25">
      <c r="A2463" s="442"/>
    </row>
    <row r="2464" spans="1:1" x14ac:dyDescent="0.25">
      <c r="A2464" s="442"/>
    </row>
    <row r="2465" spans="1:1" x14ac:dyDescent="0.25">
      <c r="A2465" s="442"/>
    </row>
    <row r="2466" spans="1:1" x14ac:dyDescent="0.25">
      <c r="A2466" s="442"/>
    </row>
    <row r="2467" spans="1:1" x14ac:dyDescent="0.25">
      <c r="A2467" s="442"/>
    </row>
    <row r="2468" spans="1:1" x14ac:dyDescent="0.25">
      <c r="A2468" s="442"/>
    </row>
    <row r="2469" spans="1:1" x14ac:dyDescent="0.25">
      <c r="A2469" s="442"/>
    </row>
    <row r="2470" spans="1:1" x14ac:dyDescent="0.25">
      <c r="A2470" s="442"/>
    </row>
    <row r="2471" spans="1:1" x14ac:dyDescent="0.25">
      <c r="A2471" s="442"/>
    </row>
    <row r="2472" spans="1:1" x14ac:dyDescent="0.25">
      <c r="A2472" s="442"/>
    </row>
    <row r="2473" spans="1:1" x14ac:dyDescent="0.25">
      <c r="A2473" s="442"/>
    </row>
    <row r="2474" spans="1:1" x14ac:dyDescent="0.25">
      <c r="A2474" s="442"/>
    </row>
    <row r="2475" spans="1:1" x14ac:dyDescent="0.25">
      <c r="A2475" s="442"/>
    </row>
    <row r="2476" spans="1:1" x14ac:dyDescent="0.25">
      <c r="A2476" s="442"/>
    </row>
    <row r="2477" spans="1:1" x14ac:dyDescent="0.25">
      <c r="A2477" s="442"/>
    </row>
    <row r="2478" spans="1:1" x14ac:dyDescent="0.25">
      <c r="A2478" s="442"/>
    </row>
    <row r="2479" spans="1:1" x14ac:dyDescent="0.25">
      <c r="A2479" s="442"/>
    </row>
    <row r="2480" spans="1:1" x14ac:dyDescent="0.25">
      <c r="A2480" s="442"/>
    </row>
    <row r="2481" spans="1:1" x14ac:dyDescent="0.25">
      <c r="A2481" s="442"/>
    </row>
    <row r="2482" spans="1:1" x14ac:dyDescent="0.25">
      <c r="A2482" s="442"/>
    </row>
    <row r="2483" spans="1:1" x14ac:dyDescent="0.25">
      <c r="A2483" s="442"/>
    </row>
    <row r="2484" spans="1:1" x14ac:dyDescent="0.25">
      <c r="A2484" s="442"/>
    </row>
    <row r="2485" spans="1:1" x14ac:dyDescent="0.25">
      <c r="A2485" s="442"/>
    </row>
    <row r="2486" spans="1:1" x14ac:dyDescent="0.25">
      <c r="A2486" s="442"/>
    </row>
    <row r="2487" spans="1:1" x14ac:dyDescent="0.25">
      <c r="A2487" s="442"/>
    </row>
    <row r="2488" spans="1:1" x14ac:dyDescent="0.25">
      <c r="A2488" s="442"/>
    </row>
    <row r="2489" spans="1:1" x14ac:dyDescent="0.25">
      <c r="A2489" s="442"/>
    </row>
    <row r="2490" spans="1:1" x14ac:dyDescent="0.25">
      <c r="A2490" s="442"/>
    </row>
    <row r="2491" spans="1:1" x14ac:dyDescent="0.25">
      <c r="A2491" s="442"/>
    </row>
    <row r="2492" spans="1:1" x14ac:dyDescent="0.25">
      <c r="A2492" s="442"/>
    </row>
    <row r="2493" spans="1:1" x14ac:dyDescent="0.25">
      <c r="A2493" s="442"/>
    </row>
    <row r="2494" spans="1:1" x14ac:dyDescent="0.25">
      <c r="A2494" s="442"/>
    </row>
    <row r="2495" spans="1:1" x14ac:dyDescent="0.25">
      <c r="A2495" s="442"/>
    </row>
    <row r="2496" spans="1:1" x14ac:dyDescent="0.25">
      <c r="A2496" s="442"/>
    </row>
    <row r="2497" spans="1:1" x14ac:dyDescent="0.25">
      <c r="A2497" s="442"/>
    </row>
    <row r="2498" spans="1:1" x14ac:dyDescent="0.25">
      <c r="A2498" s="442"/>
    </row>
    <row r="2499" spans="1:1" x14ac:dyDescent="0.25">
      <c r="A2499" s="442"/>
    </row>
    <row r="2500" spans="1:1" x14ac:dyDescent="0.25">
      <c r="A2500" s="442"/>
    </row>
    <row r="2501" spans="1:1" x14ac:dyDescent="0.25">
      <c r="A2501" s="442"/>
    </row>
    <row r="2502" spans="1:1" x14ac:dyDescent="0.25">
      <c r="A2502" s="442"/>
    </row>
    <row r="2503" spans="1:1" x14ac:dyDescent="0.25">
      <c r="A2503" s="442"/>
    </row>
    <row r="2504" spans="1:1" x14ac:dyDescent="0.25">
      <c r="A2504" s="442"/>
    </row>
    <row r="2505" spans="1:1" x14ac:dyDescent="0.25">
      <c r="A2505" s="442"/>
    </row>
    <row r="2506" spans="1:1" x14ac:dyDescent="0.25">
      <c r="A2506" s="442"/>
    </row>
    <row r="2507" spans="1:1" x14ac:dyDescent="0.25">
      <c r="A2507" s="442"/>
    </row>
    <row r="2508" spans="1:1" x14ac:dyDescent="0.25">
      <c r="A2508" s="442"/>
    </row>
    <row r="2509" spans="1:1" x14ac:dyDescent="0.25">
      <c r="A2509" s="442"/>
    </row>
    <row r="2510" spans="1:1" x14ac:dyDescent="0.25">
      <c r="A2510" s="442"/>
    </row>
    <row r="2511" spans="1:1" x14ac:dyDescent="0.25">
      <c r="A2511" s="442"/>
    </row>
    <row r="2512" spans="1:1" x14ac:dyDescent="0.25">
      <c r="A2512" s="442"/>
    </row>
    <row r="2513" spans="1:1" x14ac:dyDescent="0.25">
      <c r="A2513" s="442"/>
    </row>
    <row r="2514" spans="1:1" x14ac:dyDescent="0.25">
      <c r="A2514" s="442"/>
    </row>
    <row r="2515" spans="1:1" x14ac:dyDescent="0.25">
      <c r="A2515" s="442"/>
    </row>
    <row r="2516" spans="1:1" x14ac:dyDescent="0.25">
      <c r="A2516" s="442"/>
    </row>
    <row r="2517" spans="1:1" x14ac:dyDescent="0.25">
      <c r="A2517" s="442"/>
    </row>
    <row r="2518" spans="1:1" x14ac:dyDescent="0.25">
      <c r="A2518" s="442"/>
    </row>
    <row r="2519" spans="1:1" x14ac:dyDescent="0.25">
      <c r="A2519" s="442"/>
    </row>
    <row r="2520" spans="1:1" x14ac:dyDescent="0.25">
      <c r="A2520" s="442"/>
    </row>
    <row r="2521" spans="1:1" x14ac:dyDescent="0.25">
      <c r="A2521" s="442"/>
    </row>
    <row r="2522" spans="1:1" x14ac:dyDescent="0.25">
      <c r="A2522" s="442"/>
    </row>
    <row r="2523" spans="1:1" x14ac:dyDescent="0.25">
      <c r="A2523" s="442"/>
    </row>
    <row r="2524" spans="1:1" x14ac:dyDescent="0.25">
      <c r="A2524" s="442"/>
    </row>
    <row r="2525" spans="1:1" x14ac:dyDescent="0.25">
      <c r="A2525" s="442"/>
    </row>
    <row r="2526" spans="1:1" x14ac:dyDescent="0.25">
      <c r="A2526" s="442"/>
    </row>
    <row r="2527" spans="1:1" x14ac:dyDescent="0.25">
      <c r="A2527" s="442"/>
    </row>
    <row r="2528" spans="1:1" x14ac:dyDescent="0.25">
      <c r="A2528" s="442"/>
    </row>
    <row r="2529" spans="1:1" x14ac:dyDescent="0.25">
      <c r="A2529" s="442"/>
    </row>
    <row r="2530" spans="1:1" x14ac:dyDescent="0.25">
      <c r="A2530" s="442"/>
    </row>
    <row r="2531" spans="1:1" x14ac:dyDescent="0.25">
      <c r="A2531" s="442"/>
    </row>
    <row r="2532" spans="1:1" x14ac:dyDescent="0.25">
      <c r="A2532" s="442"/>
    </row>
    <row r="2533" spans="1:1" x14ac:dyDescent="0.25">
      <c r="A2533" s="442"/>
    </row>
    <row r="2534" spans="1:1" x14ac:dyDescent="0.25">
      <c r="A2534" s="442"/>
    </row>
    <row r="2535" spans="1:1" x14ac:dyDescent="0.25">
      <c r="A2535" s="442"/>
    </row>
    <row r="2536" spans="1:1" x14ac:dyDescent="0.25">
      <c r="A2536" s="442"/>
    </row>
    <row r="2537" spans="1:1" x14ac:dyDescent="0.25">
      <c r="A2537" s="442"/>
    </row>
    <row r="2538" spans="1:1" x14ac:dyDescent="0.25">
      <c r="A2538" s="442"/>
    </row>
    <row r="2539" spans="1:1" x14ac:dyDescent="0.25">
      <c r="A2539" s="442"/>
    </row>
    <row r="2540" spans="1:1" x14ac:dyDescent="0.25">
      <c r="A2540" s="442"/>
    </row>
    <row r="2541" spans="1:1" x14ac:dyDescent="0.25">
      <c r="A2541" s="442"/>
    </row>
    <row r="2542" spans="1:1" x14ac:dyDescent="0.25">
      <c r="A2542" s="442"/>
    </row>
    <row r="2543" spans="1:1" x14ac:dyDescent="0.25">
      <c r="A2543" s="442"/>
    </row>
    <row r="2544" spans="1:1" x14ac:dyDescent="0.25">
      <c r="A2544" s="442"/>
    </row>
    <row r="2545" spans="1:1" x14ac:dyDescent="0.25">
      <c r="A2545" s="442"/>
    </row>
    <row r="2546" spans="1:1" x14ac:dyDescent="0.25">
      <c r="A2546" s="442"/>
    </row>
    <row r="2547" spans="1:1" x14ac:dyDescent="0.25">
      <c r="A2547" s="442"/>
    </row>
    <row r="2548" spans="1:1" x14ac:dyDescent="0.25">
      <c r="A2548" s="442"/>
    </row>
    <row r="2549" spans="1:1" x14ac:dyDescent="0.25">
      <c r="A2549" s="442"/>
    </row>
    <row r="2550" spans="1:1" x14ac:dyDescent="0.25">
      <c r="A2550" s="442"/>
    </row>
    <row r="2551" spans="1:1" x14ac:dyDescent="0.25">
      <c r="A2551" s="442"/>
    </row>
    <row r="2552" spans="1:1" x14ac:dyDescent="0.25">
      <c r="A2552" s="442"/>
    </row>
    <row r="2553" spans="1:1" x14ac:dyDescent="0.25">
      <c r="A2553" s="442"/>
    </row>
    <row r="2554" spans="1:1" x14ac:dyDescent="0.25">
      <c r="A2554" s="442"/>
    </row>
    <row r="2555" spans="1:1" x14ac:dyDescent="0.25">
      <c r="A2555" s="442"/>
    </row>
    <row r="2556" spans="1:1" x14ac:dyDescent="0.25">
      <c r="A2556" s="442"/>
    </row>
    <row r="2557" spans="1:1" x14ac:dyDescent="0.25">
      <c r="A2557" s="442"/>
    </row>
    <row r="2558" spans="1:1" x14ac:dyDescent="0.25">
      <c r="A2558" s="442"/>
    </row>
    <row r="2559" spans="1:1" x14ac:dyDescent="0.25">
      <c r="A2559" s="442"/>
    </row>
    <row r="2560" spans="1:1" x14ac:dyDescent="0.25">
      <c r="A2560" s="442"/>
    </row>
    <row r="2561" spans="1:1" x14ac:dyDescent="0.25">
      <c r="A2561" s="442"/>
    </row>
    <row r="2562" spans="1:1" x14ac:dyDescent="0.25">
      <c r="A2562" s="442"/>
    </row>
    <row r="2563" spans="1:1" x14ac:dyDescent="0.25">
      <c r="A2563" s="442"/>
    </row>
    <row r="2564" spans="1:1" x14ac:dyDescent="0.25">
      <c r="A2564" s="442"/>
    </row>
    <row r="2565" spans="1:1" x14ac:dyDescent="0.25">
      <c r="A2565" s="442"/>
    </row>
    <row r="2566" spans="1:1" x14ac:dyDescent="0.25">
      <c r="A2566" s="442"/>
    </row>
    <row r="2567" spans="1:1" x14ac:dyDescent="0.25">
      <c r="A2567" s="442"/>
    </row>
    <row r="2568" spans="1:1" x14ac:dyDescent="0.25">
      <c r="A2568" s="442"/>
    </row>
    <row r="2569" spans="1:1" x14ac:dyDescent="0.25">
      <c r="A2569" s="442"/>
    </row>
    <row r="2570" spans="1:1" x14ac:dyDescent="0.25">
      <c r="A2570" s="442"/>
    </row>
    <row r="2571" spans="1:1" x14ac:dyDescent="0.25">
      <c r="A2571" s="442"/>
    </row>
    <row r="2572" spans="1:1" x14ac:dyDescent="0.25">
      <c r="A2572" s="442"/>
    </row>
    <row r="2573" spans="1:1" x14ac:dyDescent="0.25">
      <c r="A2573" s="442"/>
    </row>
    <row r="2574" spans="1:1" x14ac:dyDescent="0.25">
      <c r="A2574" s="442"/>
    </row>
    <row r="2575" spans="1:1" x14ac:dyDescent="0.25">
      <c r="A2575" s="442"/>
    </row>
    <row r="2576" spans="1:1" x14ac:dyDescent="0.25">
      <c r="A2576" s="442"/>
    </row>
    <row r="2577" spans="1:1" x14ac:dyDescent="0.25">
      <c r="A2577" s="442"/>
    </row>
    <row r="2578" spans="1:1" x14ac:dyDescent="0.25">
      <c r="A2578" s="442"/>
    </row>
    <row r="2579" spans="1:1" x14ac:dyDescent="0.25">
      <c r="A2579" s="442"/>
    </row>
    <row r="2580" spans="1:1" x14ac:dyDescent="0.25">
      <c r="A2580" s="442"/>
    </row>
    <row r="2581" spans="1:1" x14ac:dyDescent="0.25">
      <c r="A2581" s="442"/>
    </row>
    <row r="2582" spans="1:1" x14ac:dyDescent="0.25">
      <c r="A2582" s="442"/>
    </row>
    <row r="2583" spans="1:1" x14ac:dyDescent="0.25">
      <c r="A2583" s="442"/>
    </row>
    <row r="2584" spans="1:1" x14ac:dyDescent="0.25">
      <c r="A2584" s="442"/>
    </row>
    <row r="2585" spans="1:1" x14ac:dyDescent="0.25">
      <c r="A2585" s="442"/>
    </row>
    <row r="2586" spans="1:1" x14ac:dyDescent="0.25">
      <c r="A2586" s="442"/>
    </row>
    <row r="2587" spans="1:1" x14ac:dyDescent="0.25">
      <c r="A2587" s="442"/>
    </row>
    <row r="2588" spans="1:1" x14ac:dyDescent="0.25">
      <c r="A2588" s="442"/>
    </row>
    <row r="2589" spans="1:1" x14ac:dyDescent="0.25">
      <c r="A2589" s="442"/>
    </row>
    <row r="2590" spans="1:1" x14ac:dyDescent="0.25">
      <c r="A2590" s="442"/>
    </row>
    <row r="2591" spans="1:1" x14ac:dyDescent="0.25">
      <c r="A2591" s="442"/>
    </row>
    <row r="2592" spans="1:1" x14ac:dyDescent="0.25">
      <c r="A2592" s="442"/>
    </row>
    <row r="2593" spans="1:1" x14ac:dyDescent="0.25">
      <c r="A2593" s="442"/>
    </row>
    <row r="2594" spans="1:1" x14ac:dyDescent="0.25">
      <c r="A2594" s="442"/>
    </row>
    <row r="2595" spans="1:1" x14ac:dyDescent="0.25">
      <c r="A2595" s="442"/>
    </row>
    <row r="2596" spans="1:1" x14ac:dyDescent="0.25">
      <c r="A2596" s="442"/>
    </row>
    <row r="2597" spans="1:1" x14ac:dyDescent="0.25">
      <c r="A2597" s="442"/>
    </row>
    <row r="2598" spans="1:1" x14ac:dyDescent="0.25">
      <c r="A2598" s="442"/>
    </row>
    <row r="2599" spans="1:1" x14ac:dyDescent="0.25">
      <c r="A2599" s="442"/>
    </row>
    <row r="2600" spans="1:1" x14ac:dyDescent="0.25">
      <c r="A2600" s="442"/>
    </row>
    <row r="2601" spans="1:1" x14ac:dyDescent="0.25">
      <c r="A2601" s="442"/>
    </row>
    <row r="2602" spans="1:1" x14ac:dyDescent="0.25">
      <c r="A2602" s="442"/>
    </row>
    <row r="2603" spans="1:1" x14ac:dyDescent="0.25">
      <c r="A2603" s="442"/>
    </row>
    <row r="2604" spans="1:1" x14ac:dyDescent="0.25">
      <c r="A2604" s="442"/>
    </row>
    <row r="2605" spans="1:1" x14ac:dyDescent="0.25">
      <c r="A2605" s="442"/>
    </row>
    <row r="2606" spans="1:1" x14ac:dyDescent="0.25">
      <c r="A2606" s="442"/>
    </row>
    <row r="2607" spans="1:1" x14ac:dyDescent="0.25">
      <c r="A2607" s="442"/>
    </row>
    <row r="2608" spans="1:1" x14ac:dyDescent="0.25">
      <c r="A2608" s="442"/>
    </row>
    <row r="2609" spans="1:1" x14ac:dyDescent="0.25">
      <c r="A2609" s="442"/>
    </row>
    <row r="2610" spans="1:1" x14ac:dyDescent="0.25">
      <c r="A2610" s="442"/>
    </row>
    <row r="2611" spans="1:1" x14ac:dyDescent="0.25">
      <c r="A2611" s="442"/>
    </row>
    <row r="2612" spans="1:1" x14ac:dyDescent="0.25">
      <c r="A2612" s="442"/>
    </row>
    <row r="2613" spans="1:1" x14ac:dyDescent="0.25">
      <c r="A2613" s="442"/>
    </row>
    <row r="2614" spans="1:1" x14ac:dyDescent="0.25">
      <c r="A2614" s="442"/>
    </row>
    <row r="2615" spans="1:1" x14ac:dyDescent="0.25">
      <c r="A2615" s="442"/>
    </row>
    <row r="2616" spans="1:1" x14ac:dyDescent="0.25">
      <c r="A2616" s="442"/>
    </row>
    <row r="2617" spans="1:1" x14ac:dyDescent="0.25">
      <c r="A2617" s="442"/>
    </row>
    <row r="2618" spans="1:1" x14ac:dyDescent="0.25">
      <c r="A2618" s="442"/>
    </row>
    <row r="2619" spans="1:1" x14ac:dyDescent="0.25">
      <c r="A2619" s="442"/>
    </row>
    <row r="2620" spans="1:1" x14ac:dyDescent="0.25">
      <c r="A2620" s="442"/>
    </row>
    <row r="2621" spans="1:1" x14ac:dyDescent="0.25">
      <c r="A2621" s="442"/>
    </row>
    <row r="2622" spans="1:1" x14ac:dyDescent="0.25">
      <c r="A2622" s="442"/>
    </row>
    <row r="2623" spans="1:1" x14ac:dyDescent="0.25">
      <c r="A2623" s="442"/>
    </row>
    <row r="2624" spans="1:1" x14ac:dyDescent="0.25">
      <c r="A2624" s="442"/>
    </row>
    <row r="2625" spans="1:1" x14ac:dyDescent="0.25">
      <c r="A2625" s="442"/>
    </row>
    <row r="2626" spans="1:1" x14ac:dyDescent="0.25">
      <c r="A2626" s="442"/>
    </row>
    <row r="2627" spans="1:1" x14ac:dyDescent="0.25">
      <c r="A2627" s="442"/>
    </row>
    <row r="2628" spans="1:1" x14ac:dyDescent="0.25">
      <c r="A2628" s="442"/>
    </row>
    <row r="2629" spans="1:1" x14ac:dyDescent="0.25">
      <c r="A2629" s="442"/>
    </row>
    <row r="2630" spans="1:1" x14ac:dyDescent="0.25">
      <c r="A2630" s="442"/>
    </row>
    <row r="2631" spans="1:1" x14ac:dyDescent="0.25">
      <c r="A2631" s="442"/>
    </row>
    <row r="2632" spans="1:1" x14ac:dyDescent="0.25">
      <c r="A2632" s="442"/>
    </row>
    <row r="2633" spans="1:1" x14ac:dyDescent="0.25">
      <c r="A2633" s="442"/>
    </row>
    <row r="2634" spans="1:1" x14ac:dyDescent="0.25">
      <c r="A2634" s="442"/>
    </row>
    <row r="2635" spans="1:1" x14ac:dyDescent="0.25">
      <c r="A2635" s="442"/>
    </row>
    <row r="2636" spans="1:1" x14ac:dyDescent="0.25">
      <c r="A2636" s="442"/>
    </row>
    <row r="2637" spans="1:1" x14ac:dyDescent="0.25">
      <c r="A2637" s="442"/>
    </row>
    <row r="2638" spans="1:1" x14ac:dyDescent="0.25">
      <c r="A2638" s="442"/>
    </row>
    <row r="2639" spans="1:1" x14ac:dyDescent="0.25">
      <c r="A2639" s="442"/>
    </row>
    <row r="2640" spans="1:1" x14ac:dyDescent="0.25">
      <c r="A2640" s="442"/>
    </row>
    <row r="2641" spans="1:1" x14ac:dyDescent="0.25">
      <c r="A2641" s="442"/>
    </row>
    <row r="2642" spans="1:1" x14ac:dyDescent="0.25">
      <c r="A2642" s="442"/>
    </row>
    <row r="2643" spans="1:1" x14ac:dyDescent="0.25">
      <c r="A2643" s="442"/>
    </row>
    <row r="2644" spans="1:1" x14ac:dyDescent="0.25">
      <c r="A2644" s="442"/>
    </row>
    <row r="2645" spans="1:1" x14ac:dyDescent="0.25">
      <c r="A2645" s="442"/>
    </row>
    <row r="2646" spans="1:1" x14ac:dyDescent="0.25">
      <c r="A2646" s="442"/>
    </row>
    <row r="2647" spans="1:1" x14ac:dyDescent="0.25">
      <c r="A2647" s="442"/>
    </row>
    <row r="2648" spans="1:1" x14ac:dyDescent="0.25">
      <c r="A2648" s="442"/>
    </row>
    <row r="2649" spans="1:1" x14ac:dyDescent="0.25">
      <c r="A2649" s="442"/>
    </row>
    <row r="2650" spans="1:1" x14ac:dyDescent="0.25">
      <c r="A2650" s="442"/>
    </row>
    <row r="2651" spans="1:1" x14ac:dyDescent="0.25">
      <c r="A2651" s="442"/>
    </row>
    <row r="2652" spans="1:1" x14ac:dyDescent="0.25">
      <c r="A2652" s="442"/>
    </row>
    <row r="2653" spans="1:1" x14ac:dyDescent="0.25">
      <c r="A2653" s="442"/>
    </row>
    <row r="2654" spans="1:1" x14ac:dyDescent="0.25">
      <c r="A2654" s="442"/>
    </row>
    <row r="2655" spans="1:1" x14ac:dyDescent="0.25">
      <c r="A2655" s="442"/>
    </row>
    <row r="2656" spans="1:1" x14ac:dyDescent="0.25">
      <c r="A2656" s="442"/>
    </row>
    <row r="2657" spans="1:1" x14ac:dyDescent="0.25">
      <c r="A2657" s="442"/>
    </row>
    <row r="2658" spans="1:1" x14ac:dyDescent="0.25">
      <c r="A2658" s="442"/>
    </row>
    <row r="2659" spans="1:1" x14ac:dyDescent="0.25">
      <c r="A2659" s="442"/>
    </row>
    <row r="2660" spans="1:1" x14ac:dyDescent="0.25">
      <c r="A2660" s="442"/>
    </row>
    <row r="2661" spans="1:1" x14ac:dyDescent="0.25">
      <c r="A2661" s="442"/>
    </row>
    <row r="2662" spans="1:1" x14ac:dyDescent="0.25">
      <c r="A2662" s="442"/>
    </row>
    <row r="2663" spans="1:1" x14ac:dyDescent="0.25">
      <c r="A2663" s="442"/>
    </row>
    <row r="2664" spans="1:1" x14ac:dyDescent="0.25">
      <c r="A2664" s="442"/>
    </row>
    <row r="2665" spans="1:1" x14ac:dyDescent="0.25">
      <c r="A2665" s="442"/>
    </row>
    <row r="2666" spans="1:1" x14ac:dyDescent="0.25">
      <c r="A2666" s="442"/>
    </row>
    <row r="2667" spans="1:1" x14ac:dyDescent="0.25">
      <c r="A2667" s="442"/>
    </row>
    <row r="2668" spans="1:1" x14ac:dyDescent="0.25">
      <c r="A2668" s="442"/>
    </row>
    <row r="2669" spans="1:1" x14ac:dyDescent="0.25">
      <c r="A2669" s="442"/>
    </row>
    <row r="2670" spans="1:1" x14ac:dyDescent="0.25">
      <c r="A2670" s="442"/>
    </row>
    <row r="2671" spans="1:1" x14ac:dyDescent="0.25">
      <c r="A2671" s="442"/>
    </row>
    <row r="2672" spans="1:1" x14ac:dyDescent="0.25">
      <c r="A2672" s="442"/>
    </row>
    <row r="2673" spans="1:1" x14ac:dyDescent="0.25">
      <c r="A2673" s="442"/>
    </row>
    <row r="2674" spans="1:1" x14ac:dyDescent="0.25">
      <c r="A2674" s="442"/>
    </row>
    <row r="2675" spans="1:1" x14ac:dyDescent="0.25">
      <c r="A2675" s="442"/>
    </row>
    <row r="2676" spans="1:1" x14ac:dyDescent="0.25">
      <c r="A2676" s="442"/>
    </row>
    <row r="2677" spans="1:1" x14ac:dyDescent="0.25">
      <c r="A2677" s="442"/>
    </row>
    <row r="2678" spans="1:1" x14ac:dyDescent="0.25">
      <c r="A2678" s="442"/>
    </row>
    <row r="2679" spans="1:1" x14ac:dyDescent="0.25">
      <c r="A2679" s="442"/>
    </row>
    <row r="2680" spans="1:1" x14ac:dyDescent="0.25">
      <c r="A2680" s="442"/>
    </row>
    <row r="2681" spans="1:1" x14ac:dyDescent="0.25">
      <c r="A2681" s="442"/>
    </row>
    <row r="2682" spans="1:1" x14ac:dyDescent="0.25">
      <c r="A2682" s="442"/>
    </row>
    <row r="2683" spans="1:1" x14ac:dyDescent="0.25">
      <c r="A2683" s="442"/>
    </row>
    <row r="2684" spans="1:1" x14ac:dyDescent="0.25">
      <c r="A2684" s="442"/>
    </row>
    <row r="2685" spans="1:1" x14ac:dyDescent="0.25">
      <c r="A2685" s="442"/>
    </row>
    <row r="2686" spans="1:1" x14ac:dyDescent="0.25">
      <c r="A2686" s="442"/>
    </row>
    <row r="2687" spans="1:1" x14ac:dyDescent="0.25">
      <c r="A2687" s="442"/>
    </row>
    <row r="2688" spans="1:1" x14ac:dyDescent="0.25">
      <c r="A2688" s="442"/>
    </row>
    <row r="2689" spans="1:1" x14ac:dyDescent="0.25">
      <c r="A2689" s="442"/>
    </row>
    <row r="2690" spans="1:1" x14ac:dyDescent="0.25">
      <c r="A2690" s="442"/>
    </row>
    <row r="2691" spans="1:1" x14ac:dyDescent="0.25">
      <c r="A2691" s="442"/>
    </row>
    <row r="2692" spans="1:1" x14ac:dyDescent="0.25">
      <c r="A2692" s="442"/>
    </row>
    <row r="2693" spans="1:1" x14ac:dyDescent="0.25">
      <c r="A2693" s="442"/>
    </row>
    <row r="2694" spans="1:1" x14ac:dyDescent="0.25">
      <c r="A2694" s="442"/>
    </row>
    <row r="2695" spans="1:1" x14ac:dyDescent="0.25">
      <c r="A2695" s="442"/>
    </row>
    <row r="2696" spans="1:1" x14ac:dyDescent="0.25">
      <c r="A2696" s="442"/>
    </row>
    <row r="2697" spans="1:1" x14ac:dyDescent="0.25">
      <c r="A2697" s="442"/>
    </row>
    <row r="2698" spans="1:1" x14ac:dyDescent="0.25">
      <c r="A2698" s="442"/>
    </row>
    <row r="2699" spans="1:1" x14ac:dyDescent="0.25">
      <c r="A2699" s="442"/>
    </row>
    <row r="2700" spans="1:1" x14ac:dyDescent="0.25">
      <c r="A2700" s="442"/>
    </row>
    <row r="2701" spans="1:1" x14ac:dyDescent="0.25">
      <c r="A2701" s="442"/>
    </row>
    <row r="2702" spans="1:1" x14ac:dyDescent="0.25">
      <c r="A2702" s="442"/>
    </row>
    <row r="2703" spans="1:1" x14ac:dyDescent="0.25">
      <c r="A2703" s="442"/>
    </row>
    <row r="2704" spans="1:1" x14ac:dyDescent="0.25">
      <c r="A2704" s="442"/>
    </row>
    <row r="2705" spans="1:1" x14ac:dyDescent="0.25">
      <c r="A2705" s="442"/>
    </row>
    <row r="2706" spans="1:1" x14ac:dyDescent="0.25">
      <c r="A2706" s="442"/>
    </row>
    <row r="2707" spans="1:1" x14ac:dyDescent="0.25">
      <c r="A2707" s="442"/>
    </row>
    <row r="2708" spans="1:1" x14ac:dyDescent="0.25">
      <c r="A2708" s="442"/>
    </row>
    <row r="2709" spans="1:1" x14ac:dyDescent="0.25">
      <c r="A2709" s="442"/>
    </row>
    <row r="2710" spans="1:1" x14ac:dyDescent="0.25">
      <c r="A2710" s="442"/>
    </row>
    <row r="2711" spans="1:1" x14ac:dyDescent="0.25">
      <c r="A2711" s="442"/>
    </row>
    <row r="2712" spans="1:1" x14ac:dyDescent="0.25">
      <c r="A2712" s="442"/>
    </row>
    <row r="2713" spans="1:1" x14ac:dyDescent="0.25">
      <c r="A2713" s="442"/>
    </row>
    <row r="2714" spans="1:1" x14ac:dyDescent="0.25">
      <c r="A2714" s="442"/>
    </row>
    <row r="2715" spans="1:1" x14ac:dyDescent="0.25">
      <c r="A2715" s="442"/>
    </row>
    <row r="2716" spans="1:1" x14ac:dyDescent="0.25">
      <c r="A2716" s="442"/>
    </row>
    <row r="2717" spans="1:1" x14ac:dyDescent="0.25">
      <c r="A2717" s="442"/>
    </row>
    <row r="2718" spans="1:1" x14ac:dyDescent="0.25">
      <c r="A2718" s="442"/>
    </row>
    <row r="2719" spans="1:1" x14ac:dyDescent="0.25">
      <c r="A2719" s="442"/>
    </row>
    <row r="2720" spans="1:1" x14ac:dyDescent="0.25">
      <c r="A2720" s="442"/>
    </row>
    <row r="2721" spans="1:1" x14ac:dyDescent="0.25">
      <c r="A2721" s="442"/>
    </row>
    <row r="2722" spans="1:1" x14ac:dyDescent="0.25">
      <c r="A2722" s="442"/>
    </row>
    <row r="2723" spans="1:1" x14ac:dyDescent="0.25">
      <c r="A2723" s="442"/>
    </row>
    <row r="2724" spans="1:1" x14ac:dyDescent="0.25">
      <c r="A2724" s="442"/>
    </row>
    <row r="2725" spans="1:1" x14ac:dyDescent="0.25">
      <c r="A2725" s="442"/>
    </row>
    <row r="2726" spans="1:1" x14ac:dyDescent="0.25">
      <c r="A2726" s="442"/>
    </row>
    <row r="2727" spans="1:1" x14ac:dyDescent="0.25">
      <c r="A2727" s="442"/>
    </row>
    <row r="2728" spans="1:1" x14ac:dyDescent="0.25">
      <c r="A2728" s="442"/>
    </row>
    <row r="2729" spans="1:1" x14ac:dyDescent="0.25">
      <c r="A2729" s="442"/>
    </row>
    <row r="2730" spans="1:1" x14ac:dyDescent="0.25">
      <c r="A2730" s="442"/>
    </row>
    <row r="2731" spans="1:1" x14ac:dyDescent="0.25">
      <c r="A2731" s="442"/>
    </row>
    <row r="2732" spans="1:1" x14ac:dyDescent="0.25">
      <c r="A2732" s="442"/>
    </row>
    <row r="2733" spans="1:1" x14ac:dyDescent="0.25">
      <c r="A2733" s="442"/>
    </row>
    <row r="2734" spans="1:1" x14ac:dyDescent="0.25">
      <c r="A2734" s="442"/>
    </row>
    <row r="2735" spans="1:1" x14ac:dyDescent="0.25">
      <c r="A2735" s="442"/>
    </row>
    <row r="2736" spans="1:1" x14ac:dyDescent="0.25">
      <c r="A2736" s="442"/>
    </row>
    <row r="2737" spans="1:1" x14ac:dyDescent="0.25">
      <c r="A2737" s="442"/>
    </row>
    <row r="2738" spans="1:1" x14ac:dyDescent="0.25">
      <c r="A2738" s="442"/>
    </row>
    <row r="2739" spans="1:1" x14ac:dyDescent="0.25">
      <c r="A2739" s="442"/>
    </row>
    <row r="2740" spans="1:1" x14ac:dyDescent="0.25">
      <c r="A2740" s="442"/>
    </row>
    <row r="2741" spans="1:1" x14ac:dyDescent="0.25">
      <c r="A2741" s="442"/>
    </row>
    <row r="2742" spans="1:1" x14ac:dyDescent="0.25">
      <c r="A2742" s="442"/>
    </row>
    <row r="2743" spans="1:1" x14ac:dyDescent="0.25">
      <c r="A2743" s="442"/>
    </row>
    <row r="2744" spans="1:1" x14ac:dyDescent="0.25">
      <c r="A2744" s="442"/>
    </row>
    <row r="2745" spans="1:1" x14ac:dyDescent="0.25">
      <c r="A2745" s="442"/>
    </row>
    <row r="2746" spans="1:1" x14ac:dyDescent="0.25">
      <c r="A2746" s="442"/>
    </row>
    <row r="2747" spans="1:1" x14ac:dyDescent="0.25">
      <c r="A2747" s="442"/>
    </row>
    <row r="2748" spans="1:1" x14ac:dyDescent="0.25">
      <c r="A2748" s="442"/>
    </row>
    <row r="2749" spans="1:1" x14ac:dyDescent="0.25">
      <c r="A2749" s="442"/>
    </row>
    <row r="2750" spans="1:1" x14ac:dyDescent="0.25">
      <c r="A2750" s="442"/>
    </row>
    <row r="2751" spans="1:1" x14ac:dyDescent="0.25">
      <c r="A2751" s="442"/>
    </row>
    <row r="2752" spans="1:1" x14ac:dyDescent="0.25">
      <c r="A2752" s="442"/>
    </row>
    <row r="2753" spans="1:1" x14ac:dyDescent="0.25">
      <c r="A2753" s="442"/>
    </row>
    <row r="2754" spans="1:1" x14ac:dyDescent="0.25">
      <c r="A2754" s="442"/>
    </row>
    <row r="2755" spans="1:1" x14ac:dyDescent="0.25">
      <c r="A2755" s="442"/>
    </row>
    <row r="2756" spans="1:1" x14ac:dyDescent="0.25">
      <c r="A2756" s="442"/>
    </row>
    <row r="2757" spans="1:1" x14ac:dyDescent="0.25">
      <c r="A2757" s="442"/>
    </row>
    <row r="2758" spans="1:1" x14ac:dyDescent="0.25">
      <c r="A2758" s="442"/>
    </row>
    <row r="2759" spans="1:1" x14ac:dyDescent="0.25">
      <c r="A2759" s="442"/>
    </row>
    <row r="2760" spans="1:1" x14ac:dyDescent="0.25">
      <c r="A2760" s="442"/>
    </row>
    <row r="2761" spans="1:1" x14ac:dyDescent="0.25">
      <c r="A2761" s="442"/>
    </row>
    <row r="2762" spans="1:1" x14ac:dyDescent="0.25">
      <c r="A2762" s="442"/>
    </row>
    <row r="2763" spans="1:1" x14ac:dyDescent="0.25">
      <c r="A2763" s="442"/>
    </row>
    <row r="2764" spans="1:1" x14ac:dyDescent="0.25">
      <c r="A2764" s="442"/>
    </row>
    <row r="2765" spans="1:1" x14ac:dyDescent="0.25">
      <c r="A2765" s="442"/>
    </row>
    <row r="2766" spans="1:1" x14ac:dyDescent="0.25">
      <c r="A2766" s="442"/>
    </row>
    <row r="2767" spans="1:1" x14ac:dyDescent="0.25">
      <c r="A2767" s="442"/>
    </row>
    <row r="2768" spans="1:1" x14ac:dyDescent="0.25">
      <c r="A2768" s="442"/>
    </row>
    <row r="2769" spans="1:1" x14ac:dyDescent="0.25">
      <c r="A2769" s="442"/>
    </row>
    <row r="2770" spans="1:1" x14ac:dyDescent="0.25">
      <c r="A2770" s="442"/>
    </row>
    <row r="2771" spans="1:1" x14ac:dyDescent="0.25">
      <c r="A2771" s="442"/>
    </row>
    <row r="2772" spans="1:1" x14ac:dyDescent="0.25">
      <c r="A2772" s="442"/>
    </row>
    <row r="2773" spans="1:1" x14ac:dyDescent="0.25">
      <c r="A2773" s="442"/>
    </row>
    <row r="2774" spans="1:1" x14ac:dyDescent="0.25">
      <c r="A2774" s="442"/>
    </row>
    <row r="2775" spans="1:1" x14ac:dyDescent="0.25">
      <c r="A2775" s="442"/>
    </row>
    <row r="2776" spans="1:1" x14ac:dyDescent="0.25">
      <c r="A2776" s="442"/>
    </row>
    <row r="2777" spans="1:1" x14ac:dyDescent="0.25">
      <c r="A2777" s="442"/>
    </row>
    <row r="2778" spans="1:1" x14ac:dyDescent="0.25">
      <c r="A2778" s="442"/>
    </row>
    <row r="2779" spans="1:1" x14ac:dyDescent="0.25">
      <c r="A2779" s="442"/>
    </row>
    <row r="2780" spans="1:1" x14ac:dyDescent="0.25">
      <c r="A2780" s="442"/>
    </row>
    <row r="2781" spans="1:1" x14ac:dyDescent="0.25">
      <c r="A2781" s="442"/>
    </row>
    <row r="2782" spans="1:1" x14ac:dyDescent="0.25">
      <c r="A2782" s="442"/>
    </row>
    <row r="2783" spans="1:1" x14ac:dyDescent="0.25">
      <c r="A2783" s="442"/>
    </row>
    <row r="2784" spans="1:1" x14ac:dyDescent="0.25">
      <c r="A2784" s="442"/>
    </row>
    <row r="2785" spans="1:1" x14ac:dyDescent="0.25">
      <c r="A2785" s="442"/>
    </row>
    <row r="2786" spans="1:1" x14ac:dyDescent="0.25">
      <c r="A2786" s="442"/>
    </row>
    <row r="2787" spans="1:1" x14ac:dyDescent="0.25">
      <c r="A2787" s="442"/>
    </row>
    <row r="2788" spans="1:1" x14ac:dyDescent="0.25">
      <c r="A2788" s="442"/>
    </row>
    <row r="2789" spans="1:1" x14ac:dyDescent="0.25">
      <c r="A2789" s="442"/>
    </row>
    <row r="2790" spans="1:1" x14ac:dyDescent="0.25">
      <c r="A2790" s="442"/>
    </row>
    <row r="2791" spans="1:1" x14ac:dyDescent="0.25">
      <c r="A2791" s="442"/>
    </row>
    <row r="2792" spans="1:1" x14ac:dyDescent="0.25">
      <c r="A2792" s="442"/>
    </row>
    <row r="2793" spans="1:1" x14ac:dyDescent="0.25">
      <c r="A2793" s="442"/>
    </row>
    <row r="2794" spans="1:1" x14ac:dyDescent="0.25">
      <c r="A2794" s="442"/>
    </row>
    <row r="2795" spans="1:1" x14ac:dyDescent="0.25">
      <c r="A2795" s="442"/>
    </row>
    <row r="2796" spans="1:1" x14ac:dyDescent="0.25">
      <c r="A2796" s="442"/>
    </row>
    <row r="2797" spans="1:1" x14ac:dyDescent="0.25">
      <c r="A2797" s="442"/>
    </row>
    <row r="2798" spans="1:1" x14ac:dyDescent="0.25">
      <c r="A2798" s="442"/>
    </row>
    <row r="2799" spans="1:1" x14ac:dyDescent="0.25">
      <c r="A2799" s="442"/>
    </row>
    <row r="2800" spans="1:1" x14ac:dyDescent="0.25">
      <c r="A2800" s="442"/>
    </row>
    <row r="2801" spans="1:1" x14ac:dyDescent="0.25">
      <c r="A2801" s="442"/>
    </row>
    <row r="2802" spans="1:1" x14ac:dyDescent="0.25">
      <c r="A2802" s="442"/>
    </row>
    <row r="2803" spans="1:1" x14ac:dyDescent="0.25">
      <c r="A2803" s="442"/>
    </row>
    <row r="2804" spans="1:1" x14ac:dyDescent="0.25">
      <c r="A2804" s="442"/>
    </row>
    <row r="2805" spans="1:1" x14ac:dyDescent="0.25">
      <c r="A2805" s="442"/>
    </row>
    <row r="2806" spans="1:1" x14ac:dyDescent="0.25">
      <c r="A2806" s="442"/>
    </row>
    <row r="2807" spans="1:1" x14ac:dyDescent="0.25">
      <c r="A2807" s="442"/>
    </row>
    <row r="2808" spans="1:1" x14ac:dyDescent="0.25">
      <c r="A2808" s="442"/>
    </row>
    <row r="2809" spans="1:1" x14ac:dyDescent="0.25">
      <c r="A2809" s="442"/>
    </row>
    <row r="2810" spans="1:1" x14ac:dyDescent="0.25">
      <c r="A2810" s="442"/>
    </row>
    <row r="2811" spans="1:1" x14ac:dyDescent="0.25">
      <c r="A2811" s="442"/>
    </row>
    <row r="2812" spans="1:1" x14ac:dyDescent="0.25">
      <c r="A2812" s="442"/>
    </row>
    <row r="2813" spans="1:1" x14ac:dyDescent="0.25">
      <c r="A2813" s="442"/>
    </row>
    <row r="2814" spans="1:1" x14ac:dyDescent="0.25">
      <c r="A2814" s="442"/>
    </row>
    <row r="2815" spans="1:1" x14ac:dyDescent="0.25">
      <c r="A2815" s="442"/>
    </row>
    <row r="2816" spans="1:1" x14ac:dyDescent="0.25">
      <c r="A2816" s="442"/>
    </row>
    <row r="2817" spans="1:1" x14ac:dyDescent="0.25">
      <c r="A2817" s="442"/>
    </row>
    <row r="2818" spans="1:1" x14ac:dyDescent="0.25">
      <c r="A2818" s="442"/>
    </row>
    <row r="2819" spans="1:1" x14ac:dyDescent="0.25">
      <c r="A2819" s="442"/>
    </row>
    <row r="2820" spans="1:1" x14ac:dyDescent="0.25">
      <c r="A2820" s="442"/>
    </row>
    <row r="2821" spans="1:1" x14ac:dyDescent="0.25">
      <c r="A2821" s="442"/>
    </row>
    <row r="2822" spans="1:1" x14ac:dyDescent="0.25">
      <c r="A2822" s="442"/>
    </row>
    <row r="2823" spans="1:1" x14ac:dyDescent="0.25">
      <c r="A2823" s="442"/>
    </row>
    <row r="2824" spans="1:1" x14ac:dyDescent="0.25">
      <c r="A2824" s="442"/>
    </row>
    <row r="2825" spans="1:1" x14ac:dyDescent="0.25">
      <c r="A2825" s="442"/>
    </row>
    <row r="2826" spans="1:1" x14ac:dyDescent="0.25">
      <c r="A2826" s="442"/>
    </row>
    <row r="2827" spans="1:1" x14ac:dyDescent="0.25">
      <c r="A2827" s="442"/>
    </row>
    <row r="2828" spans="1:1" x14ac:dyDescent="0.25">
      <c r="A2828" s="442"/>
    </row>
    <row r="2829" spans="1:1" x14ac:dyDescent="0.25">
      <c r="A2829" s="442"/>
    </row>
    <row r="2830" spans="1:1" x14ac:dyDescent="0.25">
      <c r="A2830" s="442"/>
    </row>
    <row r="2831" spans="1:1" x14ac:dyDescent="0.25">
      <c r="A2831" s="442"/>
    </row>
    <row r="2832" spans="1:1" x14ac:dyDescent="0.25">
      <c r="A2832" s="442"/>
    </row>
    <row r="2833" spans="1:1" x14ac:dyDescent="0.25">
      <c r="A2833" s="442"/>
    </row>
    <row r="2834" spans="1:1" x14ac:dyDescent="0.25">
      <c r="A2834" s="442"/>
    </row>
    <row r="2835" spans="1:1" x14ac:dyDescent="0.25">
      <c r="A2835" s="442"/>
    </row>
    <row r="2836" spans="1:1" x14ac:dyDescent="0.25">
      <c r="A2836" s="442"/>
    </row>
    <row r="2837" spans="1:1" x14ac:dyDescent="0.25">
      <c r="A2837" s="442"/>
    </row>
    <row r="2838" spans="1:1" x14ac:dyDescent="0.25">
      <c r="A2838" s="442"/>
    </row>
    <row r="2839" spans="1:1" x14ac:dyDescent="0.25">
      <c r="A2839" s="442"/>
    </row>
    <row r="2840" spans="1:1" x14ac:dyDescent="0.25">
      <c r="A2840" s="442"/>
    </row>
    <row r="2841" spans="1:1" x14ac:dyDescent="0.25">
      <c r="A2841" s="442"/>
    </row>
    <row r="2842" spans="1:1" x14ac:dyDescent="0.25">
      <c r="A2842" s="442"/>
    </row>
    <row r="2843" spans="1:1" x14ac:dyDescent="0.25">
      <c r="A2843" s="442"/>
    </row>
    <row r="2844" spans="1:1" x14ac:dyDescent="0.25">
      <c r="A2844" s="442"/>
    </row>
    <row r="2845" spans="1:1" x14ac:dyDescent="0.25">
      <c r="A2845" s="442"/>
    </row>
    <row r="2846" spans="1:1" x14ac:dyDescent="0.25">
      <c r="A2846" s="442"/>
    </row>
    <row r="2847" spans="1:1" x14ac:dyDescent="0.25">
      <c r="A2847" s="442"/>
    </row>
    <row r="2848" spans="1:1" x14ac:dyDescent="0.25">
      <c r="A2848" s="442"/>
    </row>
    <row r="2849" spans="1:1" x14ac:dyDescent="0.25">
      <c r="A2849" s="442"/>
    </row>
    <row r="2850" spans="1:1" x14ac:dyDescent="0.25">
      <c r="A2850" s="442"/>
    </row>
    <row r="2851" spans="1:1" x14ac:dyDescent="0.25">
      <c r="A2851" s="442"/>
    </row>
    <row r="2852" spans="1:1" x14ac:dyDescent="0.25">
      <c r="A2852" s="442"/>
    </row>
    <row r="2853" spans="1:1" x14ac:dyDescent="0.25">
      <c r="A2853" s="442"/>
    </row>
    <row r="2854" spans="1:1" x14ac:dyDescent="0.25">
      <c r="A2854" s="442"/>
    </row>
    <row r="2855" spans="1:1" x14ac:dyDescent="0.25">
      <c r="A2855" s="442"/>
    </row>
    <row r="2856" spans="1:1" x14ac:dyDescent="0.25">
      <c r="A2856" s="442"/>
    </row>
    <row r="2857" spans="1:1" x14ac:dyDescent="0.25">
      <c r="A2857" s="442"/>
    </row>
    <row r="2858" spans="1:1" x14ac:dyDescent="0.25">
      <c r="A2858" s="442"/>
    </row>
    <row r="2859" spans="1:1" x14ac:dyDescent="0.25">
      <c r="A2859" s="442"/>
    </row>
    <row r="2860" spans="1:1" x14ac:dyDescent="0.25">
      <c r="A2860" s="442"/>
    </row>
    <row r="2861" spans="1:1" x14ac:dyDescent="0.25">
      <c r="A2861" s="442"/>
    </row>
    <row r="2862" spans="1:1" x14ac:dyDescent="0.25">
      <c r="A2862" s="442"/>
    </row>
  </sheetData>
  <mergeCells count="2000">
    <mergeCell ref="D172:D194"/>
    <mergeCell ref="E172:E194"/>
    <mergeCell ref="D195:D217"/>
    <mergeCell ref="E195:E217"/>
    <mergeCell ref="D218:D240"/>
    <mergeCell ref="E218:E240"/>
    <mergeCell ref="D242:D264"/>
    <mergeCell ref="E242:E264"/>
    <mergeCell ref="F172:H172"/>
    <mergeCell ref="F173:H173"/>
    <mergeCell ref="F174:H174"/>
    <mergeCell ref="F195:H195"/>
    <mergeCell ref="F196:H196"/>
    <mergeCell ref="F197:H197"/>
    <mergeCell ref="F114:H114"/>
    <mergeCell ref="F108:H108"/>
    <mergeCell ref="F109:H109"/>
    <mergeCell ref="F110:H110"/>
    <mergeCell ref="F192:H192"/>
    <mergeCell ref="F193:H193"/>
    <mergeCell ref="F216:H216"/>
    <mergeCell ref="F217:H217"/>
    <mergeCell ref="F215:H215"/>
    <mergeCell ref="F203:H203"/>
    <mergeCell ref="F194:H194"/>
    <mergeCell ref="F208:H208"/>
    <mergeCell ref="F218:H218"/>
    <mergeCell ref="F219:H219"/>
    <mergeCell ref="F220:H220"/>
    <mergeCell ref="F222:H222"/>
    <mergeCell ref="F223:H223"/>
    <mergeCell ref="F224:H224"/>
    <mergeCell ref="V1179:V1268"/>
    <mergeCell ref="F1019:I1019"/>
    <mergeCell ref="F1021:I1021"/>
    <mergeCell ref="F1023:I1023"/>
    <mergeCell ref="F1029:I1029"/>
    <mergeCell ref="F1037:I1037"/>
    <mergeCell ref="F1109:I1109"/>
    <mergeCell ref="F1111:I1111"/>
    <mergeCell ref="F1113:I1113"/>
    <mergeCell ref="F1119:I1119"/>
    <mergeCell ref="F1127:I1127"/>
    <mergeCell ref="F1199:I1199"/>
    <mergeCell ref="F1201:I1201"/>
    <mergeCell ref="F1203:I1203"/>
    <mergeCell ref="F1209:I1209"/>
    <mergeCell ref="F1217:I1217"/>
    <mergeCell ref="F1264:I1264"/>
    <mergeCell ref="F1265:I1265"/>
    <mergeCell ref="F1266:I1266"/>
    <mergeCell ref="F1268:I1268"/>
    <mergeCell ref="F1250:I1250"/>
    <mergeCell ref="F1245:I1245"/>
    <mergeCell ref="F1246:I1246"/>
    <mergeCell ref="F1237:I1237"/>
    <mergeCell ref="F1238:I1238"/>
    <mergeCell ref="F1239:I1239"/>
    <mergeCell ref="F1240:I1240"/>
    <mergeCell ref="F1261:I1261"/>
    <mergeCell ref="F1211:I1211"/>
    <mergeCell ref="F1212:I1212"/>
    <mergeCell ref="F1213:I1213"/>
    <mergeCell ref="F1214:I1214"/>
    <mergeCell ref="F2065:I2065"/>
    <mergeCell ref="F2066:I2066"/>
    <mergeCell ref="F2067:I2067"/>
    <mergeCell ref="F2035:I2035"/>
    <mergeCell ref="F2036:I2036"/>
    <mergeCell ref="F2037:I2037"/>
    <mergeCell ref="F2038:I2038"/>
    <mergeCell ref="F2039:I2039"/>
    <mergeCell ref="F2045:I2045"/>
    <mergeCell ref="F2046:I2046"/>
    <mergeCell ref="F2047:I2047"/>
    <mergeCell ref="M999:M1015"/>
    <mergeCell ref="M1359:M1412"/>
    <mergeCell ref="M1720:M1899"/>
    <mergeCell ref="F1285:I1285"/>
    <mergeCell ref="F1269:I1269"/>
    <mergeCell ref="F1270:I1270"/>
    <mergeCell ref="F1894:I1894"/>
    <mergeCell ref="F1895:I1895"/>
    <mergeCell ref="F1896:I1896"/>
    <mergeCell ref="F1897:I1897"/>
    <mergeCell ref="F1898:I1898"/>
    <mergeCell ref="F1890:I1890"/>
    <mergeCell ref="F1891:I1891"/>
    <mergeCell ref="F1892:I1892"/>
    <mergeCell ref="F1893:I1893"/>
    <mergeCell ref="F1886:I1886"/>
    <mergeCell ref="F1887:I1887"/>
    <mergeCell ref="F1888:I1888"/>
    <mergeCell ref="F1889:I1889"/>
    <mergeCell ref="F1262:I1262"/>
    <mergeCell ref="F1263:I1263"/>
    <mergeCell ref="F2052:I2052"/>
    <mergeCell ref="F2053:I2053"/>
    <mergeCell ref="F2034:I2034"/>
    <mergeCell ref="F1287:I1287"/>
    <mergeCell ref="F2028:I2028"/>
    <mergeCell ref="F2029:I2029"/>
    <mergeCell ref="F2030:I2030"/>
    <mergeCell ref="F2031:I2031"/>
    <mergeCell ref="F2032:I2032"/>
    <mergeCell ref="F2033:I2033"/>
    <mergeCell ref="F2024:I2024"/>
    <mergeCell ref="F2043:I2043"/>
    <mergeCell ref="F2044:I2044"/>
    <mergeCell ref="F2025:I2025"/>
    <mergeCell ref="F2026:I2026"/>
    <mergeCell ref="F2027:I2027"/>
    <mergeCell ref="F2023:I2023"/>
    <mergeCell ref="F2008:I2008"/>
    <mergeCell ref="F2003:I2003"/>
    <mergeCell ref="F2004:I2004"/>
    <mergeCell ref="F2005:I2005"/>
    <mergeCell ref="F2006:I2006"/>
    <mergeCell ref="F2007:I2007"/>
    <mergeCell ref="F2014:I2014"/>
    <mergeCell ref="F2015:I2015"/>
    <mergeCell ref="F2016:I2016"/>
    <mergeCell ref="F2017:I2017"/>
    <mergeCell ref="F2018:I2018"/>
    <mergeCell ref="F2019:I2019"/>
    <mergeCell ref="F2020:I2020"/>
    <mergeCell ref="F2021:I2021"/>
    <mergeCell ref="F2022:I2022"/>
    <mergeCell ref="F2081:I2081"/>
    <mergeCell ref="F2074:I2074"/>
    <mergeCell ref="F2075:I2075"/>
    <mergeCell ref="F2076:I2076"/>
    <mergeCell ref="F2077:I2077"/>
    <mergeCell ref="F2070:I2070"/>
    <mergeCell ref="F2071:I2071"/>
    <mergeCell ref="F2072:I2072"/>
    <mergeCell ref="F2073:I2073"/>
    <mergeCell ref="F2078:I2078"/>
    <mergeCell ref="F2079:I2079"/>
    <mergeCell ref="F2080:I2080"/>
    <mergeCell ref="F2040:I2040"/>
    <mergeCell ref="F2041:I2041"/>
    <mergeCell ref="F2042:I2042"/>
    <mergeCell ref="F2069:I2069"/>
    <mergeCell ref="F2058:I2058"/>
    <mergeCell ref="F2059:I2059"/>
    <mergeCell ref="F2060:I2060"/>
    <mergeCell ref="F2061:I2061"/>
    <mergeCell ref="F2062:I2062"/>
    <mergeCell ref="F2063:I2063"/>
    <mergeCell ref="F2064:I2064"/>
    <mergeCell ref="F2054:I2054"/>
    <mergeCell ref="F2055:I2055"/>
    <mergeCell ref="F2056:I2056"/>
    <mergeCell ref="F2057:I2057"/>
    <mergeCell ref="F2068:I2068"/>
    <mergeCell ref="F2048:I2048"/>
    <mergeCell ref="F2049:I2049"/>
    <mergeCell ref="F2050:I2050"/>
    <mergeCell ref="F2051:I2051"/>
    <mergeCell ref="F2009:I2009"/>
    <mergeCell ref="F2010:I2010"/>
    <mergeCell ref="F2011:I2011"/>
    <mergeCell ref="F2012:I2012"/>
    <mergeCell ref="F2013:I2013"/>
    <mergeCell ref="F1994:I1994"/>
    <mergeCell ref="F1995:I1995"/>
    <mergeCell ref="F1996:I1996"/>
    <mergeCell ref="F1997:I1997"/>
    <mergeCell ref="F1998:I1998"/>
    <mergeCell ref="F1999:I1999"/>
    <mergeCell ref="F2000:I2000"/>
    <mergeCell ref="F2001:I2001"/>
    <mergeCell ref="F2002:I2002"/>
    <mergeCell ref="F1985:I1985"/>
    <mergeCell ref="F1986:I1986"/>
    <mergeCell ref="F1987:I1987"/>
    <mergeCell ref="F1988:I1988"/>
    <mergeCell ref="F1989:I1989"/>
    <mergeCell ref="F1990:I1990"/>
    <mergeCell ref="F1991:I1991"/>
    <mergeCell ref="F1992:I1992"/>
    <mergeCell ref="F1993:I1993"/>
    <mergeCell ref="F1967:I1967"/>
    <mergeCell ref="F1968:I1968"/>
    <mergeCell ref="F1969:I1969"/>
    <mergeCell ref="F1970:I1970"/>
    <mergeCell ref="F1971:I1971"/>
    <mergeCell ref="F1972:I1972"/>
    <mergeCell ref="F1973:I1973"/>
    <mergeCell ref="F1978:I1978"/>
    <mergeCell ref="F1979:I1979"/>
    <mergeCell ref="F1980:I1980"/>
    <mergeCell ref="F1981:I1981"/>
    <mergeCell ref="F1982:I1982"/>
    <mergeCell ref="F1983:I1983"/>
    <mergeCell ref="F1984:I1984"/>
    <mergeCell ref="F1974:I1974"/>
    <mergeCell ref="F1975:I1975"/>
    <mergeCell ref="F1976:I1976"/>
    <mergeCell ref="F1977:I1977"/>
    <mergeCell ref="F1954:I1954"/>
    <mergeCell ref="F1946:I1946"/>
    <mergeCell ref="F1947:I1947"/>
    <mergeCell ref="F1948:I1948"/>
    <mergeCell ref="F1949:I1949"/>
    <mergeCell ref="F1962:I1962"/>
    <mergeCell ref="F1963:I1963"/>
    <mergeCell ref="F1964:I1964"/>
    <mergeCell ref="F1965:I1965"/>
    <mergeCell ref="F1966:I1966"/>
    <mergeCell ref="F1955:I1955"/>
    <mergeCell ref="F1956:I1956"/>
    <mergeCell ref="F1957:I1957"/>
    <mergeCell ref="F1958:I1958"/>
    <mergeCell ref="F1959:I1959"/>
    <mergeCell ref="F1960:I1960"/>
    <mergeCell ref="F1961:I1961"/>
    <mergeCell ref="F1933:I1933"/>
    <mergeCell ref="F1934:I1934"/>
    <mergeCell ref="F1935:I1935"/>
    <mergeCell ref="F1936:I1936"/>
    <mergeCell ref="F1937:I1937"/>
    <mergeCell ref="F1942:I1942"/>
    <mergeCell ref="F1943:I1943"/>
    <mergeCell ref="F1938:I1938"/>
    <mergeCell ref="F1939:I1939"/>
    <mergeCell ref="F1940:I1940"/>
    <mergeCell ref="F1941:I1941"/>
    <mergeCell ref="F1944:I1944"/>
    <mergeCell ref="F1945:I1945"/>
    <mergeCell ref="F1950:I1950"/>
    <mergeCell ref="F1951:I1951"/>
    <mergeCell ref="F1952:I1952"/>
    <mergeCell ref="F1953:I1953"/>
    <mergeCell ref="F1922:I1922"/>
    <mergeCell ref="F1923:I1923"/>
    <mergeCell ref="F1924:I1924"/>
    <mergeCell ref="F1925:I1925"/>
    <mergeCell ref="F1926:I1926"/>
    <mergeCell ref="F1927:I1927"/>
    <mergeCell ref="F1928:I1928"/>
    <mergeCell ref="F1929:I1929"/>
    <mergeCell ref="F1932:I1932"/>
    <mergeCell ref="F1930:I1930"/>
    <mergeCell ref="F1931:I1931"/>
    <mergeCell ref="F1915:I1915"/>
    <mergeCell ref="F1916:I1916"/>
    <mergeCell ref="F1917:I1917"/>
    <mergeCell ref="F1918:I1918"/>
    <mergeCell ref="F1919:I1919"/>
    <mergeCell ref="F1920:I1920"/>
    <mergeCell ref="F1921:I1921"/>
    <mergeCell ref="F1884:I1884"/>
    <mergeCell ref="F1885:I1885"/>
    <mergeCell ref="F1876:I1876"/>
    <mergeCell ref="F1877:I1877"/>
    <mergeCell ref="F1878:I1878"/>
    <mergeCell ref="F1879:I1879"/>
    <mergeCell ref="F1880:I1880"/>
    <mergeCell ref="F1906:I1906"/>
    <mergeCell ref="F1907:I1907"/>
    <mergeCell ref="F1908:I1908"/>
    <mergeCell ref="F1909:I1909"/>
    <mergeCell ref="F1910:I1910"/>
    <mergeCell ref="F1911:I1911"/>
    <mergeCell ref="F1912:I1912"/>
    <mergeCell ref="F1913:I1913"/>
    <mergeCell ref="F1914:I1914"/>
    <mergeCell ref="F1899:I1899"/>
    <mergeCell ref="F1900:I1900"/>
    <mergeCell ref="F1901:I1901"/>
    <mergeCell ref="F1902:I1902"/>
    <mergeCell ref="F1903:I1903"/>
    <mergeCell ref="F1904:I1904"/>
    <mergeCell ref="F1905:I1905"/>
    <mergeCell ref="F1866:I1866"/>
    <mergeCell ref="F1867:I1867"/>
    <mergeCell ref="F1868:I1868"/>
    <mergeCell ref="F1869:I1869"/>
    <mergeCell ref="F1860:I1860"/>
    <mergeCell ref="F1861:I1861"/>
    <mergeCell ref="F1862:I1862"/>
    <mergeCell ref="F1863:I1863"/>
    <mergeCell ref="F1874:I1874"/>
    <mergeCell ref="F1875:I1875"/>
    <mergeCell ref="F1870:I1870"/>
    <mergeCell ref="F1871:I1871"/>
    <mergeCell ref="F1872:I1872"/>
    <mergeCell ref="F1873:I1873"/>
    <mergeCell ref="F1881:I1881"/>
    <mergeCell ref="F1882:I1882"/>
    <mergeCell ref="F1883:I1883"/>
    <mergeCell ref="F1846:I1846"/>
    <mergeCell ref="F1847:I1847"/>
    <mergeCell ref="F1848:I1848"/>
    <mergeCell ref="F1849:I1849"/>
    <mergeCell ref="F1844:I1844"/>
    <mergeCell ref="F1859:I1859"/>
    <mergeCell ref="F1850:I1850"/>
    <mergeCell ref="F1851:I1851"/>
    <mergeCell ref="F1852:I1852"/>
    <mergeCell ref="F1853:I1853"/>
    <mergeCell ref="F1854:I1854"/>
    <mergeCell ref="F1855:I1855"/>
    <mergeCell ref="F1856:I1856"/>
    <mergeCell ref="F1857:I1857"/>
    <mergeCell ref="F1858:I1858"/>
    <mergeCell ref="F1864:I1864"/>
    <mergeCell ref="F1865:I1865"/>
    <mergeCell ref="F1828:I1828"/>
    <mergeCell ref="F1829:I1829"/>
    <mergeCell ref="F1830:I1830"/>
    <mergeCell ref="F1831:I1831"/>
    <mergeCell ref="F1839:I1839"/>
    <mergeCell ref="F1840:I1840"/>
    <mergeCell ref="F1841:I1841"/>
    <mergeCell ref="F1842:I1842"/>
    <mergeCell ref="F1843:I1843"/>
    <mergeCell ref="F1832:I1832"/>
    <mergeCell ref="F1833:I1833"/>
    <mergeCell ref="F1834:I1834"/>
    <mergeCell ref="F1835:I1835"/>
    <mergeCell ref="F1836:I1836"/>
    <mergeCell ref="F1837:I1837"/>
    <mergeCell ref="F1838:I1838"/>
    <mergeCell ref="F1845:I1845"/>
    <mergeCell ref="F1819:I1819"/>
    <mergeCell ref="F1820:I1820"/>
    <mergeCell ref="F1821:I1821"/>
    <mergeCell ref="F1822:I1822"/>
    <mergeCell ref="F1823:I1823"/>
    <mergeCell ref="F1824:I1824"/>
    <mergeCell ref="F1825:I1825"/>
    <mergeCell ref="F1826:I1826"/>
    <mergeCell ref="F1827:I1827"/>
    <mergeCell ref="F1810:I1810"/>
    <mergeCell ref="F1811:I1811"/>
    <mergeCell ref="F1812:I1812"/>
    <mergeCell ref="F1813:I1813"/>
    <mergeCell ref="F1814:I1814"/>
    <mergeCell ref="F1815:I1815"/>
    <mergeCell ref="F1816:I1816"/>
    <mergeCell ref="F1817:I1817"/>
    <mergeCell ref="F1818:I1818"/>
    <mergeCell ref="F1794:I1794"/>
    <mergeCell ref="F1795:I1795"/>
    <mergeCell ref="F1796:I1796"/>
    <mergeCell ref="F1797:I1797"/>
    <mergeCell ref="F1792:I1792"/>
    <mergeCell ref="F1793:I1793"/>
    <mergeCell ref="F1801:I1801"/>
    <mergeCell ref="F1802:I1802"/>
    <mergeCell ref="F1803:I1803"/>
    <mergeCell ref="F1804:I1804"/>
    <mergeCell ref="F1805:I1805"/>
    <mergeCell ref="F1806:I1806"/>
    <mergeCell ref="F1807:I1807"/>
    <mergeCell ref="F1808:I1808"/>
    <mergeCell ref="F1809:I1809"/>
    <mergeCell ref="F1798:I1798"/>
    <mergeCell ref="F1799:I1799"/>
    <mergeCell ref="F1800:I1800"/>
    <mergeCell ref="F1775:I1775"/>
    <mergeCell ref="F1776:I1776"/>
    <mergeCell ref="F1777:I1777"/>
    <mergeCell ref="F1778:I1778"/>
    <mergeCell ref="F1779:I1779"/>
    <mergeCell ref="F1780:I1780"/>
    <mergeCell ref="F1781:I1781"/>
    <mergeCell ref="F1770:I1770"/>
    <mergeCell ref="F1783:I1783"/>
    <mergeCell ref="F1784:I1784"/>
    <mergeCell ref="F1785:I1785"/>
    <mergeCell ref="F1786:I1786"/>
    <mergeCell ref="F1787:I1787"/>
    <mergeCell ref="F1788:I1788"/>
    <mergeCell ref="F1789:I1789"/>
    <mergeCell ref="F1790:I1790"/>
    <mergeCell ref="F1791:I1791"/>
    <mergeCell ref="F1782:I1782"/>
    <mergeCell ref="F1757:I1757"/>
    <mergeCell ref="F1758:I1758"/>
    <mergeCell ref="F1759:I1759"/>
    <mergeCell ref="F1760:I1760"/>
    <mergeCell ref="F1761:I1761"/>
    <mergeCell ref="F1764:I1764"/>
    <mergeCell ref="F1765:I1765"/>
    <mergeCell ref="F1766:I1766"/>
    <mergeCell ref="F1767:I1767"/>
    <mergeCell ref="F1768:I1768"/>
    <mergeCell ref="F1769:I1769"/>
    <mergeCell ref="F1762:I1762"/>
    <mergeCell ref="F1763:I1763"/>
    <mergeCell ref="F1771:I1771"/>
    <mergeCell ref="F1772:I1772"/>
    <mergeCell ref="F1773:I1773"/>
    <mergeCell ref="F1774:I1774"/>
    <mergeCell ref="F1749:I1749"/>
    <mergeCell ref="F1752:I1752"/>
    <mergeCell ref="F1753:I1753"/>
    <mergeCell ref="F1738:I1738"/>
    <mergeCell ref="F1739:I1739"/>
    <mergeCell ref="F1740:I1740"/>
    <mergeCell ref="F1741:I1741"/>
    <mergeCell ref="F1742:I1742"/>
    <mergeCell ref="F1743:I1743"/>
    <mergeCell ref="F1744:I1744"/>
    <mergeCell ref="F1745:I1745"/>
    <mergeCell ref="F1746:I1746"/>
    <mergeCell ref="F1750:I1750"/>
    <mergeCell ref="F1751:I1751"/>
    <mergeCell ref="F1754:I1754"/>
    <mergeCell ref="F1755:I1755"/>
    <mergeCell ref="F1756:I1756"/>
    <mergeCell ref="F1732:I1732"/>
    <mergeCell ref="F1733:I1733"/>
    <mergeCell ref="F1734:I1734"/>
    <mergeCell ref="F1735:I1735"/>
    <mergeCell ref="F1736:I1736"/>
    <mergeCell ref="F1737:I1737"/>
    <mergeCell ref="F1722:I1722"/>
    <mergeCell ref="F1723:I1723"/>
    <mergeCell ref="F1724:I1724"/>
    <mergeCell ref="F1725:I1725"/>
    <mergeCell ref="F1726:I1726"/>
    <mergeCell ref="F1727:I1727"/>
    <mergeCell ref="F1728:I1728"/>
    <mergeCell ref="F1729:I1729"/>
    <mergeCell ref="F1730:I1730"/>
    <mergeCell ref="F1747:I1747"/>
    <mergeCell ref="F1748:I1748"/>
    <mergeCell ref="F1717:I1717"/>
    <mergeCell ref="F1718:I1718"/>
    <mergeCell ref="F908:I908"/>
    <mergeCell ref="F1719:I1719"/>
    <mergeCell ref="F1720:I1720"/>
    <mergeCell ref="F1721:I1721"/>
    <mergeCell ref="F1712:I1712"/>
    <mergeCell ref="F1713:I1713"/>
    <mergeCell ref="F1714:I1714"/>
    <mergeCell ref="F1715:I1715"/>
    <mergeCell ref="F1716:I1716"/>
    <mergeCell ref="F1708:I1708"/>
    <mergeCell ref="F1709:I1709"/>
    <mergeCell ref="F1710:I1710"/>
    <mergeCell ref="F1711:I1711"/>
    <mergeCell ref="F1705:I1705"/>
    <mergeCell ref="F1731:I1731"/>
    <mergeCell ref="F1256:I1256"/>
    <mergeCell ref="F1257:I1257"/>
    <mergeCell ref="F1284:I1284"/>
    <mergeCell ref="F1275:I1275"/>
    <mergeCell ref="F1276:I1276"/>
    <mergeCell ref="F1277:I1277"/>
    <mergeCell ref="F1278:I1278"/>
    <mergeCell ref="F1279:I1279"/>
    <mergeCell ref="F1280:I1280"/>
    <mergeCell ref="F1281:I1281"/>
    <mergeCell ref="F1282:I1282"/>
    <mergeCell ref="F1267:I1267"/>
    <mergeCell ref="F1258:I1258"/>
    <mergeCell ref="F1259:I1259"/>
    <mergeCell ref="F1260:I1260"/>
    <mergeCell ref="F1691:I1691"/>
    <mergeCell ref="F1692:I1692"/>
    <mergeCell ref="F1693:I1693"/>
    <mergeCell ref="F1694:I1694"/>
    <mergeCell ref="F1685:I1685"/>
    <mergeCell ref="F1686:I1686"/>
    <mergeCell ref="F1687:I1687"/>
    <mergeCell ref="F1688:I1688"/>
    <mergeCell ref="F1689:I1689"/>
    <mergeCell ref="F1690:I1690"/>
    <mergeCell ref="F1706:I1706"/>
    <mergeCell ref="F1707:I1707"/>
    <mergeCell ref="F1699:I1699"/>
    <mergeCell ref="F1700:I1700"/>
    <mergeCell ref="F1701:I1701"/>
    <mergeCell ref="F1702:I1702"/>
    <mergeCell ref="F1703:I1703"/>
    <mergeCell ref="F1704:I1704"/>
    <mergeCell ref="F1695:I1695"/>
    <mergeCell ref="F1696:I1696"/>
    <mergeCell ref="F1697:I1697"/>
    <mergeCell ref="F1698:I1698"/>
    <mergeCell ref="F1668:I1668"/>
    <mergeCell ref="F1669:I1669"/>
    <mergeCell ref="F1670:I1670"/>
    <mergeCell ref="F1671:I1671"/>
    <mergeCell ref="F1672:I1672"/>
    <mergeCell ref="F1673:I1673"/>
    <mergeCell ref="F1674:I1674"/>
    <mergeCell ref="F1666:I1666"/>
    <mergeCell ref="F1683:I1683"/>
    <mergeCell ref="F1684:I1684"/>
    <mergeCell ref="F1675:I1675"/>
    <mergeCell ref="F1676:I1676"/>
    <mergeCell ref="F1677:I1677"/>
    <mergeCell ref="F1678:I1678"/>
    <mergeCell ref="F1679:I1679"/>
    <mergeCell ref="F1680:I1680"/>
    <mergeCell ref="F1681:I1681"/>
    <mergeCell ref="F1682:I1682"/>
    <mergeCell ref="F1652:I1652"/>
    <mergeCell ref="F1651:I1651"/>
    <mergeCell ref="F1653:I1653"/>
    <mergeCell ref="F1659:I1659"/>
    <mergeCell ref="F1648:I1648"/>
    <mergeCell ref="F1660:I1660"/>
    <mergeCell ref="F1661:I1661"/>
    <mergeCell ref="F1662:I1662"/>
    <mergeCell ref="F1663:I1663"/>
    <mergeCell ref="F1664:I1664"/>
    <mergeCell ref="F1665:I1665"/>
    <mergeCell ref="F1667:I1667"/>
    <mergeCell ref="F1654:I1654"/>
    <mergeCell ref="F1655:I1655"/>
    <mergeCell ref="F1656:I1656"/>
    <mergeCell ref="F1657:I1657"/>
    <mergeCell ref="F1658:I1658"/>
    <mergeCell ref="F1638:I1638"/>
    <mergeCell ref="F1626:I1626"/>
    <mergeCell ref="F1627:I1627"/>
    <mergeCell ref="F1628:I1628"/>
    <mergeCell ref="F1629:I1629"/>
    <mergeCell ref="F1630:I1630"/>
    <mergeCell ref="F1639:I1639"/>
    <mergeCell ref="F1640:I1640"/>
    <mergeCell ref="F1641:I1641"/>
    <mergeCell ref="F1642:I1642"/>
    <mergeCell ref="F1643:I1643"/>
    <mergeCell ref="F1645:I1645"/>
    <mergeCell ref="F1644:I1644"/>
    <mergeCell ref="F1646:I1646"/>
    <mergeCell ref="F1647:I1647"/>
    <mergeCell ref="F1649:I1649"/>
    <mergeCell ref="F1650:I1650"/>
    <mergeCell ref="F1622:I1622"/>
    <mergeCell ref="F1623:I1623"/>
    <mergeCell ref="F1624:I1624"/>
    <mergeCell ref="F1625:I1625"/>
    <mergeCell ref="F1616:I1616"/>
    <mergeCell ref="F1617:I1617"/>
    <mergeCell ref="F1618:I1618"/>
    <mergeCell ref="F1619:I1619"/>
    <mergeCell ref="F1620:I1620"/>
    <mergeCell ref="F1621:I1621"/>
    <mergeCell ref="F1631:I1631"/>
    <mergeCell ref="F1632:I1632"/>
    <mergeCell ref="F1633:I1633"/>
    <mergeCell ref="F1634:I1634"/>
    <mergeCell ref="F1635:I1635"/>
    <mergeCell ref="F1636:I1636"/>
    <mergeCell ref="F1637:I1637"/>
    <mergeCell ref="F1598:I1598"/>
    <mergeCell ref="F1599:I1599"/>
    <mergeCell ref="F1600:I1600"/>
    <mergeCell ref="F1592:I1592"/>
    <mergeCell ref="F1593:I1593"/>
    <mergeCell ref="F1594:I1594"/>
    <mergeCell ref="F1603:I1603"/>
    <mergeCell ref="F1604:I1604"/>
    <mergeCell ref="F1605:I1605"/>
    <mergeCell ref="F1606:I1606"/>
    <mergeCell ref="F1607:I1607"/>
    <mergeCell ref="F1608:I1608"/>
    <mergeCell ref="F1601:I1601"/>
    <mergeCell ref="F1602:I1602"/>
    <mergeCell ref="F1613:I1613"/>
    <mergeCell ref="F1614:I1614"/>
    <mergeCell ref="F1615:I1615"/>
    <mergeCell ref="F1609:I1609"/>
    <mergeCell ref="F1610:I1610"/>
    <mergeCell ref="F1611:I1611"/>
    <mergeCell ref="F1612:I1612"/>
    <mergeCell ref="F1583:I1583"/>
    <mergeCell ref="F1584:I1584"/>
    <mergeCell ref="F1585:I1585"/>
    <mergeCell ref="F1586:I1586"/>
    <mergeCell ref="F1587:I1587"/>
    <mergeCell ref="F1588:I1588"/>
    <mergeCell ref="F1589:I1589"/>
    <mergeCell ref="F1590:I1590"/>
    <mergeCell ref="F1591:I1591"/>
    <mergeCell ref="F1578:I1578"/>
    <mergeCell ref="F1579:I1579"/>
    <mergeCell ref="F1580:I1580"/>
    <mergeCell ref="F1581:I1581"/>
    <mergeCell ref="F1582:I1582"/>
    <mergeCell ref="F1595:I1595"/>
    <mergeCell ref="F1596:I1596"/>
    <mergeCell ref="F1597:I1597"/>
    <mergeCell ref="F1558:I1558"/>
    <mergeCell ref="F1559:I1559"/>
    <mergeCell ref="F1561:I1561"/>
    <mergeCell ref="F1556:I1556"/>
    <mergeCell ref="F1557:I1557"/>
    <mergeCell ref="F1562:I1562"/>
    <mergeCell ref="F1564:I1564"/>
    <mergeCell ref="F1565:I1565"/>
    <mergeCell ref="F1566:I1566"/>
    <mergeCell ref="F1567:I1567"/>
    <mergeCell ref="F1563:I1563"/>
    <mergeCell ref="F1569:I1569"/>
    <mergeCell ref="F1560:I1560"/>
    <mergeCell ref="F1574:I1574"/>
    <mergeCell ref="F1575:I1575"/>
    <mergeCell ref="F1576:I1576"/>
    <mergeCell ref="F1577:I1577"/>
    <mergeCell ref="F1568:I1568"/>
    <mergeCell ref="F1570:I1570"/>
    <mergeCell ref="F1571:I1571"/>
    <mergeCell ref="F1572:I1572"/>
    <mergeCell ref="F1573:I1573"/>
    <mergeCell ref="F1547:I1547"/>
    <mergeCell ref="F1548:I1548"/>
    <mergeCell ref="F1549:I1549"/>
    <mergeCell ref="F1550:I1550"/>
    <mergeCell ref="F1551:I1551"/>
    <mergeCell ref="F1552:I1552"/>
    <mergeCell ref="F1553:I1553"/>
    <mergeCell ref="F1555:I1555"/>
    <mergeCell ref="F1539:I1539"/>
    <mergeCell ref="F1540:I1540"/>
    <mergeCell ref="F1541:I1541"/>
    <mergeCell ref="F1542:I1542"/>
    <mergeCell ref="F1543:I1543"/>
    <mergeCell ref="F1544:I1544"/>
    <mergeCell ref="F1545:I1545"/>
    <mergeCell ref="F1546:I1546"/>
    <mergeCell ref="F1554:I1554"/>
    <mergeCell ref="F1526:I1526"/>
    <mergeCell ref="F1527:I1527"/>
    <mergeCell ref="F1528:I1528"/>
    <mergeCell ref="F1529:I1529"/>
    <mergeCell ref="F1530:I1530"/>
    <mergeCell ref="F1521:I1521"/>
    <mergeCell ref="F1522:I1522"/>
    <mergeCell ref="F1523:I1523"/>
    <mergeCell ref="F1524:I1524"/>
    <mergeCell ref="F1525:I1525"/>
    <mergeCell ref="F1535:I1535"/>
    <mergeCell ref="F1536:I1536"/>
    <mergeCell ref="F1537:I1537"/>
    <mergeCell ref="F1538:I1538"/>
    <mergeCell ref="F1531:I1531"/>
    <mergeCell ref="F1532:I1532"/>
    <mergeCell ref="F1533:I1533"/>
    <mergeCell ref="F1534:I1534"/>
    <mergeCell ref="F1510:I1510"/>
    <mergeCell ref="F1511:I1511"/>
    <mergeCell ref="F1512:I1512"/>
    <mergeCell ref="F1503:I1503"/>
    <mergeCell ref="F1504:I1504"/>
    <mergeCell ref="F1505:I1505"/>
    <mergeCell ref="F1506:I1506"/>
    <mergeCell ref="F1507:I1507"/>
    <mergeCell ref="F1508:I1508"/>
    <mergeCell ref="F1509:I1509"/>
    <mergeCell ref="F1519:I1519"/>
    <mergeCell ref="F1520:I1520"/>
    <mergeCell ref="F1513:I1513"/>
    <mergeCell ref="F1514:I1514"/>
    <mergeCell ref="F1515:I1515"/>
    <mergeCell ref="F1516:I1516"/>
    <mergeCell ref="F1517:I1517"/>
    <mergeCell ref="F1518:I1518"/>
    <mergeCell ref="F1489:I1489"/>
    <mergeCell ref="F1490:I1490"/>
    <mergeCell ref="F1487:I1487"/>
    <mergeCell ref="F1482:I1482"/>
    <mergeCell ref="F1483:I1483"/>
    <mergeCell ref="F1484:I1484"/>
    <mergeCell ref="F1485:I1485"/>
    <mergeCell ref="F1500:I1500"/>
    <mergeCell ref="F1501:I1501"/>
    <mergeCell ref="F1502:I1502"/>
    <mergeCell ref="F1491:I1491"/>
    <mergeCell ref="F1492:I1492"/>
    <mergeCell ref="F1493:I1493"/>
    <mergeCell ref="F1494:I1494"/>
    <mergeCell ref="F1495:I1495"/>
    <mergeCell ref="F1496:I1496"/>
    <mergeCell ref="F1497:I1497"/>
    <mergeCell ref="F1498:I1498"/>
    <mergeCell ref="F1499:I1499"/>
    <mergeCell ref="F1471:I1471"/>
    <mergeCell ref="F1473:I1473"/>
    <mergeCell ref="F1467:I1467"/>
    <mergeCell ref="F1476:I1476"/>
    <mergeCell ref="F1477:I1477"/>
    <mergeCell ref="F1478:I1478"/>
    <mergeCell ref="F1480:I1480"/>
    <mergeCell ref="F1481:I1481"/>
    <mergeCell ref="F1479:I1479"/>
    <mergeCell ref="F1472:I1472"/>
    <mergeCell ref="F1474:I1474"/>
    <mergeCell ref="F1475:I1475"/>
    <mergeCell ref="F1468:I1468"/>
    <mergeCell ref="F1470:I1470"/>
    <mergeCell ref="F1469:I1469"/>
    <mergeCell ref="F1486:I1486"/>
    <mergeCell ref="F1488:I1488"/>
    <mergeCell ref="F1434:I1434"/>
    <mergeCell ref="F1435:I1435"/>
    <mergeCell ref="F1429:I1429"/>
    <mergeCell ref="F1430:I1430"/>
    <mergeCell ref="F1431:I1431"/>
    <mergeCell ref="F1436:I1436"/>
    <mergeCell ref="F1437:I1437"/>
    <mergeCell ref="F1438:I1438"/>
    <mergeCell ref="F1439:I1439"/>
    <mergeCell ref="F1440:I1440"/>
    <mergeCell ref="F1441:I1441"/>
    <mergeCell ref="F1445:I1445"/>
    <mergeCell ref="F1446:I1446"/>
    <mergeCell ref="F1447:I1447"/>
    <mergeCell ref="F1448:I1448"/>
    <mergeCell ref="F1465:I1465"/>
    <mergeCell ref="F1466:I1466"/>
    <mergeCell ref="F1442:I1442"/>
    <mergeCell ref="F1443:I1443"/>
    <mergeCell ref="F1444:I1444"/>
    <mergeCell ref="F1462:I1462"/>
    <mergeCell ref="F1463:I1463"/>
    <mergeCell ref="F1449:I1449"/>
    <mergeCell ref="F1460:I1460"/>
    <mergeCell ref="F1461:I1461"/>
    <mergeCell ref="F1417:I1417"/>
    <mergeCell ref="F1418:I1418"/>
    <mergeCell ref="F1419:I1419"/>
    <mergeCell ref="F1420:I1420"/>
    <mergeCell ref="F1411:I1411"/>
    <mergeCell ref="F1412:I1412"/>
    <mergeCell ref="F1413:I1413"/>
    <mergeCell ref="F1423:I1423"/>
    <mergeCell ref="F1424:I1424"/>
    <mergeCell ref="F1425:I1425"/>
    <mergeCell ref="F1426:I1426"/>
    <mergeCell ref="F1427:I1427"/>
    <mergeCell ref="F1428:I1428"/>
    <mergeCell ref="F1421:I1421"/>
    <mergeCell ref="F1422:I1422"/>
    <mergeCell ref="F1432:I1432"/>
    <mergeCell ref="F1433:I1433"/>
    <mergeCell ref="F1402:I1402"/>
    <mergeCell ref="F1403:I1403"/>
    <mergeCell ref="F1404:I1404"/>
    <mergeCell ref="F1405:I1405"/>
    <mergeCell ref="F1406:I1406"/>
    <mergeCell ref="F1407:I1407"/>
    <mergeCell ref="F1408:I1408"/>
    <mergeCell ref="F1409:I1409"/>
    <mergeCell ref="F1410:I1410"/>
    <mergeCell ref="F1396:I1396"/>
    <mergeCell ref="F1398:I1398"/>
    <mergeCell ref="F1399:I1399"/>
    <mergeCell ref="F1400:I1400"/>
    <mergeCell ref="F1401:I1401"/>
    <mergeCell ref="F1414:I1414"/>
    <mergeCell ref="F1415:I1415"/>
    <mergeCell ref="F1416:I1416"/>
    <mergeCell ref="F1377:I1377"/>
    <mergeCell ref="F1379:I1379"/>
    <mergeCell ref="F1381:I1381"/>
    <mergeCell ref="F1376:I1376"/>
    <mergeCell ref="F1382:I1382"/>
    <mergeCell ref="F1384:I1384"/>
    <mergeCell ref="F1385:I1385"/>
    <mergeCell ref="F1386:I1386"/>
    <mergeCell ref="F1383:I1383"/>
    <mergeCell ref="F1389:I1389"/>
    <mergeCell ref="F1378:I1378"/>
    <mergeCell ref="F1380:I1380"/>
    <mergeCell ref="F1393:I1393"/>
    <mergeCell ref="F1394:I1394"/>
    <mergeCell ref="F1395:I1395"/>
    <mergeCell ref="F1397:I1397"/>
    <mergeCell ref="F1387:I1387"/>
    <mergeCell ref="F1388:I1388"/>
    <mergeCell ref="F1390:I1390"/>
    <mergeCell ref="F1391:I1391"/>
    <mergeCell ref="F1392:I1392"/>
    <mergeCell ref="F1354:I1354"/>
    <mergeCell ref="F1355:I1355"/>
    <mergeCell ref="F1356:I1356"/>
    <mergeCell ref="F1357:I1357"/>
    <mergeCell ref="F1358:I1358"/>
    <mergeCell ref="F1350:I1350"/>
    <mergeCell ref="F1351:I1351"/>
    <mergeCell ref="F1352:I1352"/>
    <mergeCell ref="F1353:I1353"/>
    <mergeCell ref="F1367:I1367"/>
    <mergeCell ref="F1368:I1368"/>
    <mergeCell ref="F1369:I1369"/>
    <mergeCell ref="F1370:I1370"/>
    <mergeCell ref="F1371:I1371"/>
    <mergeCell ref="F1372:I1372"/>
    <mergeCell ref="F1373:I1373"/>
    <mergeCell ref="F1375:I1375"/>
    <mergeCell ref="F1374:I1374"/>
    <mergeCell ref="F1359:I1359"/>
    <mergeCell ref="F1360:I1360"/>
    <mergeCell ref="F1361:I1361"/>
    <mergeCell ref="F1362:I1362"/>
    <mergeCell ref="F1363:I1363"/>
    <mergeCell ref="F1364:I1364"/>
    <mergeCell ref="F1365:I1365"/>
    <mergeCell ref="F1366:I1366"/>
    <mergeCell ref="F1339:I1339"/>
    <mergeCell ref="F1340:I1340"/>
    <mergeCell ref="F1332:I1332"/>
    <mergeCell ref="F1333:I1333"/>
    <mergeCell ref="F1334:I1334"/>
    <mergeCell ref="F1335:I1335"/>
    <mergeCell ref="F1336:I1336"/>
    <mergeCell ref="F1337:I1337"/>
    <mergeCell ref="F1338:I1338"/>
    <mergeCell ref="F1346:I1346"/>
    <mergeCell ref="F1347:I1347"/>
    <mergeCell ref="F1348:I1348"/>
    <mergeCell ref="F1349:I1349"/>
    <mergeCell ref="F1341:I1341"/>
    <mergeCell ref="F1342:I1342"/>
    <mergeCell ref="F1343:I1343"/>
    <mergeCell ref="F1344:I1344"/>
    <mergeCell ref="F1345:I1345"/>
    <mergeCell ref="F1319:I1319"/>
    <mergeCell ref="F1320:I1320"/>
    <mergeCell ref="F1321:I1321"/>
    <mergeCell ref="F1322:I1322"/>
    <mergeCell ref="F1310:I1310"/>
    <mergeCell ref="F1311:I1311"/>
    <mergeCell ref="F1312:I1312"/>
    <mergeCell ref="F1313:I1313"/>
    <mergeCell ref="F1314:I1314"/>
    <mergeCell ref="F1315:I1315"/>
    <mergeCell ref="F1316:I1316"/>
    <mergeCell ref="F1317:I1317"/>
    <mergeCell ref="F1318:I1318"/>
    <mergeCell ref="F1329:I1329"/>
    <mergeCell ref="F1330:I1330"/>
    <mergeCell ref="F1331:I1331"/>
    <mergeCell ref="F1323:I1323"/>
    <mergeCell ref="F1324:I1324"/>
    <mergeCell ref="F1325:I1325"/>
    <mergeCell ref="F1326:I1326"/>
    <mergeCell ref="F1327:I1327"/>
    <mergeCell ref="F1328:I1328"/>
    <mergeCell ref="F1288:I1288"/>
    <mergeCell ref="F1290:I1290"/>
    <mergeCell ref="F1286:I1286"/>
    <mergeCell ref="F1293:I1293"/>
    <mergeCell ref="F1291:I1291"/>
    <mergeCell ref="F1289:I1289"/>
    <mergeCell ref="F1295:I1295"/>
    <mergeCell ref="F1296:I1296"/>
    <mergeCell ref="F1297:I1297"/>
    <mergeCell ref="F1298:I1298"/>
    <mergeCell ref="F1300:I1300"/>
    <mergeCell ref="F1299:I1299"/>
    <mergeCell ref="F1292:I1292"/>
    <mergeCell ref="F1294:I1294"/>
    <mergeCell ref="F1306:I1306"/>
    <mergeCell ref="F1308:I1308"/>
    <mergeCell ref="F1309:I1309"/>
    <mergeCell ref="F1307:I1307"/>
    <mergeCell ref="F1301:I1301"/>
    <mergeCell ref="F1302:I1302"/>
    <mergeCell ref="F1303:I1303"/>
    <mergeCell ref="F1304:I1304"/>
    <mergeCell ref="F1305:I1305"/>
    <mergeCell ref="F1283:I1283"/>
    <mergeCell ref="F1271:I1271"/>
    <mergeCell ref="F1272:I1272"/>
    <mergeCell ref="F1273:I1273"/>
    <mergeCell ref="F1274:I1274"/>
    <mergeCell ref="F1247:I1247"/>
    <mergeCell ref="F1248:I1248"/>
    <mergeCell ref="F1249:I1249"/>
    <mergeCell ref="F1251:I1251"/>
    <mergeCell ref="F1252:I1252"/>
    <mergeCell ref="F1253:I1253"/>
    <mergeCell ref="F1254:I1254"/>
    <mergeCell ref="F1225:I1225"/>
    <mergeCell ref="F1226:I1226"/>
    <mergeCell ref="F1216:I1216"/>
    <mergeCell ref="F1233:I1233"/>
    <mergeCell ref="F1234:I1234"/>
    <mergeCell ref="F1235:I1235"/>
    <mergeCell ref="F1236:I1236"/>
    <mergeCell ref="F1227:I1227"/>
    <mergeCell ref="F1228:I1228"/>
    <mergeCell ref="F1229:I1229"/>
    <mergeCell ref="F1230:I1230"/>
    <mergeCell ref="F1231:I1231"/>
    <mergeCell ref="F1232:I1232"/>
    <mergeCell ref="F1241:I1241"/>
    <mergeCell ref="F1242:I1242"/>
    <mergeCell ref="F1243:I1243"/>
    <mergeCell ref="F1244:I1244"/>
    <mergeCell ref="F1215:I1215"/>
    <mergeCell ref="F1204:I1204"/>
    <mergeCell ref="F1205:I1205"/>
    <mergeCell ref="F1206:I1206"/>
    <mergeCell ref="F1207:I1207"/>
    <mergeCell ref="F1208:I1208"/>
    <mergeCell ref="F1218:I1218"/>
    <mergeCell ref="F1219:I1219"/>
    <mergeCell ref="F1220:I1220"/>
    <mergeCell ref="F1221:I1221"/>
    <mergeCell ref="F1222:I1222"/>
    <mergeCell ref="F1223:I1223"/>
    <mergeCell ref="F1224:I1224"/>
    <mergeCell ref="F1194:I1194"/>
    <mergeCell ref="F1177:I1177"/>
    <mergeCell ref="F1178:I1178"/>
    <mergeCell ref="F1179:I1179"/>
    <mergeCell ref="F1180:I1180"/>
    <mergeCell ref="F1181:I1181"/>
    <mergeCell ref="F1182:I1182"/>
    <mergeCell ref="F1191:I1191"/>
    <mergeCell ref="F1192:I1192"/>
    <mergeCell ref="F1193:I1193"/>
    <mergeCell ref="F1195:I1195"/>
    <mergeCell ref="F1196:I1196"/>
    <mergeCell ref="F1197:I1197"/>
    <mergeCell ref="F1200:I1200"/>
    <mergeCell ref="F1202:I1202"/>
    <mergeCell ref="F1198:I1198"/>
    <mergeCell ref="F1210:I1210"/>
    <mergeCell ref="F1172:I1172"/>
    <mergeCell ref="F1173:I1173"/>
    <mergeCell ref="F1174:I1174"/>
    <mergeCell ref="F1175:I1175"/>
    <mergeCell ref="F1176:I1176"/>
    <mergeCell ref="F1168:I1168"/>
    <mergeCell ref="F1169:I1169"/>
    <mergeCell ref="F1170:I1170"/>
    <mergeCell ref="F1171:I1171"/>
    <mergeCell ref="F1183:I1183"/>
    <mergeCell ref="F1184:I1184"/>
    <mergeCell ref="F1185:I1185"/>
    <mergeCell ref="F1186:I1186"/>
    <mergeCell ref="F1187:I1187"/>
    <mergeCell ref="F1188:I1188"/>
    <mergeCell ref="F1189:I1189"/>
    <mergeCell ref="F1190:I1190"/>
    <mergeCell ref="F1150:I1150"/>
    <mergeCell ref="F1143:I1143"/>
    <mergeCell ref="F1144:I1144"/>
    <mergeCell ref="F1155:I1155"/>
    <mergeCell ref="F1156:I1156"/>
    <mergeCell ref="F1157:I1157"/>
    <mergeCell ref="F1158:I1158"/>
    <mergeCell ref="F1151:I1151"/>
    <mergeCell ref="F1152:I1152"/>
    <mergeCell ref="F1153:I1153"/>
    <mergeCell ref="F1154:I1154"/>
    <mergeCell ref="F1165:I1165"/>
    <mergeCell ref="F1166:I1166"/>
    <mergeCell ref="F1167:I1167"/>
    <mergeCell ref="F1159:I1159"/>
    <mergeCell ref="F1160:I1160"/>
    <mergeCell ref="F1161:I1161"/>
    <mergeCell ref="F1162:I1162"/>
    <mergeCell ref="F1163:I1163"/>
    <mergeCell ref="F1164:I1164"/>
    <mergeCell ref="F1138:I1138"/>
    <mergeCell ref="F1139:I1139"/>
    <mergeCell ref="F1140:I1140"/>
    <mergeCell ref="F1141:I1141"/>
    <mergeCell ref="F1142:I1142"/>
    <mergeCell ref="F1128:I1128"/>
    <mergeCell ref="F1129:I1129"/>
    <mergeCell ref="F1130:I1130"/>
    <mergeCell ref="F1131:I1131"/>
    <mergeCell ref="F1132:I1132"/>
    <mergeCell ref="F1133:I1133"/>
    <mergeCell ref="F1134:I1134"/>
    <mergeCell ref="F1145:I1145"/>
    <mergeCell ref="F1146:I1146"/>
    <mergeCell ref="F1147:I1147"/>
    <mergeCell ref="F1148:I1148"/>
    <mergeCell ref="F1149:I1149"/>
    <mergeCell ref="F1114:I1114"/>
    <mergeCell ref="F1115:I1115"/>
    <mergeCell ref="F1116:I1116"/>
    <mergeCell ref="F1117:I1117"/>
    <mergeCell ref="F1118:I1118"/>
    <mergeCell ref="F1110:I1110"/>
    <mergeCell ref="F1112:I1112"/>
    <mergeCell ref="F1126:I1126"/>
    <mergeCell ref="F1120:I1120"/>
    <mergeCell ref="F1121:I1121"/>
    <mergeCell ref="F1122:I1122"/>
    <mergeCell ref="F1123:I1123"/>
    <mergeCell ref="F1124:I1124"/>
    <mergeCell ref="F1125:I1125"/>
    <mergeCell ref="F1135:I1135"/>
    <mergeCell ref="F1136:I1136"/>
    <mergeCell ref="F1137:I1137"/>
    <mergeCell ref="F1099:I1099"/>
    <mergeCell ref="F1100:I1100"/>
    <mergeCell ref="F1101:I1101"/>
    <mergeCell ref="F1102:I1102"/>
    <mergeCell ref="F1103:I1103"/>
    <mergeCell ref="F1105:I1105"/>
    <mergeCell ref="F1104:I1104"/>
    <mergeCell ref="F1091:I1091"/>
    <mergeCell ref="F1092:I1092"/>
    <mergeCell ref="F1093:I1093"/>
    <mergeCell ref="F1094:I1094"/>
    <mergeCell ref="F1095:I1095"/>
    <mergeCell ref="F1096:I1096"/>
    <mergeCell ref="F1097:I1097"/>
    <mergeCell ref="F1098:I1098"/>
    <mergeCell ref="F1108:I1108"/>
    <mergeCell ref="F1106:I1106"/>
    <mergeCell ref="F1107:I1107"/>
    <mergeCell ref="F1067:I1067"/>
    <mergeCell ref="F1068:I1068"/>
    <mergeCell ref="F1076:I1076"/>
    <mergeCell ref="F1077:I1077"/>
    <mergeCell ref="F1078:I1078"/>
    <mergeCell ref="F1079:I1079"/>
    <mergeCell ref="F1080:I1080"/>
    <mergeCell ref="F1081:I1081"/>
    <mergeCell ref="F1073:I1073"/>
    <mergeCell ref="F1074:I1074"/>
    <mergeCell ref="F1075:I1075"/>
    <mergeCell ref="F1086:I1086"/>
    <mergeCell ref="F1087:I1087"/>
    <mergeCell ref="F1088:I1088"/>
    <mergeCell ref="F1089:I1089"/>
    <mergeCell ref="F1090:I1090"/>
    <mergeCell ref="F1082:I1082"/>
    <mergeCell ref="F1083:I1083"/>
    <mergeCell ref="F1084:I1084"/>
    <mergeCell ref="F1085:I1085"/>
    <mergeCell ref="F1045:I1045"/>
    <mergeCell ref="F1255:I1255"/>
    <mergeCell ref="F1046:I1046"/>
    <mergeCell ref="F1047:I1047"/>
    <mergeCell ref="F1048:I1048"/>
    <mergeCell ref="F1049:I1049"/>
    <mergeCell ref="F1050:I1050"/>
    <mergeCell ref="F1051:I1051"/>
    <mergeCell ref="F1038:I1038"/>
    <mergeCell ref="F1039:I1039"/>
    <mergeCell ref="F1040:I1040"/>
    <mergeCell ref="F1041:I1041"/>
    <mergeCell ref="F1042:I1042"/>
    <mergeCell ref="F1060:I1060"/>
    <mergeCell ref="F1052:I1052"/>
    <mergeCell ref="F1053:I1053"/>
    <mergeCell ref="F1054:I1054"/>
    <mergeCell ref="F1069:I1069"/>
    <mergeCell ref="F1070:I1070"/>
    <mergeCell ref="F1063:I1063"/>
    <mergeCell ref="F1061:I1061"/>
    <mergeCell ref="F1062:I1062"/>
    <mergeCell ref="F1055:I1055"/>
    <mergeCell ref="F1056:I1056"/>
    <mergeCell ref="F1057:I1057"/>
    <mergeCell ref="F1058:I1058"/>
    <mergeCell ref="F1059:I1059"/>
    <mergeCell ref="F1071:I1071"/>
    <mergeCell ref="F1072:I1072"/>
    <mergeCell ref="F1064:I1064"/>
    <mergeCell ref="F1065:I1065"/>
    <mergeCell ref="F1066:I1066"/>
    <mergeCell ref="F1017:I1017"/>
    <mergeCell ref="F1022:I1022"/>
    <mergeCell ref="F1024:I1024"/>
    <mergeCell ref="F1025:I1025"/>
    <mergeCell ref="F1026:I1026"/>
    <mergeCell ref="F1027:I1027"/>
    <mergeCell ref="F1020:I1020"/>
    <mergeCell ref="F1034:I1034"/>
    <mergeCell ref="F1035:I1035"/>
    <mergeCell ref="F1036:I1036"/>
    <mergeCell ref="F1028:I1028"/>
    <mergeCell ref="F1030:I1030"/>
    <mergeCell ref="F1031:I1031"/>
    <mergeCell ref="F1032:I1032"/>
    <mergeCell ref="F1033:I1033"/>
    <mergeCell ref="F1043:I1043"/>
    <mergeCell ref="F1044:I1044"/>
    <mergeCell ref="F988:I988"/>
    <mergeCell ref="F989:I989"/>
    <mergeCell ref="F990:I990"/>
    <mergeCell ref="F991:I991"/>
    <mergeCell ref="F985:I985"/>
    <mergeCell ref="F986:I986"/>
    <mergeCell ref="F987:I987"/>
    <mergeCell ref="F997:I997"/>
    <mergeCell ref="F998:I998"/>
    <mergeCell ref="F999:I999"/>
    <mergeCell ref="F1000:I1000"/>
    <mergeCell ref="F1001:I1001"/>
    <mergeCell ref="F1002:I1002"/>
    <mergeCell ref="F992:I992"/>
    <mergeCell ref="F993:I993"/>
    <mergeCell ref="F994:I994"/>
    <mergeCell ref="F995:I995"/>
    <mergeCell ref="F996:I996"/>
    <mergeCell ref="F973:I973"/>
    <mergeCell ref="F974:I974"/>
    <mergeCell ref="F965:I965"/>
    <mergeCell ref="F966:I966"/>
    <mergeCell ref="F967:I967"/>
    <mergeCell ref="F968:I968"/>
    <mergeCell ref="F969:I969"/>
    <mergeCell ref="F970:I970"/>
    <mergeCell ref="F979:I979"/>
    <mergeCell ref="F980:I980"/>
    <mergeCell ref="F981:I981"/>
    <mergeCell ref="F982:I982"/>
    <mergeCell ref="F983:I983"/>
    <mergeCell ref="F984:I984"/>
    <mergeCell ref="F975:I975"/>
    <mergeCell ref="F976:I976"/>
    <mergeCell ref="F977:I977"/>
    <mergeCell ref="F978:I978"/>
    <mergeCell ref="F952:I952"/>
    <mergeCell ref="F953:I953"/>
    <mergeCell ref="F954:I954"/>
    <mergeCell ref="F946:I946"/>
    <mergeCell ref="F947:I947"/>
    <mergeCell ref="F963:I963"/>
    <mergeCell ref="F964:I964"/>
    <mergeCell ref="F955:I955"/>
    <mergeCell ref="F956:I956"/>
    <mergeCell ref="F957:I957"/>
    <mergeCell ref="F958:I958"/>
    <mergeCell ref="F959:I959"/>
    <mergeCell ref="F960:I960"/>
    <mergeCell ref="F961:I961"/>
    <mergeCell ref="F962:I962"/>
    <mergeCell ref="F971:I971"/>
    <mergeCell ref="F972:I972"/>
    <mergeCell ref="F933:I933"/>
    <mergeCell ref="F940:I940"/>
    <mergeCell ref="F941:I941"/>
    <mergeCell ref="F942:I942"/>
    <mergeCell ref="F943:I943"/>
    <mergeCell ref="F944:I944"/>
    <mergeCell ref="F945:I945"/>
    <mergeCell ref="F934:I934"/>
    <mergeCell ref="F935:I935"/>
    <mergeCell ref="F936:I936"/>
    <mergeCell ref="F937:I937"/>
    <mergeCell ref="F938:I938"/>
    <mergeCell ref="F939:I939"/>
    <mergeCell ref="F948:I948"/>
    <mergeCell ref="F949:I949"/>
    <mergeCell ref="F950:I950"/>
    <mergeCell ref="F951:I951"/>
    <mergeCell ref="L676:L689"/>
    <mergeCell ref="F396:H396"/>
    <mergeCell ref="F489:H489"/>
    <mergeCell ref="F490:H490"/>
    <mergeCell ref="F491:H491"/>
    <mergeCell ref="F492:H492"/>
    <mergeCell ref="F493:H493"/>
    <mergeCell ref="F494:H494"/>
    <mergeCell ref="F927:I927"/>
    <mergeCell ref="F930:I930"/>
    <mergeCell ref="F932:I932"/>
    <mergeCell ref="F928:I928"/>
    <mergeCell ref="F929:I929"/>
    <mergeCell ref="F931:I931"/>
    <mergeCell ref="L453:L477"/>
    <mergeCell ref="F916:I916"/>
    <mergeCell ref="F695:H695"/>
    <mergeCell ref="L611:L618"/>
    <mergeCell ref="F455:H455"/>
    <mergeCell ref="F456:H456"/>
    <mergeCell ref="F437:H437"/>
    <mergeCell ref="F438:H438"/>
    <mergeCell ref="F439:H439"/>
    <mergeCell ref="F440:H440"/>
    <mergeCell ref="F441:H441"/>
    <mergeCell ref="F442:H442"/>
    <mergeCell ref="F443:H443"/>
    <mergeCell ref="F444:H444"/>
    <mergeCell ref="F445:H445"/>
    <mergeCell ref="F446:H446"/>
    <mergeCell ref="F470:H470"/>
    <mergeCell ref="F447:H447"/>
    <mergeCell ref="V507:AH507"/>
    <mergeCell ref="V478:V502"/>
    <mergeCell ref="V543:V545"/>
    <mergeCell ref="V540:V542"/>
    <mergeCell ref="L427:L449"/>
    <mergeCell ref="L450:L451"/>
    <mergeCell ref="V453:V477"/>
    <mergeCell ref="V427:V451"/>
    <mergeCell ref="V387:V396"/>
    <mergeCell ref="V397:V406"/>
    <mergeCell ref="V407:V416"/>
    <mergeCell ref="V417:V426"/>
    <mergeCell ref="V367:V376"/>
    <mergeCell ref="F619:H619"/>
    <mergeCell ref="L242:L264"/>
    <mergeCell ref="F427:H427"/>
    <mergeCell ref="F428:H428"/>
    <mergeCell ref="F429:H429"/>
    <mergeCell ref="F430:H430"/>
    <mergeCell ref="F271:H271"/>
    <mergeCell ref="F272:H272"/>
    <mergeCell ref="F394:H394"/>
    <mergeCell ref="F395:H395"/>
    <mergeCell ref="F495:H495"/>
    <mergeCell ref="F496:H496"/>
    <mergeCell ref="F497:H497"/>
    <mergeCell ref="F498:H498"/>
    <mergeCell ref="F499:H499"/>
    <mergeCell ref="F562:H562"/>
    <mergeCell ref="F563:H563"/>
    <mergeCell ref="F540:H540"/>
    <mergeCell ref="F547:H547"/>
    <mergeCell ref="E567:E569"/>
    <mergeCell ref="D567:D569"/>
    <mergeCell ref="F614:H614"/>
    <mergeCell ref="F638:H638"/>
    <mergeCell ref="F647:H647"/>
    <mergeCell ref="F655:H655"/>
    <mergeCell ref="F663:H663"/>
    <mergeCell ref="F671:H671"/>
    <mergeCell ref="F651:H651"/>
    <mergeCell ref="F628:H628"/>
    <mergeCell ref="F644:H644"/>
    <mergeCell ref="F621:H621"/>
    <mergeCell ref="F618:H618"/>
    <mergeCell ref="F617:H617"/>
    <mergeCell ref="F643:H643"/>
    <mergeCell ref="F567:H567"/>
    <mergeCell ref="F694:H694"/>
    <mergeCell ref="F683:H683"/>
    <mergeCell ref="F624:H624"/>
    <mergeCell ref="D611:D618"/>
    <mergeCell ref="E611:E618"/>
    <mergeCell ref="F626:H626"/>
    <mergeCell ref="D627:D634"/>
    <mergeCell ref="D635:D642"/>
    <mergeCell ref="D643:D650"/>
    <mergeCell ref="D651:D658"/>
    <mergeCell ref="D659:D666"/>
    <mergeCell ref="D667:D674"/>
    <mergeCell ref="F629:H629"/>
    <mergeCell ref="F627:H627"/>
    <mergeCell ref="F631:H631"/>
    <mergeCell ref="F632:H632"/>
    <mergeCell ref="E387:E396"/>
    <mergeCell ref="E417:E426"/>
    <mergeCell ref="E397:E406"/>
    <mergeCell ref="F431:H431"/>
    <mergeCell ref="F432:H432"/>
    <mergeCell ref="F433:H433"/>
    <mergeCell ref="F434:H434"/>
    <mergeCell ref="F435:H435"/>
    <mergeCell ref="F436:H436"/>
    <mergeCell ref="E377:E386"/>
    <mergeCell ref="D387:D396"/>
    <mergeCell ref="D337:D346"/>
    <mergeCell ref="E337:E346"/>
    <mergeCell ref="D327:D336"/>
    <mergeCell ref="E327:E336"/>
    <mergeCell ref="D357:D366"/>
    <mergeCell ref="E357:E366"/>
    <mergeCell ref="D377:D386"/>
    <mergeCell ref="F382:H382"/>
    <mergeCell ref="F383:H383"/>
    <mergeCell ref="F384:H384"/>
    <mergeCell ref="F385:H385"/>
    <mergeCell ref="F386:H386"/>
    <mergeCell ref="D367:D376"/>
    <mergeCell ref="E367:E376"/>
    <mergeCell ref="D417:D426"/>
    <mergeCell ref="F407:H407"/>
    <mergeCell ref="F397:H397"/>
    <mergeCell ref="F398:H398"/>
    <mergeCell ref="F399:H399"/>
    <mergeCell ref="F400:H400"/>
    <mergeCell ref="F401:H401"/>
    <mergeCell ref="E543:E545"/>
    <mergeCell ref="D543:D545"/>
    <mergeCell ref="E540:E542"/>
    <mergeCell ref="D540:D542"/>
    <mergeCell ref="E537:E539"/>
    <mergeCell ref="D537:D539"/>
    <mergeCell ref="E564:E566"/>
    <mergeCell ref="D564:D566"/>
    <mergeCell ref="E561:E563"/>
    <mergeCell ref="D561:D563"/>
    <mergeCell ref="E558:E560"/>
    <mergeCell ref="D558:D560"/>
    <mergeCell ref="E555:E557"/>
    <mergeCell ref="D555:D557"/>
    <mergeCell ref="F500:H500"/>
    <mergeCell ref="F501:H501"/>
    <mergeCell ref="E478:E502"/>
    <mergeCell ref="F502:H502"/>
    <mergeCell ref="F535:H535"/>
    <mergeCell ref="F537:H537"/>
    <mergeCell ref="F545:H545"/>
    <mergeCell ref="E552:E554"/>
    <mergeCell ref="D1269:D1358"/>
    <mergeCell ref="D1359:D1448"/>
    <mergeCell ref="E1359:E1448"/>
    <mergeCell ref="D1629:D1718"/>
    <mergeCell ref="E1629:E1718"/>
    <mergeCell ref="F548:H548"/>
    <mergeCell ref="F549:H549"/>
    <mergeCell ref="F539:H539"/>
    <mergeCell ref="D552:D554"/>
    <mergeCell ref="D1179:D1268"/>
    <mergeCell ref="E1179:E1268"/>
    <mergeCell ref="D1089:D1178"/>
    <mergeCell ref="F915:I915"/>
    <mergeCell ref="F1464:I1464"/>
    <mergeCell ref="F661:H661"/>
    <mergeCell ref="F662:H662"/>
    <mergeCell ref="D1449:D1538"/>
    <mergeCell ref="E1089:E1178"/>
    <mergeCell ref="F696:H696"/>
    <mergeCell ref="F699:H699"/>
    <mergeCell ref="F691:H691"/>
    <mergeCell ref="F692:H692"/>
    <mergeCell ref="F693:H693"/>
    <mergeCell ref="F924:I924"/>
    <mergeCell ref="F926:I926"/>
    <mergeCell ref="F560:H560"/>
    <mergeCell ref="F555:H555"/>
    <mergeCell ref="E651:E658"/>
    <mergeCell ref="E659:E666"/>
    <mergeCell ref="E667:E674"/>
    <mergeCell ref="E676:E689"/>
    <mergeCell ref="E690:E703"/>
    <mergeCell ref="D453:D477"/>
    <mergeCell ref="E453:E477"/>
    <mergeCell ref="D909:D998"/>
    <mergeCell ref="E909:E998"/>
    <mergeCell ref="D397:D406"/>
    <mergeCell ref="E549:E551"/>
    <mergeCell ref="D549:D551"/>
    <mergeCell ref="E546:E548"/>
    <mergeCell ref="D478:D502"/>
    <mergeCell ref="D546:D548"/>
    <mergeCell ref="D407:D416"/>
    <mergeCell ref="E407:E416"/>
    <mergeCell ref="F478:H478"/>
    <mergeCell ref="F479:H479"/>
    <mergeCell ref="F480:H480"/>
    <mergeCell ref="F481:H481"/>
    <mergeCell ref="F482:H482"/>
    <mergeCell ref="F483:H483"/>
    <mergeCell ref="F484:H484"/>
    <mergeCell ref="F485:H485"/>
    <mergeCell ref="F486:H486"/>
    <mergeCell ref="F487:H487"/>
    <mergeCell ref="F488:H488"/>
    <mergeCell ref="F457:H457"/>
    <mergeCell ref="F458:H458"/>
    <mergeCell ref="F459:H459"/>
    <mergeCell ref="F465:H465"/>
    <mergeCell ref="F466:H466"/>
    <mergeCell ref="F467:H467"/>
    <mergeCell ref="F454:H454"/>
    <mergeCell ref="D427:D451"/>
    <mergeCell ref="E427:E451"/>
    <mergeCell ref="V1720:V1899"/>
    <mergeCell ref="V1900:V2081"/>
    <mergeCell ref="V706:AH706"/>
    <mergeCell ref="V1089:V1178"/>
    <mergeCell ref="V999:V1088"/>
    <mergeCell ref="V909:V998"/>
    <mergeCell ref="F684:H684"/>
    <mergeCell ref="F685:H685"/>
    <mergeCell ref="F686:H686"/>
    <mergeCell ref="F687:H687"/>
    <mergeCell ref="V1269:V1358"/>
    <mergeCell ref="F909:I909"/>
    <mergeCell ref="F910:I910"/>
    <mergeCell ref="F690:H690"/>
    <mergeCell ref="F700:H700"/>
    <mergeCell ref="F701:H701"/>
    <mergeCell ref="V1629:V1718"/>
    <mergeCell ref="V1359:V1448"/>
    <mergeCell ref="F911:I911"/>
    <mergeCell ref="F912:I912"/>
    <mergeCell ref="F913:I913"/>
    <mergeCell ref="F914:I914"/>
    <mergeCell ref="F917:I917"/>
    <mergeCell ref="F918:I918"/>
    <mergeCell ref="V1539:V1628"/>
    <mergeCell ref="F1450:I1450"/>
    <mergeCell ref="F1451:I1451"/>
    <mergeCell ref="F1452:I1452"/>
    <mergeCell ref="F1453:I1453"/>
    <mergeCell ref="F1454:I1454"/>
    <mergeCell ref="F1455:I1455"/>
    <mergeCell ref="F925:I925"/>
    <mergeCell ref="V611:V618"/>
    <mergeCell ref="F697:H697"/>
    <mergeCell ref="F698:H698"/>
    <mergeCell ref="F677:H677"/>
    <mergeCell ref="F678:H678"/>
    <mergeCell ref="F679:H679"/>
    <mergeCell ref="F680:H680"/>
    <mergeCell ref="F681:H681"/>
    <mergeCell ref="F682:H682"/>
    <mergeCell ref="F652:H652"/>
    <mergeCell ref="F653:H653"/>
    <mergeCell ref="F654:H654"/>
    <mergeCell ref="F656:H656"/>
    <mergeCell ref="F668:H668"/>
    <mergeCell ref="V572:AH572"/>
    <mergeCell ref="F610:H610"/>
    <mergeCell ref="F612:H612"/>
    <mergeCell ref="F613:H613"/>
    <mergeCell ref="F620:H620"/>
    <mergeCell ref="V619:V626"/>
    <mergeCell ref="V627:V634"/>
    <mergeCell ref="V635:V642"/>
    <mergeCell ref="V643:V650"/>
    <mergeCell ref="V651:V658"/>
    <mergeCell ref="V659:V666"/>
    <mergeCell ref="V667:V674"/>
    <mergeCell ref="V690:V703"/>
    <mergeCell ref="L651:L658"/>
    <mergeCell ref="L667:L674"/>
    <mergeCell ref="V676:V689"/>
    <mergeCell ref="L627:L634"/>
    <mergeCell ref="L635:L642"/>
    <mergeCell ref="V537:V539"/>
    <mergeCell ref="F538:H538"/>
    <mergeCell ref="V558:V560"/>
    <mergeCell ref="F559:H559"/>
    <mergeCell ref="F552:H552"/>
    <mergeCell ref="V552:V554"/>
    <mergeCell ref="F554:H554"/>
    <mergeCell ref="F558:H558"/>
    <mergeCell ref="V567:V569"/>
    <mergeCell ref="V564:V566"/>
    <mergeCell ref="F565:H565"/>
    <mergeCell ref="V546:V548"/>
    <mergeCell ref="V561:V563"/>
    <mergeCell ref="V549:V551"/>
    <mergeCell ref="F550:H550"/>
    <mergeCell ref="F551:H551"/>
    <mergeCell ref="F553:H553"/>
    <mergeCell ref="F546:H546"/>
    <mergeCell ref="F568:H568"/>
    <mergeCell ref="F569:H569"/>
    <mergeCell ref="F543:H543"/>
    <mergeCell ref="F544:H544"/>
    <mergeCell ref="F541:H541"/>
    <mergeCell ref="V555:V557"/>
    <mergeCell ref="F556:H556"/>
    <mergeCell ref="F557:H557"/>
    <mergeCell ref="L564:L566"/>
    <mergeCell ref="V377:V386"/>
    <mergeCell ref="L387:L396"/>
    <mergeCell ref="F326:H326"/>
    <mergeCell ref="V327:V336"/>
    <mergeCell ref="V290:AH290"/>
    <mergeCell ref="V357:V366"/>
    <mergeCell ref="V337:V346"/>
    <mergeCell ref="V347:V356"/>
    <mergeCell ref="L337:L346"/>
    <mergeCell ref="V126:V148"/>
    <mergeCell ref="V103:V125"/>
    <mergeCell ref="V149:V171"/>
    <mergeCell ref="V172:V194"/>
    <mergeCell ref="V195:V217"/>
    <mergeCell ref="V218:V240"/>
    <mergeCell ref="V242:V264"/>
    <mergeCell ref="V265:V287"/>
    <mergeCell ref="F121:H121"/>
    <mergeCell ref="F122:H122"/>
    <mergeCell ref="F106:H106"/>
    <mergeCell ref="F103:H103"/>
    <mergeCell ref="F377:H377"/>
    <mergeCell ref="F378:H378"/>
    <mergeCell ref="F379:H379"/>
    <mergeCell ref="F380:H380"/>
    <mergeCell ref="F381:H381"/>
    <mergeCell ref="F391:H391"/>
    <mergeCell ref="F392:H392"/>
    <mergeCell ref="F393:H393"/>
    <mergeCell ref="L349:L350"/>
    <mergeCell ref="F376:H376"/>
    <mergeCell ref="F342:H342"/>
    <mergeCell ref="F102:H102"/>
    <mergeCell ref="F107:H107"/>
    <mergeCell ref="F64:H64"/>
    <mergeCell ref="B67:Q67"/>
    <mergeCell ref="F124:H124"/>
    <mergeCell ref="F125:H125"/>
    <mergeCell ref="F115:H115"/>
    <mergeCell ref="D57:D64"/>
    <mergeCell ref="E57:E64"/>
    <mergeCell ref="V67:AH67"/>
    <mergeCell ref="D347:D356"/>
    <mergeCell ref="E347:E356"/>
    <mergeCell ref="F105:H105"/>
    <mergeCell ref="F104:H104"/>
    <mergeCell ref="F116:H116"/>
    <mergeCell ref="F117:H117"/>
    <mergeCell ref="F118:H118"/>
    <mergeCell ref="F119:H119"/>
    <mergeCell ref="F120:H120"/>
    <mergeCell ref="F111:H111"/>
    <mergeCell ref="F112:H112"/>
    <mergeCell ref="F113:H113"/>
    <mergeCell ref="F123:H123"/>
    <mergeCell ref="D265:D287"/>
    <mergeCell ref="E265:E287"/>
    <mergeCell ref="E103:E125"/>
    <mergeCell ref="D103:D125"/>
    <mergeCell ref="L103:L125"/>
    <mergeCell ref="D126:D148"/>
    <mergeCell ref="E126:E148"/>
    <mergeCell ref="D149:D171"/>
    <mergeCell ref="E149:E171"/>
    <mergeCell ref="F50:H50"/>
    <mergeCell ref="F51:H51"/>
    <mergeCell ref="F52:H52"/>
    <mergeCell ref="F48:H48"/>
    <mergeCell ref="F44:H44"/>
    <mergeCell ref="F45:H45"/>
    <mergeCell ref="F46:H46"/>
    <mergeCell ref="F47:H47"/>
    <mergeCell ref="D40:D47"/>
    <mergeCell ref="V40:V47"/>
    <mergeCell ref="E40:E47"/>
    <mergeCell ref="J49:J56"/>
    <mergeCell ref="E49:E56"/>
    <mergeCell ref="D49:D56"/>
    <mergeCell ref="V49:V56"/>
    <mergeCell ref="F53:H53"/>
    <mergeCell ref="F57:H57"/>
    <mergeCell ref="V57:V64"/>
    <mergeCell ref="F54:H54"/>
    <mergeCell ref="F55:H55"/>
    <mergeCell ref="F56:H56"/>
    <mergeCell ref="F49:H49"/>
    <mergeCell ref="F58:H58"/>
    <mergeCell ref="F59:H59"/>
    <mergeCell ref="F60:H60"/>
    <mergeCell ref="F61:H61"/>
    <mergeCell ref="F62:H62"/>
    <mergeCell ref="F63:H63"/>
    <mergeCell ref="A1:O1"/>
    <mergeCell ref="P1:R1"/>
    <mergeCell ref="D2:J2"/>
    <mergeCell ref="F12:H12"/>
    <mergeCell ref="F22:H22"/>
    <mergeCell ref="F23:H23"/>
    <mergeCell ref="V24:V31"/>
    <mergeCell ref="F24:H24"/>
    <mergeCell ref="F25:H25"/>
    <mergeCell ref="F26:H26"/>
    <mergeCell ref="F15:H15"/>
    <mergeCell ref="F16:H16"/>
    <mergeCell ref="F17:H17"/>
    <mergeCell ref="F18:H18"/>
    <mergeCell ref="F19:H19"/>
    <mergeCell ref="F20:H20"/>
    <mergeCell ref="F21:H21"/>
    <mergeCell ref="F31:H31"/>
    <mergeCell ref="F27:H27"/>
    <mergeCell ref="E24:E31"/>
    <mergeCell ref="J24:J31"/>
    <mergeCell ref="F13:H13"/>
    <mergeCell ref="F14:H14"/>
    <mergeCell ref="F28:H28"/>
    <mergeCell ref="F29:H29"/>
    <mergeCell ref="F30:H30"/>
    <mergeCell ref="D13:D20"/>
    <mergeCell ref="E13:E20"/>
    <mergeCell ref="J13:J20"/>
    <mergeCell ref="V13:V20"/>
    <mergeCell ref="D24:D31"/>
    <mergeCell ref="V2170:V2173"/>
    <mergeCell ref="F2170:H2170"/>
    <mergeCell ref="F2171:H2171"/>
    <mergeCell ref="F2172:H2172"/>
    <mergeCell ref="F2173:H2173"/>
    <mergeCell ref="E999:E1088"/>
    <mergeCell ref="E1269:E1358"/>
    <mergeCell ref="F1003:I1003"/>
    <mergeCell ref="F1004:I1004"/>
    <mergeCell ref="F1005:I1005"/>
    <mergeCell ref="F1006:I1006"/>
    <mergeCell ref="F1007:I1007"/>
    <mergeCell ref="F1010:I1010"/>
    <mergeCell ref="F1011:I1011"/>
    <mergeCell ref="F1012:I1012"/>
    <mergeCell ref="F1013:I1013"/>
    <mergeCell ref="F2094:I2094"/>
    <mergeCell ref="E1900:E2081"/>
    <mergeCell ref="E1720:E1899"/>
    <mergeCell ref="F1456:I1456"/>
    <mergeCell ref="F1457:I1457"/>
    <mergeCell ref="F1458:I1458"/>
    <mergeCell ref="F1459:I1459"/>
    <mergeCell ref="F1015:I1015"/>
    <mergeCell ref="F1014:I1014"/>
    <mergeCell ref="E1449:E1538"/>
    <mergeCell ref="V1449:V1538"/>
    <mergeCell ref="E1539:E1628"/>
    <mergeCell ref="F1008:I1008"/>
    <mergeCell ref="F1009:I1009"/>
    <mergeCell ref="F1018:I1018"/>
    <mergeCell ref="F1016:I1016"/>
    <mergeCell ref="V2100:AH2100"/>
    <mergeCell ref="V2176:V2178"/>
    <mergeCell ref="F2178:H2178"/>
    <mergeCell ref="F2177:H2177"/>
    <mergeCell ref="F2174:H2174"/>
    <mergeCell ref="F2183:H2183"/>
    <mergeCell ref="F2184:H2184"/>
    <mergeCell ref="D2187:D2188"/>
    <mergeCell ref="E2187:E2188"/>
    <mergeCell ref="F2187:H2187"/>
    <mergeCell ref="V2187:V2188"/>
    <mergeCell ref="F2188:H2188"/>
    <mergeCell ref="D2179:D2182"/>
    <mergeCell ref="E2179:E2182"/>
    <mergeCell ref="V2179:V2182"/>
    <mergeCell ref="F2179:H2179"/>
    <mergeCell ref="F2180:H2180"/>
    <mergeCell ref="F2181:H2181"/>
    <mergeCell ref="F2182:H2182"/>
    <mergeCell ref="D2184:D2186"/>
    <mergeCell ref="E2184:E2186"/>
    <mergeCell ref="F2186:H2186"/>
    <mergeCell ref="F2185:H2185"/>
    <mergeCell ref="V2184:V2186"/>
    <mergeCell ref="D2166:D2169"/>
    <mergeCell ref="E2166:E2169"/>
    <mergeCell ref="F2166:H2166"/>
    <mergeCell ref="V2166:V2169"/>
    <mergeCell ref="F2167:H2167"/>
    <mergeCell ref="F2175:H2175"/>
    <mergeCell ref="D2176:D2178"/>
    <mergeCell ref="E2176:E2178"/>
    <mergeCell ref="F2176:H2176"/>
    <mergeCell ref="F564:H564"/>
    <mergeCell ref="F676:H676"/>
    <mergeCell ref="F566:H566"/>
    <mergeCell ref="F561:H561"/>
    <mergeCell ref="F660:H660"/>
    <mergeCell ref="F667:H667"/>
    <mergeCell ref="F669:H669"/>
    <mergeCell ref="F670:H670"/>
    <mergeCell ref="F672:H672"/>
    <mergeCell ref="F659:H659"/>
    <mergeCell ref="F664:H664"/>
    <mergeCell ref="F611:H611"/>
    <mergeCell ref="F615:H615"/>
    <mergeCell ref="F616:H616"/>
    <mergeCell ref="F2168:H2168"/>
    <mergeCell ref="F2169:H2169"/>
    <mergeCell ref="F702:H702"/>
    <mergeCell ref="F703:H703"/>
    <mergeCell ref="F688:H688"/>
    <mergeCell ref="F689:H689"/>
    <mergeCell ref="F673:H673"/>
    <mergeCell ref="F674:H674"/>
    <mergeCell ref="F665:H665"/>
    <mergeCell ref="F666:H666"/>
    <mergeCell ref="F657:H657"/>
    <mergeCell ref="F658:H658"/>
    <mergeCell ref="F649:H649"/>
    <mergeCell ref="F650:H650"/>
    <mergeCell ref="F641:H641"/>
    <mergeCell ref="F642:H642"/>
    <mergeCell ref="F633:H633"/>
    <mergeCell ref="D2170:D2173"/>
    <mergeCell ref="E2170:E2173"/>
    <mergeCell ref="D1900:D2081"/>
    <mergeCell ref="D1720:D1899"/>
    <mergeCell ref="D1539:D1628"/>
    <mergeCell ref="D999:D1088"/>
    <mergeCell ref="F675:H675"/>
    <mergeCell ref="F919:I919"/>
    <mergeCell ref="F920:I920"/>
    <mergeCell ref="F921:I921"/>
    <mergeCell ref="F922:I922"/>
    <mergeCell ref="F923:I923"/>
    <mergeCell ref="F469:H469"/>
    <mergeCell ref="F460:H460"/>
    <mergeCell ref="F461:H461"/>
    <mergeCell ref="F462:H462"/>
    <mergeCell ref="F463:H463"/>
    <mergeCell ref="F471:H471"/>
    <mergeCell ref="F472:H472"/>
    <mergeCell ref="F473:H473"/>
    <mergeCell ref="F474:H474"/>
    <mergeCell ref="F475:H475"/>
    <mergeCell ref="F476:H476"/>
    <mergeCell ref="F477:H477"/>
    <mergeCell ref="F542:H542"/>
    <mergeCell ref="F2163:H2163"/>
    <mergeCell ref="F2164:H2164"/>
    <mergeCell ref="F2165:H2165"/>
    <mergeCell ref="F2095:I2095"/>
    <mergeCell ref="D676:D689"/>
    <mergeCell ref="D690:D703"/>
    <mergeCell ref="E643:E650"/>
    <mergeCell ref="F448:H448"/>
    <mergeCell ref="F449:H449"/>
    <mergeCell ref="F450:H450"/>
    <mergeCell ref="F451:H451"/>
    <mergeCell ref="F464:H464"/>
    <mergeCell ref="F422:H422"/>
    <mergeCell ref="F408:H408"/>
    <mergeCell ref="F409:H409"/>
    <mergeCell ref="F410:H410"/>
    <mergeCell ref="F411:H411"/>
    <mergeCell ref="F412:H412"/>
    <mergeCell ref="F413:H413"/>
    <mergeCell ref="F414:H414"/>
    <mergeCell ref="F415:H415"/>
    <mergeCell ref="F416:H416"/>
    <mergeCell ref="F423:H423"/>
    <mergeCell ref="F424:H424"/>
    <mergeCell ref="F425:H425"/>
    <mergeCell ref="F426:H426"/>
    <mergeCell ref="F452:H452"/>
    <mergeCell ref="F453:H453"/>
    <mergeCell ref="F468:H468"/>
    <mergeCell ref="F402:H402"/>
    <mergeCell ref="F403:H403"/>
    <mergeCell ref="F404:H404"/>
    <mergeCell ref="F405:H405"/>
    <mergeCell ref="F406:H406"/>
    <mergeCell ref="F417:H417"/>
    <mergeCell ref="F418:H418"/>
    <mergeCell ref="F419:H419"/>
    <mergeCell ref="F420:H420"/>
    <mergeCell ref="F421:H421"/>
    <mergeCell ref="F387:H387"/>
    <mergeCell ref="F388:H388"/>
    <mergeCell ref="F389:H389"/>
    <mergeCell ref="F390:H390"/>
    <mergeCell ref="F359:H359"/>
    <mergeCell ref="F360:H360"/>
    <mergeCell ref="F361:H361"/>
    <mergeCell ref="F362:H362"/>
    <mergeCell ref="F363:H363"/>
    <mergeCell ref="F364:H364"/>
    <mergeCell ref="F365:H365"/>
    <mergeCell ref="F366:H366"/>
    <mergeCell ref="F367:H367"/>
    <mergeCell ref="F368:H368"/>
    <mergeCell ref="F369:H369"/>
    <mergeCell ref="F370:H370"/>
    <mergeCell ref="F371:H371"/>
    <mergeCell ref="F372:H372"/>
    <mergeCell ref="F373:H373"/>
    <mergeCell ref="F374:H374"/>
    <mergeCell ref="F375:H375"/>
    <mergeCell ref="F343:H343"/>
    <mergeCell ref="F344:H344"/>
    <mergeCell ref="F345:H345"/>
    <mergeCell ref="F346:H346"/>
    <mergeCell ref="F347:H347"/>
    <mergeCell ref="F348:H348"/>
    <mergeCell ref="F349:H349"/>
    <mergeCell ref="F350:H350"/>
    <mergeCell ref="F351:H351"/>
    <mergeCell ref="F352:H352"/>
    <mergeCell ref="F353:H353"/>
    <mergeCell ref="F354:H354"/>
    <mergeCell ref="F355:H355"/>
    <mergeCell ref="F356:H356"/>
    <mergeCell ref="F357:H357"/>
    <mergeCell ref="F358:H358"/>
    <mergeCell ref="F284:H284"/>
    <mergeCell ref="F285:H285"/>
    <mergeCell ref="F327:H327"/>
    <mergeCell ref="F328:H328"/>
    <mergeCell ref="F329:H329"/>
    <mergeCell ref="F330:H330"/>
    <mergeCell ref="F331:H331"/>
    <mergeCell ref="F332:H332"/>
    <mergeCell ref="F333:H333"/>
    <mergeCell ref="F334:H334"/>
    <mergeCell ref="F335:H335"/>
    <mergeCell ref="F336:H336"/>
    <mergeCell ref="F337:H337"/>
    <mergeCell ref="F338:H338"/>
    <mergeCell ref="F339:H339"/>
    <mergeCell ref="F340:H340"/>
    <mergeCell ref="F341:H341"/>
    <mergeCell ref="F286:H286"/>
    <mergeCell ref="F287:H287"/>
    <mergeCell ref="F242:H242"/>
    <mergeCell ref="F243:H243"/>
    <mergeCell ref="F244:H244"/>
    <mergeCell ref="F245:H245"/>
    <mergeCell ref="F246:H246"/>
    <mergeCell ref="F247:H247"/>
    <mergeCell ref="F248:H248"/>
    <mergeCell ref="F249:H249"/>
    <mergeCell ref="F250:H250"/>
    <mergeCell ref="F253:H253"/>
    <mergeCell ref="F254:H254"/>
    <mergeCell ref="F255:H255"/>
    <mergeCell ref="F276:H276"/>
    <mergeCell ref="F262:H262"/>
    <mergeCell ref="F265:H265"/>
    <mergeCell ref="F266:H266"/>
    <mergeCell ref="F267:H267"/>
    <mergeCell ref="F268:H268"/>
    <mergeCell ref="F269:H269"/>
    <mergeCell ref="F270:H270"/>
    <mergeCell ref="F274:H274"/>
    <mergeCell ref="F275:H275"/>
    <mergeCell ref="F273:H273"/>
    <mergeCell ref="F277:H277"/>
    <mergeCell ref="F278:H278"/>
    <mergeCell ref="F279:H279"/>
    <mergeCell ref="F280:H280"/>
    <mergeCell ref="F281:H281"/>
    <mergeCell ref="F282:H282"/>
    <mergeCell ref="F283:H283"/>
    <mergeCell ref="F263:H263"/>
    <mergeCell ref="F264:H264"/>
    <mergeCell ref="F256:H256"/>
    <mergeCell ref="F257:H257"/>
    <mergeCell ref="F258:H258"/>
    <mergeCell ref="F259:H259"/>
    <mergeCell ref="F260:H260"/>
    <mergeCell ref="F261:H261"/>
    <mergeCell ref="F251:H251"/>
    <mergeCell ref="F252:H252"/>
    <mergeCell ref="F238:H238"/>
    <mergeCell ref="F239:H239"/>
    <mergeCell ref="F240:H240"/>
    <mergeCell ref="F229:H229"/>
    <mergeCell ref="F230:H230"/>
    <mergeCell ref="F232:H232"/>
    <mergeCell ref="F233:H233"/>
    <mergeCell ref="F234:H234"/>
    <mergeCell ref="F241:H241"/>
    <mergeCell ref="F235:H235"/>
    <mergeCell ref="F236:H236"/>
    <mergeCell ref="F237:H237"/>
    <mergeCell ref="F231:H231"/>
    <mergeCell ref="F225:H225"/>
    <mergeCell ref="F226:H226"/>
    <mergeCell ref="F227:H227"/>
    <mergeCell ref="F228:H228"/>
    <mergeCell ref="F211:H211"/>
    <mergeCell ref="F202:H202"/>
    <mergeCell ref="F204:H204"/>
    <mergeCell ref="F205:H205"/>
    <mergeCell ref="F206:H206"/>
    <mergeCell ref="F207:H207"/>
    <mergeCell ref="F198:H198"/>
    <mergeCell ref="F199:H199"/>
    <mergeCell ref="F200:H200"/>
    <mergeCell ref="F201:H201"/>
    <mergeCell ref="F212:H212"/>
    <mergeCell ref="F213:H213"/>
    <mergeCell ref="F214:H214"/>
    <mergeCell ref="F209:H209"/>
    <mergeCell ref="F210:H210"/>
    <mergeCell ref="F221:H221"/>
    <mergeCell ref="F190:H190"/>
    <mergeCell ref="F191:H191"/>
    <mergeCell ref="F179:H179"/>
    <mergeCell ref="F175:H175"/>
    <mergeCell ref="F183:H183"/>
    <mergeCell ref="F184:H184"/>
    <mergeCell ref="F185:H185"/>
    <mergeCell ref="F180:H180"/>
    <mergeCell ref="F181:H181"/>
    <mergeCell ref="F182:H182"/>
    <mergeCell ref="F176:H176"/>
    <mergeCell ref="F177:H177"/>
    <mergeCell ref="F178:H178"/>
    <mergeCell ref="F149:H149"/>
    <mergeCell ref="F150:H150"/>
    <mergeCell ref="F151:H151"/>
    <mergeCell ref="F157:H157"/>
    <mergeCell ref="F158:H158"/>
    <mergeCell ref="F159:H159"/>
    <mergeCell ref="F153:H153"/>
    <mergeCell ref="F154:H154"/>
    <mergeCell ref="F155:H155"/>
    <mergeCell ref="F156:H156"/>
    <mergeCell ref="F169:H169"/>
    <mergeCell ref="F170:H170"/>
    <mergeCell ref="F142:H142"/>
    <mergeCell ref="F166:H166"/>
    <mergeCell ref="F167:H167"/>
    <mergeCell ref="F168:H168"/>
    <mergeCell ref="F160:H160"/>
    <mergeCell ref="F161:H161"/>
    <mergeCell ref="F162:H162"/>
    <mergeCell ref="F163:H163"/>
    <mergeCell ref="F164:H164"/>
    <mergeCell ref="F165:H165"/>
    <mergeCell ref="F146:H146"/>
    <mergeCell ref="F147:H147"/>
    <mergeCell ref="F148:H148"/>
    <mergeCell ref="F186:H186"/>
    <mergeCell ref="F187:H187"/>
    <mergeCell ref="F188:H188"/>
    <mergeCell ref="F189:H189"/>
    <mergeCell ref="F640:H640"/>
    <mergeCell ref="F622:H622"/>
    <mergeCell ref="F623:H623"/>
    <mergeCell ref="E627:E634"/>
    <mergeCell ref="E635:E642"/>
    <mergeCell ref="S326:T326"/>
    <mergeCell ref="S334:T334"/>
    <mergeCell ref="D503:D504"/>
    <mergeCell ref="E503:E504"/>
    <mergeCell ref="F503:H503"/>
    <mergeCell ref="F504:H504"/>
    <mergeCell ref="F171:H171"/>
    <mergeCell ref="F152:H152"/>
    <mergeCell ref="F126:H126"/>
    <mergeCell ref="F127:H127"/>
    <mergeCell ref="F128:H128"/>
    <mergeCell ref="F140:H140"/>
    <mergeCell ref="F141:H141"/>
    <mergeCell ref="F143:H143"/>
    <mergeCell ref="F144:H144"/>
    <mergeCell ref="F145:H145"/>
    <mergeCell ref="F134:H134"/>
    <mergeCell ref="F135:H135"/>
    <mergeCell ref="F136:H136"/>
    <mergeCell ref="F137:H137"/>
    <mergeCell ref="F138:H138"/>
    <mergeCell ref="F139:H139"/>
    <mergeCell ref="F129:H129"/>
    <mergeCell ref="F130:H130"/>
    <mergeCell ref="F131:H131"/>
    <mergeCell ref="F132:H132"/>
    <mergeCell ref="F133:H133"/>
    <mergeCell ref="S102:T102"/>
    <mergeCell ref="S535:T535"/>
    <mergeCell ref="S618:T618"/>
    <mergeCell ref="F2092:I2092"/>
    <mergeCell ref="F2093:I2093"/>
    <mergeCell ref="F2088:I2088"/>
    <mergeCell ref="F2089:I2089"/>
    <mergeCell ref="F2090:I2090"/>
    <mergeCell ref="F2091:I2091"/>
    <mergeCell ref="S908:T908"/>
    <mergeCell ref="S916:T916"/>
    <mergeCell ref="D2082:D2095"/>
    <mergeCell ref="E2082:E2095"/>
    <mergeCell ref="F2082:I2082"/>
    <mergeCell ref="F2083:I2083"/>
    <mergeCell ref="F2084:I2084"/>
    <mergeCell ref="F2085:I2085"/>
    <mergeCell ref="F2086:I2086"/>
    <mergeCell ref="F2087:I2087"/>
    <mergeCell ref="F634:H634"/>
    <mergeCell ref="F648:H648"/>
    <mergeCell ref="F636:H636"/>
    <mergeCell ref="D619:D626"/>
    <mergeCell ref="E619:E626"/>
    <mergeCell ref="L619:L626"/>
    <mergeCell ref="F625:H625"/>
    <mergeCell ref="F630:H630"/>
    <mergeCell ref="F645:H645"/>
    <mergeCell ref="F646:H646"/>
    <mergeCell ref="F637:H637"/>
    <mergeCell ref="F635:H635"/>
    <mergeCell ref="F639:H639"/>
    <mergeCell ref="D37:D38"/>
    <mergeCell ref="E37:E38"/>
    <mergeCell ref="F37:H37"/>
    <mergeCell ref="V37:V38"/>
    <mergeCell ref="F38:H38"/>
    <mergeCell ref="F39:H39"/>
    <mergeCell ref="F32:H32"/>
    <mergeCell ref="F33:H33"/>
    <mergeCell ref="F34:H34"/>
    <mergeCell ref="F35:H35"/>
    <mergeCell ref="J35:J36"/>
    <mergeCell ref="F36:H36"/>
    <mergeCell ref="J37:J38"/>
    <mergeCell ref="F40:H40"/>
    <mergeCell ref="F41:H41"/>
    <mergeCell ref="F42:H42"/>
    <mergeCell ref="F43:H43"/>
  </mergeCells>
  <phoneticPr fontId="67" type="noConversion"/>
  <conditionalFormatting sqref="B1:B3 B65:B69 B93:B292 B318:B509 B570:B574 B591:B708 B889:B2102 B2151:B2189">
    <cfRule type="cellIs" dxfId="97" priority="177" operator="equal">
      <formula>"x"</formula>
    </cfRule>
  </conditionalFormatting>
  <conditionalFormatting sqref="D93">
    <cfRule type="cellIs" dxfId="96" priority="82" operator="equal">
      <formula>"x"</formula>
    </cfRule>
  </conditionalFormatting>
  <conditionalFormatting sqref="D318">
    <cfRule type="cellIs" dxfId="95" priority="81" operator="equal">
      <formula>"x"</formula>
    </cfRule>
  </conditionalFormatting>
  <conditionalFormatting sqref="D516">
    <cfRule type="cellIs" dxfId="94" priority="80" operator="equal">
      <formula>"x"</formula>
    </cfRule>
  </conditionalFormatting>
  <conditionalFormatting sqref="D591">
    <cfRule type="cellIs" dxfId="93" priority="79" operator="equal">
      <formula>"x"</formula>
    </cfRule>
  </conditionalFormatting>
  <conditionalFormatting sqref="D889">
    <cfRule type="cellIs" dxfId="92" priority="78" operator="equal">
      <formula>"x"</formula>
    </cfRule>
  </conditionalFormatting>
  <conditionalFormatting sqref="D2151">
    <cfRule type="cellIs" dxfId="91" priority="84" operator="equal">
      <formula>"x"</formula>
    </cfRule>
  </conditionalFormatting>
  <conditionalFormatting sqref="J676:J689">
    <cfRule type="cellIs" dxfId="90" priority="70" operator="equal">
      <formula>"x"</formula>
    </cfRule>
  </conditionalFormatting>
  <conditionalFormatting sqref="Y1089:AA1178">
    <cfRule type="cellIs" dxfId="89" priority="146" operator="equal">
      <formula>5.44</formula>
    </cfRule>
  </conditionalFormatting>
  <conditionalFormatting sqref="AA675">
    <cfRule type="cellIs" dxfId="88" priority="145" operator="notEqual">
      <formula>Z675</formula>
    </cfRule>
  </conditionalFormatting>
  <conditionalFormatting sqref="AF13:AF64 AF70:AF92 AF103:AF287 AF293:AF317 AF327:AF502 AF510:AF515 AF537:AF569 AF709:AF888 AF909:AF2081 AF2103:AF2150 AF2164:AF2188">
    <cfRule type="expression" dxfId="87" priority="2">
      <formula>AND(AF13=AE13,AE13&lt;&gt;"")</formula>
    </cfRule>
    <cfRule type="expression" dxfId="86" priority="3">
      <formula>AF13&lt;&gt;AE13</formula>
    </cfRule>
  </conditionalFormatting>
  <conditionalFormatting sqref="AF575:AF590">
    <cfRule type="expression" dxfId="85" priority="22">
      <formula>AND(AF575=AE575,AE575&lt;&gt;"")</formula>
    </cfRule>
    <cfRule type="expression" dxfId="84" priority="23">
      <formula>AF575&lt;&gt;AE575</formula>
    </cfRule>
  </conditionalFormatting>
  <conditionalFormatting sqref="AF611:AF703">
    <cfRule type="expression" dxfId="83" priority="24">
      <formula>AND(AF611=AE611,AE611&lt;&gt;"")</formula>
    </cfRule>
    <cfRule type="expression" dxfId="82" priority="25">
      <formula>AF611&lt;&gt;AE611</formula>
    </cfRule>
  </conditionalFormatting>
  <conditionalFormatting sqref="AH70:AH92 AH293:AI317 AH709:AH888">
    <cfRule type="cellIs" dxfId="81" priority="186" operator="lessThan">
      <formula>-0.1</formula>
    </cfRule>
    <cfRule type="cellIs" dxfId="80" priority="187" operator="greaterThan">
      <formula>0.1</formula>
    </cfRule>
  </conditionalFormatting>
  <conditionalFormatting sqref="AH575:AI590">
    <cfRule type="cellIs" dxfId="79" priority="180" operator="lessThan">
      <formula>-0.1</formula>
    </cfRule>
    <cfRule type="cellIs" dxfId="78" priority="181" operator="greaterThan">
      <formula>0.1</formula>
    </cfRule>
  </conditionalFormatting>
  <pageMargins left="0.25" right="0.25" top="0.75" bottom="0.75" header="0.3" footer="0.3"/>
  <pageSetup scale="39" fitToHeight="0" orientation="landscape" r:id="rId1"/>
  <rowBreaks count="1" manualBreakCount="1">
    <brk id="570" max="17"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tabColor rgb="FFFF9999"/>
    <pageSetUpPr fitToPage="1"/>
  </sheetPr>
  <dimension ref="A1:DJ1016"/>
  <sheetViews>
    <sheetView zoomScale="70" zoomScaleNormal="70" workbookViewId="0">
      <selection sqref="A1:O1"/>
    </sheetView>
  </sheetViews>
  <sheetFormatPr defaultColWidth="9.28515625" defaultRowHeight="15" outlineLevelRow="1" x14ac:dyDescent="0.25"/>
  <cols>
    <col min="1" max="1" width="4.28515625" style="270" customWidth="1"/>
    <col min="2" max="2" width="9.28515625" style="270"/>
    <col min="3" max="3" width="20.5703125" style="268" customWidth="1"/>
    <col min="4" max="4" width="18" style="127" customWidth="1"/>
    <col min="5" max="5" width="67.5703125" style="127" customWidth="1"/>
    <col min="6" max="6" width="30" style="270" customWidth="1"/>
    <col min="7" max="7" width="21.5703125" style="270" customWidth="1"/>
    <col min="8" max="8" width="22.5703125" style="270" customWidth="1"/>
    <col min="9" max="9" width="17.28515625" style="270" customWidth="1"/>
    <col min="10" max="10" width="16.28515625" style="270" customWidth="1"/>
    <col min="11" max="11" width="12.28515625" style="270" customWidth="1"/>
    <col min="12" max="12" width="15.42578125" style="270" customWidth="1"/>
    <col min="13" max="13" width="14.42578125" style="270" customWidth="1"/>
    <col min="14" max="14" width="13.7109375" style="270" customWidth="1"/>
    <col min="15" max="15" width="11" style="270" customWidth="1"/>
    <col min="16" max="16" width="13.7109375" style="270" customWidth="1"/>
    <col min="17" max="17" width="9.42578125" style="270" customWidth="1"/>
    <col min="18" max="18" width="17.42578125" style="270" customWidth="1"/>
    <col min="19" max="19" width="1.28515625" style="270" customWidth="1"/>
    <col min="20" max="20" width="9.28515625" style="270" customWidth="1"/>
    <col min="21" max="21" width="22.7109375" style="270" customWidth="1"/>
    <col min="22" max="22" width="32.28515625" style="260" customWidth="1"/>
    <col min="23" max="23" width="13.5703125" style="260" customWidth="1"/>
    <col min="24" max="24" width="17" style="260" customWidth="1"/>
    <col min="25" max="25" width="19.5703125" style="271" customWidth="1"/>
    <col min="26" max="26" width="15.7109375" style="260" bestFit="1" customWidth="1"/>
    <col min="27" max="27" width="13.42578125" style="260" customWidth="1"/>
    <col min="28" max="28" width="18" style="260" bestFit="1" customWidth="1"/>
    <col min="29" max="29" width="17.28515625" style="260" bestFit="1" customWidth="1"/>
    <col min="30" max="31" width="14.7109375" style="260" bestFit="1" customWidth="1"/>
    <col min="32" max="32" width="18.28515625" style="260" bestFit="1" customWidth="1"/>
    <col min="33" max="33" width="13.42578125" style="260" customWidth="1"/>
    <col min="34" max="34" width="9.28515625" style="260" customWidth="1"/>
    <col min="35" max="35" width="13.5703125" style="260" customWidth="1"/>
    <col min="36" max="36" width="19.42578125" style="260" customWidth="1"/>
    <col min="37" max="41" width="17.7109375" style="260" bestFit="1" customWidth="1"/>
    <col min="42" max="45" width="13.5703125" style="260" customWidth="1"/>
    <col min="46" max="46" width="9.28515625" style="260" customWidth="1"/>
    <col min="47" max="47" width="16.28515625" style="260" bestFit="1" customWidth="1"/>
    <col min="48" max="48" width="16.7109375" style="260" bestFit="1" customWidth="1"/>
    <col min="49" max="110" width="9.28515625" style="260" customWidth="1"/>
    <col min="111" max="111" width="15" style="528" customWidth="1"/>
    <col min="112" max="112" width="30.28515625" style="270" customWidth="1"/>
    <col min="113" max="113" width="14.28515625" style="270" customWidth="1"/>
    <col min="114" max="114" width="14.28515625" style="1059" customWidth="1"/>
    <col min="115" max="115" width="9.28515625" style="260"/>
    <col min="116" max="116" width="14.42578125" style="260" bestFit="1" customWidth="1"/>
    <col min="117" max="118" width="16.7109375" style="260" bestFit="1" customWidth="1"/>
    <col min="119" max="119" width="15.42578125" style="260" bestFit="1" customWidth="1"/>
    <col min="120" max="120" width="14.42578125" style="260" bestFit="1" customWidth="1"/>
    <col min="121" max="121" width="16.7109375" style="260" bestFit="1" customWidth="1"/>
    <col min="122" max="126" width="14.42578125" style="260" bestFit="1" customWidth="1"/>
    <col min="127" max="16384" width="9.28515625" style="260"/>
  </cols>
  <sheetData>
    <row r="1" spans="1:114" s="2" customFormat="1" ht="18.75" x14ac:dyDescent="0.3">
      <c r="A1" s="2098" t="s">
        <v>1443</v>
      </c>
      <c r="B1" s="2132"/>
      <c r="C1" s="2133"/>
      <c r="D1" s="2132"/>
      <c r="E1" s="2132"/>
      <c r="F1" s="2132"/>
      <c r="G1" s="2132"/>
      <c r="H1" s="2132"/>
      <c r="I1" s="2132"/>
      <c r="J1" s="2132"/>
      <c r="K1" s="2132"/>
      <c r="L1" s="2132"/>
      <c r="M1" s="2132"/>
      <c r="N1" s="2132"/>
      <c r="O1" s="2132"/>
      <c r="P1" s="2190"/>
      <c r="Q1" s="2147"/>
      <c r="R1" s="2147"/>
      <c r="S1" s="1290"/>
      <c r="T1" s="252"/>
      <c r="U1" s="252"/>
      <c r="V1" s="3"/>
      <c r="W1" s="4"/>
      <c r="X1" s="4"/>
      <c r="Y1" s="1401"/>
      <c r="Z1" s="5"/>
      <c r="AA1" s="5"/>
      <c r="AB1" s="5"/>
      <c r="AC1" s="5"/>
      <c r="AD1" s="5"/>
      <c r="AE1" s="5"/>
      <c r="AF1" s="5"/>
      <c r="AG1" s="5"/>
      <c r="AH1" s="5"/>
      <c r="DG1" s="774"/>
      <c r="DH1" s="252"/>
      <c r="DI1" s="252"/>
      <c r="DJ1" s="1116"/>
    </row>
    <row r="2" spans="1:114" s="2" customFormat="1" ht="30" hidden="1" customHeight="1" outlineLevel="1" x14ac:dyDescent="0.35">
      <c r="A2" s="252"/>
      <c r="B2" s="446"/>
      <c r="C2" s="58"/>
      <c r="D2" s="2079" t="s">
        <v>39</v>
      </c>
      <c r="E2" s="2101"/>
      <c r="F2" s="2102"/>
      <c r="G2" s="2102"/>
      <c r="H2" s="2102"/>
      <c r="I2" s="2102"/>
      <c r="J2" s="2102"/>
      <c r="K2" s="251"/>
      <c r="L2" s="251"/>
      <c r="M2" s="252"/>
      <c r="N2" s="252"/>
      <c r="O2" s="252"/>
      <c r="P2" s="252"/>
      <c r="Q2" s="252"/>
      <c r="R2" s="252"/>
      <c r="S2" s="252"/>
      <c r="T2" s="252"/>
      <c r="U2" s="252"/>
      <c r="Y2" s="21"/>
      <c r="DG2" s="774"/>
      <c r="DH2" s="252"/>
      <c r="DI2" s="252"/>
      <c r="DJ2" s="1116"/>
    </row>
    <row r="3" spans="1:114" s="2" customFormat="1" ht="33.75" customHeight="1" collapsed="1" x14ac:dyDescent="0.25">
      <c r="A3" s="252"/>
      <c r="B3" s="252"/>
      <c r="C3" s="59"/>
      <c r="D3" s="60"/>
      <c r="E3" s="60"/>
      <c r="F3" s="59"/>
      <c r="G3" s="59"/>
      <c r="H3" s="59"/>
      <c r="I3" s="59"/>
      <c r="J3" s="59"/>
      <c r="K3" s="252"/>
      <c r="L3" s="252"/>
      <c r="M3" s="252"/>
      <c r="N3" s="252"/>
      <c r="O3" s="252"/>
      <c r="P3" s="252"/>
      <c r="Q3" s="252"/>
      <c r="R3" s="252"/>
      <c r="S3" s="252"/>
      <c r="T3" s="252"/>
      <c r="U3" s="252"/>
      <c r="Y3" s="21"/>
      <c r="DG3" s="774"/>
      <c r="DH3" s="252"/>
      <c r="DI3" s="252"/>
      <c r="DJ3" s="1116"/>
    </row>
    <row r="4" spans="1:114" x14ac:dyDescent="0.25">
      <c r="B4" s="2247" t="s">
        <v>1444</v>
      </c>
      <c r="C4" s="2247"/>
      <c r="D4" s="2247"/>
      <c r="E4" s="2247"/>
      <c r="F4" s="2247"/>
      <c r="G4" s="2247"/>
      <c r="H4" s="2247"/>
      <c r="I4" s="2247"/>
      <c r="J4" s="2247"/>
      <c r="K4" s="2247"/>
      <c r="L4" s="2247"/>
      <c r="M4" s="2247"/>
      <c r="N4" s="2248"/>
      <c r="O4" s="2248"/>
      <c r="P4" s="2248"/>
      <c r="Q4" s="2248"/>
      <c r="R4" s="2248"/>
      <c r="V4" s="2103" t="str">
        <f>B4</f>
        <v>AC Tune-Up</v>
      </c>
      <c r="W4" s="2104"/>
      <c r="X4" s="2104"/>
      <c r="Y4" s="2104"/>
      <c r="Z4" s="2104"/>
      <c r="AA4" s="2104"/>
      <c r="AB4" s="2104"/>
      <c r="AC4" s="2106"/>
      <c r="AD4" s="2106"/>
      <c r="AE4" s="2106"/>
      <c r="AF4" s="2106"/>
      <c r="AG4" s="2106"/>
      <c r="AH4" s="2106"/>
      <c r="AI4" s="2107"/>
      <c r="DI4" s="252"/>
    </row>
    <row r="5" spans="1:114" x14ac:dyDescent="0.25">
      <c r="B5" s="561"/>
      <c r="D5" s="100" t="s">
        <v>1445</v>
      </c>
      <c r="E5" s="565"/>
      <c r="F5" s="269"/>
      <c r="G5" s="269"/>
      <c r="H5" s="269"/>
      <c r="I5" s="269"/>
      <c r="J5" s="269"/>
      <c r="K5" s="269"/>
      <c r="L5" s="566"/>
      <c r="DI5" s="252"/>
    </row>
    <row r="6" spans="1:114" ht="30" x14ac:dyDescent="0.25">
      <c r="B6" s="561"/>
      <c r="C6" s="1300" t="s">
        <v>42</v>
      </c>
      <c r="D6" s="1300" t="s">
        <v>594</v>
      </c>
      <c r="E6" s="1300" t="s">
        <v>44</v>
      </c>
      <c r="F6" s="1300" t="s">
        <v>45</v>
      </c>
      <c r="G6" s="1300" t="s">
        <v>46</v>
      </c>
      <c r="H6" s="1300" t="s">
        <v>47</v>
      </c>
      <c r="I6" s="1300" t="s">
        <v>48</v>
      </c>
      <c r="J6" s="1312" t="s">
        <v>49</v>
      </c>
      <c r="K6" s="1300" t="s">
        <v>50</v>
      </c>
      <c r="L6" s="1300" t="s">
        <v>51</v>
      </c>
      <c r="V6" s="648" t="s">
        <v>52</v>
      </c>
      <c r="W6" s="649">
        <v>43252</v>
      </c>
      <c r="X6" s="649">
        <v>43465</v>
      </c>
      <c r="Y6" s="110">
        <v>43800</v>
      </c>
      <c r="Z6" s="649">
        <v>43862</v>
      </c>
      <c r="AA6" s="649">
        <v>44013</v>
      </c>
      <c r="AB6" s="649">
        <v>44166</v>
      </c>
      <c r="AC6" s="649">
        <v>44531</v>
      </c>
      <c r="AD6" s="166">
        <v>44774</v>
      </c>
      <c r="AE6" s="649">
        <v>45139</v>
      </c>
      <c r="AF6" s="649">
        <f>'Deemed Savings Tbl Revision Log'!C17</f>
        <v>45672</v>
      </c>
      <c r="AG6" s="649" t="s">
        <v>53</v>
      </c>
      <c r="DG6" s="1018" t="s">
        <v>54</v>
      </c>
      <c r="DH6" s="12" t="s">
        <v>55</v>
      </c>
      <c r="DI6" s="1033" t="s">
        <v>56</v>
      </c>
      <c r="DJ6" s="1126" t="s">
        <v>57</v>
      </c>
    </row>
    <row r="7" spans="1:114" x14ac:dyDescent="0.25">
      <c r="B7" s="1384">
        <f t="shared" ref="B7:B9" si="0">VALUE(LEFT(C7,6))</f>
        <v>400150</v>
      </c>
      <c r="C7" s="332" t="s">
        <v>1446</v>
      </c>
      <c r="D7" s="537" t="s">
        <v>825</v>
      </c>
      <c r="E7" s="80" t="s">
        <v>1447</v>
      </c>
      <c r="F7" s="558">
        <f>ROUND(($G$16*$G$17*(1/$G$19-1/$G$21)/$G$23),2)</f>
        <v>591.36</v>
      </c>
      <c r="G7" s="537" t="s">
        <v>688</v>
      </c>
      <c r="H7" s="66">
        <f>VLOOKUP(G7,'CP FACTORS'!$A$3:$B$38, 2, FALSE)</f>
        <v>9.4741810000000004E-4</v>
      </c>
      <c r="I7" s="536">
        <f t="shared" ref="I7" si="1">ROUND(F7*H7,6)</f>
        <v>0.56026500000000001</v>
      </c>
      <c r="J7" s="254">
        <f>$G$24</f>
        <v>2</v>
      </c>
      <c r="K7" s="255">
        <f>G25</f>
        <v>81</v>
      </c>
      <c r="L7" s="783" t="s">
        <v>62</v>
      </c>
      <c r="R7" s="521"/>
      <c r="V7" s="342" t="s">
        <v>45</v>
      </c>
      <c r="W7" s="369">
        <v>594.39336108275074</v>
      </c>
      <c r="X7" s="256">
        <v>594.39336108275074</v>
      </c>
      <c r="Y7" s="257">
        <v>594.39</v>
      </c>
      <c r="Z7" s="257">
        <v>594.39</v>
      </c>
      <c r="AA7" s="257">
        <v>594.39</v>
      </c>
      <c r="AB7" s="257">
        <v>594.39</v>
      </c>
      <c r="AC7" s="257">
        <v>586.71</v>
      </c>
      <c r="AD7" s="258">
        <v>594.87</v>
      </c>
      <c r="AE7" s="258">
        <v>592.23</v>
      </c>
      <c r="AF7" s="258">
        <f t="shared" ref="AF7:AF9" si="2">IF(F7&lt;&gt;"",F7,"")</f>
        <v>591.36</v>
      </c>
      <c r="AG7" s="342"/>
      <c r="AK7" s="344"/>
      <c r="DG7" s="1021">
        <f t="shared" ref="DG7" si="3">(DI7)/(DJ7)</f>
        <v>2.7298468751364671</v>
      </c>
      <c r="DH7" s="653" t="str">
        <f t="shared" ref="DH7" si="4">CONCATENATE(G7," ",J7," Year EUL")</f>
        <v>Cooling RES 2 Year EUL</v>
      </c>
      <c r="DI7" s="538">
        <f>(INDEX('Avoided Cost Benefits'!$B$4:$B$865,MATCH(DH7,'Avoided Cost Benefits'!$A$4:$A$865,0)))*F7</f>
        <v>221.11759688605383</v>
      </c>
      <c r="DJ7" s="1952">
        <f t="shared" ref="DJ7:DJ9" si="5">IFERROR(K7/((1+DiscountRate)^(CurrentYear-DiscountYear)),0)</f>
        <v>81</v>
      </c>
    </row>
    <row r="8" spans="1:114" s="1387" customFormat="1" x14ac:dyDescent="0.25">
      <c r="A8" s="270"/>
      <c r="B8" s="1384">
        <f t="shared" si="0"/>
        <v>400410</v>
      </c>
      <c r="C8" s="1375" t="s">
        <v>1448</v>
      </c>
      <c r="D8" s="1375" t="s">
        <v>825</v>
      </c>
      <c r="E8" s="1306" t="s">
        <v>1449</v>
      </c>
      <c r="F8" s="1375">
        <f>ROUND(G16*G17*(1/G$20-1/G$22)/G23,2)</f>
        <v>368.11</v>
      </c>
      <c r="G8" s="1375" t="s">
        <v>688</v>
      </c>
      <c r="H8" s="891">
        <f>VLOOKUP(G8,'CP FACTORS'!$A$3:$B$38, 2, FALSE)</f>
        <v>9.4741810000000004E-4</v>
      </c>
      <c r="I8" s="1375">
        <f>ROUND(F8*H8,6)</f>
        <v>0.34875400000000001</v>
      </c>
      <c r="J8" s="892">
        <f>$G$24</f>
        <v>2</v>
      </c>
      <c r="K8" s="146">
        <f>G26</f>
        <v>185</v>
      </c>
      <c r="L8" s="1375" t="s">
        <v>62</v>
      </c>
      <c r="M8" s="270"/>
      <c r="N8" s="270"/>
      <c r="O8" s="270"/>
      <c r="P8" s="270"/>
      <c r="Q8" s="270"/>
      <c r="R8" s="270"/>
      <c r="S8" s="270"/>
      <c r="T8" s="270"/>
      <c r="U8" s="270"/>
      <c r="V8" s="1307" t="s">
        <v>45</v>
      </c>
      <c r="W8" s="1422"/>
      <c r="X8" s="811"/>
      <c r="Y8" s="812"/>
      <c r="Z8" s="812"/>
      <c r="AA8" s="812"/>
      <c r="AB8" s="812"/>
      <c r="AC8" s="257">
        <v>365.21</v>
      </c>
      <c r="AD8" s="101">
        <v>370.29</v>
      </c>
      <c r="AE8" s="101">
        <v>368.65</v>
      </c>
      <c r="AF8" s="258">
        <f t="shared" si="2"/>
        <v>368.11</v>
      </c>
      <c r="AG8" s="342"/>
      <c r="AH8" s="260"/>
      <c r="DG8" s="1021">
        <f>(DI8)/(DJ8)</f>
        <v>0.744007387366595</v>
      </c>
      <c r="DH8" s="653" t="str">
        <f>CONCATENATE(G8," ",J8," Year EUL")</f>
        <v>Cooling RES 2 Year EUL</v>
      </c>
      <c r="DI8" s="538">
        <f>(INDEX('Avoided Cost Benefits'!$B$4:$B$865,MATCH(DH8,'Avoided Cost Benefits'!$A$4:$A$865,0)))*F8</f>
        <v>137.64136666282008</v>
      </c>
      <c r="DJ8" s="1952">
        <f t="shared" si="5"/>
        <v>185</v>
      </c>
    </row>
    <row r="9" spans="1:114" s="1387" customFormat="1" x14ac:dyDescent="0.25">
      <c r="A9" s="270"/>
      <c r="B9" s="1384">
        <f t="shared" si="0"/>
        <v>400411</v>
      </c>
      <c r="C9" s="1375" t="s">
        <v>1450</v>
      </c>
      <c r="D9" s="1375" t="s">
        <v>600</v>
      </c>
      <c r="E9" s="1306" t="s">
        <v>1451</v>
      </c>
      <c r="F9" s="1375">
        <f>ROUND(G16*G18*(1/G$20-1/G$22)/G23,2)</f>
        <v>239.27</v>
      </c>
      <c r="G9" s="1375" t="s">
        <v>688</v>
      </c>
      <c r="H9" s="891">
        <f>VLOOKUP(G9,'CP FACTORS'!$A$3:$B$38, 2, FALSE)</f>
        <v>9.4741810000000004E-4</v>
      </c>
      <c r="I9" s="1375">
        <f>ROUND(F9*H9,6)</f>
        <v>0.226689</v>
      </c>
      <c r="J9" s="892">
        <f>$G$24</f>
        <v>2</v>
      </c>
      <c r="K9" s="146">
        <f>G27</f>
        <v>185</v>
      </c>
      <c r="L9" s="1375" t="s">
        <v>62</v>
      </c>
      <c r="M9" s="270"/>
      <c r="N9" s="270"/>
      <c r="O9" s="270"/>
      <c r="P9" s="270"/>
      <c r="Q9" s="270"/>
      <c r="R9" s="270"/>
      <c r="S9" s="270"/>
      <c r="T9" s="270"/>
      <c r="U9" s="270"/>
      <c r="V9" s="1307" t="s">
        <v>45</v>
      </c>
      <c r="W9" s="1422"/>
      <c r="X9" s="811"/>
      <c r="Y9" s="812"/>
      <c r="Z9" s="812"/>
      <c r="AA9" s="812"/>
      <c r="AB9" s="812"/>
      <c r="AC9" s="257">
        <v>237.39</v>
      </c>
      <c r="AD9" s="101">
        <v>240.69</v>
      </c>
      <c r="AE9" s="101">
        <v>239.62</v>
      </c>
      <c r="AF9" s="258">
        <f t="shared" si="2"/>
        <v>239.27</v>
      </c>
      <c r="AG9" s="342"/>
      <c r="AH9" s="260"/>
      <c r="DG9" s="1021">
        <f>(DI9)/(DJ9)</f>
        <v>0.48360177005570398</v>
      </c>
      <c r="DH9" s="653" t="str">
        <f>CONCATENATE(G9," ",J9," Year EUL")</f>
        <v>Cooling RES 2 Year EUL</v>
      </c>
      <c r="DI9" s="538">
        <f>(INDEX('Avoided Cost Benefits'!$B$4:$B$865,MATCH(DH9,'Avoided Cost Benefits'!$A$4:$A$865,0)))*F9</f>
        <v>89.466327460305237</v>
      </c>
      <c r="DJ9" s="1952">
        <f t="shared" si="5"/>
        <v>185</v>
      </c>
    </row>
    <row r="10" spans="1:114" hidden="1" outlineLevel="1" x14ac:dyDescent="0.25">
      <c r="B10" s="561"/>
      <c r="C10" s="62"/>
      <c r="D10" s="74" t="s">
        <v>94</v>
      </c>
      <c r="E10" s="127" t="s">
        <v>1452</v>
      </c>
      <c r="F10" s="69"/>
      <c r="G10" s="64"/>
      <c r="H10" s="64"/>
      <c r="I10" s="64"/>
      <c r="J10" s="64"/>
      <c r="V10" s="73"/>
      <c r="W10" s="73"/>
      <c r="X10" s="73"/>
      <c r="Y10" s="370"/>
      <c r="Z10" s="73"/>
      <c r="AA10" s="73"/>
      <c r="AB10" s="73"/>
      <c r="AC10" s="73"/>
      <c r="AD10" s="73"/>
      <c r="AE10" s="73"/>
      <c r="AF10" s="73"/>
      <c r="AG10" s="73"/>
      <c r="AK10" s="344"/>
    </row>
    <row r="11" spans="1:114" ht="30" hidden="1" outlineLevel="1" x14ac:dyDescent="0.25">
      <c r="B11" s="561"/>
      <c r="C11" s="62"/>
      <c r="D11" s="74" t="s">
        <v>604</v>
      </c>
      <c r="E11" s="96" t="s">
        <v>1453</v>
      </c>
      <c r="F11" s="559"/>
      <c r="G11" s="64"/>
      <c r="H11" s="64"/>
      <c r="I11" s="64"/>
      <c r="J11" s="64"/>
      <c r="V11" s="73"/>
      <c r="W11" s="73"/>
      <c r="X11" s="73"/>
      <c r="Y11" s="370"/>
      <c r="Z11" s="73"/>
      <c r="AA11" s="73"/>
      <c r="AB11" s="73"/>
      <c r="AC11" s="73"/>
      <c r="AD11" s="73"/>
      <c r="AE11" s="73"/>
      <c r="AF11" s="73"/>
      <c r="AG11" s="73"/>
      <c r="AK11" s="344"/>
    </row>
    <row r="12" spans="1:114" hidden="1" outlineLevel="1" x14ac:dyDescent="0.25">
      <c r="B12" s="561"/>
      <c r="C12" s="62"/>
      <c r="D12" s="1379"/>
      <c r="E12" s="143" t="s">
        <v>1454</v>
      </c>
      <c r="F12" s="559"/>
      <c r="G12" s="64"/>
      <c r="H12" s="64"/>
      <c r="I12" s="64"/>
      <c r="J12" s="64"/>
      <c r="K12" s="64"/>
      <c r="L12" s="64"/>
      <c r="V12" s="73"/>
      <c r="W12" s="73"/>
      <c r="X12" s="73"/>
      <c r="Y12" s="370"/>
      <c r="Z12" s="73"/>
      <c r="AA12" s="73"/>
      <c r="AB12" s="73"/>
      <c r="AC12" s="73"/>
      <c r="AD12" s="73"/>
      <c r="AE12" s="73"/>
      <c r="AF12" s="73"/>
      <c r="AG12" s="73"/>
      <c r="AK12" s="344"/>
    </row>
    <row r="13" spans="1:114" ht="15" hidden="1" customHeight="1" outlineLevel="1" x14ac:dyDescent="0.25">
      <c r="B13" s="561"/>
      <c r="C13" s="62"/>
      <c r="D13" s="1379"/>
      <c r="E13" s="96" t="s">
        <v>709</v>
      </c>
      <c r="F13" s="559"/>
      <c r="G13" s="64"/>
      <c r="H13" s="64"/>
      <c r="I13" s="64"/>
      <c r="J13" s="64"/>
      <c r="K13" s="64"/>
      <c r="L13" s="64"/>
      <c r="AK13" s="344"/>
    </row>
    <row r="14" spans="1:114" ht="15" hidden="1" customHeight="1" outlineLevel="1" x14ac:dyDescent="0.25">
      <c r="B14" s="561"/>
      <c r="C14" s="62"/>
      <c r="D14" s="63"/>
      <c r="E14" s="63"/>
      <c r="F14" s="64"/>
      <c r="G14" s="64"/>
      <c r="H14" s="64"/>
      <c r="I14" s="64"/>
      <c r="J14" s="64"/>
      <c r="K14" s="64"/>
      <c r="L14" s="64"/>
      <c r="AK14" s="344"/>
    </row>
    <row r="15" spans="1:114" ht="15" hidden="1" customHeight="1" outlineLevel="1" x14ac:dyDescent="0.25">
      <c r="B15" s="561"/>
      <c r="C15" s="62"/>
      <c r="D15" s="1373" t="s">
        <v>712</v>
      </c>
      <c r="E15" s="1373" t="s">
        <v>608</v>
      </c>
      <c r="F15" s="1373" t="s">
        <v>609</v>
      </c>
      <c r="G15" s="1300" t="s">
        <v>610</v>
      </c>
      <c r="H15" s="2108" t="s">
        <v>611</v>
      </c>
      <c r="I15" s="2108"/>
      <c r="J15" s="2108"/>
      <c r="K15" s="2108" t="s">
        <v>612</v>
      </c>
      <c r="L15" s="2108"/>
      <c r="M15" s="2108"/>
      <c r="N15" s="2108"/>
      <c r="V15" s="648" t="s">
        <v>52</v>
      </c>
      <c r="W15" s="649">
        <f>W$6</f>
        <v>43252</v>
      </c>
      <c r="X15" s="649">
        <f t="shared" ref="X15:AG15" si="6">X$6</f>
        <v>43465</v>
      </c>
      <c r="Y15" s="110">
        <f t="shared" si="6"/>
        <v>43800</v>
      </c>
      <c r="Z15" s="649">
        <f t="shared" si="6"/>
        <v>43862</v>
      </c>
      <c r="AA15" s="649">
        <f t="shared" si="6"/>
        <v>44013</v>
      </c>
      <c r="AB15" s="649">
        <f t="shared" si="6"/>
        <v>44166</v>
      </c>
      <c r="AC15" s="649">
        <f t="shared" si="6"/>
        <v>44531</v>
      </c>
      <c r="AD15" s="649">
        <f t="shared" si="6"/>
        <v>44774</v>
      </c>
      <c r="AE15" s="649">
        <f t="shared" si="6"/>
        <v>45139</v>
      </c>
      <c r="AF15" s="649">
        <f t="shared" si="6"/>
        <v>45672</v>
      </c>
      <c r="AG15" s="649" t="str">
        <f t="shared" si="6"/>
        <v>-</v>
      </c>
      <c r="AK15" s="344"/>
    </row>
    <row r="16" spans="1:114" ht="18" hidden="1" customHeight="1" outlineLevel="1" x14ac:dyDescent="0.25">
      <c r="B16" s="561"/>
      <c r="C16" s="62"/>
      <c r="D16" s="1301" t="s">
        <v>1455</v>
      </c>
      <c r="E16" s="1301" t="s">
        <v>1161</v>
      </c>
      <c r="F16" s="336" t="s">
        <v>745</v>
      </c>
      <c r="G16" s="1623">
        <v>869</v>
      </c>
      <c r="H16" s="2228" t="s">
        <v>1456</v>
      </c>
      <c r="I16" s="2276"/>
      <c r="J16" s="2229"/>
      <c r="K16" s="2268"/>
      <c r="L16" s="2268"/>
      <c r="M16" s="2268"/>
      <c r="N16" s="2268"/>
      <c r="V16" s="1975" t="str">
        <f>D16</f>
        <v>EFLHcool</v>
      </c>
      <c r="W16" s="1432">
        <v>869</v>
      </c>
      <c r="X16" s="1432">
        <v>869</v>
      </c>
      <c r="Y16" s="1432">
        <v>869</v>
      </c>
      <c r="Z16" s="333">
        <v>869</v>
      </c>
      <c r="AA16" s="333">
        <v>869</v>
      </c>
      <c r="AB16" s="333">
        <v>869</v>
      </c>
      <c r="AC16" s="824">
        <v>869</v>
      </c>
      <c r="AD16" s="824">
        <v>869</v>
      </c>
      <c r="AE16" s="824">
        <v>869</v>
      </c>
      <c r="AF16" s="258">
        <f t="shared" ref="AF16:AF27" si="7">IF(G16&lt;&gt;"",G16,"")</f>
        <v>869</v>
      </c>
      <c r="AG16" s="1424"/>
      <c r="AK16" s="344"/>
    </row>
    <row r="17" spans="1:114" ht="30.75" hidden="1" customHeight="1" outlineLevel="1" x14ac:dyDescent="0.25">
      <c r="B17" s="561"/>
      <c r="C17" s="62"/>
      <c r="D17" s="2091" t="s">
        <v>1457</v>
      </c>
      <c r="E17" s="2091" t="s">
        <v>1368</v>
      </c>
      <c r="F17" s="336" t="s">
        <v>749</v>
      </c>
      <c r="G17" s="1574">
        <v>36612.294736844204</v>
      </c>
      <c r="H17" s="2091" t="s">
        <v>1458</v>
      </c>
      <c r="I17" s="2091"/>
      <c r="J17" s="2091"/>
      <c r="K17" s="2277" t="s">
        <v>1025</v>
      </c>
      <c r="L17" s="2277"/>
      <c r="M17" s="2277"/>
      <c r="N17" s="2277"/>
      <c r="V17" s="2278" t="str">
        <f>D17</f>
        <v>Capacitycool</v>
      </c>
      <c r="W17" s="1432">
        <v>36800</v>
      </c>
      <c r="X17" s="1432">
        <v>36800</v>
      </c>
      <c r="Y17" s="1432">
        <v>36800</v>
      </c>
      <c r="Z17" s="333">
        <v>36800</v>
      </c>
      <c r="AA17" s="333">
        <v>36800</v>
      </c>
      <c r="AB17" s="333">
        <v>36800</v>
      </c>
      <c r="AC17" s="824">
        <v>36324</v>
      </c>
      <c r="AD17" s="945">
        <v>36829.5</v>
      </c>
      <c r="AE17" s="945">
        <v>36666</v>
      </c>
      <c r="AF17" s="258">
        <f t="shared" si="7"/>
        <v>36612.294736844204</v>
      </c>
      <c r="AG17" s="1424"/>
      <c r="AK17" s="344"/>
    </row>
    <row r="18" spans="1:114" ht="15" hidden="1" customHeight="1" outlineLevel="1" x14ac:dyDescent="0.25">
      <c r="B18" s="561"/>
      <c r="C18" s="62"/>
      <c r="D18" s="2091"/>
      <c r="E18" s="2091"/>
      <c r="F18" s="336" t="s">
        <v>751</v>
      </c>
      <c r="G18" s="1574">
        <f>G17*0.65</f>
        <v>23797.991578948735</v>
      </c>
      <c r="H18" s="2091" t="s">
        <v>1459</v>
      </c>
      <c r="I18" s="2091"/>
      <c r="J18" s="2091"/>
      <c r="K18" s="2268" t="s">
        <v>1025</v>
      </c>
      <c r="L18" s="2268"/>
      <c r="M18" s="2268"/>
      <c r="N18" s="2268"/>
      <c r="V18" s="2275"/>
      <c r="W18" s="1432">
        <v>23920</v>
      </c>
      <c r="X18" s="1432">
        <v>23920</v>
      </c>
      <c r="Y18" s="1432">
        <v>23920</v>
      </c>
      <c r="Z18" s="333">
        <v>23920</v>
      </c>
      <c r="AA18" s="333">
        <v>23920</v>
      </c>
      <c r="AB18" s="333">
        <v>23920</v>
      </c>
      <c r="AC18" s="824">
        <v>23611</v>
      </c>
      <c r="AD18" s="824">
        <v>23939.174999999999</v>
      </c>
      <c r="AE18" s="824">
        <v>23832.9</v>
      </c>
      <c r="AF18" s="258">
        <f t="shared" si="7"/>
        <v>23797.991578948735</v>
      </c>
      <c r="AG18" s="1424"/>
      <c r="AK18" s="344"/>
    </row>
    <row r="19" spans="1:114" ht="15" hidden="1" customHeight="1" outlineLevel="1" x14ac:dyDescent="0.25">
      <c r="B19" s="561"/>
      <c r="C19" s="62"/>
      <c r="D19" s="2233" t="s">
        <v>1460</v>
      </c>
      <c r="E19" s="2233" t="s">
        <v>1461</v>
      </c>
      <c r="F19" s="336" t="s">
        <v>1462</v>
      </c>
      <c r="G19" s="1516">
        <v>11.9</v>
      </c>
      <c r="H19" s="2280" t="s">
        <v>1463</v>
      </c>
      <c r="I19" s="2281"/>
      <c r="J19" s="2282"/>
      <c r="K19" s="2091"/>
      <c r="L19" s="2091"/>
      <c r="M19" s="2091"/>
      <c r="N19" s="2091"/>
      <c r="V19" s="2274"/>
      <c r="W19" s="1433">
        <v>11.9</v>
      </c>
      <c r="X19" s="1433">
        <v>11.9</v>
      </c>
      <c r="Y19" s="1433">
        <v>11.9</v>
      </c>
      <c r="Z19" s="1310">
        <v>11.9</v>
      </c>
      <c r="AA19" s="1310">
        <v>11.9</v>
      </c>
      <c r="AB19" s="1310">
        <v>11.9</v>
      </c>
      <c r="AC19" s="824">
        <v>11.9</v>
      </c>
      <c r="AD19" s="824">
        <v>11.9</v>
      </c>
      <c r="AE19" s="824">
        <v>11.9</v>
      </c>
      <c r="AF19" s="258">
        <f t="shared" si="7"/>
        <v>11.9</v>
      </c>
      <c r="AG19" s="1426"/>
      <c r="AK19" s="344"/>
    </row>
    <row r="20" spans="1:114" ht="15" hidden="1" customHeight="1" outlineLevel="1" x14ac:dyDescent="0.25">
      <c r="C20" s="62"/>
      <c r="D20" s="2238"/>
      <c r="E20" s="2238"/>
      <c r="F20" s="336" t="s">
        <v>1464</v>
      </c>
      <c r="G20" s="1516">
        <v>11.9</v>
      </c>
      <c r="H20" s="2249"/>
      <c r="I20" s="2283"/>
      <c r="J20" s="2284"/>
      <c r="K20" s="2091"/>
      <c r="L20" s="2091"/>
      <c r="M20" s="2091"/>
      <c r="N20" s="2091"/>
      <c r="V20" s="2275"/>
      <c r="W20" s="1422"/>
      <c r="X20" s="811"/>
      <c r="Y20" s="812"/>
      <c r="Z20" s="812"/>
      <c r="AA20" s="812"/>
      <c r="AB20" s="812"/>
      <c r="AC20" s="731">
        <v>11.9</v>
      </c>
      <c r="AD20" s="1310">
        <v>11.9</v>
      </c>
      <c r="AE20" s="1310">
        <v>11.9</v>
      </c>
      <c r="AF20" s="258">
        <f t="shared" si="7"/>
        <v>11.9</v>
      </c>
      <c r="AG20" s="1426"/>
      <c r="AK20" s="344"/>
    </row>
    <row r="21" spans="1:114" ht="15" hidden="1" customHeight="1" outlineLevel="1" x14ac:dyDescent="0.25">
      <c r="B21" s="561"/>
      <c r="C21" s="62"/>
      <c r="D21" s="2233" t="s">
        <v>1465</v>
      </c>
      <c r="E21" s="2233" t="s">
        <v>1466</v>
      </c>
      <c r="F21" s="336" t="s">
        <v>1462</v>
      </c>
      <c r="G21" s="1516">
        <f>G19*(1+0.284)</f>
        <v>15.2796</v>
      </c>
      <c r="H21" s="2091" t="s">
        <v>1467</v>
      </c>
      <c r="I21" s="2091"/>
      <c r="J21" s="2091"/>
      <c r="K21" s="2268" t="s">
        <v>1468</v>
      </c>
      <c r="L21" s="2268"/>
      <c r="M21" s="2268"/>
      <c r="N21" s="2268"/>
      <c r="V21" s="2274"/>
      <c r="W21" s="1433">
        <v>15.2796</v>
      </c>
      <c r="X21" s="1433">
        <f>X19*(1+0.284)</f>
        <v>15.2796</v>
      </c>
      <c r="Y21" s="1433">
        <f>Y19*(1+0.284)</f>
        <v>15.2796</v>
      </c>
      <c r="Z21" s="1310">
        <f>Z19*(1+0.284)</f>
        <v>15.2796</v>
      </c>
      <c r="AA21" s="1310">
        <f>AA19*(1+0.284)</f>
        <v>15.2796</v>
      </c>
      <c r="AB21" s="1310">
        <v>15.2796</v>
      </c>
      <c r="AC21" s="1310">
        <v>15.2796</v>
      </c>
      <c r="AD21" s="1310">
        <v>15.2796</v>
      </c>
      <c r="AE21" s="1310">
        <v>15.2796</v>
      </c>
      <c r="AF21" s="258">
        <f t="shared" si="7"/>
        <v>15.2796</v>
      </c>
      <c r="AG21" s="1426"/>
      <c r="AK21" s="344"/>
    </row>
    <row r="22" spans="1:114" ht="36" hidden="1" customHeight="1" outlineLevel="1" x14ac:dyDescent="0.25">
      <c r="C22" s="62"/>
      <c r="D22" s="2238"/>
      <c r="E22" s="2238"/>
      <c r="F22" s="1817" t="s">
        <v>1464</v>
      </c>
      <c r="G22" s="1516">
        <v>13.8</v>
      </c>
      <c r="H22" s="2091" t="s">
        <v>1469</v>
      </c>
      <c r="I22" s="2091"/>
      <c r="J22" s="2091"/>
      <c r="K22" s="1807"/>
      <c r="L22" s="1807"/>
      <c r="M22" s="1807"/>
      <c r="N22" s="1807"/>
      <c r="V22" s="2275"/>
      <c r="W22" s="1422"/>
      <c r="X22" s="811"/>
      <c r="Y22" s="812"/>
      <c r="Z22" s="812"/>
      <c r="AA22" s="812"/>
      <c r="AB22" s="812"/>
      <c r="AC22" s="731">
        <v>13.8</v>
      </c>
      <c r="AD22" s="1310">
        <v>13.8</v>
      </c>
      <c r="AE22" s="1310">
        <v>13.8</v>
      </c>
      <c r="AF22" s="258">
        <f t="shared" si="7"/>
        <v>13.8</v>
      </c>
      <c r="AG22" s="1426"/>
      <c r="AK22" s="344"/>
    </row>
    <row r="23" spans="1:114" ht="15" hidden="1" customHeight="1" outlineLevel="1" x14ac:dyDescent="0.25">
      <c r="C23" s="62"/>
      <c r="D23" s="337">
        <v>1000</v>
      </c>
      <c r="E23" s="338" t="s">
        <v>1470</v>
      </c>
      <c r="F23" s="336" t="s">
        <v>1471</v>
      </c>
      <c r="G23" s="1623">
        <v>1000</v>
      </c>
      <c r="H23" s="2138" t="s">
        <v>1472</v>
      </c>
      <c r="I23" s="2138"/>
      <c r="J23" s="2138"/>
      <c r="K23" s="2268"/>
      <c r="L23" s="2268"/>
      <c r="M23" s="2268"/>
      <c r="N23" s="2268"/>
      <c r="V23" s="1434">
        <f>D23</f>
        <v>1000</v>
      </c>
      <c r="W23" s="1432">
        <v>1000</v>
      </c>
      <c r="X23" s="1432">
        <v>1000</v>
      </c>
      <c r="Y23" s="1432">
        <v>1000</v>
      </c>
      <c r="Z23" s="333">
        <v>1000</v>
      </c>
      <c r="AA23" s="333">
        <v>1000</v>
      </c>
      <c r="AB23" s="333">
        <v>1000</v>
      </c>
      <c r="AC23" s="333">
        <v>1000</v>
      </c>
      <c r="AD23" s="333">
        <v>1000</v>
      </c>
      <c r="AE23" s="333">
        <v>1000</v>
      </c>
      <c r="AF23" s="258">
        <f t="shared" si="7"/>
        <v>1000</v>
      </c>
      <c r="AG23" s="1424"/>
      <c r="AK23" s="344"/>
    </row>
    <row r="24" spans="1:114" ht="30" hidden="1" customHeight="1" outlineLevel="1" x14ac:dyDescent="0.25">
      <c r="C24" s="62"/>
      <c r="D24" s="1301" t="str">
        <f>J6</f>
        <v>EUL</v>
      </c>
      <c r="E24" s="1301" t="s">
        <v>792</v>
      </c>
      <c r="F24" s="560" t="s">
        <v>734</v>
      </c>
      <c r="G24" s="1623">
        <v>2</v>
      </c>
      <c r="H24" s="2138" t="s">
        <v>1473</v>
      </c>
      <c r="I24" s="2138"/>
      <c r="J24" s="2138"/>
      <c r="K24" s="2268"/>
      <c r="L24" s="2268"/>
      <c r="M24" s="2268"/>
      <c r="N24" s="2268"/>
      <c r="V24" s="1301" t="str">
        <f>D24</f>
        <v>EUL</v>
      </c>
      <c r="W24" s="1432">
        <v>2</v>
      </c>
      <c r="X24" s="1432">
        <v>2</v>
      </c>
      <c r="Y24" s="1432">
        <v>2</v>
      </c>
      <c r="Z24" s="333">
        <v>2</v>
      </c>
      <c r="AA24" s="333">
        <v>2</v>
      </c>
      <c r="AB24" s="333">
        <v>2</v>
      </c>
      <c r="AC24" s="333">
        <v>2</v>
      </c>
      <c r="AD24" s="333">
        <v>2</v>
      </c>
      <c r="AE24" s="333">
        <v>2</v>
      </c>
      <c r="AF24" s="258">
        <f t="shared" si="7"/>
        <v>2</v>
      </c>
      <c r="AG24" s="1424"/>
      <c r="AK24" s="344"/>
    </row>
    <row r="25" spans="1:114" ht="32.450000000000003" hidden="1" customHeight="1" outlineLevel="1" x14ac:dyDescent="0.25">
      <c r="C25" s="62"/>
      <c r="D25" s="2233" t="s">
        <v>50</v>
      </c>
      <c r="E25" s="2233" t="s">
        <v>682</v>
      </c>
      <c r="F25" s="560" t="str">
        <f>E7</f>
        <v>AC Tune-up / Refrigerant charge SF</v>
      </c>
      <c r="G25" s="1511">
        <v>81</v>
      </c>
      <c r="H25" s="2261" t="s">
        <v>1474</v>
      </c>
      <c r="I25" s="2262"/>
      <c r="J25" s="2263"/>
      <c r="K25" s="2268"/>
      <c r="L25" s="2268"/>
      <c r="M25" s="2268"/>
      <c r="N25" s="2268"/>
      <c r="V25" s="2279"/>
      <c r="W25" s="1435">
        <v>81</v>
      </c>
      <c r="X25" s="1435">
        <v>81</v>
      </c>
      <c r="Y25" s="1435">
        <v>81</v>
      </c>
      <c r="Z25" s="105">
        <v>81</v>
      </c>
      <c r="AA25" s="105">
        <v>81</v>
      </c>
      <c r="AB25" s="105">
        <v>81</v>
      </c>
      <c r="AC25" s="105">
        <v>81</v>
      </c>
      <c r="AD25" s="105">
        <v>81</v>
      </c>
      <c r="AE25" s="105">
        <v>81</v>
      </c>
      <c r="AF25" s="258">
        <f t="shared" si="7"/>
        <v>81</v>
      </c>
      <c r="AG25" s="1424"/>
      <c r="AK25" s="344"/>
    </row>
    <row r="26" spans="1:114" ht="30" hidden="1" outlineLevel="1" x14ac:dyDescent="0.25">
      <c r="C26" s="62"/>
      <c r="D26" s="2260"/>
      <c r="E26" s="2260"/>
      <c r="F26" s="1306" t="s">
        <v>1449</v>
      </c>
      <c r="G26" s="1511">
        <v>185</v>
      </c>
      <c r="H26" s="2177" t="s">
        <v>1475</v>
      </c>
      <c r="I26" s="2177"/>
      <c r="J26" s="2177"/>
      <c r="K26" s="2268"/>
      <c r="L26" s="2268"/>
      <c r="M26" s="2268"/>
      <c r="N26" s="2268"/>
      <c r="V26" s="2279"/>
      <c r="W26" s="1422"/>
      <c r="X26" s="811"/>
      <c r="Y26" s="812"/>
      <c r="Z26" s="812"/>
      <c r="AA26" s="812"/>
      <c r="AB26" s="812"/>
      <c r="AC26" s="810">
        <v>185</v>
      </c>
      <c r="AD26" s="105">
        <v>185</v>
      </c>
      <c r="AE26" s="105">
        <v>185</v>
      </c>
      <c r="AF26" s="258">
        <f t="shared" si="7"/>
        <v>185</v>
      </c>
      <c r="AG26" s="1424"/>
      <c r="AK26" s="344"/>
    </row>
    <row r="27" spans="1:114" ht="30.75" hidden="1" customHeight="1" outlineLevel="1" x14ac:dyDescent="0.25">
      <c r="C27" s="62"/>
      <c r="D27" s="2238"/>
      <c r="E27" s="2238"/>
      <c r="F27" s="1306" t="s">
        <v>1451</v>
      </c>
      <c r="G27" s="1511">
        <v>185</v>
      </c>
      <c r="H27" s="2177" t="s">
        <v>1475</v>
      </c>
      <c r="I27" s="2177"/>
      <c r="J27" s="2177"/>
      <c r="K27" s="2268"/>
      <c r="L27" s="2268"/>
      <c r="M27" s="2268"/>
      <c r="N27" s="2268"/>
      <c r="V27" s="2279"/>
      <c r="W27" s="1422"/>
      <c r="X27" s="811"/>
      <c r="Y27" s="812"/>
      <c r="Z27" s="812"/>
      <c r="AA27" s="812"/>
      <c r="AB27" s="812"/>
      <c r="AC27" s="810">
        <v>185</v>
      </c>
      <c r="AD27" s="105">
        <v>185</v>
      </c>
      <c r="AE27" s="105">
        <v>185</v>
      </c>
      <c r="AF27" s="258">
        <f t="shared" si="7"/>
        <v>185</v>
      </c>
      <c r="AG27" s="1424"/>
      <c r="AK27" s="344"/>
    </row>
    <row r="28" spans="1:114" s="73" customFormat="1" hidden="1" outlineLevel="1" x14ac:dyDescent="0.25">
      <c r="A28" s="270"/>
      <c r="B28" s="50"/>
      <c r="C28" s="49"/>
      <c r="D28" s="100"/>
      <c r="E28" s="100"/>
      <c r="F28" s="50"/>
      <c r="G28" s="50"/>
      <c r="H28" s="49"/>
      <c r="I28" s="49"/>
      <c r="J28" s="49"/>
      <c r="K28" s="49"/>
      <c r="L28" s="49"/>
      <c r="M28" s="49"/>
      <c r="N28" s="50"/>
      <c r="O28" s="50"/>
      <c r="P28" s="50"/>
      <c r="Q28" s="50"/>
      <c r="R28" s="50"/>
      <c r="S28" s="50"/>
      <c r="T28" s="50"/>
      <c r="U28" s="50"/>
      <c r="AK28" s="344"/>
      <c r="DG28" s="248"/>
      <c r="DH28" s="50"/>
      <c r="DI28" s="50"/>
      <c r="DJ28" s="1059"/>
    </row>
    <row r="29" spans="1:114" s="73" customFormat="1" collapsed="1" x14ac:dyDescent="0.25">
      <c r="A29" s="270"/>
      <c r="B29" s="50"/>
      <c r="C29" s="49"/>
      <c r="D29" s="100"/>
      <c r="E29" s="100"/>
      <c r="F29" s="50"/>
      <c r="G29" s="50"/>
      <c r="H29" s="49"/>
      <c r="I29" s="49"/>
      <c r="J29" s="49"/>
      <c r="K29" s="49"/>
      <c r="L29" s="49"/>
      <c r="M29" s="49"/>
      <c r="N29" s="50"/>
      <c r="O29" s="50"/>
      <c r="P29" s="50"/>
      <c r="Q29" s="50"/>
      <c r="R29" s="50"/>
      <c r="S29" s="50"/>
      <c r="T29" s="50"/>
      <c r="U29" s="50"/>
      <c r="AK29" s="344"/>
      <c r="DG29" s="248"/>
      <c r="DH29" s="50"/>
      <c r="DI29" s="50"/>
      <c r="DJ29" s="1059"/>
    </row>
    <row r="30" spans="1:114" x14ac:dyDescent="0.25">
      <c r="B30" s="2134" t="s">
        <v>1476</v>
      </c>
      <c r="C30" s="2135"/>
      <c r="D30" s="2135"/>
      <c r="E30" s="2135"/>
      <c r="F30" s="2135"/>
      <c r="G30" s="2135"/>
      <c r="H30" s="2135"/>
      <c r="I30" s="2082"/>
      <c r="J30" s="2082"/>
      <c r="K30" s="2082"/>
      <c r="L30" s="2082"/>
      <c r="M30" s="2082"/>
      <c r="N30" s="2082"/>
      <c r="O30" s="2082"/>
      <c r="P30" s="2082"/>
      <c r="Q30" s="2082"/>
      <c r="R30" s="2083"/>
      <c r="V30" s="2103" t="str">
        <f>B30</f>
        <v>Air Sealing</v>
      </c>
      <c r="W30" s="2104"/>
      <c r="X30" s="2104"/>
      <c r="Y30" s="2104"/>
      <c r="Z30" s="2104"/>
      <c r="AA30" s="2104"/>
      <c r="AB30" s="2104"/>
      <c r="AC30" s="2106"/>
      <c r="AD30" s="2106"/>
      <c r="AE30" s="2106"/>
      <c r="AF30" s="2106"/>
      <c r="AG30" s="2106"/>
      <c r="AH30" s="2106"/>
      <c r="AI30" s="2107"/>
      <c r="AK30" s="344"/>
    </row>
    <row r="31" spans="1:114" x14ac:dyDescent="0.25">
      <c r="B31" s="561"/>
      <c r="D31" s="565"/>
      <c r="E31" s="565"/>
      <c r="F31" s="269"/>
      <c r="G31" s="269"/>
      <c r="H31" s="269"/>
      <c r="I31" s="269"/>
      <c r="J31" s="269"/>
      <c r="K31" s="269"/>
      <c r="L31" s="566"/>
      <c r="AK31" s="344"/>
    </row>
    <row r="32" spans="1:114" ht="30" x14ac:dyDescent="0.25">
      <c r="B32" s="561"/>
      <c r="C32" s="1300" t="s">
        <v>42</v>
      </c>
      <c r="D32" s="1300" t="s">
        <v>594</v>
      </c>
      <c r="E32" s="1300" t="s">
        <v>44</v>
      </c>
      <c r="F32" s="1300" t="s">
        <v>45</v>
      </c>
      <c r="G32" s="1300" t="s">
        <v>46</v>
      </c>
      <c r="H32" s="1300" t="s">
        <v>47</v>
      </c>
      <c r="I32" s="1300" t="s">
        <v>798</v>
      </c>
      <c r="J32" s="1300" t="s">
        <v>799</v>
      </c>
      <c r="K32" s="1300" t="s">
        <v>48</v>
      </c>
      <c r="L32" s="1312" t="s">
        <v>49</v>
      </c>
      <c r="M32" s="1300" t="s">
        <v>50</v>
      </c>
      <c r="N32" s="1300" t="s">
        <v>1477</v>
      </c>
      <c r="V32" s="648" t="s">
        <v>52</v>
      </c>
      <c r="W32" s="649">
        <f>W$6</f>
        <v>43252</v>
      </c>
      <c r="X32" s="649">
        <f t="shared" ref="X32:AG32" si="8">X$6</f>
        <v>43465</v>
      </c>
      <c r="Y32" s="110">
        <f t="shared" si="8"/>
        <v>43800</v>
      </c>
      <c r="Z32" s="649">
        <f t="shared" si="8"/>
        <v>43862</v>
      </c>
      <c r="AA32" s="649">
        <f t="shared" si="8"/>
        <v>44013</v>
      </c>
      <c r="AB32" s="649">
        <f t="shared" si="8"/>
        <v>44166</v>
      </c>
      <c r="AC32" s="649">
        <f t="shared" si="8"/>
        <v>44531</v>
      </c>
      <c r="AD32" s="649">
        <f t="shared" si="8"/>
        <v>44774</v>
      </c>
      <c r="AE32" s="649">
        <f t="shared" si="8"/>
        <v>45139</v>
      </c>
      <c r="AF32" s="649">
        <f t="shared" si="8"/>
        <v>45672</v>
      </c>
      <c r="AG32" s="649" t="str">
        <f t="shared" si="8"/>
        <v>-</v>
      </c>
      <c r="AK32" s="344"/>
      <c r="DG32" s="1018" t="str">
        <f>$DG$6</f>
        <v>TRC (2025)</v>
      </c>
      <c r="DH32" s="776" t="str">
        <f>$DH$6</f>
        <v>Benefit Lookup</v>
      </c>
      <c r="DI32" s="1034" t="str">
        <f>$DI$6</f>
        <v>Benefits (2025 $)</v>
      </c>
      <c r="DJ32" s="1060" t="str">
        <f>$DJ$6</f>
        <v>Incremental Cost (2025 $)</v>
      </c>
    </row>
    <row r="33" spans="2:114" x14ac:dyDescent="0.25">
      <c r="B33" s="1384">
        <f t="shared" ref="B33:B41" si="9">VALUE(LEFT(C33,6))</f>
        <v>400450</v>
      </c>
      <c r="C33" s="332" t="s">
        <v>1478</v>
      </c>
      <c r="D33" s="537" t="s">
        <v>600</v>
      </c>
      <c r="E33" s="122" t="s">
        <v>1479</v>
      </c>
      <c r="F33" s="981">
        <f>ROUND(I33+J33,2)</f>
        <v>0.33</v>
      </c>
      <c r="G33" s="134" t="s">
        <v>1480</v>
      </c>
      <c r="H33" s="66">
        <f>VLOOKUP(G33,'CP FACTORS'!$A$3:$B$38, 2, FALSE)</f>
        <v>4.6608050000000002E-4</v>
      </c>
      <c r="I33" s="305">
        <f t="shared" ref="I33:I41" si="10">F48*F57+F57*F75*F$84*F$85</f>
        <v>0.28499999999999998</v>
      </c>
      <c r="J33" s="526">
        <f t="shared" ref="J33:J41" si="11">F66*F57</f>
        <v>4.2999999999999997E-2</v>
      </c>
      <c r="K33" s="261">
        <f>ROUND(H33*F33,6)</f>
        <v>1.54E-4</v>
      </c>
      <c r="L33" s="323">
        <f t="shared" ref="L33:L41" si="12">$F$86</f>
        <v>20</v>
      </c>
      <c r="M33" s="710">
        <f>120*F57/1000</f>
        <v>0.12</v>
      </c>
      <c r="N33" s="323">
        <f>F57</f>
        <v>1</v>
      </c>
      <c r="R33" s="521"/>
      <c r="V33" s="342" t="str">
        <f>$F$32</f>
        <v>kWh Annual Savings</v>
      </c>
      <c r="W33" s="369">
        <v>295.70839999999998</v>
      </c>
      <c r="X33" s="256">
        <v>295.70839999999998</v>
      </c>
      <c r="Y33" s="259">
        <v>0.33</v>
      </c>
      <c r="Z33" s="257">
        <v>0.33</v>
      </c>
      <c r="AA33" s="257">
        <v>0.33</v>
      </c>
      <c r="AB33" s="257">
        <v>0.33</v>
      </c>
      <c r="AC33" s="173">
        <v>0.33</v>
      </c>
      <c r="AD33" s="173">
        <v>0.33</v>
      </c>
      <c r="AE33" s="173">
        <v>0.33</v>
      </c>
      <c r="AF33" s="258">
        <f t="shared" ref="AF33:AF41" si="13">IF(F33&lt;&gt;"",F33,"")</f>
        <v>0.33</v>
      </c>
      <c r="AG33" s="342"/>
      <c r="AK33" s="344"/>
      <c r="DG33" s="1020">
        <f t="shared" ref="DG33:DG39" si="14">(DI33)/(DJ33)</f>
        <v>4.1870160967152685</v>
      </c>
      <c r="DH33" s="1330" t="str">
        <f t="shared" ref="DH33:DH39" si="15">CONCATENATE(G33," ",L33," Year EUL")</f>
        <v>Building Shell RES 20 Year EUL</v>
      </c>
      <c r="DI33" s="969">
        <f>(INDEX('Avoided Cost Benefits'!$B$4:$B$865,MATCH(DH33,'Avoided Cost Benefits'!$A$4:$A$865,0)))*F33</f>
        <v>0.50244193160583217</v>
      </c>
      <c r="DJ33" s="1954">
        <f t="shared" ref="DJ33:DJ41" si="16">IFERROR(M33/((1+DiscountRate)^(CurrentYear-DiscountYear)),0)</f>
        <v>0.12</v>
      </c>
    </row>
    <row r="34" spans="2:114" x14ac:dyDescent="0.25">
      <c r="B34" s="1384">
        <f t="shared" si="9"/>
        <v>400500</v>
      </c>
      <c r="C34" s="332" t="s">
        <v>1481</v>
      </c>
      <c r="D34" s="537" t="s">
        <v>600</v>
      </c>
      <c r="E34" s="122" t="s">
        <v>1482</v>
      </c>
      <c r="F34" s="981">
        <f t="shared" ref="F34:F41" si="17">ROUND(I34+J34,2)</f>
        <v>0.25</v>
      </c>
      <c r="G34" s="134" t="s">
        <v>1480</v>
      </c>
      <c r="H34" s="66">
        <f>VLOOKUP(G34,'CP FACTORS'!$A$3:$B$38, 2, FALSE)</f>
        <v>4.6608050000000002E-4</v>
      </c>
      <c r="I34" s="305">
        <f t="shared" si="10"/>
        <v>0.20799999999999999</v>
      </c>
      <c r="J34" s="526">
        <f t="shared" si="11"/>
        <v>4.2999999999999997E-2</v>
      </c>
      <c r="K34" s="261">
        <f t="shared" ref="K34:K41" si="18">ROUND(H34*F34,6)</f>
        <v>1.17E-4</v>
      </c>
      <c r="L34" s="323">
        <f t="shared" si="12"/>
        <v>20</v>
      </c>
      <c r="M34" s="710">
        <f>120*F58/1000</f>
        <v>0.12</v>
      </c>
      <c r="N34" s="323">
        <f>F58</f>
        <v>1</v>
      </c>
      <c r="R34" s="521"/>
      <c r="V34" s="342" t="str">
        <f t="shared" ref="V34:V41" si="19">$F$32</f>
        <v>kWh Annual Savings</v>
      </c>
      <c r="W34" s="369">
        <v>226.28905</v>
      </c>
      <c r="X34" s="256">
        <v>226.28905</v>
      </c>
      <c r="Y34" s="259">
        <v>0.25</v>
      </c>
      <c r="Z34" s="257">
        <v>0.25</v>
      </c>
      <c r="AA34" s="257">
        <v>0.25</v>
      </c>
      <c r="AB34" s="257">
        <v>0.25</v>
      </c>
      <c r="AC34" s="173">
        <v>0.25</v>
      </c>
      <c r="AD34" s="173">
        <v>0.25</v>
      </c>
      <c r="AE34" s="173">
        <v>0.25</v>
      </c>
      <c r="AF34" s="258">
        <f t="shared" si="13"/>
        <v>0.25</v>
      </c>
      <c r="AG34" s="342"/>
      <c r="AK34" s="344"/>
      <c r="DG34" s="1021">
        <f t="shared" si="14"/>
        <v>3.1719818914509608</v>
      </c>
      <c r="DH34" s="653" t="str">
        <f t="shared" si="15"/>
        <v>Building Shell RES 20 Year EUL</v>
      </c>
      <c r="DI34" s="538">
        <f>(INDEX('Avoided Cost Benefits'!$B$4:$B$865,MATCH(DH34,'Avoided Cost Benefits'!$A$4:$A$865,0)))*F34</f>
        <v>0.3806378269741153</v>
      </c>
      <c r="DJ34" s="1955">
        <f t="shared" si="16"/>
        <v>0.12</v>
      </c>
    </row>
    <row r="35" spans="2:114" x14ac:dyDescent="0.25">
      <c r="B35" s="1384">
        <f t="shared" si="9"/>
        <v>400501</v>
      </c>
      <c r="C35" s="332" t="s">
        <v>1483</v>
      </c>
      <c r="D35" s="537" t="s">
        <v>600</v>
      </c>
      <c r="E35" s="122" t="s">
        <v>1484</v>
      </c>
      <c r="F35" s="1477">
        <f>ROUND(I35+J35,2)</f>
        <v>0.05</v>
      </c>
      <c r="G35" s="134" t="s">
        <v>1480</v>
      </c>
      <c r="H35" s="66">
        <f>VLOOKUP(G35,'CP FACTORS'!$A$3:$B$38, 2, FALSE)</f>
        <v>4.6608050000000002E-4</v>
      </c>
      <c r="I35" s="305">
        <f>F50*F59+F59*F77*F$84*F$85</f>
        <v>1.104024E-2</v>
      </c>
      <c r="J35" s="526">
        <f t="shared" si="11"/>
        <v>4.2999999999999997E-2</v>
      </c>
      <c r="K35" s="261">
        <f>ROUND(H35*F35,6)</f>
        <v>2.3E-5</v>
      </c>
      <c r="L35" s="323">
        <f t="shared" si="12"/>
        <v>20</v>
      </c>
      <c r="M35" s="710">
        <f>120*F60/1000</f>
        <v>0.12</v>
      </c>
      <c r="N35" s="323">
        <f>F60</f>
        <v>1</v>
      </c>
      <c r="R35" s="521"/>
      <c r="V35" s="1307" t="s">
        <v>45</v>
      </c>
      <c r="W35" s="1436"/>
      <c r="X35" s="977"/>
      <c r="Y35" s="978"/>
      <c r="Z35" s="979"/>
      <c r="AA35" s="979"/>
      <c r="AB35" s="979"/>
      <c r="AC35" s="980"/>
      <c r="AD35" s="192">
        <v>0.05</v>
      </c>
      <c r="AE35" s="173">
        <v>0.05</v>
      </c>
      <c r="AF35" s="258">
        <f t="shared" si="13"/>
        <v>0.05</v>
      </c>
      <c r="AG35" s="342"/>
      <c r="AK35" s="344"/>
      <c r="DG35" s="1021">
        <f>(DI35)/(DJ35)</f>
        <v>0.63439637829019224</v>
      </c>
      <c r="DH35" s="653" t="str">
        <f>CONCATENATE(G35," ",L35," Year EUL")</f>
        <v>Building Shell RES 20 Year EUL</v>
      </c>
      <c r="DI35" s="538">
        <f>(INDEX('Avoided Cost Benefits'!$B$4:$B$865,MATCH(DH35,'Avoided Cost Benefits'!$A$4:$A$865,0)))*F35</f>
        <v>7.6127565394823071E-2</v>
      </c>
      <c r="DJ35" s="1955">
        <f t="shared" si="16"/>
        <v>0.12</v>
      </c>
    </row>
    <row r="36" spans="2:114" x14ac:dyDescent="0.25">
      <c r="B36" s="1384">
        <f t="shared" si="9"/>
        <v>400550</v>
      </c>
      <c r="C36" s="332" t="s">
        <v>1485</v>
      </c>
      <c r="D36" s="537" t="s">
        <v>686</v>
      </c>
      <c r="E36" s="1340" t="s">
        <v>1486</v>
      </c>
      <c r="F36" s="981">
        <f t="shared" si="17"/>
        <v>0.36</v>
      </c>
      <c r="G36" s="134" t="s">
        <v>1480</v>
      </c>
      <c r="H36" s="66">
        <f>VLOOKUP(G36,'CP FACTORS'!$A$3:$B$38, 2, FALSE)</f>
        <v>4.6608050000000002E-4</v>
      </c>
      <c r="I36" s="564">
        <f t="shared" si="10"/>
        <v>0.308</v>
      </c>
      <c r="J36" s="526">
        <f t="shared" si="11"/>
        <v>0.05</v>
      </c>
      <c r="K36" s="261">
        <f t="shared" si="18"/>
        <v>1.6799999999999999E-4</v>
      </c>
      <c r="L36" s="323">
        <f t="shared" si="12"/>
        <v>20</v>
      </c>
      <c r="M36" s="710">
        <f t="shared" ref="M36:M41" si="20">120*F60/1000</f>
        <v>0.12</v>
      </c>
      <c r="N36" s="323">
        <f t="shared" ref="N36:N41" si="21">F60</f>
        <v>1</v>
      </c>
      <c r="R36" s="521"/>
      <c r="V36" s="342" t="str">
        <f t="shared" si="19"/>
        <v>kWh Annual Savings</v>
      </c>
      <c r="W36" s="369">
        <v>496.54599999999999</v>
      </c>
      <c r="X36" s="256">
        <v>496.54599999999999</v>
      </c>
      <c r="Y36" s="259">
        <v>0.36</v>
      </c>
      <c r="Z36" s="257">
        <v>0.36</v>
      </c>
      <c r="AA36" s="257">
        <v>0.36</v>
      </c>
      <c r="AB36" s="257">
        <v>0.36</v>
      </c>
      <c r="AC36" s="173">
        <v>0.36</v>
      </c>
      <c r="AD36" s="173">
        <v>0.36</v>
      </c>
      <c r="AE36" s="173">
        <v>0.36</v>
      </c>
      <c r="AF36" s="258">
        <f t="shared" si="13"/>
        <v>0.36</v>
      </c>
      <c r="AG36" s="342"/>
      <c r="AK36" s="344"/>
      <c r="DG36" s="1021">
        <f t="shared" si="14"/>
        <v>4.5676539236893836</v>
      </c>
      <c r="DH36" s="653" t="str">
        <f t="shared" si="15"/>
        <v>Building Shell RES 20 Year EUL</v>
      </c>
      <c r="DI36" s="538">
        <f>(INDEX('Avoided Cost Benefits'!$B$4:$B$865,MATCH(DH36,'Avoided Cost Benefits'!$A$4:$A$865,0)))*F36</f>
        <v>0.54811847084272602</v>
      </c>
      <c r="DJ36" s="1955">
        <f t="shared" si="16"/>
        <v>0.12</v>
      </c>
    </row>
    <row r="37" spans="2:114" x14ac:dyDescent="0.25">
      <c r="B37" s="1384">
        <f t="shared" si="9"/>
        <v>400551</v>
      </c>
      <c r="C37" s="332" t="s">
        <v>1487</v>
      </c>
      <c r="D37" s="537" t="s">
        <v>686</v>
      </c>
      <c r="E37" s="1340" t="s">
        <v>1488</v>
      </c>
      <c r="F37" s="981">
        <f t="shared" si="17"/>
        <v>0.06</v>
      </c>
      <c r="G37" s="134" t="s">
        <v>1480</v>
      </c>
      <c r="H37" s="66">
        <f>VLOOKUP(G37,'CP FACTORS'!$A$3:$B$38, 2, FALSE)</f>
        <v>4.6608050000000002E-4</v>
      </c>
      <c r="I37" s="564">
        <f t="shared" si="10"/>
        <v>1.1960259999999999E-2</v>
      </c>
      <c r="J37" s="563">
        <f t="shared" si="11"/>
        <v>0.05</v>
      </c>
      <c r="K37" s="261">
        <f t="shared" si="18"/>
        <v>2.8E-5</v>
      </c>
      <c r="L37" s="323">
        <f t="shared" si="12"/>
        <v>20</v>
      </c>
      <c r="M37" s="710">
        <f t="shared" si="20"/>
        <v>0.12</v>
      </c>
      <c r="N37" s="323">
        <f t="shared" si="21"/>
        <v>1</v>
      </c>
      <c r="R37" s="521"/>
      <c r="V37" s="342" t="str">
        <f t="shared" si="19"/>
        <v>kWh Annual Savings</v>
      </c>
      <c r="W37" s="1436"/>
      <c r="X37" s="977"/>
      <c r="Y37" s="259">
        <v>0.06</v>
      </c>
      <c r="Z37" s="257">
        <v>0.06</v>
      </c>
      <c r="AA37" s="257">
        <v>0.06</v>
      </c>
      <c r="AB37" s="257">
        <v>0.06</v>
      </c>
      <c r="AC37" s="173">
        <v>0.06</v>
      </c>
      <c r="AD37" s="173">
        <v>0.06</v>
      </c>
      <c r="AE37" s="173">
        <v>0.06</v>
      </c>
      <c r="AF37" s="258">
        <f t="shared" si="13"/>
        <v>0.06</v>
      </c>
      <c r="AG37" s="342"/>
      <c r="AK37" s="344"/>
      <c r="DG37" s="1021">
        <f>(DI37)/(DJ37)</f>
        <v>0.7612756539482306</v>
      </c>
      <c r="DH37" s="653" t="str">
        <f t="shared" si="15"/>
        <v>Building Shell RES 20 Year EUL</v>
      </c>
      <c r="DI37" s="538">
        <f>(INDEX('Avoided Cost Benefits'!$B$4:$B$865,MATCH(DH37,'Avoided Cost Benefits'!$A$4:$A$865,0)))*F37</f>
        <v>9.1353078473787666E-2</v>
      </c>
      <c r="DJ37" s="1955">
        <f t="shared" si="16"/>
        <v>0.12</v>
      </c>
    </row>
    <row r="38" spans="2:114" x14ac:dyDescent="0.25">
      <c r="B38" s="1384">
        <f t="shared" si="9"/>
        <v>400600</v>
      </c>
      <c r="C38" s="332" t="s">
        <v>1489</v>
      </c>
      <c r="D38" s="537" t="s">
        <v>1490</v>
      </c>
      <c r="E38" s="1340" t="s">
        <v>1491</v>
      </c>
      <c r="F38" s="981">
        <f t="shared" si="17"/>
        <v>0.31</v>
      </c>
      <c r="G38" s="134" t="s">
        <v>1480</v>
      </c>
      <c r="H38" s="66">
        <f>VLOOKUP(G38,'CP FACTORS'!$A$3:$B$38, 2, FALSE)</f>
        <v>4.6608050000000002E-4</v>
      </c>
      <c r="I38" s="305">
        <f t="shared" si="10"/>
        <v>0.25700000000000001</v>
      </c>
      <c r="J38" s="526">
        <f t="shared" si="11"/>
        <v>0.05</v>
      </c>
      <c r="K38" s="261">
        <f t="shared" si="18"/>
        <v>1.44E-4</v>
      </c>
      <c r="L38" s="323">
        <f t="shared" si="12"/>
        <v>20</v>
      </c>
      <c r="M38" s="710">
        <f t="shared" si="20"/>
        <v>0.12</v>
      </c>
      <c r="N38" s="323">
        <f t="shared" si="21"/>
        <v>1</v>
      </c>
      <c r="R38" s="521"/>
      <c r="V38" s="342" t="str">
        <f t="shared" si="19"/>
        <v>kWh Annual Savings</v>
      </c>
      <c r="W38" s="369">
        <v>425.80900000000003</v>
      </c>
      <c r="X38" s="256">
        <v>425.80900000000003</v>
      </c>
      <c r="Y38" s="259">
        <v>0.31</v>
      </c>
      <c r="Z38" s="257">
        <v>0.31</v>
      </c>
      <c r="AA38" s="257">
        <v>0.31</v>
      </c>
      <c r="AB38" s="257">
        <v>0.31</v>
      </c>
      <c r="AC38" s="173">
        <v>0.31</v>
      </c>
      <c r="AD38" s="173">
        <v>0.31</v>
      </c>
      <c r="AE38" s="173">
        <v>0.31</v>
      </c>
      <c r="AF38" s="258">
        <f t="shared" si="13"/>
        <v>0.31</v>
      </c>
      <c r="AG38" s="342"/>
      <c r="AK38" s="344"/>
      <c r="DG38" s="1021">
        <f t="shared" si="14"/>
        <v>3.9332575453991914</v>
      </c>
      <c r="DH38" s="653" t="str">
        <f t="shared" si="15"/>
        <v>Building Shell RES 20 Year EUL</v>
      </c>
      <c r="DI38" s="538">
        <f>(INDEX('Avoided Cost Benefits'!$B$4:$B$865,MATCH(DH38,'Avoided Cost Benefits'!$A$4:$A$865,0)))*F38</f>
        <v>0.47199090544790295</v>
      </c>
      <c r="DJ38" s="1955">
        <f t="shared" si="16"/>
        <v>0.12</v>
      </c>
    </row>
    <row r="39" spans="2:114" x14ac:dyDescent="0.25">
      <c r="B39" s="1384">
        <f t="shared" si="9"/>
        <v>400650</v>
      </c>
      <c r="C39" s="332" t="s">
        <v>1492</v>
      </c>
      <c r="D39" s="537" t="s">
        <v>825</v>
      </c>
      <c r="E39" s="562" t="s">
        <v>1493</v>
      </c>
      <c r="F39" s="981">
        <f t="shared" si="17"/>
        <v>0.48</v>
      </c>
      <c r="G39" s="134" t="s">
        <v>1480</v>
      </c>
      <c r="H39" s="66">
        <f>VLOOKUP(G39,'CP FACTORS'!$A$3:$B$38, 2, FALSE)</f>
        <v>4.6608050000000002E-4</v>
      </c>
      <c r="I39" s="305">
        <f t="shared" si="10"/>
        <v>0.41299999999999998</v>
      </c>
      <c r="J39" s="526">
        <f t="shared" si="11"/>
        <v>6.2E-2</v>
      </c>
      <c r="K39" s="261">
        <f t="shared" si="18"/>
        <v>2.24E-4</v>
      </c>
      <c r="L39" s="323">
        <f t="shared" si="12"/>
        <v>20</v>
      </c>
      <c r="M39" s="710">
        <f t="shared" si="20"/>
        <v>0.12</v>
      </c>
      <c r="N39" s="323">
        <f t="shared" si="21"/>
        <v>1</v>
      </c>
      <c r="R39" s="521"/>
      <c r="V39" s="342" t="str">
        <f t="shared" si="19"/>
        <v>kWh Annual Savings</v>
      </c>
      <c r="W39" s="369">
        <v>513</v>
      </c>
      <c r="X39" s="256">
        <v>513</v>
      </c>
      <c r="Y39" s="259">
        <v>0.48</v>
      </c>
      <c r="Z39" s="257">
        <v>0.48</v>
      </c>
      <c r="AA39" s="257">
        <v>0.48</v>
      </c>
      <c r="AB39" s="257">
        <v>0.48</v>
      </c>
      <c r="AC39" s="173">
        <v>0.48</v>
      </c>
      <c r="AD39" s="173">
        <v>0.48</v>
      </c>
      <c r="AE39" s="173">
        <v>0.48</v>
      </c>
      <c r="AF39" s="258">
        <f t="shared" si="13"/>
        <v>0.48</v>
      </c>
      <c r="AG39" s="342"/>
      <c r="AK39" s="344"/>
      <c r="DG39" s="1021">
        <f t="shared" si="14"/>
        <v>6.0902052315858448</v>
      </c>
      <c r="DH39" s="653" t="str">
        <f t="shared" si="15"/>
        <v>Building Shell RES 20 Year EUL</v>
      </c>
      <c r="DI39" s="538">
        <f>(INDEX('Avoided Cost Benefits'!$B$4:$B$865,MATCH(DH39,'Avoided Cost Benefits'!$A$4:$A$865,0)))*F39</f>
        <v>0.73082462779030133</v>
      </c>
      <c r="DJ39" s="1955">
        <f t="shared" si="16"/>
        <v>0.12</v>
      </c>
    </row>
    <row r="40" spans="2:114" x14ac:dyDescent="0.25">
      <c r="B40" s="1384">
        <f t="shared" si="9"/>
        <v>400651</v>
      </c>
      <c r="C40" s="332" t="s">
        <v>1494</v>
      </c>
      <c r="D40" s="537" t="s">
        <v>825</v>
      </c>
      <c r="E40" s="1340" t="s">
        <v>1495</v>
      </c>
      <c r="F40" s="981">
        <f t="shared" si="17"/>
        <v>0.45</v>
      </c>
      <c r="G40" s="134" t="s">
        <v>1480</v>
      </c>
      <c r="H40" s="66">
        <f>VLOOKUP(G40,'CP FACTORS'!$A$3:$B$38, 2, FALSE)</f>
        <v>4.6608050000000002E-4</v>
      </c>
      <c r="I40" s="305">
        <f t="shared" si="10"/>
        <v>0.39100000000000001</v>
      </c>
      <c r="J40" s="526">
        <f t="shared" si="11"/>
        <v>6.2E-2</v>
      </c>
      <c r="K40" s="261">
        <f t="shared" si="18"/>
        <v>2.1000000000000001E-4</v>
      </c>
      <c r="L40" s="323">
        <f t="shared" si="12"/>
        <v>20</v>
      </c>
      <c r="M40" s="710">
        <f t="shared" si="20"/>
        <v>0.12</v>
      </c>
      <c r="N40" s="323">
        <f t="shared" si="21"/>
        <v>1</v>
      </c>
      <c r="R40" s="521"/>
      <c r="V40" s="342" t="str">
        <f t="shared" si="19"/>
        <v>kWh Annual Savings</v>
      </c>
      <c r="W40" s="1436"/>
      <c r="X40" s="977"/>
      <c r="Y40" s="259">
        <v>0.45</v>
      </c>
      <c r="Z40" s="257">
        <v>0.45</v>
      </c>
      <c r="AA40" s="257">
        <v>0.45</v>
      </c>
      <c r="AB40" s="257">
        <v>0.45</v>
      </c>
      <c r="AC40" s="173">
        <v>0.45</v>
      </c>
      <c r="AD40" s="173">
        <v>0.45</v>
      </c>
      <c r="AE40" s="173">
        <v>0.45</v>
      </c>
      <c r="AF40" s="258">
        <f t="shared" si="13"/>
        <v>0.45</v>
      </c>
      <c r="AG40" s="342"/>
      <c r="AK40" s="344"/>
      <c r="DG40" s="1021">
        <f>(DI40)/(DJ40)</f>
        <v>5.7095674046117297</v>
      </c>
      <c r="DH40" s="653" t="str">
        <f>CONCATENATE(G40," ",L40," Year EUL")</f>
        <v>Building Shell RES 20 Year EUL</v>
      </c>
      <c r="DI40" s="538">
        <f>(INDEX('Avoided Cost Benefits'!$B$4:$B$865,MATCH(DH40,'Avoided Cost Benefits'!$A$4:$A$865,0)))*F40</f>
        <v>0.68514808855340759</v>
      </c>
      <c r="DJ40" s="1955">
        <f t="shared" si="16"/>
        <v>0.12</v>
      </c>
    </row>
    <row r="41" spans="2:114" x14ac:dyDescent="0.25">
      <c r="B41" s="1384">
        <f t="shared" si="9"/>
        <v>400652</v>
      </c>
      <c r="C41" s="332" t="s">
        <v>1496</v>
      </c>
      <c r="D41" s="537" t="s">
        <v>825</v>
      </c>
      <c r="E41" s="562" t="s">
        <v>1497</v>
      </c>
      <c r="F41" s="981">
        <f t="shared" si="17"/>
        <v>0.08</v>
      </c>
      <c r="G41" s="134" t="s">
        <v>1480</v>
      </c>
      <c r="H41" s="66">
        <f>VLOOKUP(G41,'CP FACTORS'!$A$3:$B$38, 2, FALSE)</f>
        <v>4.6608050000000002E-4</v>
      </c>
      <c r="I41" s="305">
        <f t="shared" si="10"/>
        <v>1.5640339999999999E-2</v>
      </c>
      <c r="J41" s="526">
        <f t="shared" si="11"/>
        <v>6.2E-2</v>
      </c>
      <c r="K41" s="261">
        <f t="shared" si="18"/>
        <v>3.6999999999999998E-5</v>
      </c>
      <c r="L41" s="323">
        <f t="shared" si="12"/>
        <v>20</v>
      </c>
      <c r="M41" s="710">
        <f t="shared" si="20"/>
        <v>0.12</v>
      </c>
      <c r="N41" s="323">
        <f t="shared" si="21"/>
        <v>1</v>
      </c>
      <c r="R41" s="521"/>
      <c r="V41" s="342" t="str">
        <f t="shared" si="19"/>
        <v>kWh Annual Savings</v>
      </c>
      <c r="W41" s="1436"/>
      <c r="X41" s="977"/>
      <c r="Y41" s="259">
        <v>0.08</v>
      </c>
      <c r="Z41" s="257">
        <v>0.08</v>
      </c>
      <c r="AA41" s="257">
        <v>0.08</v>
      </c>
      <c r="AB41" s="257">
        <v>0.08</v>
      </c>
      <c r="AC41" s="173">
        <v>0.08</v>
      </c>
      <c r="AD41" s="173">
        <v>0.08</v>
      </c>
      <c r="AE41" s="173">
        <v>0.08</v>
      </c>
      <c r="AF41" s="258">
        <f t="shared" si="13"/>
        <v>0.08</v>
      </c>
      <c r="AG41" s="342"/>
      <c r="AK41" s="344"/>
      <c r="DG41" s="1022">
        <f>(DI41)/(DJ41)</f>
        <v>1.0150342052643075</v>
      </c>
      <c r="DH41" s="653" t="str">
        <f>CONCATENATE(G41," ",L41," Year EUL")</f>
        <v>Building Shell RES 20 Year EUL</v>
      </c>
      <c r="DI41" s="1030">
        <f>(INDEX('Avoided Cost Benefits'!$B$4:$B$865,MATCH(DH41,'Avoided Cost Benefits'!$A$4:$A$865,0)))*F41</f>
        <v>0.1218041046317169</v>
      </c>
      <c r="DJ41" s="1956">
        <f t="shared" si="16"/>
        <v>0.12</v>
      </c>
    </row>
    <row r="42" spans="2:114" hidden="1" outlineLevel="1" x14ac:dyDescent="0.25">
      <c r="B42" s="1384"/>
      <c r="D42" s="71" t="s">
        <v>94</v>
      </c>
      <c r="E42" s="127" t="s">
        <v>1498</v>
      </c>
      <c r="F42" s="529"/>
      <c r="AK42" s="344"/>
    </row>
    <row r="43" spans="2:114" hidden="1" outlineLevel="1" x14ac:dyDescent="0.25">
      <c r="B43" s="1384"/>
      <c r="C43" s="270"/>
      <c r="D43" s="270" t="s">
        <v>604</v>
      </c>
      <c r="E43" s="270" t="s">
        <v>1499</v>
      </c>
      <c r="AK43" s="344"/>
    </row>
    <row r="44" spans="2:114" hidden="1" outlineLevel="1" x14ac:dyDescent="0.25">
      <c r="B44" s="1384"/>
      <c r="C44" s="270"/>
      <c r="D44" s="270" t="s">
        <v>604</v>
      </c>
      <c r="E44" s="270" t="s">
        <v>1500</v>
      </c>
      <c r="AK44" s="344"/>
    </row>
    <row r="45" spans="2:114" hidden="1" outlineLevel="1" x14ac:dyDescent="0.25">
      <c r="B45" s="1384"/>
      <c r="C45" s="270"/>
      <c r="D45" s="270"/>
      <c r="E45" s="270" t="s">
        <v>607</v>
      </c>
      <c r="AK45" s="344"/>
    </row>
    <row r="46" spans="2:114" hidden="1" outlineLevel="1" x14ac:dyDescent="0.25">
      <c r="B46" s="1384"/>
      <c r="D46" s="127" t="s">
        <v>1501</v>
      </c>
      <c r="AK46" s="344"/>
    </row>
    <row r="47" spans="2:114" hidden="1" outlineLevel="1" x14ac:dyDescent="0.25">
      <c r="B47" s="1384"/>
      <c r="D47" s="1373" t="s">
        <v>712</v>
      </c>
      <c r="E47" s="1373" t="s">
        <v>608</v>
      </c>
      <c r="F47" s="1300" t="s">
        <v>610</v>
      </c>
      <c r="G47" s="1300" t="s">
        <v>611</v>
      </c>
      <c r="H47" s="1300" t="s">
        <v>713</v>
      </c>
      <c r="V47" s="648" t="s">
        <v>52</v>
      </c>
      <c r="W47" s="649">
        <f>W$6</f>
        <v>43252</v>
      </c>
      <c r="X47" s="649">
        <f t="shared" ref="X47:AG47" si="22">X$6</f>
        <v>43465</v>
      </c>
      <c r="Y47" s="110">
        <f t="shared" si="22"/>
        <v>43800</v>
      </c>
      <c r="Z47" s="649">
        <f t="shared" si="22"/>
        <v>43862</v>
      </c>
      <c r="AA47" s="649">
        <f t="shared" si="22"/>
        <v>44013</v>
      </c>
      <c r="AB47" s="649">
        <f t="shared" si="22"/>
        <v>44166</v>
      </c>
      <c r="AC47" s="649">
        <f t="shared" si="22"/>
        <v>44531</v>
      </c>
      <c r="AD47" s="649">
        <f t="shared" si="22"/>
        <v>44774</v>
      </c>
      <c r="AE47" s="649">
        <f t="shared" si="22"/>
        <v>45139</v>
      </c>
      <c r="AF47" s="649">
        <f t="shared" si="22"/>
        <v>45672</v>
      </c>
      <c r="AG47" s="649" t="str">
        <f t="shared" si="22"/>
        <v>-</v>
      </c>
      <c r="AK47" s="344"/>
    </row>
    <row r="48" spans="2:114" ht="15" hidden="1" customHeight="1" outlineLevel="1" x14ac:dyDescent="0.25">
      <c r="B48" s="1384"/>
      <c r="D48" s="2251" t="s">
        <v>1502</v>
      </c>
      <c r="E48" s="122" t="str">
        <f t="shared" ref="E48:E56" si="23">E33</f>
        <v>Air Sealing (Infiltration reduction) - 30% MF IE DI electric furnace base</v>
      </c>
      <c r="F48" s="1541">
        <v>0.28499999999999998</v>
      </c>
      <c r="G48" s="2252" t="s">
        <v>1503</v>
      </c>
      <c r="H48" s="1359"/>
      <c r="V48" s="2264" t="str">
        <f>D48</f>
        <v>Defaultheat</v>
      </c>
      <c r="W48" s="263">
        <v>0.28499999999999998</v>
      </c>
      <c r="X48" s="263">
        <v>0.28499999999999998</v>
      </c>
      <c r="Y48" s="263">
        <v>0.28499999999999998</v>
      </c>
      <c r="Z48" s="563">
        <v>0.28499999999999998</v>
      </c>
      <c r="AA48" s="563">
        <v>0.28499999999999998</v>
      </c>
      <c r="AB48" s="563">
        <v>0.28499999999999998</v>
      </c>
      <c r="AC48" s="563">
        <v>0.28499999999999998</v>
      </c>
      <c r="AD48" s="563">
        <v>0.28499999999999998</v>
      </c>
      <c r="AE48" s="563">
        <v>0.28499999999999998</v>
      </c>
      <c r="AF48" s="258">
        <f t="shared" ref="AF48:AF95" si="24">IF(F48&lt;&gt;"",F48,"")</f>
        <v>0.28499999999999998</v>
      </c>
      <c r="AG48" s="1424"/>
      <c r="AK48" s="344"/>
    </row>
    <row r="49" spans="2:37" ht="15" hidden="1" customHeight="1" outlineLevel="1" x14ac:dyDescent="0.25">
      <c r="B49" s="1384"/>
      <c r="D49" s="2251"/>
      <c r="E49" s="122" t="str">
        <f t="shared" si="23"/>
        <v>Air Sealing (Infiltration reduction) - 30% MF IE DI heat pump base</v>
      </c>
      <c r="F49" s="1541">
        <v>0.20799999999999999</v>
      </c>
      <c r="G49" s="2252"/>
      <c r="H49" s="1359"/>
      <c r="V49" s="2265"/>
      <c r="W49" s="263">
        <v>0.20799999999999999</v>
      </c>
      <c r="X49" s="263">
        <v>0.20799999999999999</v>
      </c>
      <c r="Y49" s="263">
        <v>0.20799999999999999</v>
      </c>
      <c r="Z49" s="563">
        <v>0.20799999999999999</v>
      </c>
      <c r="AA49" s="563">
        <v>0.20799999999999999</v>
      </c>
      <c r="AB49" s="563">
        <v>0.20799999999999999</v>
      </c>
      <c r="AC49" s="563">
        <v>0.20799999999999999</v>
      </c>
      <c r="AD49" s="563">
        <v>0.20799999999999999</v>
      </c>
      <c r="AE49" s="563">
        <v>0.20799999999999999</v>
      </c>
      <c r="AF49" s="258">
        <f t="shared" si="24"/>
        <v>0.20799999999999999</v>
      </c>
      <c r="AG49" s="1424"/>
      <c r="AK49" s="344"/>
    </row>
    <row r="50" spans="2:37" ht="15" hidden="1" customHeight="1" outlineLevel="1" x14ac:dyDescent="0.25">
      <c r="B50" s="1384"/>
      <c r="D50" s="2251"/>
      <c r="E50" s="122" t="str">
        <f t="shared" si="23"/>
        <v>Air Sealing (Infiltration reduction) - 30% MF IE DI gas furnace base</v>
      </c>
      <c r="F50" s="1541">
        <v>0</v>
      </c>
      <c r="G50" s="2252"/>
      <c r="H50" s="1359"/>
      <c r="V50" s="2265"/>
      <c r="W50" s="971"/>
      <c r="X50" s="971"/>
      <c r="Y50" s="971"/>
      <c r="Z50" s="972"/>
      <c r="AA50" s="972"/>
      <c r="AB50" s="972"/>
      <c r="AC50" s="972"/>
      <c r="AD50" s="264">
        <v>0</v>
      </c>
      <c r="AE50" s="563">
        <v>0</v>
      </c>
      <c r="AF50" s="258">
        <f t="shared" si="24"/>
        <v>0</v>
      </c>
      <c r="AG50" s="1424"/>
      <c r="AK50" s="344"/>
    </row>
    <row r="51" spans="2:37" hidden="1" outlineLevel="1" x14ac:dyDescent="0.25">
      <c r="B51" s="1384"/>
      <c r="D51" s="2251"/>
      <c r="E51" s="122" t="str">
        <f t="shared" si="23"/>
        <v>Air Sealing (Infiltration reduction) - 30% SF IE DI electric furnace base</v>
      </c>
      <c r="F51" s="1541">
        <v>0.308</v>
      </c>
      <c r="G51" s="2252"/>
      <c r="H51" s="1359"/>
      <c r="V51" s="2265"/>
      <c r="W51" s="263">
        <v>0.308</v>
      </c>
      <c r="X51" s="263">
        <v>0.308</v>
      </c>
      <c r="Y51" s="263">
        <v>0.308</v>
      </c>
      <c r="Z51" s="563">
        <v>0.308</v>
      </c>
      <c r="AA51" s="563">
        <v>0.308</v>
      </c>
      <c r="AB51" s="563">
        <v>0.308</v>
      </c>
      <c r="AC51" s="563">
        <v>0.308</v>
      </c>
      <c r="AD51" s="563">
        <v>0.308</v>
      </c>
      <c r="AE51" s="563">
        <v>0.308</v>
      </c>
      <c r="AF51" s="258">
        <f t="shared" si="24"/>
        <v>0.308</v>
      </c>
      <c r="AG51" s="1424"/>
      <c r="AK51" s="344"/>
    </row>
    <row r="52" spans="2:37" hidden="1" outlineLevel="1" x14ac:dyDescent="0.25">
      <c r="B52" s="1384"/>
      <c r="D52" s="2251"/>
      <c r="E52" s="122" t="str">
        <f t="shared" si="23"/>
        <v>Air Sealing (Infiltration reduction) - 30% SF IE DI Gas furnace base</v>
      </c>
      <c r="F52" s="1541">
        <v>0</v>
      </c>
      <c r="G52" s="2252"/>
      <c r="H52" s="1359"/>
      <c r="V52" s="2265"/>
      <c r="W52" s="971"/>
      <c r="X52" s="971"/>
      <c r="Y52" s="264">
        <v>0</v>
      </c>
      <c r="Z52" s="563">
        <v>0</v>
      </c>
      <c r="AA52" s="563">
        <v>0</v>
      </c>
      <c r="AB52" s="563">
        <v>0</v>
      </c>
      <c r="AC52" s="563">
        <v>0</v>
      </c>
      <c r="AD52" s="563">
        <v>0</v>
      </c>
      <c r="AE52" s="563">
        <v>0</v>
      </c>
      <c r="AF52" s="258">
        <f t="shared" si="24"/>
        <v>0</v>
      </c>
      <c r="AG52" s="1424"/>
      <c r="AK52" s="344"/>
    </row>
    <row r="53" spans="2:37" hidden="1" outlineLevel="1" x14ac:dyDescent="0.25">
      <c r="B53" s="1384"/>
      <c r="D53" s="2251"/>
      <c r="E53" s="122" t="str">
        <f t="shared" si="23"/>
        <v>Air Sealing (Infiltration reduction) - 30% SF IE DI heat pump base</v>
      </c>
      <c r="F53" s="1541">
        <v>0.25700000000000001</v>
      </c>
      <c r="G53" s="2252"/>
      <c r="H53" s="1359"/>
      <c r="V53" s="2265"/>
      <c r="W53" s="263">
        <v>0.25700000000000001</v>
      </c>
      <c r="X53" s="263">
        <v>0.25700000000000001</v>
      </c>
      <c r="Y53" s="263">
        <v>0.25700000000000001</v>
      </c>
      <c r="Z53" s="563">
        <v>0.25700000000000001</v>
      </c>
      <c r="AA53" s="563">
        <v>0.25700000000000001</v>
      </c>
      <c r="AB53" s="563">
        <v>0.25700000000000001</v>
      </c>
      <c r="AC53" s="563">
        <v>0.25700000000000001</v>
      </c>
      <c r="AD53" s="563">
        <v>0.25700000000000001</v>
      </c>
      <c r="AE53" s="563">
        <v>0.25700000000000001</v>
      </c>
      <c r="AF53" s="258">
        <f t="shared" si="24"/>
        <v>0.25700000000000001</v>
      </c>
      <c r="AG53" s="1437"/>
      <c r="AK53" s="344"/>
    </row>
    <row r="54" spans="2:37" hidden="1" outlineLevel="1" x14ac:dyDescent="0.25">
      <c r="B54" s="1384"/>
      <c r="D54" s="2251"/>
      <c r="E54" s="122" t="str">
        <f t="shared" si="23"/>
        <v>MH Adjusted Air Sealing (Infiltration reduction) - 30% SF IE DI electric furnace base</v>
      </c>
      <c r="F54" s="1541">
        <v>0.41299999999999998</v>
      </c>
      <c r="G54" s="2252"/>
      <c r="H54" s="1359"/>
      <c r="V54" s="2265"/>
      <c r="W54" s="263">
        <v>0.41299999999999998</v>
      </c>
      <c r="X54" s="263">
        <v>0.41299999999999998</v>
      </c>
      <c r="Y54" s="263">
        <v>0.41299999999999998</v>
      </c>
      <c r="Z54" s="563">
        <v>0.41299999999999998</v>
      </c>
      <c r="AA54" s="563">
        <v>0.41299999999999998</v>
      </c>
      <c r="AB54" s="563">
        <v>0.41299999999999998</v>
      </c>
      <c r="AC54" s="563">
        <v>0.41299999999999998</v>
      </c>
      <c r="AD54" s="563">
        <v>0.41299999999999998</v>
      </c>
      <c r="AE54" s="563">
        <v>0.41299999999999998</v>
      </c>
      <c r="AF54" s="258">
        <f t="shared" si="24"/>
        <v>0.41299999999999998</v>
      </c>
      <c r="AG54" s="1437"/>
      <c r="AK54" s="344"/>
    </row>
    <row r="55" spans="2:37" hidden="1" outlineLevel="1" x14ac:dyDescent="0.25">
      <c r="B55" s="1384"/>
      <c r="D55" s="2136"/>
      <c r="E55" s="122" t="str">
        <f t="shared" si="23"/>
        <v>MH Adjusted Air Sealing (Infiltration reduction) - 30% SF IE DI heat pump base</v>
      </c>
      <c r="F55" s="1541">
        <v>0.39100000000000001</v>
      </c>
      <c r="G55" s="2252"/>
      <c r="H55" s="1359"/>
      <c r="V55" s="2266"/>
      <c r="W55" s="971"/>
      <c r="X55" s="971"/>
      <c r="Y55" s="264">
        <v>0.39100000000000001</v>
      </c>
      <c r="Z55" s="563">
        <v>0.39100000000000001</v>
      </c>
      <c r="AA55" s="563">
        <v>0.39100000000000001</v>
      </c>
      <c r="AB55" s="563">
        <v>0.39100000000000001</v>
      </c>
      <c r="AC55" s="563">
        <v>0.39100000000000001</v>
      </c>
      <c r="AD55" s="563">
        <v>0.39100000000000001</v>
      </c>
      <c r="AE55" s="563">
        <v>0.39100000000000001</v>
      </c>
      <c r="AF55" s="258">
        <f t="shared" si="24"/>
        <v>0.39100000000000001</v>
      </c>
      <c r="AG55" s="1437"/>
      <c r="AK55" s="344"/>
    </row>
    <row r="56" spans="2:37" hidden="1" outlineLevel="1" x14ac:dyDescent="0.25">
      <c r="B56" s="1384"/>
      <c r="D56" s="2136"/>
      <c r="E56" s="122" t="str">
        <f t="shared" si="23"/>
        <v>MH Adjusted Air Sealing (Infiltration reduction) - 30% SF IE DI gas furnace base</v>
      </c>
      <c r="F56" s="1541">
        <v>0</v>
      </c>
      <c r="G56" s="2252"/>
      <c r="H56" s="1359"/>
      <c r="V56" s="2267"/>
      <c r="W56" s="971"/>
      <c r="X56" s="971"/>
      <c r="Y56" s="264">
        <v>0</v>
      </c>
      <c r="Z56" s="563">
        <v>0</v>
      </c>
      <c r="AA56" s="563">
        <v>0</v>
      </c>
      <c r="AB56" s="563">
        <v>0</v>
      </c>
      <c r="AC56" s="563">
        <v>0</v>
      </c>
      <c r="AD56" s="563">
        <v>0</v>
      </c>
      <c r="AE56" s="563">
        <v>0</v>
      </c>
      <c r="AF56" s="258">
        <f t="shared" si="24"/>
        <v>0</v>
      </c>
      <c r="AG56" s="1437"/>
      <c r="AK56" s="344"/>
    </row>
    <row r="57" spans="2:37" ht="30" hidden="1" outlineLevel="1" x14ac:dyDescent="0.25">
      <c r="B57" s="1384"/>
      <c r="D57" s="2251" t="s">
        <v>1504</v>
      </c>
      <c r="E57" s="122" t="str">
        <f t="shared" ref="E57:E83" si="25">E48</f>
        <v>Air Sealing (Infiltration reduction) - 30% MF IE DI electric furnace base</v>
      </c>
      <c r="F57" s="1533">
        <v>1</v>
      </c>
      <c r="G57" s="1336" t="s">
        <v>1505</v>
      </c>
      <c r="H57" s="1359" t="s">
        <v>1506</v>
      </c>
      <c r="V57" s="2264" t="str">
        <f>D57</f>
        <v>Sq. Ft.</v>
      </c>
      <c r="W57" s="266">
        <f>1387*0.65</f>
        <v>901.55000000000007</v>
      </c>
      <c r="X57" s="266">
        <v>901.55000000000007</v>
      </c>
      <c r="Y57" s="265">
        <v>1</v>
      </c>
      <c r="Z57" s="324">
        <v>1</v>
      </c>
      <c r="AA57" s="324">
        <v>1</v>
      </c>
      <c r="AB57" s="324">
        <v>1</v>
      </c>
      <c r="AC57" s="324">
        <v>1</v>
      </c>
      <c r="AD57" s="324">
        <v>1</v>
      </c>
      <c r="AE57" s="324">
        <v>1</v>
      </c>
      <c r="AF57" s="258">
        <f t="shared" si="24"/>
        <v>1</v>
      </c>
      <c r="AG57" s="1437"/>
      <c r="AK57" s="344"/>
    </row>
    <row r="58" spans="2:37" ht="30" hidden="1" outlineLevel="1" x14ac:dyDescent="0.25">
      <c r="B58" s="1384"/>
      <c r="D58" s="2251"/>
      <c r="E58" s="122" t="str">
        <f t="shared" si="25"/>
        <v>Air Sealing (Infiltration reduction) - 30% MF IE DI heat pump base</v>
      </c>
      <c r="F58" s="1533">
        <v>1</v>
      </c>
      <c r="G58" s="1336" t="s">
        <v>1505</v>
      </c>
      <c r="H58" s="1359" t="s">
        <v>1506</v>
      </c>
      <c r="V58" s="2265"/>
      <c r="W58" s="266">
        <f>1387*0.65</f>
        <v>901.55000000000007</v>
      </c>
      <c r="X58" s="266">
        <v>901.55000000000007</v>
      </c>
      <c r="Y58" s="265">
        <v>1</v>
      </c>
      <c r="Z58" s="324">
        <v>1</v>
      </c>
      <c r="AA58" s="324">
        <v>1</v>
      </c>
      <c r="AB58" s="324">
        <v>1</v>
      </c>
      <c r="AC58" s="324">
        <v>1</v>
      </c>
      <c r="AD58" s="324">
        <v>1</v>
      </c>
      <c r="AE58" s="324">
        <v>1</v>
      </c>
      <c r="AF58" s="258">
        <f t="shared" si="24"/>
        <v>1</v>
      </c>
      <c r="AG58" s="1437"/>
      <c r="AK58" s="344"/>
    </row>
    <row r="59" spans="2:37" ht="30" hidden="1" outlineLevel="1" x14ac:dyDescent="0.25">
      <c r="B59" s="1384"/>
      <c r="D59" s="2251"/>
      <c r="E59" s="122" t="str">
        <f t="shared" si="25"/>
        <v>Air Sealing (Infiltration reduction) - 30% MF IE DI gas furnace base</v>
      </c>
      <c r="F59" s="1533">
        <v>1</v>
      </c>
      <c r="G59" s="1336" t="s">
        <v>1505</v>
      </c>
      <c r="H59" s="1359" t="s">
        <v>1506</v>
      </c>
      <c r="V59" s="2265"/>
      <c r="W59" s="974"/>
      <c r="X59" s="974"/>
      <c r="Y59" s="975"/>
      <c r="Z59" s="976"/>
      <c r="AA59" s="976"/>
      <c r="AB59" s="976"/>
      <c r="AC59" s="976"/>
      <c r="AD59" s="265">
        <v>1</v>
      </c>
      <c r="AE59" s="324">
        <v>1</v>
      </c>
      <c r="AF59" s="258">
        <f t="shared" si="24"/>
        <v>1</v>
      </c>
      <c r="AG59" s="1437"/>
      <c r="AK59" s="344"/>
    </row>
    <row r="60" spans="2:37" ht="30" hidden="1" outlineLevel="1" x14ac:dyDescent="0.25">
      <c r="B60" s="1384"/>
      <c r="D60" s="2251"/>
      <c r="E60" s="122" t="str">
        <f t="shared" si="25"/>
        <v>Air Sealing (Infiltration reduction) - 30% SF IE DI electric furnace base</v>
      </c>
      <c r="F60" s="1533">
        <v>1</v>
      </c>
      <c r="G60" s="1336" t="s">
        <v>1507</v>
      </c>
      <c r="H60" s="1359"/>
      <c r="V60" s="2265"/>
      <c r="W60" s="266">
        <v>1387</v>
      </c>
      <c r="X60" s="266">
        <v>1387</v>
      </c>
      <c r="Y60" s="265">
        <v>1</v>
      </c>
      <c r="Z60" s="324">
        <v>1</v>
      </c>
      <c r="AA60" s="324">
        <v>1</v>
      </c>
      <c r="AB60" s="324">
        <v>1</v>
      </c>
      <c r="AC60" s="324">
        <v>1</v>
      </c>
      <c r="AD60" s="324">
        <v>1</v>
      </c>
      <c r="AE60" s="324">
        <v>1</v>
      </c>
      <c r="AF60" s="258">
        <f t="shared" si="24"/>
        <v>1</v>
      </c>
      <c r="AG60" s="1437"/>
      <c r="AK60" s="344"/>
    </row>
    <row r="61" spans="2:37" ht="30" hidden="1" outlineLevel="1" x14ac:dyDescent="0.25">
      <c r="B61" s="1384"/>
      <c r="D61" s="2251"/>
      <c r="E61" s="122" t="str">
        <f t="shared" si="25"/>
        <v>Air Sealing (Infiltration reduction) - 30% SF IE DI Gas furnace base</v>
      </c>
      <c r="F61" s="1533">
        <v>1</v>
      </c>
      <c r="G61" s="1336" t="s">
        <v>1507</v>
      </c>
      <c r="H61" s="1359"/>
      <c r="V61" s="2265"/>
      <c r="W61" s="974"/>
      <c r="X61" s="974"/>
      <c r="Y61" s="265">
        <v>1</v>
      </c>
      <c r="Z61" s="324">
        <v>1</v>
      </c>
      <c r="AA61" s="324">
        <v>1</v>
      </c>
      <c r="AB61" s="324">
        <v>1</v>
      </c>
      <c r="AC61" s="324">
        <v>1</v>
      </c>
      <c r="AD61" s="324">
        <v>1</v>
      </c>
      <c r="AE61" s="324">
        <v>1</v>
      </c>
      <c r="AF61" s="258">
        <f t="shared" si="24"/>
        <v>1</v>
      </c>
      <c r="AG61" s="1437"/>
      <c r="AK61" s="344"/>
    </row>
    <row r="62" spans="2:37" ht="30" hidden="1" outlineLevel="1" x14ac:dyDescent="0.25">
      <c r="B62" s="1384"/>
      <c r="D62" s="2251"/>
      <c r="E62" s="122" t="str">
        <f t="shared" si="25"/>
        <v>Air Sealing (Infiltration reduction) - 30% SF IE DI heat pump base</v>
      </c>
      <c r="F62" s="1533">
        <v>1</v>
      </c>
      <c r="G62" s="1336" t="s">
        <v>1508</v>
      </c>
      <c r="H62" s="1359"/>
      <c r="V62" s="2265"/>
      <c r="W62" s="266">
        <v>1387</v>
      </c>
      <c r="X62" s="266">
        <v>1387</v>
      </c>
      <c r="Y62" s="265">
        <v>1</v>
      </c>
      <c r="Z62" s="324">
        <v>1</v>
      </c>
      <c r="AA62" s="324">
        <v>1</v>
      </c>
      <c r="AB62" s="324">
        <v>1</v>
      </c>
      <c r="AC62" s="324">
        <v>1</v>
      </c>
      <c r="AD62" s="324">
        <v>1</v>
      </c>
      <c r="AE62" s="324">
        <v>1</v>
      </c>
      <c r="AF62" s="258">
        <f t="shared" si="24"/>
        <v>1</v>
      </c>
      <c r="AG62" s="1437"/>
      <c r="AK62" s="344"/>
    </row>
    <row r="63" spans="2:37" ht="30" hidden="1" outlineLevel="1" x14ac:dyDescent="0.25">
      <c r="B63" s="1384"/>
      <c r="D63" s="2251"/>
      <c r="E63" s="122" t="str">
        <f t="shared" si="25"/>
        <v>MH Adjusted Air Sealing (Infiltration reduction) - 30% SF IE DI electric furnace base</v>
      </c>
      <c r="F63" s="1533">
        <v>1</v>
      </c>
      <c r="G63" s="1336" t="s">
        <v>1509</v>
      </c>
      <c r="H63" s="1359"/>
      <c r="V63" s="2265"/>
      <c r="W63" s="266">
        <f>15*72</f>
        <v>1080</v>
      </c>
      <c r="X63" s="266">
        <v>1080</v>
      </c>
      <c r="Y63" s="265">
        <v>1</v>
      </c>
      <c r="Z63" s="324">
        <v>1</v>
      </c>
      <c r="AA63" s="324">
        <v>1</v>
      </c>
      <c r="AB63" s="324">
        <v>1</v>
      </c>
      <c r="AC63" s="324">
        <v>1</v>
      </c>
      <c r="AD63" s="324">
        <v>1</v>
      </c>
      <c r="AE63" s="324">
        <v>1</v>
      </c>
      <c r="AF63" s="258">
        <f t="shared" si="24"/>
        <v>1</v>
      </c>
      <c r="AG63" s="1437"/>
      <c r="AK63" s="344"/>
    </row>
    <row r="64" spans="2:37" ht="30" hidden="1" outlineLevel="1" x14ac:dyDescent="0.25">
      <c r="B64" s="1384"/>
      <c r="D64" s="2136"/>
      <c r="E64" s="122" t="str">
        <f t="shared" si="25"/>
        <v>MH Adjusted Air Sealing (Infiltration reduction) - 30% SF IE DI heat pump base</v>
      </c>
      <c r="F64" s="1533">
        <v>1</v>
      </c>
      <c r="G64" s="1336" t="s">
        <v>1509</v>
      </c>
      <c r="H64" s="1359"/>
      <c r="V64" s="2266"/>
      <c r="W64" s="974"/>
      <c r="X64" s="974"/>
      <c r="Y64" s="265">
        <v>1</v>
      </c>
      <c r="Z64" s="324">
        <v>1</v>
      </c>
      <c r="AA64" s="324">
        <v>1</v>
      </c>
      <c r="AB64" s="324">
        <v>1</v>
      </c>
      <c r="AC64" s="324">
        <v>1</v>
      </c>
      <c r="AD64" s="324">
        <v>1</v>
      </c>
      <c r="AE64" s="324">
        <v>1</v>
      </c>
      <c r="AF64" s="258">
        <f t="shared" si="24"/>
        <v>1</v>
      </c>
      <c r="AG64" s="1437"/>
      <c r="AK64" s="344"/>
    </row>
    <row r="65" spans="2:37" ht="30" hidden="1" outlineLevel="1" x14ac:dyDescent="0.25">
      <c r="B65" s="1384"/>
      <c r="D65" s="2136"/>
      <c r="E65" s="122" t="str">
        <f t="shared" si="25"/>
        <v>MH Adjusted Air Sealing (Infiltration reduction) - 30% SF IE DI gas furnace base</v>
      </c>
      <c r="F65" s="1533">
        <v>1</v>
      </c>
      <c r="G65" s="1336" t="s">
        <v>1509</v>
      </c>
      <c r="H65" s="1359"/>
      <c r="V65" s="2267"/>
      <c r="W65" s="974"/>
      <c r="X65" s="974"/>
      <c r="Y65" s="265">
        <v>1</v>
      </c>
      <c r="Z65" s="324">
        <v>1</v>
      </c>
      <c r="AA65" s="324">
        <v>1</v>
      </c>
      <c r="AB65" s="324">
        <v>1</v>
      </c>
      <c r="AC65" s="324">
        <v>1</v>
      </c>
      <c r="AD65" s="324">
        <v>1</v>
      </c>
      <c r="AE65" s="324">
        <v>1</v>
      </c>
      <c r="AF65" s="258">
        <f t="shared" si="24"/>
        <v>1</v>
      </c>
      <c r="AG65" s="1437"/>
      <c r="AK65" s="344"/>
    </row>
    <row r="66" spans="2:37" ht="15" hidden="1" customHeight="1" outlineLevel="1" x14ac:dyDescent="0.25">
      <c r="B66" s="1384"/>
      <c r="D66" s="2251" t="s">
        <v>1510</v>
      </c>
      <c r="E66" s="122" t="str">
        <f t="shared" si="25"/>
        <v>Air Sealing (Infiltration reduction) - 30% MF IE DI electric furnace base</v>
      </c>
      <c r="F66" s="1541">
        <v>4.2999999999999997E-2</v>
      </c>
      <c r="G66" s="1336" t="s">
        <v>1511</v>
      </c>
      <c r="H66" s="1359"/>
      <c r="V66" s="2264" t="str">
        <f>D66</f>
        <v>Defaultcool</v>
      </c>
      <c r="W66" s="263">
        <v>4.2999999999999997E-2</v>
      </c>
      <c r="X66" s="263">
        <v>4.2999999999999997E-2</v>
      </c>
      <c r="Y66" s="263">
        <v>4.2999999999999997E-2</v>
      </c>
      <c r="Z66" s="563">
        <v>4.2999999999999997E-2</v>
      </c>
      <c r="AA66" s="563">
        <v>4.2999999999999997E-2</v>
      </c>
      <c r="AB66" s="563">
        <v>4.2999999999999997E-2</v>
      </c>
      <c r="AC66" s="563">
        <v>4.2999999999999997E-2</v>
      </c>
      <c r="AD66" s="563">
        <v>4.2999999999999997E-2</v>
      </c>
      <c r="AE66" s="563">
        <v>4.2999999999999997E-2</v>
      </c>
      <c r="AF66" s="258">
        <f t="shared" si="24"/>
        <v>4.2999999999999997E-2</v>
      </c>
      <c r="AG66" s="1437"/>
      <c r="AK66" s="344"/>
    </row>
    <row r="67" spans="2:37" hidden="1" outlineLevel="1" x14ac:dyDescent="0.25">
      <c r="B67" s="1384"/>
      <c r="D67" s="2251"/>
      <c r="E67" s="122" t="str">
        <f t="shared" si="25"/>
        <v>Air Sealing (Infiltration reduction) - 30% MF IE DI heat pump base</v>
      </c>
      <c r="F67" s="1541">
        <v>4.2999999999999997E-2</v>
      </c>
      <c r="G67" s="1336" t="s">
        <v>1511</v>
      </c>
      <c r="H67" s="1359"/>
      <c r="V67" s="2265"/>
      <c r="W67" s="263">
        <v>4.2999999999999997E-2</v>
      </c>
      <c r="X67" s="263">
        <v>4.2999999999999997E-2</v>
      </c>
      <c r="Y67" s="263">
        <v>4.2999999999999997E-2</v>
      </c>
      <c r="Z67" s="563">
        <v>4.2999999999999997E-2</v>
      </c>
      <c r="AA67" s="563">
        <v>4.2999999999999997E-2</v>
      </c>
      <c r="AB67" s="563">
        <v>4.2999999999999997E-2</v>
      </c>
      <c r="AC67" s="563">
        <v>4.2999999999999997E-2</v>
      </c>
      <c r="AD67" s="563">
        <v>4.2999999999999997E-2</v>
      </c>
      <c r="AE67" s="563">
        <v>4.2999999999999997E-2</v>
      </c>
      <c r="AF67" s="258">
        <f t="shared" si="24"/>
        <v>4.2999999999999997E-2</v>
      </c>
      <c r="AG67" s="1437"/>
      <c r="AK67" s="344"/>
    </row>
    <row r="68" spans="2:37" hidden="1" outlineLevel="1" x14ac:dyDescent="0.25">
      <c r="B68" s="1384"/>
      <c r="D68" s="2251"/>
      <c r="E68" s="122" t="str">
        <f t="shared" si="25"/>
        <v>Air Sealing (Infiltration reduction) - 30% MF IE DI gas furnace base</v>
      </c>
      <c r="F68" s="1541">
        <v>4.2999999999999997E-2</v>
      </c>
      <c r="G68" s="1336" t="s">
        <v>1511</v>
      </c>
      <c r="H68" s="1359"/>
      <c r="V68" s="2265"/>
      <c r="W68" s="971"/>
      <c r="X68" s="971"/>
      <c r="Y68" s="971"/>
      <c r="Z68" s="972"/>
      <c r="AA68" s="972"/>
      <c r="AB68" s="972"/>
      <c r="AC68" s="972"/>
      <c r="AD68" s="264">
        <f>F68</f>
        <v>4.2999999999999997E-2</v>
      </c>
      <c r="AE68" s="563">
        <v>4.2999999999999997E-2</v>
      </c>
      <c r="AF68" s="258">
        <f t="shared" si="24"/>
        <v>4.2999999999999997E-2</v>
      </c>
      <c r="AG68" s="1437"/>
      <c r="AK68" s="344"/>
    </row>
    <row r="69" spans="2:37" hidden="1" outlineLevel="1" x14ac:dyDescent="0.25">
      <c r="B69" s="1384"/>
      <c r="D69" s="2251"/>
      <c r="E69" s="122" t="str">
        <f t="shared" si="25"/>
        <v>Air Sealing (Infiltration reduction) - 30% SF IE DI electric furnace base</v>
      </c>
      <c r="F69" s="1541">
        <v>0.05</v>
      </c>
      <c r="G69" s="1336" t="s">
        <v>1511</v>
      </c>
      <c r="H69" s="1359"/>
      <c r="V69" s="2265"/>
      <c r="W69" s="263">
        <v>0.05</v>
      </c>
      <c r="X69" s="263">
        <v>0.05</v>
      </c>
      <c r="Y69" s="263">
        <v>0.05</v>
      </c>
      <c r="Z69" s="563">
        <v>0.05</v>
      </c>
      <c r="AA69" s="563">
        <v>0.05</v>
      </c>
      <c r="AB69" s="563">
        <v>0.05</v>
      </c>
      <c r="AC69" s="563">
        <v>0.05</v>
      </c>
      <c r="AD69" s="563">
        <v>0.05</v>
      </c>
      <c r="AE69" s="563">
        <v>0.05</v>
      </c>
      <c r="AF69" s="258">
        <f t="shared" si="24"/>
        <v>0.05</v>
      </c>
      <c r="AG69" s="1437"/>
      <c r="AK69" s="344"/>
    </row>
    <row r="70" spans="2:37" hidden="1" outlineLevel="1" x14ac:dyDescent="0.25">
      <c r="B70" s="1384"/>
      <c r="D70" s="2251"/>
      <c r="E70" s="122" t="str">
        <f t="shared" si="25"/>
        <v>Air Sealing (Infiltration reduction) - 30% SF IE DI Gas furnace base</v>
      </c>
      <c r="F70" s="1541">
        <f>F69</f>
        <v>0.05</v>
      </c>
      <c r="G70" s="1336" t="s">
        <v>1511</v>
      </c>
      <c r="H70" s="1359"/>
      <c r="V70" s="2265"/>
      <c r="W70" s="971"/>
      <c r="X70" s="971"/>
      <c r="Y70" s="264">
        <v>0.05</v>
      </c>
      <c r="Z70" s="563">
        <v>0.05</v>
      </c>
      <c r="AA70" s="563">
        <v>0.05</v>
      </c>
      <c r="AB70" s="563">
        <v>0.05</v>
      </c>
      <c r="AC70" s="563">
        <v>0.05</v>
      </c>
      <c r="AD70" s="563">
        <v>0.05</v>
      </c>
      <c r="AE70" s="563">
        <v>0.05</v>
      </c>
      <c r="AF70" s="258">
        <f t="shared" si="24"/>
        <v>0.05</v>
      </c>
      <c r="AG70" s="1437"/>
      <c r="AK70" s="344"/>
    </row>
    <row r="71" spans="2:37" hidden="1" outlineLevel="1" x14ac:dyDescent="0.25">
      <c r="B71" s="1384"/>
      <c r="D71" s="2251"/>
      <c r="E71" s="122" t="str">
        <f t="shared" si="25"/>
        <v>Air Sealing (Infiltration reduction) - 30% SF IE DI heat pump base</v>
      </c>
      <c r="F71" s="1541">
        <v>0.05</v>
      </c>
      <c r="G71" s="1336" t="s">
        <v>1511</v>
      </c>
      <c r="H71" s="1359"/>
      <c r="V71" s="2265"/>
      <c r="W71" s="263">
        <v>0.05</v>
      </c>
      <c r="X71" s="263">
        <v>0.05</v>
      </c>
      <c r="Y71" s="263">
        <v>0.05</v>
      </c>
      <c r="Z71" s="563">
        <v>0.05</v>
      </c>
      <c r="AA71" s="563">
        <v>0.05</v>
      </c>
      <c r="AB71" s="563">
        <v>0.05</v>
      </c>
      <c r="AC71" s="563">
        <v>0.05</v>
      </c>
      <c r="AD71" s="563">
        <v>0.05</v>
      </c>
      <c r="AE71" s="563">
        <v>0.05</v>
      </c>
      <c r="AF71" s="258">
        <f t="shared" si="24"/>
        <v>0.05</v>
      </c>
      <c r="AG71" s="1437"/>
      <c r="AK71" s="344"/>
    </row>
    <row r="72" spans="2:37" hidden="1" outlineLevel="1" x14ac:dyDescent="0.25">
      <c r="B72" s="1384"/>
      <c r="D72" s="2251"/>
      <c r="E72" s="122" t="str">
        <f t="shared" si="25"/>
        <v>MH Adjusted Air Sealing (Infiltration reduction) - 30% SF IE DI electric furnace base</v>
      </c>
      <c r="F72" s="1541">
        <v>6.2E-2</v>
      </c>
      <c r="G72" s="1336" t="s">
        <v>1511</v>
      </c>
      <c r="H72" s="1359"/>
      <c r="V72" s="2265"/>
      <c r="W72" s="263">
        <v>6.2E-2</v>
      </c>
      <c r="X72" s="263">
        <v>6.2E-2</v>
      </c>
      <c r="Y72" s="263">
        <v>6.2E-2</v>
      </c>
      <c r="Z72" s="563">
        <v>6.2E-2</v>
      </c>
      <c r="AA72" s="563">
        <v>6.2E-2</v>
      </c>
      <c r="AB72" s="563">
        <v>6.2E-2</v>
      </c>
      <c r="AC72" s="563">
        <v>6.2E-2</v>
      </c>
      <c r="AD72" s="563">
        <v>6.2E-2</v>
      </c>
      <c r="AE72" s="563">
        <v>6.2E-2</v>
      </c>
      <c r="AF72" s="258">
        <f t="shared" si="24"/>
        <v>6.2E-2</v>
      </c>
      <c r="AG72" s="1437"/>
      <c r="AK72" s="344"/>
    </row>
    <row r="73" spans="2:37" hidden="1" outlineLevel="1" x14ac:dyDescent="0.25">
      <c r="B73" s="1384"/>
      <c r="D73" s="2136"/>
      <c r="E73" s="122" t="str">
        <f t="shared" si="25"/>
        <v>MH Adjusted Air Sealing (Infiltration reduction) - 30% SF IE DI heat pump base</v>
      </c>
      <c r="F73" s="1541">
        <f>F72</f>
        <v>6.2E-2</v>
      </c>
      <c r="G73" s="1336" t="s">
        <v>1511</v>
      </c>
      <c r="H73" s="1359"/>
      <c r="V73" s="2266"/>
      <c r="W73" s="971"/>
      <c r="X73" s="971"/>
      <c r="Y73" s="264">
        <v>6.2E-2</v>
      </c>
      <c r="Z73" s="563">
        <v>6.2E-2</v>
      </c>
      <c r="AA73" s="563">
        <v>6.2E-2</v>
      </c>
      <c r="AB73" s="563">
        <v>6.2E-2</v>
      </c>
      <c r="AC73" s="563">
        <v>6.2E-2</v>
      </c>
      <c r="AD73" s="563">
        <v>6.2E-2</v>
      </c>
      <c r="AE73" s="563">
        <v>6.2E-2</v>
      </c>
      <c r="AF73" s="258">
        <f t="shared" si="24"/>
        <v>6.2E-2</v>
      </c>
      <c r="AG73" s="1437"/>
      <c r="AK73" s="344"/>
    </row>
    <row r="74" spans="2:37" hidden="1" outlineLevel="1" x14ac:dyDescent="0.25">
      <c r="B74" s="1384"/>
      <c r="D74" s="2136"/>
      <c r="E74" s="122" t="str">
        <f t="shared" si="25"/>
        <v>MH Adjusted Air Sealing (Infiltration reduction) - 30% SF IE DI gas furnace base</v>
      </c>
      <c r="F74" s="1541">
        <f>F73</f>
        <v>6.2E-2</v>
      </c>
      <c r="G74" s="1336" t="s">
        <v>1511</v>
      </c>
      <c r="H74" s="1359"/>
      <c r="V74" s="2267"/>
      <c r="W74" s="971"/>
      <c r="X74" s="971"/>
      <c r="Y74" s="264">
        <v>6.2E-2</v>
      </c>
      <c r="Z74" s="563">
        <v>6.2E-2</v>
      </c>
      <c r="AA74" s="563">
        <v>6.2E-2</v>
      </c>
      <c r="AB74" s="563">
        <v>6.2E-2</v>
      </c>
      <c r="AC74" s="563">
        <v>6.2E-2</v>
      </c>
      <c r="AD74" s="563">
        <v>6.2E-2</v>
      </c>
      <c r="AE74" s="563">
        <v>6.2E-2</v>
      </c>
      <c r="AF74" s="258">
        <f t="shared" si="24"/>
        <v>6.2E-2</v>
      </c>
      <c r="AG74" s="1437"/>
      <c r="AK74" s="344"/>
    </row>
    <row r="75" spans="2:37" hidden="1" outlineLevel="1" x14ac:dyDescent="0.25">
      <c r="B75" s="1384"/>
      <c r="D75" s="2251" t="s">
        <v>1512</v>
      </c>
      <c r="E75" s="122" t="str">
        <f t="shared" si="25"/>
        <v>Air Sealing (Infiltration reduction) - 30% MF IE DI electric furnace base</v>
      </c>
      <c r="F75" s="1541">
        <v>0</v>
      </c>
      <c r="G75" s="2252" t="s">
        <v>1503</v>
      </c>
      <c r="H75" s="178" t="s">
        <v>1513</v>
      </c>
      <c r="V75" s="2111" t="s">
        <v>1512</v>
      </c>
      <c r="W75" s="971"/>
      <c r="X75" s="971"/>
      <c r="Y75" s="267">
        <v>0</v>
      </c>
      <c r="Z75" s="564">
        <v>0</v>
      </c>
      <c r="AA75" s="564">
        <v>0</v>
      </c>
      <c r="AB75" s="564">
        <v>0</v>
      </c>
      <c r="AC75" s="564">
        <v>0</v>
      </c>
      <c r="AD75" s="564">
        <v>0</v>
      </c>
      <c r="AE75" s="564">
        <v>0</v>
      </c>
      <c r="AF75" s="258">
        <f t="shared" si="24"/>
        <v>0</v>
      </c>
      <c r="AG75" s="1437"/>
      <c r="AK75" s="344"/>
    </row>
    <row r="76" spans="2:37" hidden="1" outlineLevel="1" x14ac:dyDescent="0.25">
      <c r="B76" s="1384"/>
      <c r="D76" s="2251"/>
      <c r="E76" s="122" t="str">
        <f t="shared" si="25"/>
        <v>Air Sealing (Infiltration reduction) - 30% MF IE DI heat pump base</v>
      </c>
      <c r="F76" s="1541">
        <v>0</v>
      </c>
      <c r="G76" s="2252"/>
      <c r="H76" s="178" t="s">
        <v>1513</v>
      </c>
      <c r="V76" s="2112"/>
      <c r="W76" s="971"/>
      <c r="X76" s="971"/>
      <c r="Y76" s="267">
        <v>0</v>
      </c>
      <c r="Z76" s="564">
        <v>0</v>
      </c>
      <c r="AA76" s="564">
        <v>0</v>
      </c>
      <c r="AB76" s="564">
        <v>0</v>
      </c>
      <c r="AC76" s="564">
        <v>0</v>
      </c>
      <c r="AD76" s="564">
        <v>0</v>
      </c>
      <c r="AE76" s="564">
        <v>0</v>
      </c>
      <c r="AF76" s="258">
        <f t="shared" si="24"/>
        <v>0</v>
      </c>
      <c r="AG76" s="1437"/>
      <c r="AK76" s="344"/>
    </row>
    <row r="77" spans="2:37" hidden="1" outlineLevel="1" x14ac:dyDescent="0.25">
      <c r="B77" s="1384"/>
      <c r="D77" s="2251"/>
      <c r="E77" s="122" t="str">
        <f t="shared" si="25"/>
        <v>Air Sealing (Infiltration reduction) - 30% MF IE DI gas furnace base</v>
      </c>
      <c r="F77" s="1541">
        <v>1.2E-2</v>
      </c>
      <c r="G77" s="2252"/>
      <c r="H77" s="178" t="s">
        <v>1513</v>
      </c>
      <c r="V77" s="2112"/>
      <c r="W77" s="971"/>
      <c r="X77" s="971"/>
      <c r="Y77" s="973"/>
      <c r="Z77" s="972"/>
      <c r="AA77" s="972"/>
      <c r="AB77" s="972"/>
      <c r="AC77" s="972"/>
      <c r="AD77" s="264">
        <f>F77</f>
        <v>1.2E-2</v>
      </c>
      <c r="AE77" s="563">
        <v>1.2E-2</v>
      </c>
      <c r="AF77" s="258">
        <f t="shared" si="24"/>
        <v>1.2E-2</v>
      </c>
      <c r="AG77" s="1437"/>
      <c r="AK77" s="344"/>
    </row>
    <row r="78" spans="2:37" hidden="1" outlineLevel="1" x14ac:dyDescent="0.25">
      <c r="B78" s="1384"/>
      <c r="D78" s="2251"/>
      <c r="E78" s="122" t="str">
        <f t="shared" si="25"/>
        <v>Air Sealing (Infiltration reduction) - 30% SF IE DI electric furnace base</v>
      </c>
      <c r="F78" s="1541">
        <v>0</v>
      </c>
      <c r="G78" s="2252"/>
      <c r="H78" s="178" t="s">
        <v>1513</v>
      </c>
      <c r="V78" s="2112"/>
      <c r="W78" s="971"/>
      <c r="X78" s="971"/>
      <c r="Y78" s="267">
        <v>0</v>
      </c>
      <c r="Z78" s="564">
        <v>0</v>
      </c>
      <c r="AA78" s="564">
        <v>0</v>
      </c>
      <c r="AB78" s="564">
        <v>0</v>
      </c>
      <c r="AC78" s="564">
        <v>0</v>
      </c>
      <c r="AD78" s="564">
        <v>0</v>
      </c>
      <c r="AE78" s="564">
        <v>0</v>
      </c>
      <c r="AF78" s="258">
        <f t="shared" si="24"/>
        <v>0</v>
      </c>
      <c r="AG78" s="1437"/>
      <c r="AK78" s="344"/>
    </row>
    <row r="79" spans="2:37" hidden="1" outlineLevel="1" x14ac:dyDescent="0.25">
      <c r="B79" s="1384"/>
      <c r="D79" s="2251"/>
      <c r="E79" s="122" t="str">
        <f t="shared" si="25"/>
        <v>Air Sealing (Infiltration reduction) - 30% SF IE DI Gas furnace base</v>
      </c>
      <c r="F79" s="1541">
        <v>1.2999999999999999E-2</v>
      </c>
      <c r="G79" s="2252"/>
      <c r="H79" s="178" t="s">
        <v>1513</v>
      </c>
      <c r="V79" s="2112"/>
      <c r="W79" s="971"/>
      <c r="X79" s="971"/>
      <c r="Y79" s="267">
        <v>1.2999999999999999E-2</v>
      </c>
      <c r="Z79" s="564">
        <v>1.2999999999999999E-2</v>
      </c>
      <c r="AA79" s="564">
        <v>1.2999999999999999E-2</v>
      </c>
      <c r="AB79" s="564">
        <v>1.2999999999999999E-2</v>
      </c>
      <c r="AC79" s="564">
        <v>1.2999999999999999E-2</v>
      </c>
      <c r="AD79" s="564">
        <v>1.2999999999999999E-2</v>
      </c>
      <c r="AE79" s="564">
        <v>1.2999999999999999E-2</v>
      </c>
      <c r="AF79" s="258">
        <f t="shared" si="24"/>
        <v>1.2999999999999999E-2</v>
      </c>
      <c r="AG79" s="1437"/>
      <c r="AK79" s="344"/>
    </row>
    <row r="80" spans="2:37" hidden="1" outlineLevel="1" x14ac:dyDescent="0.25">
      <c r="B80" s="1384"/>
      <c r="D80" s="2251"/>
      <c r="E80" s="122" t="str">
        <f t="shared" si="25"/>
        <v>Air Sealing (Infiltration reduction) - 30% SF IE DI heat pump base</v>
      </c>
      <c r="F80" s="1541">
        <v>0</v>
      </c>
      <c r="G80" s="2252"/>
      <c r="H80" s="178" t="s">
        <v>1513</v>
      </c>
      <c r="V80" s="2112"/>
      <c r="W80" s="971"/>
      <c r="X80" s="971"/>
      <c r="Y80" s="267">
        <v>0</v>
      </c>
      <c r="Z80" s="564">
        <v>0</v>
      </c>
      <c r="AA80" s="564">
        <v>0</v>
      </c>
      <c r="AB80" s="564">
        <v>0</v>
      </c>
      <c r="AC80" s="564">
        <v>0</v>
      </c>
      <c r="AD80" s="564">
        <v>0</v>
      </c>
      <c r="AE80" s="564">
        <v>0</v>
      </c>
      <c r="AF80" s="258">
        <f t="shared" si="24"/>
        <v>0</v>
      </c>
      <c r="AG80" s="1437"/>
      <c r="AK80" s="344"/>
    </row>
    <row r="81" spans="2:37" hidden="1" outlineLevel="1" x14ac:dyDescent="0.25">
      <c r="B81" s="1384"/>
      <c r="D81" s="2251"/>
      <c r="E81" s="122" t="str">
        <f t="shared" si="25"/>
        <v>MH Adjusted Air Sealing (Infiltration reduction) - 30% SF IE DI electric furnace base</v>
      </c>
      <c r="F81" s="1541">
        <v>0</v>
      </c>
      <c r="G81" s="2252"/>
      <c r="H81" s="178" t="s">
        <v>1513</v>
      </c>
      <c r="V81" s="2112"/>
      <c r="W81" s="971"/>
      <c r="X81" s="971"/>
      <c r="Y81" s="267">
        <v>0</v>
      </c>
      <c r="Z81" s="564">
        <v>0</v>
      </c>
      <c r="AA81" s="564">
        <v>0</v>
      </c>
      <c r="AB81" s="564">
        <v>0</v>
      </c>
      <c r="AC81" s="564">
        <v>0</v>
      </c>
      <c r="AD81" s="564">
        <v>0</v>
      </c>
      <c r="AE81" s="564">
        <v>0</v>
      </c>
      <c r="AF81" s="258">
        <f t="shared" si="24"/>
        <v>0</v>
      </c>
      <c r="AG81" s="1437"/>
      <c r="AK81" s="344"/>
    </row>
    <row r="82" spans="2:37" hidden="1" outlineLevel="1" x14ac:dyDescent="0.25">
      <c r="B82" s="1384"/>
      <c r="D82" s="2136"/>
      <c r="E82" s="122" t="str">
        <f t="shared" si="25"/>
        <v>MH Adjusted Air Sealing (Infiltration reduction) - 30% SF IE DI heat pump base</v>
      </c>
      <c r="F82" s="1541">
        <v>0</v>
      </c>
      <c r="G82" s="2252"/>
      <c r="H82" s="178" t="s">
        <v>1513</v>
      </c>
      <c r="V82" s="2285"/>
      <c r="W82" s="971"/>
      <c r="X82" s="971"/>
      <c r="Y82" s="267">
        <v>0</v>
      </c>
      <c r="Z82" s="564">
        <v>0</v>
      </c>
      <c r="AA82" s="564">
        <v>0</v>
      </c>
      <c r="AB82" s="564">
        <v>0</v>
      </c>
      <c r="AC82" s="564">
        <v>0</v>
      </c>
      <c r="AD82" s="564">
        <v>0</v>
      </c>
      <c r="AE82" s="564">
        <v>0</v>
      </c>
      <c r="AF82" s="258">
        <f t="shared" si="24"/>
        <v>0</v>
      </c>
      <c r="AG82" s="1437"/>
      <c r="AK82" s="344"/>
    </row>
    <row r="83" spans="2:37" hidden="1" outlineLevel="1" x14ac:dyDescent="0.25">
      <c r="B83" s="1384"/>
      <c r="D83" s="2136"/>
      <c r="E83" s="122" t="str">
        <f t="shared" si="25"/>
        <v>MH Adjusted Air Sealing (Infiltration reduction) - 30% SF IE DI gas furnace base</v>
      </c>
      <c r="F83" s="1541">
        <v>1.7000000000000001E-2</v>
      </c>
      <c r="G83" s="2252"/>
      <c r="H83" s="178" t="s">
        <v>1513</v>
      </c>
      <c r="V83" s="2286"/>
      <c r="W83" s="971"/>
      <c r="X83" s="971"/>
      <c r="Y83" s="267">
        <v>1.7000000000000001E-2</v>
      </c>
      <c r="Z83" s="564">
        <v>1.7000000000000001E-2</v>
      </c>
      <c r="AA83" s="564">
        <v>1.7000000000000001E-2</v>
      </c>
      <c r="AB83" s="564">
        <v>1.7000000000000001E-2</v>
      </c>
      <c r="AC83" s="564">
        <v>1.7000000000000001E-2</v>
      </c>
      <c r="AD83" s="564">
        <v>1.7000000000000001E-2</v>
      </c>
      <c r="AE83" s="564">
        <v>1.7000000000000001E-2</v>
      </c>
      <c r="AF83" s="258">
        <f t="shared" si="24"/>
        <v>1.7000000000000001E-2</v>
      </c>
      <c r="AG83" s="1437"/>
      <c r="AK83" s="344"/>
    </row>
    <row r="84" spans="2:37" hidden="1" outlineLevel="1" x14ac:dyDescent="0.25">
      <c r="B84" s="1384"/>
      <c r="D84" s="1314" t="s">
        <v>739</v>
      </c>
      <c r="E84" s="122" t="s">
        <v>734</v>
      </c>
      <c r="F84" s="1542">
        <v>3.1399999999999997E-2</v>
      </c>
      <c r="G84" s="1336" t="s">
        <v>1514</v>
      </c>
      <c r="H84" s="178"/>
      <c r="V84" s="1302" t="str">
        <f>D84</f>
        <v>Fe</v>
      </c>
      <c r="W84" s="971"/>
      <c r="X84" s="971"/>
      <c r="Y84" s="267">
        <v>3.1399999999999997E-2</v>
      </c>
      <c r="Z84" s="564">
        <v>3.1399999999999997E-2</v>
      </c>
      <c r="AA84" s="564">
        <v>3.1399999999999997E-2</v>
      </c>
      <c r="AB84" s="564">
        <v>3.1399999999999997E-2</v>
      </c>
      <c r="AC84" s="564">
        <v>3.1399999999999997E-2</v>
      </c>
      <c r="AD84" s="564">
        <v>3.1399999999999997E-2</v>
      </c>
      <c r="AE84" s="564">
        <v>3.1399999999999997E-2</v>
      </c>
      <c r="AF84" s="258">
        <f t="shared" si="24"/>
        <v>3.1399999999999997E-2</v>
      </c>
      <c r="AG84" s="1437"/>
      <c r="AK84" s="344"/>
    </row>
    <row r="85" spans="2:37" hidden="1" outlineLevel="1" x14ac:dyDescent="0.25">
      <c r="B85" s="1384"/>
      <c r="D85" s="1314">
        <v>29.3</v>
      </c>
      <c r="E85" s="122" t="s">
        <v>734</v>
      </c>
      <c r="F85" s="1541">
        <v>29.3</v>
      </c>
      <c r="G85" s="1336" t="s">
        <v>1514</v>
      </c>
      <c r="H85" s="178"/>
      <c r="V85" s="1302">
        <f>D85</f>
        <v>29.3</v>
      </c>
      <c r="W85" s="971"/>
      <c r="X85" s="971"/>
      <c r="Y85" s="267">
        <v>29.3</v>
      </c>
      <c r="Z85" s="564">
        <v>29.3</v>
      </c>
      <c r="AA85" s="564">
        <v>29.3</v>
      </c>
      <c r="AB85" s="564">
        <v>29.3</v>
      </c>
      <c r="AC85" s="564">
        <v>29.3</v>
      </c>
      <c r="AD85" s="564">
        <v>29.3</v>
      </c>
      <c r="AE85" s="564">
        <v>29.3</v>
      </c>
      <c r="AF85" s="258">
        <f t="shared" si="24"/>
        <v>29.3</v>
      </c>
      <c r="AG85" s="1437"/>
      <c r="AK85" s="344"/>
    </row>
    <row r="86" spans="2:37" ht="30.4" hidden="1" customHeight="1" outlineLevel="1" x14ac:dyDescent="0.25">
      <c r="B86" s="1384"/>
      <c r="D86" s="1301" t="str">
        <f>L32</f>
        <v>EUL</v>
      </c>
      <c r="E86" s="1301" t="s">
        <v>734</v>
      </c>
      <c r="F86" s="1538">
        <v>20</v>
      </c>
      <c r="G86" s="1909" t="s">
        <v>1515</v>
      </c>
      <c r="H86" s="1910"/>
      <c r="V86" s="1302" t="str">
        <f>D86</f>
        <v>EUL</v>
      </c>
      <c r="W86" s="263">
        <v>15</v>
      </c>
      <c r="X86" s="263">
        <v>15</v>
      </c>
      <c r="Y86" s="264">
        <v>15</v>
      </c>
      <c r="Z86" s="563">
        <v>15</v>
      </c>
      <c r="AA86" s="563">
        <v>15</v>
      </c>
      <c r="AB86" s="563">
        <v>15</v>
      </c>
      <c r="AC86" s="563">
        <v>15</v>
      </c>
      <c r="AD86" s="563">
        <v>15</v>
      </c>
      <c r="AE86" s="563">
        <v>15</v>
      </c>
      <c r="AF86" s="258">
        <f t="shared" si="24"/>
        <v>20</v>
      </c>
      <c r="AG86" s="1437"/>
      <c r="AK86" s="344"/>
    </row>
    <row r="87" spans="2:37" ht="32.65" hidden="1" customHeight="1" outlineLevel="1" x14ac:dyDescent="0.25">
      <c r="B87" s="1384"/>
      <c r="D87" s="2251" t="str">
        <f>M32</f>
        <v>Inc. Cost</v>
      </c>
      <c r="E87" s="122" t="str">
        <f t="shared" ref="E87:E95" si="26">E66</f>
        <v>Air Sealing (Infiltration reduction) - 30% MF IE DI electric furnace base</v>
      </c>
      <c r="F87" s="1541">
        <f>108.186/902</f>
        <v>0.11994013303769402</v>
      </c>
      <c r="G87" s="1336" t="s">
        <v>1505</v>
      </c>
      <c r="H87" s="2253" t="s">
        <v>1516</v>
      </c>
      <c r="V87" s="2264" t="str">
        <f>D87</f>
        <v>Inc. Cost</v>
      </c>
      <c r="W87" s="263">
        <v>4.2999999999999997E-2</v>
      </c>
      <c r="X87" s="263">
        <v>4.2999999999999997E-2</v>
      </c>
      <c r="Y87" s="264">
        <v>0.11994013303769402</v>
      </c>
      <c r="Z87" s="563">
        <v>0.11994013303769402</v>
      </c>
      <c r="AA87" s="563">
        <v>0.11994013303769402</v>
      </c>
      <c r="AB87" s="563">
        <v>0.11994013303769402</v>
      </c>
      <c r="AC87" s="563">
        <v>0.11994013303769402</v>
      </c>
      <c r="AD87" s="563">
        <v>0.11994013303769402</v>
      </c>
      <c r="AE87" s="563">
        <v>0.11994013303769402</v>
      </c>
      <c r="AF87" s="258">
        <f t="shared" si="24"/>
        <v>0.11994013303769402</v>
      </c>
      <c r="AG87" s="1437"/>
      <c r="AK87" s="344"/>
    </row>
    <row r="88" spans="2:37" ht="30" hidden="1" outlineLevel="1" x14ac:dyDescent="0.25">
      <c r="B88" s="1384"/>
      <c r="D88" s="2251"/>
      <c r="E88" s="122" t="str">
        <f t="shared" si="26"/>
        <v>Air Sealing (Infiltration reduction) - 30% MF IE DI heat pump base</v>
      </c>
      <c r="F88" s="1541">
        <f>108.186/902</f>
        <v>0.11994013303769402</v>
      </c>
      <c r="G88" s="1336" t="s">
        <v>1505</v>
      </c>
      <c r="H88" s="2254"/>
      <c r="V88" s="2265"/>
      <c r="W88" s="263">
        <v>4.2999999999999997E-2</v>
      </c>
      <c r="X88" s="263">
        <v>4.2999999999999997E-2</v>
      </c>
      <c r="Y88" s="264">
        <v>0.11994013303769402</v>
      </c>
      <c r="Z88" s="563">
        <v>0.11994013303769402</v>
      </c>
      <c r="AA88" s="563">
        <v>0.11994013303769402</v>
      </c>
      <c r="AB88" s="563">
        <v>0.11994013303769402</v>
      </c>
      <c r="AC88" s="563">
        <v>0.11994013303769402</v>
      </c>
      <c r="AD88" s="563">
        <v>0.11994013303769402</v>
      </c>
      <c r="AE88" s="563">
        <v>0.11994013303769402</v>
      </c>
      <c r="AF88" s="258">
        <f t="shared" si="24"/>
        <v>0.11994013303769402</v>
      </c>
      <c r="AG88" s="1437"/>
      <c r="AK88" s="344"/>
    </row>
    <row r="89" spans="2:37" ht="30" hidden="1" outlineLevel="1" x14ac:dyDescent="0.25">
      <c r="B89" s="1384"/>
      <c r="D89" s="2251"/>
      <c r="E89" s="122" t="str">
        <f t="shared" si="26"/>
        <v>Air Sealing (Infiltration reduction) - 30% MF IE DI gas furnace base</v>
      </c>
      <c r="F89" s="1541">
        <f>108.186/902</f>
        <v>0.11994013303769402</v>
      </c>
      <c r="G89" s="1336" t="s">
        <v>1505</v>
      </c>
      <c r="H89" s="2254"/>
      <c r="V89" s="2265"/>
      <c r="W89" s="971"/>
      <c r="X89" s="971"/>
      <c r="Y89" s="973"/>
      <c r="Z89" s="972"/>
      <c r="AA89" s="972"/>
      <c r="AB89" s="972"/>
      <c r="AC89" s="972"/>
      <c r="AD89" s="264">
        <v>0.11994013303769402</v>
      </c>
      <c r="AE89" s="563">
        <v>0.11994013303769402</v>
      </c>
      <c r="AF89" s="258">
        <f t="shared" si="24"/>
        <v>0.11994013303769402</v>
      </c>
      <c r="AG89" s="1437"/>
      <c r="AK89" s="344"/>
    </row>
    <row r="90" spans="2:37" ht="30" hidden="1" outlineLevel="1" x14ac:dyDescent="0.25">
      <c r="B90" s="1384"/>
      <c r="D90" s="2251"/>
      <c r="E90" s="122" t="str">
        <f t="shared" si="26"/>
        <v>Air Sealing (Infiltration reduction) - 30% SF IE DI electric furnace base</v>
      </c>
      <c r="F90" s="1541">
        <f>166.44/1387</f>
        <v>0.12</v>
      </c>
      <c r="G90" s="1336" t="s">
        <v>1507</v>
      </c>
      <c r="H90" s="2254"/>
      <c r="V90" s="2265"/>
      <c r="W90" s="263">
        <v>0.05</v>
      </c>
      <c r="X90" s="263">
        <v>0.05</v>
      </c>
      <c r="Y90" s="264">
        <v>0.12</v>
      </c>
      <c r="Z90" s="563">
        <v>0.12</v>
      </c>
      <c r="AA90" s="563">
        <v>0.12</v>
      </c>
      <c r="AB90" s="563">
        <v>0.12</v>
      </c>
      <c r="AC90" s="563">
        <v>0.12</v>
      </c>
      <c r="AD90" s="563">
        <v>0.12</v>
      </c>
      <c r="AE90" s="563">
        <v>0.12</v>
      </c>
      <c r="AF90" s="258">
        <f t="shared" si="24"/>
        <v>0.12</v>
      </c>
      <c r="AG90" s="1437"/>
      <c r="AK90" s="344"/>
    </row>
    <row r="91" spans="2:37" ht="30" hidden="1" outlineLevel="1" x14ac:dyDescent="0.25">
      <c r="B91" s="1384"/>
      <c r="D91" s="2251"/>
      <c r="E91" s="122" t="str">
        <f t="shared" si="26"/>
        <v>Air Sealing (Infiltration reduction) - 30% SF IE DI Gas furnace base</v>
      </c>
      <c r="F91" s="1541">
        <f>166.44/1387</f>
        <v>0.12</v>
      </c>
      <c r="G91" s="1336" t="s">
        <v>1507</v>
      </c>
      <c r="H91" s="2254"/>
      <c r="V91" s="2265"/>
      <c r="W91" s="971"/>
      <c r="X91" s="971"/>
      <c r="Y91" s="264">
        <v>0.12</v>
      </c>
      <c r="Z91" s="563">
        <v>0.12</v>
      </c>
      <c r="AA91" s="563">
        <v>0.12</v>
      </c>
      <c r="AB91" s="563">
        <v>0.12</v>
      </c>
      <c r="AC91" s="563">
        <v>0.12</v>
      </c>
      <c r="AD91" s="563">
        <v>0.12</v>
      </c>
      <c r="AE91" s="563">
        <v>0.12</v>
      </c>
      <c r="AF91" s="258">
        <f t="shared" si="24"/>
        <v>0.12</v>
      </c>
      <c r="AG91" s="1437"/>
      <c r="AK91" s="344"/>
    </row>
    <row r="92" spans="2:37" ht="30" hidden="1" outlineLevel="1" x14ac:dyDescent="0.25">
      <c r="B92" s="1384"/>
      <c r="D92" s="2251"/>
      <c r="E92" s="122" t="str">
        <f t="shared" si="26"/>
        <v>Air Sealing (Infiltration reduction) - 30% SF IE DI heat pump base</v>
      </c>
      <c r="F92" s="1541">
        <f>166.44/1387</f>
        <v>0.12</v>
      </c>
      <c r="G92" s="1336" t="s">
        <v>1508</v>
      </c>
      <c r="H92" s="2254"/>
      <c r="V92" s="2265"/>
      <c r="W92" s="263">
        <v>0.05</v>
      </c>
      <c r="X92" s="263">
        <v>0.05</v>
      </c>
      <c r="Y92" s="264">
        <v>0.12</v>
      </c>
      <c r="Z92" s="563">
        <v>0.12</v>
      </c>
      <c r="AA92" s="563">
        <v>0.12</v>
      </c>
      <c r="AB92" s="563">
        <v>0.12</v>
      </c>
      <c r="AC92" s="563">
        <v>0.12</v>
      </c>
      <c r="AD92" s="563">
        <v>0.12</v>
      </c>
      <c r="AE92" s="563">
        <v>0.12</v>
      </c>
      <c r="AF92" s="258">
        <f t="shared" si="24"/>
        <v>0.12</v>
      </c>
      <c r="AG92" s="1437"/>
      <c r="AK92" s="344"/>
    </row>
    <row r="93" spans="2:37" ht="30" hidden="1" outlineLevel="1" x14ac:dyDescent="0.25">
      <c r="B93" s="1384"/>
      <c r="D93" s="2251"/>
      <c r="E93" s="122" t="str">
        <f t="shared" si="26"/>
        <v>MH Adjusted Air Sealing (Infiltration reduction) - 30% SF IE DI electric furnace base</v>
      </c>
      <c r="F93" s="1541">
        <f>129.6/1080</f>
        <v>0.12</v>
      </c>
      <c r="G93" s="1336" t="s">
        <v>1509</v>
      </c>
      <c r="H93" s="2254"/>
      <c r="V93" s="2265"/>
      <c r="W93" s="263">
        <v>6.2E-2</v>
      </c>
      <c r="X93" s="263">
        <v>6.2E-2</v>
      </c>
      <c r="Y93" s="264">
        <v>0.12</v>
      </c>
      <c r="Z93" s="563">
        <v>0.12</v>
      </c>
      <c r="AA93" s="563">
        <v>0.12</v>
      </c>
      <c r="AB93" s="563">
        <v>0.12</v>
      </c>
      <c r="AC93" s="563">
        <v>0.12</v>
      </c>
      <c r="AD93" s="563">
        <v>0.12</v>
      </c>
      <c r="AE93" s="563">
        <v>0.12</v>
      </c>
      <c r="AF93" s="258">
        <f t="shared" si="24"/>
        <v>0.12</v>
      </c>
      <c r="AG93" s="1437"/>
      <c r="AK93" s="344"/>
    </row>
    <row r="94" spans="2:37" ht="30" hidden="1" outlineLevel="1" x14ac:dyDescent="0.25">
      <c r="B94" s="1384"/>
      <c r="D94" s="2136"/>
      <c r="E94" s="122" t="str">
        <f t="shared" si="26"/>
        <v>MH Adjusted Air Sealing (Infiltration reduction) - 30% SF IE DI heat pump base</v>
      </c>
      <c r="F94" s="1541">
        <f>129.6/1080</f>
        <v>0.12</v>
      </c>
      <c r="G94" s="1336" t="s">
        <v>1509</v>
      </c>
      <c r="H94" s="2254"/>
      <c r="V94" s="2266"/>
      <c r="W94" s="971"/>
      <c r="X94" s="971"/>
      <c r="Y94" s="264">
        <v>0.12</v>
      </c>
      <c r="Z94" s="563">
        <v>0.12</v>
      </c>
      <c r="AA94" s="563">
        <v>0.12</v>
      </c>
      <c r="AB94" s="563">
        <v>0.12</v>
      </c>
      <c r="AC94" s="563">
        <v>0.12</v>
      </c>
      <c r="AD94" s="563">
        <v>0.12</v>
      </c>
      <c r="AE94" s="563">
        <v>0.12</v>
      </c>
      <c r="AF94" s="258">
        <f t="shared" si="24"/>
        <v>0.12</v>
      </c>
      <c r="AG94" s="1437"/>
      <c r="AK94" s="344"/>
    </row>
    <row r="95" spans="2:37" ht="30" hidden="1" outlineLevel="1" x14ac:dyDescent="0.25">
      <c r="B95" s="1384"/>
      <c r="D95" s="2136"/>
      <c r="E95" s="122" t="str">
        <f t="shared" si="26"/>
        <v>MH Adjusted Air Sealing (Infiltration reduction) - 30% SF IE DI gas furnace base</v>
      </c>
      <c r="F95" s="1541">
        <f>129.6/1080</f>
        <v>0.12</v>
      </c>
      <c r="G95" s="1336" t="s">
        <v>1509</v>
      </c>
      <c r="H95" s="2254"/>
      <c r="V95" s="2267"/>
      <c r="W95" s="971"/>
      <c r="X95" s="971"/>
      <c r="Y95" s="264">
        <v>0.12</v>
      </c>
      <c r="Z95" s="563">
        <v>0.12</v>
      </c>
      <c r="AA95" s="563">
        <v>0.12</v>
      </c>
      <c r="AB95" s="563">
        <v>0.12</v>
      </c>
      <c r="AC95" s="563">
        <v>0.12</v>
      </c>
      <c r="AD95" s="563">
        <v>0.12</v>
      </c>
      <c r="AE95" s="563">
        <v>0.12</v>
      </c>
      <c r="AF95" s="258">
        <f t="shared" si="24"/>
        <v>0.12</v>
      </c>
      <c r="AG95" s="1437"/>
      <c r="AK95" s="344"/>
    </row>
    <row r="96" spans="2:37" hidden="1" outlineLevel="1" x14ac:dyDescent="0.25">
      <c r="B96" s="561"/>
      <c r="E96" s="1335"/>
      <c r="Y96" s="268" t="s">
        <v>1517</v>
      </c>
      <c r="AK96" s="344"/>
    </row>
    <row r="97" spans="2:114" collapsed="1" x14ac:dyDescent="0.25">
      <c r="AK97" s="344"/>
    </row>
    <row r="98" spans="2:114" x14ac:dyDescent="0.25">
      <c r="B98" s="2134" t="s">
        <v>1518</v>
      </c>
      <c r="C98" s="2135"/>
      <c r="D98" s="2135"/>
      <c r="E98" s="2135"/>
      <c r="F98" s="2135"/>
      <c r="G98" s="2135"/>
      <c r="H98" s="2135"/>
      <c r="I98" s="2082"/>
      <c r="J98" s="2082"/>
      <c r="K98" s="2082"/>
      <c r="L98" s="2082"/>
      <c r="M98" s="2082"/>
      <c r="N98" s="2082"/>
      <c r="O98" s="2082"/>
      <c r="P98" s="2082"/>
      <c r="Q98" s="2082"/>
      <c r="R98" s="2083"/>
      <c r="V98" s="2103" t="str">
        <f>B98</f>
        <v>Ceiling Insulation</v>
      </c>
      <c r="W98" s="2104"/>
      <c r="X98" s="2104"/>
      <c r="Y98" s="2104"/>
      <c r="Z98" s="2104"/>
      <c r="AA98" s="2104"/>
      <c r="AB98" s="2104"/>
      <c r="AC98" s="2106"/>
      <c r="AD98" s="2106"/>
      <c r="AE98" s="2106"/>
      <c r="AF98" s="2106"/>
      <c r="AG98" s="2106"/>
      <c r="AH98" s="2106"/>
      <c r="AI98" s="2107"/>
      <c r="AK98" s="344"/>
    </row>
    <row r="99" spans="2:114" x14ac:dyDescent="0.25">
      <c r="B99" s="561"/>
      <c r="D99" s="565"/>
      <c r="E99" s="565"/>
      <c r="F99" s="269"/>
      <c r="G99" s="269"/>
      <c r="H99" s="269"/>
      <c r="I99" s="269"/>
      <c r="J99" s="269"/>
      <c r="K99" s="269"/>
      <c r="L99" s="566"/>
      <c r="AK99" s="344"/>
    </row>
    <row r="100" spans="2:114" ht="45" x14ac:dyDescent="0.25">
      <c r="B100" s="561"/>
      <c r="C100" s="1300" t="s">
        <v>42</v>
      </c>
      <c r="D100" s="1300" t="s">
        <v>594</v>
      </c>
      <c r="E100" s="1300" t="s">
        <v>44</v>
      </c>
      <c r="F100" s="1300" t="s">
        <v>45</v>
      </c>
      <c r="G100" s="1300" t="s">
        <v>46</v>
      </c>
      <c r="H100" s="1300" t="s">
        <v>47</v>
      </c>
      <c r="I100" s="1300" t="s">
        <v>798</v>
      </c>
      <c r="J100" s="1300" t="s">
        <v>799</v>
      </c>
      <c r="K100" s="1300" t="s">
        <v>48</v>
      </c>
      <c r="L100" s="1312" t="s">
        <v>49</v>
      </c>
      <c r="M100" s="1300" t="s">
        <v>50</v>
      </c>
      <c r="N100" s="1300" t="s">
        <v>1519</v>
      </c>
      <c r="V100" s="648" t="s">
        <v>52</v>
      </c>
      <c r="W100" s="649">
        <f>W$6</f>
        <v>43252</v>
      </c>
      <c r="X100" s="649">
        <f t="shared" ref="X100:AG100" si="27">X$6</f>
        <v>43465</v>
      </c>
      <c r="Y100" s="110">
        <f t="shared" si="27"/>
        <v>43800</v>
      </c>
      <c r="Z100" s="649">
        <f t="shared" si="27"/>
        <v>43862</v>
      </c>
      <c r="AA100" s="649">
        <f t="shared" si="27"/>
        <v>44013</v>
      </c>
      <c r="AB100" s="649">
        <f t="shared" si="27"/>
        <v>44166</v>
      </c>
      <c r="AC100" s="649">
        <f t="shared" si="27"/>
        <v>44531</v>
      </c>
      <c r="AD100" s="649">
        <f t="shared" si="27"/>
        <v>44774</v>
      </c>
      <c r="AE100" s="649">
        <f t="shared" si="27"/>
        <v>45139</v>
      </c>
      <c r="AF100" s="649">
        <f t="shared" si="27"/>
        <v>45672</v>
      </c>
      <c r="AG100" s="649" t="str">
        <f t="shared" si="27"/>
        <v>-</v>
      </c>
      <c r="AK100" s="344"/>
      <c r="DG100" s="1018" t="str">
        <f>$DG$6</f>
        <v>TRC (2025)</v>
      </c>
      <c r="DH100" s="776" t="str">
        <f>$DH$6</f>
        <v>Benefit Lookup</v>
      </c>
      <c r="DI100" s="1034" t="str">
        <f>$DI$6</f>
        <v>Benefits (2025 $)</v>
      </c>
      <c r="DJ100" s="1060" t="str">
        <f>$DJ$6</f>
        <v>Incremental Cost (2025 $)</v>
      </c>
    </row>
    <row r="101" spans="2:114" x14ac:dyDescent="0.25">
      <c r="B101" s="1384">
        <f t="shared" ref="B101:B130" si="28">VALUE(LEFT(C101,6))</f>
        <v>400700</v>
      </c>
      <c r="C101" s="332" t="s">
        <v>1520</v>
      </c>
      <c r="D101" s="537" t="s">
        <v>600</v>
      </c>
      <c r="E101" s="122" t="s">
        <v>1521</v>
      </c>
      <c r="F101" s="190">
        <f t="shared" ref="F101:F130" si="29">ROUND(I101+J101,2)</f>
        <v>0.91</v>
      </c>
      <c r="G101" s="134" t="s">
        <v>1480</v>
      </c>
      <c r="H101" s="66">
        <f>VLOOKUP(G101,'CP FACTORS'!$A$3:$B$38, 2, FALSE)</f>
        <v>4.6608050000000002E-4</v>
      </c>
      <c r="I101" s="323">
        <f t="shared" ref="I101:I130" si="30">F137*(1/(F167+5)-1/(F197+5))*F227*(1-F$257)*F$258*24*F$260/(F261*3412)+(F291*F$321*29.3)</f>
        <v>0.81312036928487674</v>
      </c>
      <c r="J101" s="526">
        <f t="shared" ref="J101:J130" si="31">F324*(1/(F167+5)-1/(F197+5))*F227*(1-F$257)*F$259*F$322*24*F$323/(F354*1000)</f>
        <v>0.10138639875</v>
      </c>
      <c r="K101" s="261">
        <f>ROUND(H101*F101,6)</f>
        <v>4.2400000000000001E-4</v>
      </c>
      <c r="L101" s="323">
        <f>$F$384</f>
        <v>30</v>
      </c>
      <c r="M101" s="710">
        <f>F385</f>
        <v>2.1249043458397576</v>
      </c>
      <c r="N101" s="323">
        <f>F227</f>
        <v>1</v>
      </c>
      <c r="V101" s="342" t="str">
        <f>$F$32</f>
        <v>kWh Annual Savings</v>
      </c>
      <c r="W101" s="84">
        <v>924.01016928670083</v>
      </c>
      <c r="X101" s="124">
        <v>924.01016928670083</v>
      </c>
      <c r="Y101" s="259">
        <v>1.06</v>
      </c>
      <c r="Z101" s="257">
        <v>1.06</v>
      </c>
      <c r="AA101" s="257">
        <v>1.06</v>
      </c>
      <c r="AB101" s="257">
        <v>1.06</v>
      </c>
      <c r="AC101" s="257">
        <v>1.06</v>
      </c>
      <c r="AD101" s="257">
        <v>1.06</v>
      </c>
      <c r="AE101" s="257">
        <v>1.06</v>
      </c>
      <c r="AF101" s="258">
        <f t="shared" ref="AF101:AF130" si="32">IF(F101&lt;&gt;"",F101,"")</f>
        <v>0.91</v>
      </c>
      <c r="AG101" s="342"/>
      <c r="AK101" s="344"/>
      <c r="DG101" s="1020">
        <f t="shared" ref="DG101:DG130" si="33">(DI101)/(DJ101)</f>
        <v>0.80448693981771968</v>
      </c>
      <c r="DH101" s="1330" t="str">
        <f>CONCATENATE(G101," ",L101," Year EUL")</f>
        <v>Building Shell RES 30 Year EUL</v>
      </c>
      <c r="DI101" s="969">
        <f>(INDEX('Avoided Cost Benefits'!$B$4:$B$865,MATCH(DH101,'Avoided Cost Benefits'!$A$4:$A$865,0)))*F101</f>
        <v>1.70945779459</v>
      </c>
      <c r="DJ101" s="1954">
        <f t="shared" ref="DJ101:DJ130" si="34">IFERROR(M101/((1+DiscountRate)^(CurrentYear-DiscountYear)),0)</f>
        <v>2.1249043458397576</v>
      </c>
    </row>
    <row r="102" spans="2:114" x14ac:dyDescent="0.25">
      <c r="B102" s="1384">
        <f t="shared" si="28"/>
        <v>400750</v>
      </c>
      <c r="C102" s="332" t="s">
        <v>1522</v>
      </c>
      <c r="D102" s="537" t="s">
        <v>600</v>
      </c>
      <c r="E102" s="122" t="s">
        <v>1523</v>
      </c>
      <c r="F102" s="190">
        <f t="shared" si="29"/>
        <v>0.61</v>
      </c>
      <c r="G102" s="134" t="s">
        <v>1480</v>
      </c>
      <c r="H102" s="66">
        <f>VLOOKUP(G102,'CP FACTORS'!$A$3:$B$38, 2, FALSE)</f>
        <v>4.6608050000000002E-4</v>
      </c>
      <c r="I102" s="323">
        <f t="shared" si="30"/>
        <v>0.50192615387955353</v>
      </c>
      <c r="J102" s="526">
        <f t="shared" si="31"/>
        <v>0.11141362499999999</v>
      </c>
      <c r="K102" s="261">
        <f t="shared" ref="K102:K130" si="35">ROUND(H102*F102,6)</f>
        <v>2.8400000000000002E-4</v>
      </c>
      <c r="L102" s="323">
        <f t="shared" ref="L102:L130" si="36">$F$384</f>
        <v>30</v>
      </c>
      <c r="M102" s="710">
        <f t="shared" ref="M102:M130" si="37">F386</f>
        <v>2.1249043458397576</v>
      </c>
      <c r="N102" s="323">
        <f t="shared" ref="N102:N130" si="38">F228</f>
        <v>1</v>
      </c>
      <c r="V102" s="342" t="str">
        <f t="shared" ref="V102:V130" si="39">$F$32</f>
        <v>kWh Annual Savings</v>
      </c>
      <c r="W102" s="84">
        <v>575.99271940716187</v>
      </c>
      <c r="X102" s="124">
        <v>575.99271940716187</v>
      </c>
      <c r="Y102" s="259">
        <v>0.66</v>
      </c>
      <c r="Z102" s="257">
        <v>0.66</v>
      </c>
      <c r="AA102" s="257">
        <v>0.66</v>
      </c>
      <c r="AB102" s="257">
        <v>0.66</v>
      </c>
      <c r="AC102" s="257">
        <v>0.66</v>
      </c>
      <c r="AD102" s="257">
        <v>0.66</v>
      </c>
      <c r="AE102" s="257">
        <v>0.66</v>
      </c>
      <c r="AF102" s="258">
        <f t="shared" si="32"/>
        <v>0.61</v>
      </c>
      <c r="AG102" s="342"/>
      <c r="AK102" s="344"/>
      <c r="DG102" s="1021">
        <f t="shared" si="33"/>
        <v>0.53927146515253732</v>
      </c>
      <c r="DH102" s="653" t="str">
        <f t="shared" ref="DH102:DH130" si="40">CONCATENATE(G102," ",L102," Year EUL")</f>
        <v>Building Shell RES 30 Year EUL</v>
      </c>
      <c r="DI102" s="538">
        <f>(INDEX('Avoided Cost Benefits'!$B$4:$B$865,MATCH(DH102,'Avoided Cost Benefits'!$A$4:$A$865,0)))*F102</f>
        <v>1.14590027989</v>
      </c>
      <c r="DJ102" s="1955">
        <f t="shared" si="34"/>
        <v>2.1249043458397576</v>
      </c>
    </row>
    <row r="103" spans="2:114" x14ac:dyDescent="0.25">
      <c r="B103" s="1384">
        <f t="shared" si="28"/>
        <v>400800</v>
      </c>
      <c r="C103" s="332" t="s">
        <v>1524</v>
      </c>
      <c r="D103" s="537" t="s">
        <v>600</v>
      </c>
      <c r="E103" s="122" t="s">
        <v>1525</v>
      </c>
      <c r="F103" s="190">
        <f t="shared" si="29"/>
        <v>0.14000000000000001</v>
      </c>
      <c r="G103" s="134" t="s">
        <v>1480</v>
      </c>
      <c r="H103" s="66">
        <f>VLOOKUP(G103,'CP FACTORS'!$A$3:$B$38, 2, FALSE)</f>
        <v>4.6608050000000002E-4</v>
      </c>
      <c r="I103" s="323">
        <f t="shared" si="30"/>
        <v>3.595032184977464E-2</v>
      </c>
      <c r="J103" s="526">
        <f t="shared" si="31"/>
        <v>0.10138639875</v>
      </c>
      <c r="K103" s="261">
        <f t="shared" si="35"/>
        <v>6.4999999999999994E-5</v>
      </c>
      <c r="L103" s="323">
        <f t="shared" si="36"/>
        <v>30</v>
      </c>
      <c r="M103" s="710">
        <f t="shared" si="37"/>
        <v>2.1249043458397576</v>
      </c>
      <c r="N103" s="323">
        <f t="shared" si="38"/>
        <v>1</v>
      </c>
      <c r="V103" s="342" t="str">
        <f t="shared" si="39"/>
        <v>kWh Annual Savings</v>
      </c>
      <c r="W103" s="84">
        <v>124.7499884556932</v>
      </c>
      <c r="X103" s="124">
        <v>124.7499884556932</v>
      </c>
      <c r="Y103" s="259">
        <v>0.14000000000000001</v>
      </c>
      <c r="Z103" s="257">
        <v>0.14000000000000001</v>
      </c>
      <c r="AA103" s="257">
        <v>0.14000000000000001</v>
      </c>
      <c r="AB103" s="257">
        <v>0.14000000000000001</v>
      </c>
      <c r="AC103" s="257">
        <v>0.14000000000000001</v>
      </c>
      <c r="AD103" s="257">
        <v>0.14000000000000001</v>
      </c>
      <c r="AE103" s="257">
        <v>0.14000000000000001</v>
      </c>
      <c r="AF103" s="258">
        <f t="shared" si="32"/>
        <v>0.14000000000000001</v>
      </c>
      <c r="AG103" s="342"/>
      <c r="AK103" s="344"/>
      <c r="DG103" s="1021">
        <f t="shared" si="33"/>
        <v>0.12376722151041843</v>
      </c>
      <c r="DH103" s="653" t="str">
        <f t="shared" si="40"/>
        <v>Building Shell RES 30 Year EUL</v>
      </c>
      <c r="DI103" s="538">
        <f>(INDEX('Avoided Cost Benefits'!$B$4:$B$865,MATCH(DH103,'Avoided Cost Benefits'!$A$4:$A$865,0)))*F103</f>
        <v>0.26299350686000006</v>
      </c>
      <c r="DJ103" s="1955">
        <f t="shared" si="34"/>
        <v>2.1249043458397576</v>
      </c>
    </row>
    <row r="104" spans="2:114" x14ac:dyDescent="0.25">
      <c r="B104" s="1384">
        <f t="shared" si="28"/>
        <v>400850</v>
      </c>
      <c r="C104" s="332" t="s">
        <v>1526</v>
      </c>
      <c r="D104" s="537" t="s">
        <v>857</v>
      </c>
      <c r="E104" s="122" t="s">
        <v>1527</v>
      </c>
      <c r="F104" s="190">
        <f t="shared" si="29"/>
        <v>0.91</v>
      </c>
      <c r="G104" s="134" t="s">
        <v>1480</v>
      </c>
      <c r="H104" s="66">
        <f>VLOOKUP(G104,'CP FACTORS'!$A$3:$B$38, 2, FALSE)</f>
        <v>4.6608050000000002E-4</v>
      </c>
      <c r="I104" s="323">
        <f t="shared" si="30"/>
        <v>0.81312036928487674</v>
      </c>
      <c r="J104" s="526">
        <f t="shared" si="31"/>
        <v>0.10138639875</v>
      </c>
      <c r="K104" s="261">
        <f t="shared" si="35"/>
        <v>4.2400000000000001E-4</v>
      </c>
      <c r="L104" s="323">
        <f t="shared" si="36"/>
        <v>30</v>
      </c>
      <c r="M104" s="710">
        <f t="shared" si="37"/>
        <v>2.1249072011878249</v>
      </c>
      <c r="N104" s="323">
        <f t="shared" si="38"/>
        <v>1</v>
      </c>
      <c r="V104" s="342" t="str">
        <f t="shared" si="39"/>
        <v>kWh Annual Savings</v>
      </c>
      <c r="W104" s="84">
        <v>1421.5541065949242</v>
      </c>
      <c r="X104" s="124">
        <v>1421.5541065949242</v>
      </c>
      <c r="Y104" s="259">
        <v>1.06</v>
      </c>
      <c r="Z104" s="257">
        <v>1.06</v>
      </c>
      <c r="AA104" s="257">
        <v>1.06</v>
      </c>
      <c r="AB104" s="257">
        <v>1.06</v>
      </c>
      <c r="AC104" s="257">
        <v>1.06</v>
      </c>
      <c r="AD104" s="257">
        <v>1.06</v>
      </c>
      <c r="AE104" s="257">
        <v>1.06</v>
      </c>
      <c r="AF104" s="258">
        <f t="shared" si="32"/>
        <v>0.91</v>
      </c>
      <c r="AG104" s="342"/>
      <c r="AK104" s="344"/>
      <c r="DG104" s="1021">
        <f t="shared" si="33"/>
        <v>0.80448585878687395</v>
      </c>
      <c r="DH104" s="653" t="str">
        <f t="shared" si="40"/>
        <v>Building Shell RES 30 Year EUL</v>
      </c>
      <c r="DI104" s="538">
        <f>(INDEX('Avoided Cost Benefits'!$B$4:$B$865,MATCH(DH104,'Avoided Cost Benefits'!$A$4:$A$865,0)))*F104</f>
        <v>1.70945779459</v>
      </c>
      <c r="DJ104" s="1955">
        <f t="shared" si="34"/>
        <v>2.1249072011878249</v>
      </c>
    </row>
    <row r="105" spans="2:114" x14ac:dyDescent="0.25">
      <c r="B105" s="1384">
        <f t="shared" si="28"/>
        <v>400900</v>
      </c>
      <c r="C105" s="332" t="s">
        <v>1528</v>
      </c>
      <c r="D105" s="537" t="s">
        <v>857</v>
      </c>
      <c r="E105" s="122" t="s">
        <v>1529</v>
      </c>
      <c r="F105" s="190">
        <f t="shared" si="29"/>
        <v>0.61</v>
      </c>
      <c r="G105" s="134" t="s">
        <v>1480</v>
      </c>
      <c r="H105" s="66">
        <f>VLOOKUP(G105,'CP FACTORS'!$A$3:$B$38, 2, FALSE)</f>
        <v>4.6608050000000002E-4</v>
      </c>
      <c r="I105" s="323">
        <f t="shared" si="30"/>
        <v>0.50192615387955353</v>
      </c>
      <c r="J105" s="526">
        <f t="shared" si="31"/>
        <v>0.11141362499999999</v>
      </c>
      <c r="K105" s="261">
        <f t="shared" si="35"/>
        <v>2.8400000000000002E-4</v>
      </c>
      <c r="L105" s="323">
        <f t="shared" si="36"/>
        <v>30</v>
      </c>
      <c r="M105" s="710">
        <f t="shared" si="37"/>
        <v>2.1249072011878249</v>
      </c>
      <c r="N105" s="323">
        <f t="shared" si="38"/>
        <v>1</v>
      </c>
      <c r="V105" s="342" t="str">
        <f t="shared" si="39"/>
        <v>kWh Annual Savings</v>
      </c>
      <c r="W105" s="84">
        <v>886.14264524178759</v>
      </c>
      <c r="X105" s="124">
        <v>886.14264524178759</v>
      </c>
      <c r="Y105" s="259">
        <v>0.66</v>
      </c>
      <c r="Z105" s="257">
        <v>0.66</v>
      </c>
      <c r="AA105" s="257">
        <v>0.66</v>
      </c>
      <c r="AB105" s="257">
        <v>0.66</v>
      </c>
      <c r="AC105" s="257">
        <v>0.66</v>
      </c>
      <c r="AD105" s="257">
        <v>0.66</v>
      </c>
      <c r="AE105" s="257">
        <v>0.66</v>
      </c>
      <c r="AF105" s="258">
        <f t="shared" si="32"/>
        <v>0.61</v>
      </c>
      <c r="AG105" s="342"/>
      <c r="AK105" s="344"/>
      <c r="DG105" s="1021">
        <f t="shared" si="33"/>
        <v>0.53927074050548685</v>
      </c>
      <c r="DH105" s="653" t="str">
        <f t="shared" si="40"/>
        <v>Building Shell RES 30 Year EUL</v>
      </c>
      <c r="DI105" s="538">
        <f>(INDEX('Avoided Cost Benefits'!$B$4:$B$865,MATCH(DH105,'Avoided Cost Benefits'!$A$4:$A$865,0)))*F105</f>
        <v>1.14590027989</v>
      </c>
      <c r="DJ105" s="1955">
        <f t="shared" si="34"/>
        <v>2.1249072011878249</v>
      </c>
    </row>
    <row r="106" spans="2:114" x14ac:dyDescent="0.25">
      <c r="B106" s="1384">
        <f t="shared" si="28"/>
        <v>400950</v>
      </c>
      <c r="C106" s="332" t="s">
        <v>1530</v>
      </c>
      <c r="D106" s="537" t="s">
        <v>857</v>
      </c>
      <c r="E106" s="122" t="s">
        <v>1531</v>
      </c>
      <c r="F106" s="190">
        <f t="shared" si="29"/>
        <v>0.14000000000000001</v>
      </c>
      <c r="G106" s="134" t="s">
        <v>1480</v>
      </c>
      <c r="H106" s="66">
        <f>VLOOKUP(G106,'CP FACTORS'!$A$3:$B$38, 2, FALSE)</f>
        <v>4.6608050000000002E-4</v>
      </c>
      <c r="I106" s="323">
        <f t="shared" si="30"/>
        <v>3.595032184977464E-2</v>
      </c>
      <c r="J106" s="526">
        <f t="shared" si="31"/>
        <v>0.10138639875</v>
      </c>
      <c r="K106" s="261">
        <f t="shared" si="35"/>
        <v>6.4999999999999994E-5</v>
      </c>
      <c r="L106" s="323">
        <f t="shared" si="36"/>
        <v>30</v>
      </c>
      <c r="M106" s="710">
        <f t="shared" si="37"/>
        <v>2.1249072011878249</v>
      </c>
      <c r="N106" s="323">
        <f t="shared" si="38"/>
        <v>1</v>
      </c>
      <c r="V106" s="342" t="str">
        <f t="shared" si="39"/>
        <v>kWh Annual Savings</v>
      </c>
      <c r="W106" s="84">
        <v>191.92305916260491</v>
      </c>
      <c r="X106" s="124">
        <v>191.92305916260491</v>
      </c>
      <c r="Y106" s="259">
        <v>0.14000000000000001</v>
      </c>
      <c r="Z106" s="257">
        <v>0.14000000000000001</v>
      </c>
      <c r="AA106" s="257">
        <v>0.14000000000000001</v>
      </c>
      <c r="AB106" s="257">
        <v>0.14000000000000001</v>
      </c>
      <c r="AC106" s="257">
        <v>0.14000000000000001</v>
      </c>
      <c r="AD106" s="257">
        <v>0.14000000000000001</v>
      </c>
      <c r="AE106" s="257">
        <v>0.14000000000000001</v>
      </c>
      <c r="AF106" s="258">
        <f t="shared" si="32"/>
        <v>0.14000000000000001</v>
      </c>
      <c r="AG106" s="342"/>
      <c r="AK106" s="344"/>
      <c r="DG106" s="1021">
        <f t="shared" si="33"/>
        <v>0.12376705519798063</v>
      </c>
      <c r="DH106" s="653" t="str">
        <f t="shared" si="40"/>
        <v>Building Shell RES 30 Year EUL</v>
      </c>
      <c r="DI106" s="538">
        <f>(INDEX('Avoided Cost Benefits'!$B$4:$B$865,MATCH(DH106,'Avoided Cost Benefits'!$A$4:$A$865,0)))*F106</f>
        <v>0.26299350686000006</v>
      </c>
      <c r="DJ106" s="1955">
        <f t="shared" si="34"/>
        <v>2.1249072011878249</v>
      </c>
    </row>
    <row r="107" spans="2:114" x14ac:dyDescent="0.25">
      <c r="B107" s="1384">
        <f t="shared" si="28"/>
        <v>401000</v>
      </c>
      <c r="C107" s="332" t="s">
        <v>1532</v>
      </c>
      <c r="D107" s="537" t="s">
        <v>600</v>
      </c>
      <c r="E107" s="122" t="s">
        <v>1533</v>
      </c>
      <c r="F107" s="190">
        <f t="shared" si="29"/>
        <v>1.49</v>
      </c>
      <c r="G107" s="134" t="s">
        <v>1480</v>
      </c>
      <c r="H107" s="66">
        <f>VLOOKUP(G107,'CP FACTORS'!$A$3:$B$38, 2, FALSE)</f>
        <v>4.6608050000000002E-4</v>
      </c>
      <c r="I107" s="323">
        <f t="shared" si="30"/>
        <v>1.3205563892145369</v>
      </c>
      <c r="J107" s="526">
        <f t="shared" si="31"/>
        <v>0.16465761000000004</v>
      </c>
      <c r="K107" s="261">
        <f t="shared" si="35"/>
        <v>6.9399999999999996E-4</v>
      </c>
      <c r="L107" s="323">
        <f t="shared" si="36"/>
        <v>30</v>
      </c>
      <c r="M107" s="710">
        <f t="shared" si="37"/>
        <v>1.1631103074141049</v>
      </c>
      <c r="N107" s="323">
        <f t="shared" si="38"/>
        <v>1</v>
      </c>
      <c r="V107" s="342" t="str">
        <f t="shared" si="39"/>
        <v>kWh Annual Savings</v>
      </c>
      <c r="W107" s="84">
        <v>1232.157975126657</v>
      </c>
      <c r="X107" s="124">
        <v>1232.157975126657</v>
      </c>
      <c r="Y107" s="259">
        <v>1.71</v>
      </c>
      <c r="Z107" s="257">
        <v>1.71</v>
      </c>
      <c r="AA107" s="257">
        <v>1.71</v>
      </c>
      <c r="AB107" s="257">
        <v>1.71</v>
      </c>
      <c r="AC107" s="257">
        <v>1.71</v>
      </c>
      <c r="AD107" s="257">
        <v>1.71</v>
      </c>
      <c r="AE107" s="257">
        <v>1.71</v>
      </c>
      <c r="AF107" s="258">
        <f t="shared" si="32"/>
        <v>1.49</v>
      </c>
      <c r="AG107" s="342"/>
      <c r="AK107" s="344"/>
      <c r="DG107" s="1021">
        <f t="shared" si="33"/>
        <v>2.4064805420157493</v>
      </c>
      <c r="DH107" s="653" t="str">
        <f t="shared" si="40"/>
        <v>Building Shell RES 30 Year EUL</v>
      </c>
      <c r="DI107" s="538">
        <f>(INDEX('Avoided Cost Benefits'!$B$4:$B$865,MATCH(DH107,'Avoided Cost Benefits'!$A$4:$A$865,0)))*F107</f>
        <v>2.7990023230099998</v>
      </c>
      <c r="DJ107" s="1955">
        <f t="shared" si="34"/>
        <v>1.1631103074141049</v>
      </c>
    </row>
    <row r="108" spans="2:114" x14ac:dyDescent="0.25">
      <c r="B108" s="1384">
        <f t="shared" si="28"/>
        <v>401050</v>
      </c>
      <c r="C108" s="332" t="s">
        <v>1534</v>
      </c>
      <c r="D108" s="537" t="s">
        <v>600</v>
      </c>
      <c r="E108" s="122" t="s">
        <v>1535</v>
      </c>
      <c r="F108" s="190">
        <f t="shared" si="29"/>
        <v>1</v>
      </c>
      <c r="G108" s="134" t="s">
        <v>1480</v>
      </c>
      <c r="H108" s="66">
        <f>VLOOKUP(G108,'CP FACTORS'!$A$3:$B$38, 2, FALSE)</f>
        <v>4.6608050000000002E-4</v>
      </c>
      <c r="I108" s="323">
        <f t="shared" si="30"/>
        <v>0.81515826494724497</v>
      </c>
      <c r="J108" s="526">
        <f t="shared" si="31"/>
        <v>0.18094242857142856</v>
      </c>
      <c r="K108" s="261">
        <f t="shared" si="35"/>
        <v>4.66E-4</v>
      </c>
      <c r="L108" s="323">
        <f t="shared" si="36"/>
        <v>30</v>
      </c>
      <c r="M108" s="710">
        <f t="shared" si="37"/>
        <v>1.1631103074141049</v>
      </c>
      <c r="N108" s="323">
        <f t="shared" si="38"/>
        <v>1</v>
      </c>
      <c r="V108" s="342" t="str">
        <f t="shared" si="39"/>
        <v>kWh Annual Savings</v>
      </c>
      <c r="W108" s="84">
        <v>768.08031602108485</v>
      </c>
      <c r="X108" s="124">
        <v>768.08031602108485</v>
      </c>
      <c r="Y108" s="259">
        <v>1.07</v>
      </c>
      <c r="Z108" s="257">
        <v>1.07</v>
      </c>
      <c r="AA108" s="257">
        <v>1.07</v>
      </c>
      <c r="AB108" s="257">
        <v>1.07</v>
      </c>
      <c r="AC108" s="257">
        <v>1.07</v>
      </c>
      <c r="AD108" s="257">
        <v>1.07</v>
      </c>
      <c r="AE108" s="257">
        <v>1.07</v>
      </c>
      <c r="AF108" s="258">
        <f t="shared" si="32"/>
        <v>1</v>
      </c>
      <c r="AG108" s="342"/>
      <c r="AK108" s="344"/>
      <c r="DG108" s="1021">
        <f t="shared" si="33"/>
        <v>1.6150876120911069</v>
      </c>
      <c r="DH108" s="653" t="str">
        <f t="shared" si="40"/>
        <v>Building Shell RES 30 Year EUL</v>
      </c>
      <c r="DI108" s="538">
        <f>(INDEX('Avoided Cost Benefits'!$B$4:$B$865,MATCH(DH108,'Avoided Cost Benefits'!$A$4:$A$865,0)))*F108</f>
        <v>1.8785250490000001</v>
      </c>
      <c r="DJ108" s="1955">
        <f t="shared" si="34"/>
        <v>1.1631103074141049</v>
      </c>
    </row>
    <row r="109" spans="2:114" x14ac:dyDescent="0.25">
      <c r="B109" s="1384">
        <f t="shared" si="28"/>
        <v>401100</v>
      </c>
      <c r="C109" s="332" t="s">
        <v>1536</v>
      </c>
      <c r="D109" s="537" t="s">
        <v>600</v>
      </c>
      <c r="E109" s="126" t="s">
        <v>1537</v>
      </c>
      <c r="F109" s="190">
        <f t="shared" si="29"/>
        <v>0.22</v>
      </c>
      <c r="G109" s="134" t="s">
        <v>1480</v>
      </c>
      <c r="H109" s="66">
        <f>VLOOKUP(G109,'CP FACTORS'!$A$3:$B$38, 2, FALSE)</f>
        <v>4.6608050000000002E-4</v>
      </c>
      <c r="I109" s="323">
        <f t="shared" si="30"/>
        <v>5.8385485109408448E-2</v>
      </c>
      <c r="J109" s="526">
        <f t="shared" si="31"/>
        <v>0.16465761000000004</v>
      </c>
      <c r="K109" s="261">
        <f t="shared" si="35"/>
        <v>1.03E-4</v>
      </c>
      <c r="L109" s="323">
        <f t="shared" si="36"/>
        <v>30</v>
      </c>
      <c r="M109" s="710">
        <f t="shared" si="37"/>
        <v>1.1631103074141049</v>
      </c>
      <c r="N109" s="323">
        <f t="shared" si="38"/>
        <v>1</v>
      </c>
      <c r="V109" s="342" t="str">
        <f t="shared" si="39"/>
        <v>kWh Annual Savings</v>
      </c>
      <c r="W109" s="84">
        <v>166.35281545797278</v>
      </c>
      <c r="X109" s="124">
        <v>166.35281545797278</v>
      </c>
      <c r="Y109" s="259">
        <v>0.23</v>
      </c>
      <c r="Z109" s="257">
        <v>0.23</v>
      </c>
      <c r="AA109" s="257">
        <v>0.23</v>
      </c>
      <c r="AB109" s="257">
        <v>0.23</v>
      </c>
      <c r="AC109" s="257">
        <v>0.23</v>
      </c>
      <c r="AD109" s="257">
        <v>0.23</v>
      </c>
      <c r="AE109" s="257">
        <v>0.23</v>
      </c>
      <c r="AF109" s="258">
        <f t="shared" si="32"/>
        <v>0.22</v>
      </c>
      <c r="AG109" s="342"/>
      <c r="AK109" s="344"/>
      <c r="DG109" s="1021">
        <f t="shared" si="33"/>
        <v>0.35531927466004354</v>
      </c>
      <c r="DH109" s="653" t="str">
        <f t="shared" si="40"/>
        <v>Building Shell RES 30 Year EUL</v>
      </c>
      <c r="DI109" s="538">
        <f>(INDEX('Avoided Cost Benefits'!$B$4:$B$865,MATCH(DH109,'Avoided Cost Benefits'!$A$4:$A$865,0)))*F109</f>
        <v>0.41327551078000002</v>
      </c>
      <c r="DJ109" s="1955">
        <f t="shared" si="34"/>
        <v>1.1631103074141049</v>
      </c>
    </row>
    <row r="110" spans="2:114" x14ac:dyDescent="0.25">
      <c r="B110" s="1384">
        <f t="shared" si="28"/>
        <v>401150</v>
      </c>
      <c r="C110" s="332" t="s">
        <v>1538</v>
      </c>
      <c r="D110" s="537" t="s">
        <v>857</v>
      </c>
      <c r="E110" s="122" t="s">
        <v>1539</v>
      </c>
      <c r="F110" s="190">
        <f t="shared" si="29"/>
        <v>1.49</v>
      </c>
      <c r="G110" s="134" t="s">
        <v>1480</v>
      </c>
      <c r="H110" s="66">
        <f>VLOOKUP(G110,'CP FACTORS'!$A$3:$B$38, 2, FALSE)</f>
        <v>4.6608050000000002E-4</v>
      </c>
      <c r="I110" s="323">
        <f t="shared" si="30"/>
        <v>1.3205563892145369</v>
      </c>
      <c r="J110" s="526">
        <f t="shared" si="31"/>
        <v>0.16465761000000004</v>
      </c>
      <c r="K110" s="261">
        <f t="shared" si="35"/>
        <v>6.9399999999999996E-4</v>
      </c>
      <c r="L110" s="323">
        <f t="shared" si="36"/>
        <v>30</v>
      </c>
      <c r="M110" s="710">
        <f t="shared" si="37"/>
        <v>1.1631012658227848</v>
      </c>
      <c r="N110" s="323">
        <f t="shared" si="38"/>
        <v>1</v>
      </c>
      <c r="V110" s="342" t="str">
        <f t="shared" si="39"/>
        <v>kWh Annual Savings</v>
      </c>
      <c r="W110" s="84">
        <v>1895.6276540410106</v>
      </c>
      <c r="X110" s="124">
        <v>1895.6276540410106</v>
      </c>
      <c r="Y110" s="259">
        <v>1.71</v>
      </c>
      <c r="Z110" s="257">
        <v>1.71</v>
      </c>
      <c r="AA110" s="257">
        <v>1.71</v>
      </c>
      <c r="AB110" s="257">
        <v>1.71</v>
      </c>
      <c r="AC110" s="257">
        <v>1.71</v>
      </c>
      <c r="AD110" s="257">
        <v>1.71</v>
      </c>
      <c r="AE110" s="257">
        <v>1.71</v>
      </c>
      <c r="AF110" s="258">
        <f t="shared" si="32"/>
        <v>1.49</v>
      </c>
      <c r="AG110" s="342"/>
      <c r="AK110" s="344"/>
      <c r="DG110" s="1021">
        <f t="shared" si="33"/>
        <v>2.4064992492549382</v>
      </c>
      <c r="DH110" s="653" t="str">
        <f t="shared" si="40"/>
        <v>Building Shell RES 30 Year EUL</v>
      </c>
      <c r="DI110" s="538">
        <f>(INDEX('Avoided Cost Benefits'!$B$4:$B$865,MATCH(DH110,'Avoided Cost Benefits'!$A$4:$A$865,0)))*F110</f>
        <v>2.7990023230099998</v>
      </c>
      <c r="DJ110" s="1955">
        <f t="shared" si="34"/>
        <v>1.1631012658227848</v>
      </c>
    </row>
    <row r="111" spans="2:114" x14ac:dyDescent="0.25">
      <c r="B111" s="1384">
        <f t="shared" si="28"/>
        <v>401200</v>
      </c>
      <c r="C111" s="332" t="s">
        <v>1540</v>
      </c>
      <c r="D111" s="537" t="s">
        <v>857</v>
      </c>
      <c r="E111" s="122" t="s">
        <v>1541</v>
      </c>
      <c r="F111" s="190">
        <f t="shared" si="29"/>
        <v>1</v>
      </c>
      <c r="G111" s="134" t="s">
        <v>1480</v>
      </c>
      <c r="H111" s="66">
        <f>VLOOKUP(G111,'CP FACTORS'!$A$3:$B$38, 2, FALSE)</f>
        <v>4.6608050000000002E-4</v>
      </c>
      <c r="I111" s="323">
        <f t="shared" si="30"/>
        <v>0.81515826494724497</v>
      </c>
      <c r="J111" s="526">
        <f t="shared" si="31"/>
        <v>0.18094242857142856</v>
      </c>
      <c r="K111" s="261">
        <f t="shared" si="35"/>
        <v>4.66E-4</v>
      </c>
      <c r="L111" s="323">
        <f t="shared" si="36"/>
        <v>30</v>
      </c>
      <c r="M111" s="710">
        <f t="shared" si="37"/>
        <v>1.1631012658227848</v>
      </c>
      <c r="N111" s="323">
        <f t="shared" si="38"/>
        <v>1</v>
      </c>
      <c r="V111" s="342" t="str">
        <f t="shared" si="39"/>
        <v>kWh Annual Savings</v>
      </c>
      <c r="W111" s="84">
        <v>1181.6620246478228</v>
      </c>
      <c r="X111" s="124">
        <v>1181.6620246478228</v>
      </c>
      <c r="Y111" s="259">
        <v>1.07</v>
      </c>
      <c r="Z111" s="257">
        <v>1.07</v>
      </c>
      <c r="AA111" s="257">
        <v>1.07</v>
      </c>
      <c r="AB111" s="257">
        <v>1.07</v>
      </c>
      <c r="AC111" s="257">
        <v>1.07</v>
      </c>
      <c r="AD111" s="257">
        <v>1.07</v>
      </c>
      <c r="AE111" s="257">
        <v>1.07</v>
      </c>
      <c r="AF111" s="258">
        <f t="shared" si="32"/>
        <v>1</v>
      </c>
      <c r="AG111" s="342"/>
      <c r="AK111" s="344"/>
      <c r="DG111" s="1021">
        <f t="shared" si="33"/>
        <v>1.6151001672851935</v>
      </c>
      <c r="DH111" s="653" t="str">
        <f t="shared" si="40"/>
        <v>Building Shell RES 30 Year EUL</v>
      </c>
      <c r="DI111" s="538">
        <f>(INDEX('Avoided Cost Benefits'!$B$4:$B$865,MATCH(DH111,'Avoided Cost Benefits'!$A$4:$A$865,0)))*F111</f>
        <v>1.8785250490000001</v>
      </c>
      <c r="DJ111" s="1955">
        <f t="shared" si="34"/>
        <v>1.1631012658227848</v>
      </c>
    </row>
    <row r="112" spans="2:114" x14ac:dyDescent="0.25">
      <c r="B112" s="1384">
        <f t="shared" si="28"/>
        <v>401250</v>
      </c>
      <c r="C112" s="332" t="s">
        <v>1542</v>
      </c>
      <c r="D112" s="537" t="s">
        <v>857</v>
      </c>
      <c r="E112" s="567" t="s">
        <v>1543</v>
      </c>
      <c r="F112" s="190">
        <f t="shared" si="29"/>
        <v>0.22</v>
      </c>
      <c r="G112" s="134" t="s">
        <v>1480</v>
      </c>
      <c r="H112" s="66">
        <f>VLOOKUP(G112,'CP FACTORS'!$A$3:$B$38, 2, FALSE)</f>
        <v>4.6608050000000002E-4</v>
      </c>
      <c r="I112" s="323">
        <f t="shared" si="30"/>
        <v>5.8385485109408448E-2</v>
      </c>
      <c r="J112" s="526">
        <f t="shared" si="31"/>
        <v>0.16465761000000004</v>
      </c>
      <c r="K112" s="261">
        <f t="shared" si="35"/>
        <v>1.03E-4</v>
      </c>
      <c r="L112" s="323">
        <f t="shared" si="36"/>
        <v>30</v>
      </c>
      <c r="M112" s="710">
        <f t="shared" si="37"/>
        <v>1.1631012658227848</v>
      </c>
      <c r="N112" s="323">
        <f t="shared" si="38"/>
        <v>1</v>
      </c>
      <c r="V112" s="342" t="str">
        <f t="shared" si="39"/>
        <v>kWh Annual Savings</v>
      </c>
      <c r="W112" s="84">
        <v>255.92740839688122</v>
      </c>
      <c r="X112" s="124">
        <v>255.92740839688122</v>
      </c>
      <c r="Y112" s="259">
        <v>0.23</v>
      </c>
      <c r="Z112" s="257">
        <v>0.23</v>
      </c>
      <c r="AA112" s="257">
        <v>0.23</v>
      </c>
      <c r="AB112" s="257">
        <v>0.23</v>
      </c>
      <c r="AC112" s="257">
        <v>0.23</v>
      </c>
      <c r="AD112" s="257">
        <v>0.23</v>
      </c>
      <c r="AE112" s="257">
        <v>0.23</v>
      </c>
      <c r="AF112" s="258">
        <f t="shared" si="32"/>
        <v>0.22</v>
      </c>
      <c r="AG112" s="342"/>
      <c r="AK112" s="344"/>
      <c r="DG112" s="1021">
        <f t="shared" si="33"/>
        <v>0.35532203680274255</v>
      </c>
      <c r="DH112" s="653" t="str">
        <f t="shared" si="40"/>
        <v>Building Shell RES 30 Year EUL</v>
      </c>
      <c r="DI112" s="538">
        <f>(INDEX('Avoided Cost Benefits'!$B$4:$B$865,MATCH(DH112,'Avoided Cost Benefits'!$A$4:$A$865,0)))*F112</f>
        <v>0.41327551078000002</v>
      </c>
      <c r="DJ112" s="1955">
        <f t="shared" si="34"/>
        <v>1.1631012658227848</v>
      </c>
    </row>
    <row r="113" spans="2:114" x14ac:dyDescent="0.25">
      <c r="B113" s="1384">
        <f t="shared" si="28"/>
        <v>401300</v>
      </c>
      <c r="C113" s="332" t="s">
        <v>1544</v>
      </c>
      <c r="D113" s="537" t="s">
        <v>600</v>
      </c>
      <c r="E113" s="122" t="s">
        <v>1545</v>
      </c>
      <c r="F113" s="190">
        <f t="shared" si="29"/>
        <v>1.6</v>
      </c>
      <c r="G113" s="134" t="s">
        <v>1480</v>
      </c>
      <c r="H113" s="66">
        <f>VLOOKUP(G113,'CP FACTORS'!$A$3:$B$38, 2, FALSE)</f>
        <v>4.6608050000000002E-4</v>
      </c>
      <c r="I113" s="323">
        <f t="shared" si="30"/>
        <v>1.4188303530630606</v>
      </c>
      <c r="J113" s="526">
        <f t="shared" si="31"/>
        <v>0.17691119958139537</v>
      </c>
      <c r="K113" s="261">
        <f t="shared" si="35"/>
        <v>7.4600000000000003E-4</v>
      </c>
      <c r="L113" s="323">
        <f t="shared" si="36"/>
        <v>30</v>
      </c>
      <c r="M113" s="710">
        <f t="shared" si="37"/>
        <v>1.6810404785088331</v>
      </c>
      <c r="N113" s="323">
        <f t="shared" si="38"/>
        <v>1</v>
      </c>
      <c r="V113" s="342" t="str">
        <f t="shared" si="39"/>
        <v>kWh Annual Savings</v>
      </c>
      <c r="W113" s="84">
        <v>1323.8534523453845</v>
      </c>
      <c r="X113" s="124">
        <v>1323.8534523453845</v>
      </c>
      <c r="Y113" s="259">
        <v>1.84</v>
      </c>
      <c r="Z113" s="257">
        <v>1.84</v>
      </c>
      <c r="AA113" s="257">
        <v>1.84</v>
      </c>
      <c r="AB113" s="257">
        <v>1.84</v>
      </c>
      <c r="AC113" s="257">
        <v>1.84</v>
      </c>
      <c r="AD113" s="257">
        <v>1.84</v>
      </c>
      <c r="AE113" s="257">
        <v>1.84</v>
      </c>
      <c r="AF113" s="258">
        <f t="shared" si="32"/>
        <v>1.6</v>
      </c>
      <c r="AG113" s="342"/>
      <c r="AK113" s="344"/>
      <c r="DG113" s="1021">
        <f t="shared" si="33"/>
        <v>1.7879641310399339</v>
      </c>
      <c r="DH113" s="653" t="str">
        <f t="shared" si="40"/>
        <v>Building Shell RES 30 Year EUL</v>
      </c>
      <c r="DI113" s="538">
        <f>(INDEX('Avoided Cost Benefits'!$B$4:$B$865,MATCH(DH113,'Avoided Cost Benefits'!$A$4:$A$865,0)))*F113</f>
        <v>3.0056400784000004</v>
      </c>
      <c r="DJ113" s="1955">
        <f t="shared" si="34"/>
        <v>1.6810404785088331</v>
      </c>
    </row>
    <row r="114" spans="2:114" x14ac:dyDescent="0.25">
      <c r="B114" s="1384">
        <f t="shared" si="28"/>
        <v>401350</v>
      </c>
      <c r="C114" s="332" t="s">
        <v>1546</v>
      </c>
      <c r="D114" s="537" t="s">
        <v>600</v>
      </c>
      <c r="E114" s="122" t="s">
        <v>1547</v>
      </c>
      <c r="F114" s="190">
        <f t="shared" si="29"/>
        <v>1.07</v>
      </c>
      <c r="G114" s="134" t="s">
        <v>1480</v>
      </c>
      <c r="H114" s="66">
        <f>VLOOKUP(G114,'CP FACTORS'!$A$3:$B$38, 2, FALSE)</f>
        <v>4.6608050000000002E-4</v>
      </c>
      <c r="I114" s="323">
        <f t="shared" si="30"/>
        <v>0.87582120559448173</v>
      </c>
      <c r="J114" s="526">
        <f t="shared" si="31"/>
        <v>0.19440791162790697</v>
      </c>
      <c r="K114" s="261">
        <f t="shared" si="35"/>
        <v>4.9899999999999999E-4</v>
      </c>
      <c r="L114" s="323">
        <f t="shared" si="36"/>
        <v>30</v>
      </c>
      <c r="M114" s="710">
        <f t="shared" si="37"/>
        <v>1.6810404785088331</v>
      </c>
      <c r="N114" s="323">
        <f t="shared" si="38"/>
        <v>1</v>
      </c>
      <c r="V114" s="342" t="str">
        <f t="shared" si="39"/>
        <v>kWh Annual Savings</v>
      </c>
      <c r="W114" s="84">
        <v>825.239781399398</v>
      </c>
      <c r="X114" s="124">
        <v>825.239781399398</v>
      </c>
      <c r="Y114" s="259">
        <v>1.1499999999999999</v>
      </c>
      <c r="Z114" s="257">
        <v>1.1499999999999999</v>
      </c>
      <c r="AA114" s="257">
        <v>1.1499999999999999</v>
      </c>
      <c r="AB114" s="257">
        <v>1.1499999999999999</v>
      </c>
      <c r="AC114" s="257">
        <v>1.1499999999999999</v>
      </c>
      <c r="AD114" s="257">
        <v>1.1499999999999999</v>
      </c>
      <c r="AE114" s="257">
        <v>1.1499999999999999</v>
      </c>
      <c r="AF114" s="258">
        <f t="shared" si="32"/>
        <v>1.07</v>
      </c>
      <c r="AG114" s="342"/>
      <c r="AK114" s="344"/>
      <c r="DG114" s="1021">
        <f t="shared" si="33"/>
        <v>1.1957010126329557</v>
      </c>
      <c r="DH114" s="653" t="str">
        <f t="shared" si="40"/>
        <v>Building Shell RES 30 Year EUL</v>
      </c>
      <c r="DI114" s="538">
        <f>(INDEX('Avoided Cost Benefits'!$B$4:$B$865,MATCH(DH114,'Avoided Cost Benefits'!$A$4:$A$865,0)))*F114</f>
        <v>2.0100218024300003</v>
      </c>
      <c r="DJ114" s="1955">
        <f t="shared" si="34"/>
        <v>1.6810404785088331</v>
      </c>
    </row>
    <row r="115" spans="2:114" x14ac:dyDescent="0.25">
      <c r="B115" s="1384">
        <f t="shared" si="28"/>
        <v>401400</v>
      </c>
      <c r="C115" s="332" t="s">
        <v>1548</v>
      </c>
      <c r="D115" s="537" t="s">
        <v>600</v>
      </c>
      <c r="E115" s="126" t="s">
        <v>1549</v>
      </c>
      <c r="F115" s="190">
        <f t="shared" si="29"/>
        <v>0.24</v>
      </c>
      <c r="G115" s="568" t="s">
        <v>1480</v>
      </c>
      <c r="H115" s="66">
        <f>VLOOKUP(G115,'CP FACTORS'!$A$3:$B$38, 2, FALSE)</f>
        <v>4.6608050000000002E-4</v>
      </c>
      <c r="I115" s="323">
        <f t="shared" si="30"/>
        <v>6.2730451443131871E-2</v>
      </c>
      <c r="J115" s="526">
        <f t="shared" si="31"/>
        <v>0.17691119958139537</v>
      </c>
      <c r="K115" s="261">
        <f t="shared" si="35"/>
        <v>1.12E-4</v>
      </c>
      <c r="L115" s="323">
        <f t="shared" si="36"/>
        <v>30</v>
      </c>
      <c r="M115" s="710">
        <f t="shared" si="37"/>
        <v>1.6810404785088331</v>
      </c>
      <c r="N115" s="323">
        <f t="shared" si="38"/>
        <v>1</v>
      </c>
      <c r="V115" s="342" t="str">
        <f t="shared" si="39"/>
        <v>kWh Annual Savings</v>
      </c>
      <c r="W115" s="84">
        <v>178.7325598641475</v>
      </c>
      <c r="X115" s="124">
        <v>178.7325598641475</v>
      </c>
      <c r="Y115" s="259">
        <v>0.25</v>
      </c>
      <c r="Z115" s="257">
        <v>0.25</v>
      </c>
      <c r="AA115" s="257">
        <v>0.25</v>
      </c>
      <c r="AB115" s="257">
        <v>0.25</v>
      </c>
      <c r="AC115" s="257">
        <v>0.25</v>
      </c>
      <c r="AD115" s="257">
        <v>0.25</v>
      </c>
      <c r="AE115" s="257">
        <v>0.25</v>
      </c>
      <c r="AF115" s="258">
        <f t="shared" si="32"/>
        <v>0.24</v>
      </c>
      <c r="AG115" s="342"/>
      <c r="AK115" s="344"/>
      <c r="DG115" s="1021">
        <f t="shared" si="33"/>
        <v>0.26819461965599006</v>
      </c>
      <c r="DH115" s="653" t="str">
        <f t="shared" si="40"/>
        <v>Building Shell RES 30 Year EUL</v>
      </c>
      <c r="DI115" s="538">
        <f>(INDEX('Avoided Cost Benefits'!$B$4:$B$865,MATCH(DH115,'Avoided Cost Benefits'!$A$4:$A$865,0)))*F115</f>
        <v>0.45084601176</v>
      </c>
      <c r="DJ115" s="1955">
        <f t="shared" si="34"/>
        <v>1.6810404785088331</v>
      </c>
    </row>
    <row r="116" spans="2:114" x14ac:dyDescent="0.25">
      <c r="B116" s="1384">
        <f t="shared" si="28"/>
        <v>401450</v>
      </c>
      <c r="C116" s="332" t="s">
        <v>1550</v>
      </c>
      <c r="D116" s="537" t="s">
        <v>857</v>
      </c>
      <c r="E116" s="122" t="s">
        <v>1551</v>
      </c>
      <c r="F116" s="190">
        <f t="shared" si="29"/>
        <v>1.6</v>
      </c>
      <c r="G116" s="134" t="s">
        <v>1480</v>
      </c>
      <c r="H116" s="66">
        <f>VLOOKUP(G116,'CP FACTORS'!$A$3:$B$38, 2, FALSE)</f>
        <v>4.6608050000000002E-4</v>
      </c>
      <c r="I116" s="323">
        <f t="shared" si="30"/>
        <v>1.4188303530630606</v>
      </c>
      <c r="J116" s="526">
        <f t="shared" si="31"/>
        <v>0.17691119958139537</v>
      </c>
      <c r="K116" s="261">
        <f t="shared" si="35"/>
        <v>7.4600000000000003E-4</v>
      </c>
      <c r="L116" s="323">
        <f t="shared" si="36"/>
        <v>30</v>
      </c>
      <c r="M116" s="710">
        <f t="shared" si="37"/>
        <v>1.6810397830018082</v>
      </c>
      <c r="N116" s="323">
        <f t="shared" si="38"/>
        <v>1</v>
      </c>
      <c r="V116" s="342" t="str">
        <f t="shared" si="39"/>
        <v>kWh Annual Savings</v>
      </c>
      <c r="W116" s="84">
        <v>2036.6976189928996</v>
      </c>
      <c r="X116" s="124">
        <v>2036.6976189928996</v>
      </c>
      <c r="Y116" s="259">
        <v>1.84</v>
      </c>
      <c r="Z116" s="257">
        <v>1.84</v>
      </c>
      <c r="AA116" s="257">
        <v>1.84</v>
      </c>
      <c r="AB116" s="257">
        <v>1.84</v>
      </c>
      <c r="AC116" s="257">
        <v>1.84</v>
      </c>
      <c r="AD116" s="257">
        <v>1.84</v>
      </c>
      <c r="AE116" s="257">
        <v>1.84</v>
      </c>
      <c r="AF116" s="258">
        <f t="shared" si="32"/>
        <v>1.6</v>
      </c>
      <c r="AG116" s="342"/>
      <c r="AK116" s="344"/>
      <c r="DG116" s="1021">
        <f t="shared" si="33"/>
        <v>1.787964870785433</v>
      </c>
      <c r="DH116" s="653" t="str">
        <f t="shared" si="40"/>
        <v>Building Shell RES 30 Year EUL</v>
      </c>
      <c r="DI116" s="538">
        <f>(INDEX('Avoided Cost Benefits'!$B$4:$B$865,MATCH(DH116,'Avoided Cost Benefits'!$A$4:$A$865,0)))*F116</f>
        <v>3.0056400784000004</v>
      </c>
      <c r="DJ116" s="1955">
        <f t="shared" si="34"/>
        <v>1.6810397830018082</v>
      </c>
    </row>
    <row r="117" spans="2:114" x14ac:dyDescent="0.25">
      <c r="B117" s="1384">
        <f t="shared" si="28"/>
        <v>401500</v>
      </c>
      <c r="C117" s="332" t="s">
        <v>1552</v>
      </c>
      <c r="D117" s="537" t="s">
        <v>857</v>
      </c>
      <c r="E117" s="126" t="s">
        <v>1553</v>
      </c>
      <c r="F117" s="190">
        <f t="shared" si="29"/>
        <v>1.07</v>
      </c>
      <c r="G117" s="568" t="s">
        <v>1480</v>
      </c>
      <c r="H117" s="66">
        <f>VLOOKUP(G117,'CP FACTORS'!$A$3:$B$38, 2, FALSE)</f>
        <v>4.6608050000000002E-4</v>
      </c>
      <c r="I117" s="1911">
        <f t="shared" si="30"/>
        <v>0.87582120559448173</v>
      </c>
      <c r="J117" s="569">
        <f t="shared" si="31"/>
        <v>0.19440791162790697</v>
      </c>
      <c r="K117" s="261">
        <f t="shared" si="35"/>
        <v>4.9899999999999999E-4</v>
      </c>
      <c r="L117" s="323">
        <f t="shared" si="36"/>
        <v>30</v>
      </c>
      <c r="M117" s="710">
        <f t="shared" si="37"/>
        <v>1.6810397830018082</v>
      </c>
      <c r="N117" s="323">
        <f t="shared" si="38"/>
        <v>1</v>
      </c>
      <c r="V117" s="342" t="str">
        <f t="shared" si="39"/>
        <v>kWh Annual Savings</v>
      </c>
      <c r="W117" s="84">
        <v>1269.5996636913817</v>
      </c>
      <c r="X117" s="124">
        <v>1269.5996636913817</v>
      </c>
      <c r="Y117" s="259">
        <v>1.1499999999999999</v>
      </c>
      <c r="Z117" s="257">
        <v>1.1499999999999999</v>
      </c>
      <c r="AA117" s="257">
        <v>1.1499999999999999</v>
      </c>
      <c r="AB117" s="257">
        <v>1.1499999999999999</v>
      </c>
      <c r="AC117" s="257">
        <v>1.1499999999999999</v>
      </c>
      <c r="AD117" s="257">
        <v>1.1499999999999999</v>
      </c>
      <c r="AE117" s="257">
        <v>1.1499999999999999</v>
      </c>
      <c r="AF117" s="258">
        <f t="shared" si="32"/>
        <v>1.07</v>
      </c>
      <c r="AG117" s="342"/>
      <c r="AK117" s="344"/>
      <c r="DG117" s="1021">
        <f t="shared" si="33"/>
        <v>1.1957015073377584</v>
      </c>
      <c r="DH117" s="653" t="str">
        <f t="shared" si="40"/>
        <v>Building Shell RES 30 Year EUL</v>
      </c>
      <c r="DI117" s="538">
        <f>(INDEX('Avoided Cost Benefits'!$B$4:$B$865,MATCH(DH117,'Avoided Cost Benefits'!$A$4:$A$865,0)))*F117</f>
        <v>2.0100218024300003</v>
      </c>
      <c r="DJ117" s="1955">
        <f t="shared" si="34"/>
        <v>1.6810397830018082</v>
      </c>
    </row>
    <row r="118" spans="2:114" x14ac:dyDescent="0.25">
      <c r="B118" s="1384">
        <f t="shared" si="28"/>
        <v>401550</v>
      </c>
      <c r="C118" s="332" t="s">
        <v>1554</v>
      </c>
      <c r="D118" s="537" t="s">
        <v>857</v>
      </c>
      <c r="E118" s="122" t="s">
        <v>1555</v>
      </c>
      <c r="F118" s="190">
        <f t="shared" si="29"/>
        <v>0.24</v>
      </c>
      <c r="G118" s="134" t="s">
        <v>1480</v>
      </c>
      <c r="H118" s="66">
        <f>VLOOKUP(G118,'CP FACTORS'!$A$3:$B$38, 2, FALSE)</f>
        <v>4.6608050000000002E-4</v>
      </c>
      <c r="I118" s="323">
        <f t="shared" si="30"/>
        <v>6.2730451443131871E-2</v>
      </c>
      <c r="J118" s="526">
        <f t="shared" si="31"/>
        <v>0.17691119958139537</v>
      </c>
      <c r="K118" s="261">
        <f t="shared" si="35"/>
        <v>1.12E-4</v>
      </c>
      <c r="L118" s="323">
        <f t="shared" si="36"/>
        <v>30</v>
      </c>
      <c r="M118" s="710">
        <f t="shared" si="37"/>
        <v>1.6810397830018082</v>
      </c>
      <c r="N118" s="323">
        <f t="shared" si="38"/>
        <v>1</v>
      </c>
      <c r="V118" s="342" t="str">
        <f t="shared" si="39"/>
        <v>kWh Annual Savings</v>
      </c>
      <c r="W118" s="84">
        <v>274.97316902176544</v>
      </c>
      <c r="X118" s="124">
        <v>274.97316902176544</v>
      </c>
      <c r="Y118" s="259">
        <v>0.25</v>
      </c>
      <c r="Z118" s="257">
        <v>0.25</v>
      </c>
      <c r="AA118" s="257">
        <v>0.25</v>
      </c>
      <c r="AB118" s="257">
        <v>0.25</v>
      </c>
      <c r="AC118" s="257">
        <v>0.25</v>
      </c>
      <c r="AD118" s="257">
        <v>0.25</v>
      </c>
      <c r="AE118" s="257">
        <v>0.25</v>
      </c>
      <c r="AF118" s="258">
        <f t="shared" si="32"/>
        <v>0.24</v>
      </c>
      <c r="AG118" s="342"/>
      <c r="AK118" s="344"/>
      <c r="DG118" s="1021">
        <f t="shared" si="33"/>
        <v>0.2681947306178149</v>
      </c>
      <c r="DH118" s="653" t="str">
        <f t="shared" si="40"/>
        <v>Building Shell RES 30 Year EUL</v>
      </c>
      <c r="DI118" s="538">
        <f>(INDEX('Avoided Cost Benefits'!$B$4:$B$865,MATCH(DH118,'Avoided Cost Benefits'!$A$4:$A$865,0)))*F118</f>
        <v>0.45084601176</v>
      </c>
      <c r="DJ118" s="1955">
        <f t="shared" si="34"/>
        <v>1.6810397830018082</v>
      </c>
    </row>
    <row r="119" spans="2:114" x14ac:dyDescent="0.25">
      <c r="B119" s="1384">
        <f t="shared" si="28"/>
        <v>401600</v>
      </c>
      <c r="C119" s="332" t="s">
        <v>1556</v>
      </c>
      <c r="D119" s="537" t="s">
        <v>600</v>
      </c>
      <c r="E119" s="122" t="s">
        <v>1557</v>
      </c>
      <c r="F119" s="190">
        <f t="shared" si="29"/>
        <v>1.69</v>
      </c>
      <c r="G119" s="134" t="s">
        <v>1480</v>
      </c>
      <c r="H119" s="66">
        <f>VLOOKUP(G119,'CP FACTORS'!$A$3:$B$38, 2, FALSE)</f>
        <v>4.6608050000000002E-4</v>
      </c>
      <c r="I119" s="323">
        <f t="shared" si="30"/>
        <v>1.5064124736225091</v>
      </c>
      <c r="J119" s="526">
        <f t="shared" si="31"/>
        <v>0.18783164399999999</v>
      </c>
      <c r="K119" s="261">
        <f t="shared" si="35"/>
        <v>7.8799999999999996E-4</v>
      </c>
      <c r="L119" s="323">
        <f t="shared" si="36"/>
        <v>30</v>
      </c>
      <c r="M119" s="710">
        <f t="shared" si="37"/>
        <v>2.568757824454027</v>
      </c>
      <c r="N119" s="323">
        <f t="shared" si="38"/>
        <v>1</v>
      </c>
      <c r="V119" s="342" t="str">
        <f t="shared" si="39"/>
        <v>kWh Annual Savings</v>
      </c>
      <c r="W119" s="84">
        <v>1405.5728012555933</v>
      </c>
      <c r="X119" s="124">
        <v>1405.5728012555933</v>
      </c>
      <c r="Y119" s="259">
        <v>1.96</v>
      </c>
      <c r="Z119" s="257">
        <v>1.96</v>
      </c>
      <c r="AA119" s="257">
        <v>1.96</v>
      </c>
      <c r="AB119" s="257">
        <v>1.96</v>
      </c>
      <c r="AC119" s="257">
        <v>1.96</v>
      </c>
      <c r="AD119" s="257">
        <v>1.96</v>
      </c>
      <c r="AE119" s="257">
        <v>1.96</v>
      </c>
      <c r="AF119" s="258">
        <f t="shared" si="32"/>
        <v>1.69</v>
      </c>
      <c r="AG119" s="342"/>
      <c r="AK119" s="344"/>
      <c r="DG119" s="1021">
        <f t="shared" si="33"/>
        <v>1.2358920341137116</v>
      </c>
      <c r="DH119" s="653" t="str">
        <f t="shared" si="40"/>
        <v>Building Shell RES 30 Year EUL</v>
      </c>
      <c r="DI119" s="538">
        <f>(INDEX('Avoided Cost Benefits'!$B$4:$B$865,MATCH(DH119,'Avoided Cost Benefits'!$A$4:$A$865,0)))*F119</f>
        <v>3.1747073328100002</v>
      </c>
      <c r="DJ119" s="1955">
        <f t="shared" si="34"/>
        <v>2.568757824454027</v>
      </c>
    </row>
    <row r="120" spans="2:114" x14ac:dyDescent="0.25">
      <c r="B120" s="1384">
        <f t="shared" si="28"/>
        <v>401650</v>
      </c>
      <c r="C120" s="332" t="s">
        <v>1558</v>
      </c>
      <c r="D120" s="537" t="s">
        <v>600</v>
      </c>
      <c r="E120" s="122" t="s">
        <v>1559</v>
      </c>
      <c r="F120" s="190">
        <f t="shared" si="29"/>
        <v>1.1399999999999999</v>
      </c>
      <c r="G120" s="134" t="s">
        <v>1480</v>
      </c>
      <c r="H120" s="66">
        <f>VLOOKUP(G120,'CP FACTORS'!$A$3:$B$38, 2, FALSE)</f>
        <v>4.6608050000000002E-4</v>
      </c>
      <c r="I120" s="323">
        <f t="shared" si="30"/>
        <v>0.92988424297685734</v>
      </c>
      <c r="J120" s="526">
        <f t="shared" si="31"/>
        <v>0.20640839999999996</v>
      </c>
      <c r="K120" s="261">
        <f t="shared" si="35"/>
        <v>5.31E-4</v>
      </c>
      <c r="L120" s="323">
        <f t="shared" si="36"/>
        <v>30</v>
      </c>
      <c r="M120" s="710">
        <f t="shared" si="37"/>
        <v>2.568757824454027</v>
      </c>
      <c r="N120" s="323">
        <f t="shared" si="38"/>
        <v>1</v>
      </c>
      <c r="V120" s="342" t="str">
        <f t="shared" si="39"/>
        <v>kWh Annual Savings</v>
      </c>
      <c r="W120" s="84">
        <v>876.18050864627435</v>
      </c>
      <c r="X120" s="124">
        <v>876.18050864627435</v>
      </c>
      <c r="Y120" s="259">
        <v>1.22</v>
      </c>
      <c r="Z120" s="257">
        <v>1.22</v>
      </c>
      <c r="AA120" s="257">
        <v>1.22</v>
      </c>
      <c r="AB120" s="257">
        <v>1.22</v>
      </c>
      <c r="AC120" s="257">
        <v>1.22</v>
      </c>
      <c r="AD120" s="257">
        <v>1.22</v>
      </c>
      <c r="AE120" s="257">
        <v>1.22</v>
      </c>
      <c r="AF120" s="258">
        <f t="shared" si="32"/>
        <v>1.1399999999999999</v>
      </c>
      <c r="AG120" s="342"/>
      <c r="AK120" s="344"/>
      <c r="DG120" s="1021">
        <f t="shared" si="33"/>
        <v>0.83367865023055099</v>
      </c>
      <c r="DH120" s="653" t="str">
        <f t="shared" si="40"/>
        <v>Building Shell RES 30 Year EUL</v>
      </c>
      <c r="DI120" s="538">
        <f>(INDEX('Avoided Cost Benefits'!$B$4:$B$865,MATCH(DH120,'Avoided Cost Benefits'!$A$4:$A$865,0)))*F120</f>
        <v>2.1415185558599998</v>
      </c>
      <c r="DJ120" s="1955">
        <f t="shared" si="34"/>
        <v>2.568757824454027</v>
      </c>
    </row>
    <row r="121" spans="2:114" x14ac:dyDescent="0.25">
      <c r="B121" s="1384">
        <f t="shared" si="28"/>
        <v>401700</v>
      </c>
      <c r="C121" s="332" t="s">
        <v>1560</v>
      </c>
      <c r="D121" s="537" t="s">
        <v>600</v>
      </c>
      <c r="E121" s="126" t="s">
        <v>1561</v>
      </c>
      <c r="F121" s="190">
        <f t="shared" si="29"/>
        <v>0.25</v>
      </c>
      <c r="G121" s="134" t="s">
        <v>1480</v>
      </c>
      <c r="H121" s="66">
        <f>VLOOKUP(G121,'CP FACTORS'!$A$3:$B$38, 2, FALSE)</f>
        <v>4.6608050000000002E-4</v>
      </c>
      <c r="I121" s="323">
        <f t="shared" si="30"/>
        <v>6.6602701532214093E-2</v>
      </c>
      <c r="J121" s="526">
        <f t="shared" si="31"/>
        <v>0.18783164399999999</v>
      </c>
      <c r="K121" s="261">
        <f>ROUND(H121*F121,6)</f>
        <v>1.17E-4</v>
      </c>
      <c r="L121" s="323">
        <f t="shared" si="36"/>
        <v>30</v>
      </c>
      <c r="M121" s="710">
        <f t="shared" si="37"/>
        <v>2.568757824454027</v>
      </c>
      <c r="N121" s="323">
        <f t="shared" si="38"/>
        <v>1</v>
      </c>
      <c r="V121" s="342" t="str">
        <f t="shared" si="39"/>
        <v>kWh Annual Savings</v>
      </c>
      <c r="W121" s="84">
        <v>189.76543392983561</v>
      </c>
      <c r="X121" s="124">
        <v>189.76543392983561</v>
      </c>
      <c r="Y121" s="259">
        <v>0.26</v>
      </c>
      <c r="Z121" s="257">
        <v>0.26</v>
      </c>
      <c r="AA121" s="257">
        <v>0.26</v>
      </c>
      <c r="AB121" s="257">
        <v>0.26</v>
      </c>
      <c r="AC121" s="257">
        <v>0.26</v>
      </c>
      <c r="AD121" s="257">
        <v>0.26</v>
      </c>
      <c r="AE121" s="257">
        <v>0.26</v>
      </c>
      <c r="AF121" s="258">
        <f t="shared" si="32"/>
        <v>0.25</v>
      </c>
      <c r="AG121" s="342"/>
      <c r="AK121" s="344"/>
      <c r="DG121" s="1021">
        <f t="shared" si="33"/>
        <v>0.18282426540143665</v>
      </c>
      <c r="DH121" s="653" t="str">
        <f t="shared" si="40"/>
        <v>Building Shell RES 30 Year EUL</v>
      </c>
      <c r="DI121" s="538">
        <f>(INDEX('Avoided Cost Benefits'!$B$4:$B$865,MATCH(DH121,'Avoided Cost Benefits'!$A$4:$A$865,0)))*F121</f>
        <v>0.46963126225000001</v>
      </c>
      <c r="DJ121" s="1955">
        <f t="shared" si="34"/>
        <v>2.568757824454027</v>
      </c>
    </row>
    <row r="122" spans="2:114" x14ac:dyDescent="0.25">
      <c r="B122" s="1384">
        <f t="shared" si="28"/>
        <v>401750</v>
      </c>
      <c r="C122" s="332" t="s">
        <v>1562</v>
      </c>
      <c r="D122" s="537" t="s">
        <v>857</v>
      </c>
      <c r="E122" s="122" t="s">
        <v>1563</v>
      </c>
      <c r="F122" s="190">
        <f t="shared" si="29"/>
        <v>1.69</v>
      </c>
      <c r="G122" s="134" t="s">
        <v>1480</v>
      </c>
      <c r="H122" s="66">
        <f>VLOOKUP(G122,'CP FACTORS'!$A$3:$B$38, 2, FALSE)</f>
        <v>4.6608050000000002E-4</v>
      </c>
      <c r="I122" s="323">
        <f t="shared" si="30"/>
        <v>1.5064124736225091</v>
      </c>
      <c r="J122" s="526">
        <f t="shared" si="31"/>
        <v>0.18783164399999999</v>
      </c>
      <c r="K122" s="261">
        <f t="shared" si="35"/>
        <v>7.8799999999999996E-4</v>
      </c>
      <c r="L122" s="323">
        <f t="shared" si="36"/>
        <v>30</v>
      </c>
      <c r="M122" s="710">
        <f t="shared" si="37"/>
        <v>2.5687522603978299</v>
      </c>
      <c r="N122" s="323">
        <f t="shared" si="38"/>
        <v>1</v>
      </c>
      <c r="V122" s="342" t="str">
        <f t="shared" si="39"/>
        <v>kWh Annual Savings</v>
      </c>
      <c r="W122" s="84">
        <v>2162.4196942393751</v>
      </c>
      <c r="X122" s="124">
        <v>2162.4196942393751</v>
      </c>
      <c r="Y122" s="259">
        <v>1.96</v>
      </c>
      <c r="Z122" s="257">
        <v>1.96</v>
      </c>
      <c r="AA122" s="257">
        <v>1.96</v>
      </c>
      <c r="AB122" s="257">
        <v>1.96</v>
      </c>
      <c r="AC122" s="257">
        <v>1.96</v>
      </c>
      <c r="AD122" s="257">
        <v>1.96</v>
      </c>
      <c r="AE122" s="257">
        <v>1.96</v>
      </c>
      <c r="AF122" s="258">
        <f t="shared" si="32"/>
        <v>1.69</v>
      </c>
      <c r="AG122" s="342"/>
      <c r="AK122" s="344"/>
      <c r="DG122" s="1021">
        <f t="shared" si="33"/>
        <v>1.2358947111226384</v>
      </c>
      <c r="DH122" s="653" t="str">
        <f t="shared" si="40"/>
        <v>Building Shell RES 30 Year EUL</v>
      </c>
      <c r="DI122" s="538">
        <f>(INDEX('Avoided Cost Benefits'!$B$4:$B$865,MATCH(DH122,'Avoided Cost Benefits'!$A$4:$A$865,0)))*F122</f>
        <v>3.1747073328100002</v>
      </c>
      <c r="DJ122" s="1955">
        <f t="shared" si="34"/>
        <v>2.5687522603978299</v>
      </c>
    </row>
    <row r="123" spans="2:114" x14ac:dyDescent="0.25">
      <c r="B123" s="1384">
        <f t="shared" si="28"/>
        <v>401800</v>
      </c>
      <c r="C123" s="332" t="s">
        <v>1564</v>
      </c>
      <c r="D123" s="537" t="s">
        <v>857</v>
      </c>
      <c r="E123" s="126" t="s">
        <v>1565</v>
      </c>
      <c r="F123" s="190">
        <f t="shared" si="29"/>
        <v>1.1399999999999999</v>
      </c>
      <c r="G123" s="134" t="s">
        <v>1480</v>
      </c>
      <c r="H123" s="66">
        <f>VLOOKUP(G123,'CP FACTORS'!$A$3:$B$38, 2, FALSE)</f>
        <v>4.6608050000000002E-4</v>
      </c>
      <c r="I123" s="323">
        <f t="shared" si="30"/>
        <v>0.92988424297685734</v>
      </c>
      <c r="J123" s="526">
        <f t="shared" si="31"/>
        <v>0.20640839999999996</v>
      </c>
      <c r="K123" s="261">
        <f t="shared" si="35"/>
        <v>5.31E-4</v>
      </c>
      <c r="L123" s="323">
        <f t="shared" si="36"/>
        <v>30</v>
      </c>
      <c r="M123" s="710">
        <f t="shared" si="37"/>
        <v>2.5687522603978299</v>
      </c>
      <c r="N123" s="323">
        <f t="shared" si="38"/>
        <v>1</v>
      </c>
      <c r="V123" s="342" t="str">
        <f t="shared" si="39"/>
        <v>kWh Annual Savings</v>
      </c>
      <c r="W123" s="84">
        <v>1347.9700133019608</v>
      </c>
      <c r="X123" s="124">
        <v>1347.9700133019608</v>
      </c>
      <c r="Y123" s="259">
        <v>1.22</v>
      </c>
      <c r="Z123" s="257">
        <v>1.22</v>
      </c>
      <c r="AA123" s="257">
        <v>1.22</v>
      </c>
      <c r="AB123" s="257">
        <v>1.22</v>
      </c>
      <c r="AC123" s="257">
        <v>1.22</v>
      </c>
      <c r="AD123" s="257">
        <v>1.22</v>
      </c>
      <c r="AE123" s="257">
        <v>1.22</v>
      </c>
      <c r="AF123" s="258">
        <f t="shared" si="32"/>
        <v>1.1399999999999999</v>
      </c>
      <c r="AG123" s="342"/>
      <c r="AK123" s="344"/>
      <c r="DG123" s="1021">
        <f t="shared" si="33"/>
        <v>0.83368045602355478</v>
      </c>
      <c r="DH123" s="653" t="str">
        <f t="shared" si="40"/>
        <v>Building Shell RES 30 Year EUL</v>
      </c>
      <c r="DI123" s="538">
        <f>(INDEX('Avoided Cost Benefits'!$B$4:$B$865,MATCH(DH123,'Avoided Cost Benefits'!$A$4:$A$865,0)))*F123</f>
        <v>2.1415185558599998</v>
      </c>
      <c r="DJ123" s="1955">
        <f t="shared" si="34"/>
        <v>2.5687522603978299</v>
      </c>
    </row>
    <row r="124" spans="2:114" x14ac:dyDescent="0.25">
      <c r="B124" s="1384">
        <f t="shared" si="28"/>
        <v>401850</v>
      </c>
      <c r="C124" s="332" t="s">
        <v>1566</v>
      </c>
      <c r="D124" s="537" t="s">
        <v>857</v>
      </c>
      <c r="E124" s="122" t="s">
        <v>1567</v>
      </c>
      <c r="F124" s="190">
        <f t="shared" si="29"/>
        <v>0.25</v>
      </c>
      <c r="G124" s="134" t="s">
        <v>1480</v>
      </c>
      <c r="H124" s="66">
        <f>VLOOKUP(G124,'CP FACTORS'!$A$3:$B$38, 2, FALSE)</f>
        <v>4.6608050000000002E-4</v>
      </c>
      <c r="I124" s="323">
        <f t="shared" si="30"/>
        <v>6.6602701532214093E-2</v>
      </c>
      <c r="J124" s="526">
        <f t="shared" si="31"/>
        <v>0.18783164399999999</v>
      </c>
      <c r="K124" s="261">
        <f t="shared" si="35"/>
        <v>1.17E-4</v>
      </c>
      <c r="L124" s="323">
        <f t="shared" si="36"/>
        <v>30</v>
      </c>
      <c r="M124" s="710">
        <f t="shared" si="37"/>
        <v>2.5687522603978299</v>
      </c>
      <c r="N124" s="323">
        <f t="shared" si="38"/>
        <v>1</v>
      </c>
      <c r="V124" s="342" t="str">
        <f t="shared" si="39"/>
        <v>kWh Annual Savings</v>
      </c>
      <c r="W124" s="84">
        <v>291.94682143051637</v>
      </c>
      <c r="X124" s="124">
        <v>291.94682143051637</v>
      </c>
      <c r="Y124" s="259">
        <v>0.26</v>
      </c>
      <c r="Z124" s="257">
        <v>0.26</v>
      </c>
      <c r="AA124" s="257">
        <v>0.26</v>
      </c>
      <c r="AB124" s="257">
        <v>0.26</v>
      </c>
      <c r="AC124" s="257">
        <v>0.26</v>
      </c>
      <c r="AD124" s="257">
        <v>0.26</v>
      </c>
      <c r="AE124" s="257">
        <v>0.26</v>
      </c>
      <c r="AF124" s="258">
        <f t="shared" si="32"/>
        <v>0.25</v>
      </c>
      <c r="AG124" s="342"/>
      <c r="AK124" s="344"/>
      <c r="DG124" s="1021">
        <f t="shared" si="33"/>
        <v>0.18282466140867432</v>
      </c>
      <c r="DH124" s="653" t="str">
        <f t="shared" si="40"/>
        <v>Building Shell RES 30 Year EUL</v>
      </c>
      <c r="DI124" s="538">
        <f>(INDEX('Avoided Cost Benefits'!$B$4:$B$865,MATCH(DH124,'Avoided Cost Benefits'!$A$4:$A$865,0)))*F124</f>
        <v>0.46963126225000001</v>
      </c>
      <c r="DJ124" s="1955">
        <f t="shared" si="34"/>
        <v>2.5687522603978299</v>
      </c>
    </row>
    <row r="125" spans="2:114" x14ac:dyDescent="0.25">
      <c r="B125" s="1384">
        <f t="shared" si="28"/>
        <v>401900</v>
      </c>
      <c r="C125" s="332" t="s">
        <v>1568</v>
      </c>
      <c r="D125" s="537" t="s">
        <v>600</v>
      </c>
      <c r="E125" s="122" t="s">
        <v>1569</v>
      </c>
      <c r="F125" s="190">
        <f t="shared" si="29"/>
        <v>1.76</v>
      </c>
      <c r="G125" s="134" t="s">
        <v>1480</v>
      </c>
      <c r="H125" s="66">
        <f>VLOOKUP(G125,'CP FACTORS'!$A$3:$B$38, 2, FALSE)</f>
        <v>4.6608050000000002E-4</v>
      </c>
      <c r="I125" s="323">
        <f t="shared" si="30"/>
        <v>1.5643514149156821</v>
      </c>
      <c r="J125" s="526">
        <f t="shared" si="31"/>
        <v>0.19505593799999998</v>
      </c>
      <c r="K125" s="261">
        <f t="shared" si="35"/>
        <v>8.1999999999999998E-4</v>
      </c>
      <c r="L125" s="323">
        <f t="shared" si="36"/>
        <v>30</v>
      </c>
      <c r="M125" s="710">
        <f t="shared" si="37"/>
        <v>3.424301015440256</v>
      </c>
      <c r="N125" s="323">
        <f t="shared" si="38"/>
        <v>1</v>
      </c>
      <c r="V125" s="342" t="str">
        <f t="shared" si="39"/>
        <v>kWh Annual Savings</v>
      </c>
      <c r="W125" s="84">
        <v>1459.6332936115778</v>
      </c>
      <c r="X125" s="124">
        <v>1459.6332936115778</v>
      </c>
      <c r="Y125" s="259">
        <v>2.0299999999999998</v>
      </c>
      <c r="Z125" s="257">
        <v>2.0299999999999998</v>
      </c>
      <c r="AA125" s="257">
        <v>2.0299999999999998</v>
      </c>
      <c r="AB125" s="257">
        <v>2.0299999999999998</v>
      </c>
      <c r="AC125" s="257">
        <v>2.0299999999999998</v>
      </c>
      <c r="AD125" s="257">
        <v>2.0299999999999998</v>
      </c>
      <c r="AE125" s="257">
        <v>2.0299999999999998</v>
      </c>
      <c r="AF125" s="258">
        <f t="shared" si="32"/>
        <v>1.76</v>
      </c>
      <c r="AG125" s="342"/>
      <c r="AK125" s="344"/>
      <c r="DG125" s="1021">
        <f t="shared" si="33"/>
        <v>0.96551210636338514</v>
      </c>
      <c r="DH125" s="653" t="str">
        <f t="shared" si="40"/>
        <v>Building Shell RES 30 Year EUL</v>
      </c>
      <c r="DI125" s="538">
        <f>(INDEX('Avoided Cost Benefits'!$B$4:$B$865,MATCH(DH125,'Avoided Cost Benefits'!$A$4:$A$865,0)))*F125</f>
        <v>3.3062040862400002</v>
      </c>
      <c r="DJ125" s="1955">
        <f t="shared" si="34"/>
        <v>3.424301015440256</v>
      </c>
    </row>
    <row r="126" spans="2:114" x14ac:dyDescent="0.25">
      <c r="B126" s="1384">
        <f t="shared" si="28"/>
        <v>401950</v>
      </c>
      <c r="C126" s="332" t="s">
        <v>1570</v>
      </c>
      <c r="D126" s="537" t="s">
        <v>600</v>
      </c>
      <c r="E126" s="122" t="s">
        <v>1571</v>
      </c>
      <c r="F126" s="190">
        <f t="shared" si="29"/>
        <v>1.18</v>
      </c>
      <c r="G126" s="134" t="s">
        <v>1480</v>
      </c>
      <c r="H126" s="66">
        <f>VLOOKUP(G126,'CP FACTORS'!$A$3:$B$38, 2, FALSE)</f>
        <v>4.6608050000000002E-4</v>
      </c>
      <c r="I126" s="323">
        <f t="shared" si="30"/>
        <v>0.96564902155289012</v>
      </c>
      <c r="J126" s="526">
        <f t="shared" si="31"/>
        <v>0.21434718461538455</v>
      </c>
      <c r="K126" s="261">
        <f t="shared" si="35"/>
        <v>5.5000000000000003E-4</v>
      </c>
      <c r="L126" s="323">
        <f t="shared" si="36"/>
        <v>30</v>
      </c>
      <c r="M126" s="710">
        <f t="shared" si="37"/>
        <v>3.424301015440256</v>
      </c>
      <c r="N126" s="323">
        <f t="shared" si="38"/>
        <v>1</v>
      </c>
      <c r="V126" s="342" t="str">
        <f t="shared" si="39"/>
        <v>kWh Annual Savings</v>
      </c>
      <c r="W126" s="84">
        <v>909.87975897882347</v>
      </c>
      <c r="X126" s="124">
        <v>909.87975897882347</v>
      </c>
      <c r="Y126" s="259">
        <v>1.27</v>
      </c>
      <c r="Z126" s="257">
        <v>1.27</v>
      </c>
      <c r="AA126" s="257">
        <v>1.27</v>
      </c>
      <c r="AB126" s="257">
        <v>1.27</v>
      </c>
      <c r="AC126" s="257">
        <v>1.27</v>
      </c>
      <c r="AD126" s="257">
        <v>1.27</v>
      </c>
      <c r="AE126" s="257">
        <v>1.27</v>
      </c>
      <c r="AF126" s="258">
        <f t="shared" si="32"/>
        <v>1.18</v>
      </c>
      <c r="AG126" s="342"/>
      <c r="AK126" s="344"/>
      <c r="DG126" s="1021">
        <f t="shared" si="33"/>
        <v>0.64733198040272411</v>
      </c>
      <c r="DH126" s="653" t="str">
        <f t="shared" si="40"/>
        <v>Building Shell RES 30 Year EUL</v>
      </c>
      <c r="DI126" s="538">
        <f>(INDEX('Avoided Cost Benefits'!$B$4:$B$865,MATCH(DH126,'Avoided Cost Benefits'!$A$4:$A$865,0)))*F126</f>
        <v>2.2166595578199999</v>
      </c>
      <c r="DJ126" s="1955">
        <f t="shared" si="34"/>
        <v>3.424301015440256</v>
      </c>
    </row>
    <row r="127" spans="2:114" x14ac:dyDescent="0.25">
      <c r="B127" s="1384">
        <f t="shared" si="28"/>
        <v>402000</v>
      </c>
      <c r="C127" s="332" t="s">
        <v>1572</v>
      </c>
      <c r="D127" s="537" t="s">
        <v>600</v>
      </c>
      <c r="E127" s="126" t="s">
        <v>1573</v>
      </c>
      <c r="F127" s="190">
        <f t="shared" si="29"/>
        <v>0.26</v>
      </c>
      <c r="G127" s="134" t="s">
        <v>1480</v>
      </c>
      <c r="H127" s="66">
        <f>VLOOKUP(G127,'CP FACTORS'!$A$3:$B$38, 2, FALSE)</f>
        <v>4.6608050000000002E-4</v>
      </c>
      <c r="I127" s="323">
        <f t="shared" si="30"/>
        <v>6.9164343898837688E-2</v>
      </c>
      <c r="J127" s="526">
        <f t="shared" si="31"/>
        <v>0.19505593799999998</v>
      </c>
      <c r="K127" s="261">
        <f t="shared" si="35"/>
        <v>1.21E-4</v>
      </c>
      <c r="L127" s="323">
        <f t="shared" si="36"/>
        <v>30</v>
      </c>
      <c r="M127" s="710">
        <f t="shared" si="37"/>
        <v>3.424301015440256</v>
      </c>
      <c r="N127" s="323">
        <f t="shared" si="38"/>
        <v>1</v>
      </c>
      <c r="V127" s="342" t="str">
        <f t="shared" si="39"/>
        <v>kWh Annual Savings</v>
      </c>
      <c r="W127" s="84">
        <v>197.06410446559852</v>
      </c>
      <c r="X127" s="124">
        <v>197.06410446559852</v>
      </c>
      <c r="Y127" s="259">
        <v>0.27</v>
      </c>
      <c r="Z127" s="257">
        <v>0.27</v>
      </c>
      <c r="AA127" s="257">
        <v>0.27</v>
      </c>
      <c r="AB127" s="257">
        <v>0.27</v>
      </c>
      <c r="AC127" s="257">
        <v>0.27</v>
      </c>
      <c r="AD127" s="257">
        <v>0.27</v>
      </c>
      <c r="AE127" s="257">
        <v>0.27</v>
      </c>
      <c r="AF127" s="258">
        <f t="shared" si="32"/>
        <v>0.26</v>
      </c>
      <c r="AG127" s="342"/>
      <c r="AK127" s="344"/>
      <c r="DG127" s="1021">
        <f t="shared" si="33"/>
        <v>0.14263247025822734</v>
      </c>
      <c r="DH127" s="653" t="str">
        <f t="shared" si="40"/>
        <v>Building Shell RES 30 Year EUL</v>
      </c>
      <c r="DI127" s="538">
        <f>(INDEX('Avoided Cost Benefits'!$B$4:$B$865,MATCH(DH127,'Avoided Cost Benefits'!$A$4:$A$865,0)))*F127</f>
        <v>0.48841651274000003</v>
      </c>
      <c r="DJ127" s="1955">
        <f t="shared" si="34"/>
        <v>3.424301015440256</v>
      </c>
    </row>
    <row r="128" spans="2:114" x14ac:dyDescent="0.25">
      <c r="B128" s="1384">
        <f t="shared" si="28"/>
        <v>402050</v>
      </c>
      <c r="C128" s="332" t="s">
        <v>1574</v>
      </c>
      <c r="D128" s="537" t="s">
        <v>857</v>
      </c>
      <c r="E128" s="122" t="s">
        <v>1575</v>
      </c>
      <c r="F128" s="190">
        <f t="shared" si="29"/>
        <v>1.76</v>
      </c>
      <c r="G128" s="134" t="s">
        <v>1480</v>
      </c>
      <c r="H128" s="66">
        <f>VLOOKUP(G128,'CP FACTORS'!$A$3:$B$38, 2, FALSE)</f>
        <v>4.6608050000000002E-4</v>
      </c>
      <c r="I128" s="323">
        <f t="shared" si="30"/>
        <v>1.5643514149156821</v>
      </c>
      <c r="J128" s="526">
        <f t="shared" si="31"/>
        <v>0.19505593799999998</v>
      </c>
      <c r="K128" s="261">
        <f t="shared" si="35"/>
        <v>8.1999999999999998E-4</v>
      </c>
      <c r="L128" s="323">
        <f t="shared" si="36"/>
        <v>30</v>
      </c>
      <c r="M128" s="710">
        <f t="shared" si="37"/>
        <v>3.4243037974683546</v>
      </c>
      <c r="N128" s="323">
        <f t="shared" si="38"/>
        <v>1</v>
      </c>
      <c r="V128" s="342" t="str">
        <f t="shared" si="39"/>
        <v>kWh Annual Savings</v>
      </c>
      <c r="W128" s="84">
        <v>2245.5896824793513</v>
      </c>
      <c r="X128" s="124">
        <v>2245.5896824793513</v>
      </c>
      <c r="Y128" s="259">
        <v>2.0299999999999998</v>
      </c>
      <c r="Z128" s="257">
        <v>2.0299999999999998</v>
      </c>
      <c r="AA128" s="257">
        <v>2.0299999999999998</v>
      </c>
      <c r="AB128" s="257">
        <v>2.0299999999999998</v>
      </c>
      <c r="AC128" s="257">
        <v>2.0299999999999998</v>
      </c>
      <c r="AD128" s="257">
        <v>2.0299999999999998</v>
      </c>
      <c r="AE128" s="257">
        <v>2.0299999999999998</v>
      </c>
      <c r="AF128" s="258">
        <f t="shared" si="32"/>
        <v>1.76</v>
      </c>
      <c r="AG128" s="342"/>
      <c r="AK128" s="344"/>
      <c r="DG128" s="1021">
        <f t="shared" si="33"/>
        <v>0.96551132194647349</v>
      </c>
      <c r="DH128" s="653" t="str">
        <f t="shared" si="40"/>
        <v>Building Shell RES 30 Year EUL</v>
      </c>
      <c r="DI128" s="538">
        <f>(INDEX('Avoided Cost Benefits'!$B$4:$B$865,MATCH(DH128,'Avoided Cost Benefits'!$A$4:$A$865,0)))*F128</f>
        <v>3.3062040862400002</v>
      </c>
      <c r="DJ128" s="1955">
        <f t="shared" si="34"/>
        <v>3.4243037974683546</v>
      </c>
    </row>
    <row r="129" spans="2:114" x14ac:dyDescent="0.25">
      <c r="B129" s="1384">
        <f t="shared" si="28"/>
        <v>402100</v>
      </c>
      <c r="C129" s="332" t="s">
        <v>1576</v>
      </c>
      <c r="D129" s="537" t="s">
        <v>857</v>
      </c>
      <c r="E129" s="126" t="s">
        <v>1577</v>
      </c>
      <c r="F129" s="190">
        <f t="shared" si="29"/>
        <v>1.18</v>
      </c>
      <c r="G129" s="134" t="s">
        <v>1480</v>
      </c>
      <c r="H129" s="66">
        <f>VLOOKUP(G129,'CP FACTORS'!$A$3:$B$38, 2, FALSE)</f>
        <v>4.6608050000000002E-4</v>
      </c>
      <c r="I129" s="323">
        <f t="shared" si="30"/>
        <v>0.96564902155289012</v>
      </c>
      <c r="J129" s="526">
        <f t="shared" si="31"/>
        <v>0.21434718461538455</v>
      </c>
      <c r="K129" s="261">
        <f t="shared" si="35"/>
        <v>5.5000000000000003E-4</v>
      </c>
      <c r="L129" s="323">
        <f t="shared" si="36"/>
        <v>30</v>
      </c>
      <c r="M129" s="710">
        <f t="shared" si="37"/>
        <v>3.4243037974683546</v>
      </c>
      <c r="N129" s="323">
        <f t="shared" si="38"/>
        <v>1</v>
      </c>
      <c r="V129" s="342" t="str">
        <f t="shared" si="39"/>
        <v>kWh Annual Savings</v>
      </c>
      <c r="W129" s="84">
        <v>1399.815013813575</v>
      </c>
      <c r="X129" s="124">
        <v>1399.815013813575</v>
      </c>
      <c r="Y129" s="259">
        <v>1.27</v>
      </c>
      <c r="Z129" s="257">
        <v>1.27</v>
      </c>
      <c r="AA129" s="257">
        <v>1.27</v>
      </c>
      <c r="AB129" s="257">
        <v>1.27</v>
      </c>
      <c r="AC129" s="257">
        <v>1.27</v>
      </c>
      <c r="AD129" s="257">
        <v>1.27</v>
      </c>
      <c r="AE129" s="257">
        <v>1.27</v>
      </c>
      <c r="AF129" s="258">
        <f t="shared" si="32"/>
        <v>1.18</v>
      </c>
      <c r="AG129" s="342"/>
      <c r="AK129" s="344"/>
      <c r="DG129" s="1021">
        <f t="shared" si="33"/>
        <v>0.64733145448684015</v>
      </c>
      <c r="DH129" s="653" t="str">
        <f t="shared" si="40"/>
        <v>Building Shell RES 30 Year EUL</v>
      </c>
      <c r="DI129" s="538">
        <f>(INDEX('Avoided Cost Benefits'!$B$4:$B$865,MATCH(DH129,'Avoided Cost Benefits'!$A$4:$A$865,0)))*F129</f>
        <v>2.2166595578199999</v>
      </c>
      <c r="DJ129" s="1955">
        <f t="shared" si="34"/>
        <v>3.4243037974683546</v>
      </c>
    </row>
    <row r="130" spans="2:114" x14ac:dyDescent="0.25">
      <c r="B130" s="1384">
        <f t="shared" si="28"/>
        <v>402150</v>
      </c>
      <c r="C130" s="332" t="s">
        <v>1578</v>
      </c>
      <c r="D130" s="537" t="s">
        <v>857</v>
      </c>
      <c r="E130" s="122" t="s">
        <v>1579</v>
      </c>
      <c r="F130" s="190">
        <f t="shared" si="29"/>
        <v>0.26</v>
      </c>
      <c r="G130" s="134" t="s">
        <v>1480</v>
      </c>
      <c r="H130" s="66">
        <f>VLOOKUP(G130,'CP FACTORS'!$A$3:$B$38, 2, FALSE)</f>
        <v>4.6608050000000002E-4</v>
      </c>
      <c r="I130" s="323">
        <f t="shared" si="30"/>
        <v>6.9164343898837688E-2</v>
      </c>
      <c r="J130" s="526">
        <f t="shared" si="31"/>
        <v>0.19505593799999998</v>
      </c>
      <c r="K130" s="261">
        <f t="shared" si="35"/>
        <v>1.21E-4</v>
      </c>
      <c r="L130" s="323">
        <f t="shared" si="36"/>
        <v>30</v>
      </c>
      <c r="M130" s="710">
        <f t="shared" si="37"/>
        <v>3.4243037974683546</v>
      </c>
      <c r="N130" s="323">
        <f t="shared" si="38"/>
        <v>1</v>
      </c>
      <c r="V130" s="342" t="str">
        <f t="shared" si="39"/>
        <v>kWh Annual Savings</v>
      </c>
      <c r="W130" s="84">
        <v>303.1755453316901</v>
      </c>
      <c r="X130" s="124">
        <v>303.1755453316901</v>
      </c>
      <c r="Y130" s="259">
        <v>0.27</v>
      </c>
      <c r="Z130" s="257">
        <v>0.27</v>
      </c>
      <c r="AA130" s="257">
        <v>0.27</v>
      </c>
      <c r="AB130" s="257">
        <v>0.27</v>
      </c>
      <c r="AC130" s="257">
        <v>0.27</v>
      </c>
      <c r="AD130" s="257">
        <v>0.27</v>
      </c>
      <c r="AE130" s="257">
        <v>0.27</v>
      </c>
      <c r="AF130" s="258">
        <f t="shared" si="32"/>
        <v>0.26</v>
      </c>
      <c r="AG130" s="342"/>
      <c r="AK130" s="344"/>
      <c r="DG130" s="1022">
        <f t="shared" si="33"/>
        <v>0.14263235437845631</v>
      </c>
      <c r="DH130" s="653" t="str">
        <f t="shared" si="40"/>
        <v>Building Shell RES 30 Year EUL</v>
      </c>
      <c r="DI130" s="1030">
        <f>(INDEX('Avoided Cost Benefits'!$B$4:$B$865,MATCH(DH130,'Avoided Cost Benefits'!$A$4:$A$865,0)))*F130</f>
        <v>0.48841651274000003</v>
      </c>
      <c r="DJ130" s="1956">
        <f t="shared" si="34"/>
        <v>3.4243037974683546</v>
      </c>
    </row>
    <row r="131" spans="2:114" hidden="1" outlineLevel="1" x14ac:dyDescent="0.25">
      <c r="B131" s="268"/>
      <c r="D131" s="74" t="s">
        <v>94</v>
      </c>
      <c r="E131" s="127" t="s">
        <v>1580</v>
      </c>
      <c r="F131" s="268"/>
      <c r="G131" s="268"/>
      <c r="H131" s="268"/>
      <c r="I131" s="268"/>
      <c r="J131" s="268"/>
      <c r="K131" s="268"/>
      <c r="L131" s="268"/>
      <c r="M131" s="571"/>
      <c r="N131" s="572"/>
      <c r="V131" s="1438"/>
      <c r="W131" s="443"/>
      <c r="X131" s="444"/>
      <c r="Y131" s="445"/>
      <c r="Z131" s="1438"/>
      <c r="AA131" s="1438"/>
      <c r="AB131" s="1438"/>
      <c r="AC131" s="1438"/>
      <c r="AD131" s="1438"/>
      <c r="AE131" s="1438"/>
      <c r="AF131" s="1438"/>
      <c r="AG131" s="1438"/>
      <c r="AK131" s="344"/>
    </row>
    <row r="132" spans="2:114" hidden="1" outlineLevel="1" x14ac:dyDescent="0.25">
      <c r="B132" s="268"/>
      <c r="D132" s="74" t="s">
        <v>604</v>
      </c>
      <c r="E132" s="127" t="s">
        <v>1581</v>
      </c>
      <c r="F132" s="268"/>
      <c r="G132" s="268"/>
      <c r="H132" s="268"/>
      <c r="I132" s="268"/>
      <c r="J132" s="268"/>
      <c r="K132" s="268"/>
      <c r="L132" s="268"/>
      <c r="Y132" s="527" t="s">
        <v>1517</v>
      </c>
      <c r="AK132" s="344"/>
    </row>
    <row r="133" spans="2:114" hidden="1" outlineLevel="1" x14ac:dyDescent="0.25">
      <c r="B133" s="268"/>
      <c r="D133" s="74" t="s">
        <v>604</v>
      </c>
      <c r="E133" s="127" t="s">
        <v>1582</v>
      </c>
      <c r="F133" s="268"/>
      <c r="G133" s="268"/>
      <c r="H133" s="268"/>
      <c r="I133" s="268"/>
      <c r="J133" s="268"/>
      <c r="K133" s="268"/>
      <c r="L133" s="268"/>
      <c r="AK133" s="344"/>
    </row>
    <row r="134" spans="2:114" hidden="1" outlineLevel="1" x14ac:dyDescent="0.25">
      <c r="B134" s="268"/>
      <c r="D134" s="74"/>
      <c r="E134" s="127" t="s">
        <v>607</v>
      </c>
      <c r="F134" s="268"/>
      <c r="G134" s="268"/>
      <c r="H134" s="268"/>
      <c r="I134" s="268"/>
      <c r="J134" s="268"/>
      <c r="K134" s="268"/>
      <c r="L134" s="268"/>
      <c r="AK134" s="344"/>
    </row>
    <row r="135" spans="2:114" hidden="1" outlineLevel="1" x14ac:dyDescent="0.25">
      <c r="B135" s="268"/>
      <c r="D135" s="268"/>
      <c r="E135" s="268"/>
      <c r="F135" s="268"/>
      <c r="G135" s="268"/>
      <c r="H135" s="268"/>
      <c r="I135" s="268"/>
      <c r="J135" s="268"/>
      <c r="K135" s="268"/>
      <c r="L135" s="268"/>
      <c r="AK135" s="344"/>
    </row>
    <row r="136" spans="2:114" hidden="1" outlineLevel="1" x14ac:dyDescent="0.25">
      <c r="B136" s="561"/>
      <c r="D136" s="1373" t="s">
        <v>712</v>
      </c>
      <c r="E136" s="1373" t="s">
        <v>608</v>
      </c>
      <c r="F136" s="1300" t="s">
        <v>610</v>
      </c>
      <c r="G136" s="1300" t="s">
        <v>611</v>
      </c>
      <c r="H136" s="1300" t="s">
        <v>713</v>
      </c>
      <c r="V136" s="648" t="s">
        <v>52</v>
      </c>
      <c r="W136" s="649">
        <f>W$6</f>
        <v>43252</v>
      </c>
      <c r="X136" s="649">
        <f t="shared" ref="X136:AG136" si="41">X$6</f>
        <v>43465</v>
      </c>
      <c r="Y136" s="110">
        <f t="shared" si="41"/>
        <v>43800</v>
      </c>
      <c r="Z136" s="649">
        <f t="shared" si="41"/>
        <v>43862</v>
      </c>
      <c r="AA136" s="649">
        <f t="shared" si="41"/>
        <v>44013</v>
      </c>
      <c r="AB136" s="649">
        <f t="shared" si="41"/>
        <v>44166</v>
      </c>
      <c r="AC136" s="649">
        <f t="shared" si="41"/>
        <v>44531</v>
      </c>
      <c r="AD136" s="649">
        <f t="shared" si="41"/>
        <v>44774</v>
      </c>
      <c r="AE136" s="649">
        <f t="shared" si="41"/>
        <v>45139</v>
      </c>
      <c r="AF136" s="649">
        <f t="shared" si="41"/>
        <v>45672</v>
      </c>
      <c r="AG136" s="649" t="str">
        <f t="shared" si="41"/>
        <v>-</v>
      </c>
      <c r="AK136" s="344"/>
    </row>
    <row r="137" spans="2:114" hidden="1" outlineLevel="1" x14ac:dyDescent="0.25">
      <c r="B137" s="561"/>
      <c r="D137" s="2251" t="s">
        <v>250</v>
      </c>
      <c r="E137" s="122" t="s">
        <v>1521</v>
      </c>
      <c r="F137" s="514">
        <v>1</v>
      </c>
      <c r="G137" s="1336"/>
      <c r="H137" s="1359"/>
      <c r="V137" s="2264" t="str">
        <f>D137</f>
        <v>%ElectricHeat</v>
      </c>
      <c r="W137" s="274">
        <v>1</v>
      </c>
      <c r="X137" s="274">
        <v>1</v>
      </c>
      <c r="Y137" s="274">
        <v>1</v>
      </c>
      <c r="Z137" s="300">
        <v>1</v>
      </c>
      <c r="AA137" s="300">
        <v>1</v>
      </c>
      <c r="AB137" s="300">
        <v>1</v>
      </c>
      <c r="AC137" s="300">
        <v>1</v>
      </c>
      <c r="AD137" s="300">
        <v>1</v>
      </c>
      <c r="AE137" s="300">
        <v>1</v>
      </c>
      <c r="AF137" s="258">
        <f t="shared" ref="AF137:AF200" si="42">IF(F137&lt;&gt;"",F137,"")</f>
        <v>1</v>
      </c>
      <c r="AG137" s="274"/>
      <c r="AK137" s="344"/>
    </row>
    <row r="138" spans="2:114" hidden="1" outlineLevel="1" x14ac:dyDescent="0.25">
      <c r="B138" s="561"/>
      <c r="D138" s="2251"/>
      <c r="E138" s="122" t="s">
        <v>1523</v>
      </c>
      <c r="F138" s="514">
        <v>1</v>
      </c>
      <c r="G138" s="1336"/>
      <c r="H138" s="1359"/>
      <c r="V138" s="2265"/>
      <c r="W138" s="274">
        <v>1</v>
      </c>
      <c r="X138" s="274">
        <v>1</v>
      </c>
      <c r="Y138" s="274">
        <v>1</v>
      </c>
      <c r="Z138" s="300">
        <v>1</v>
      </c>
      <c r="AA138" s="300">
        <v>1</v>
      </c>
      <c r="AB138" s="300">
        <v>1</v>
      </c>
      <c r="AC138" s="300">
        <v>1</v>
      </c>
      <c r="AD138" s="300">
        <v>1</v>
      </c>
      <c r="AE138" s="300">
        <v>1</v>
      </c>
      <c r="AF138" s="258">
        <f t="shared" si="42"/>
        <v>1</v>
      </c>
      <c r="AG138" s="274"/>
      <c r="AK138" s="344"/>
    </row>
    <row r="139" spans="2:114" hidden="1" outlineLevel="1" x14ac:dyDescent="0.25">
      <c r="B139" s="561"/>
      <c r="D139" s="2251"/>
      <c r="E139" s="122" t="s">
        <v>1525</v>
      </c>
      <c r="F139" s="514">
        <v>0</v>
      </c>
      <c r="G139" s="1336"/>
      <c r="H139" s="1359"/>
      <c r="V139" s="2265"/>
      <c r="W139" s="274">
        <v>0</v>
      </c>
      <c r="X139" s="274">
        <v>0</v>
      </c>
      <c r="Y139" s="274">
        <v>0</v>
      </c>
      <c r="Z139" s="300">
        <v>0</v>
      </c>
      <c r="AA139" s="300">
        <v>0</v>
      </c>
      <c r="AB139" s="300">
        <v>0</v>
      </c>
      <c r="AC139" s="300">
        <v>0</v>
      </c>
      <c r="AD139" s="300">
        <v>0</v>
      </c>
      <c r="AE139" s="300">
        <v>0</v>
      </c>
      <c r="AF139" s="258">
        <f t="shared" si="42"/>
        <v>0</v>
      </c>
      <c r="AG139" s="274"/>
      <c r="AK139" s="344"/>
    </row>
    <row r="140" spans="2:114" hidden="1" outlineLevel="1" x14ac:dyDescent="0.25">
      <c r="B140" s="561"/>
      <c r="D140" s="2251"/>
      <c r="E140" s="122" t="s">
        <v>1527</v>
      </c>
      <c r="F140" s="514">
        <v>1</v>
      </c>
      <c r="G140" s="1336"/>
      <c r="H140" s="1359"/>
      <c r="V140" s="2265"/>
      <c r="W140" s="274">
        <v>1</v>
      </c>
      <c r="X140" s="274">
        <v>1</v>
      </c>
      <c r="Y140" s="274">
        <v>1</v>
      </c>
      <c r="Z140" s="300">
        <v>1</v>
      </c>
      <c r="AA140" s="300">
        <v>1</v>
      </c>
      <c r="AB140" s="300">
        <v>1</v>
      </c>
      <c r="AC140" s="300">
        <v>1</v>
      </c>
      <c r="AD140" s="300">
        <v>1</v>
      </c>
      <c r="AE140" s="300">
        <v>1</v>
      </c>
      <c r="AF140" s="258">
        <f t="shared" si="42"/>
        <v>1</v>
      </c>
      <c r="AG140" s="274"/>
      <c r="AK140" s="344"/>
    </row>
    <row r="141" spans="2:114" hidden="1" outlineLevel="1" x14ac:dyDescent="0.25">
      <c r="B141" s="561"/>
      <c r="D141" s="2251"/>
      <c r="E141" s="122" t="s">
        <v>1529</v>
      </c>
      <c r="F141" s="514">
        <v>1</v>
      </c>
      <c r="G141" s="1336"/>
      <c r="H141" s="1359"/>
      <c r="V141" s="2265"/>
      <c r="W141" s="274">
        <v>1</v>
      </c>
      <c r="X141" s="274">
        <v>1</v>
      </c>
      <c r="Y141" s="274">
        <v>1</v>
      </c>
      <c r="Z141" s="300">
        <v>1</v>
      </c>
      <c r="AA141" s="300">
        <v>1</v>
      </c>
      <c r="AB141" s="300">
        <v>1</v>
      </c>
      <c r="AC141" s="300">
        <v>1</v>
      </c>
      <c r="AD141" s="300">
        <v>1</v>
      </c>
      <c r="AE141" s="300">
        <v>1</v>
      </c>
      <c r="AF141" s="258">
        <f t="shared" si="42"/>
        <v>1</v>
      </c>
      <c r="AG141" s="274"/>
      <c r="AK141" s="344"/>
    </row>
    <row r="142" spans="2:114" hidden="1" outlineLevel="1" x14ac:dyDescent="0.25">
      <c r="B142" s="570"/>
      <c r="D142" s="2251"/>
      <c r="E142" s="122" t="s">
        <v>1531</v>
      </c>
      <c r="F142" s="514">
        <v>0</v>
      </c>
      <c r="G142" s="1336"/>
      <c r="H142" s="1359"/>
      <c r="V142" s="2265"/>
      <c r="W142" s="274">
        <v>0</v>
      </c>
      <c r="X142" s="274">
        <v>0</v>
      </c>
      <c r="Y142" s="274">
        <v>0</v>
      </c>
      <c r="Z142" s="300">
        <v>0</v>
      </c>
      <c r="AA142" s="300">
        <v>0</v>
      </c>
      <c r="AB142" s="300">
        <v>0</v>
      </c>
      <c r="AC142" s="300">
        <v>0</v>
      </c>
      <c r="AD142" s="300">
        <v>0</v>
      </c>
      <c r="AE142" s="300">
        <v>0</v>
      </c>
      <c r="AF142" s="258">
        <f t="shared" si="42"/>
        <v>0</v>
      </c>
      <c r="AG142" s="274"/>
      <c r="AK142" s="344"/>
    </row>
    <row r="143" spans="2:114" hidden="1" outlineLevel="1" x14ac:dyDescent="0.25">
      <c r="B143" s="570"/>
      <c r="D143" s="2251"/>
      <c r="E143" s="122" t="s">
        <v>1533</v>
      </c>
      <c r="F143" s="514">
        <v>1</v>
      </c>
      <c r="G143" s="1336"/>
      <c r="H143" s="1359"/>
      <c r="V143" s="2265"/>
      <c r="W143" s="274">
        <v>1</v>
      </c>
      <c r="X143" s="274">
        <v>1</v>
      </c>
      <c r="Y143" s="274">
        <v>1</v>
      </c>
      <c r="Z143" s="300">
        <v>1</v>
      </c>
      <c r="AA143" s="300">
        <v>1</v>
      </c>
      <c r="AB143" s="300">
        <v>1</v>
      </c>
      <c r="AC143" s="300">
        <v>1</v>
      </c>
      <c r="AD143" s="300">
        <v>1</v>
      </c>
      <c r="AE143" s="300">
        <v>1</v>
      </c>
      <c r="AF143" s="258">
        <f t="shared" si="42"/>
        <v>1</v>
      </c>
      <c r="AG143" s="274"/>
      <c r="AK143" s="344"/>
    </row>
    <row r="144" spans="2:114" hidden="1" outlineLevel="1" x14ac:dyDescent="0.25">
      <c r="B144" s="570"/>
      <c r="D144" s="2251"/>
      <c r="E144" s="122" t="s">
        <v>1535</v>
      </c>
      <c r="F144" s="514">
        <v>1</v>
      </c>
      <c r="G144" s="1336"/>
      <c r="H144" s="1359"/>
      <c r="V144" s="2265"/>
      <c r="W144" s="274">
        <v>1</v>
      </c>
      <c r="X144" s="274">
        <v>1</v>
      </c>
      <c r="Y144" s="274">
        <v>1</v>
      </c>
      <c r="Z144" s="300">
        <v>1</v>
      </c>
      <c r="AA144" s="300">
        <v>1</v>
      </c>
      <c r="AB144" s="300">
        <v>1</v>
      </c>
      <c r="AC144" s="300">
        <v>1</v>
      </c>
      <c r="AD144" s="300">
        <v>1</v>
      </c>
      <c r="AE144" s="300">
        <v>1</v>
      </c>
      <c r="AF144" s="258">
        <f t="shared" si="42"/>
        <v>1</v>
      </c>
      <c r="AG144" s="274"/>
      <c r="AK144" s="344"/>
    </row>
    <row r="145" spans="2:37" hidden="1" outlineLevel="1" x14ac:dyDescent="0.25">
      <c r="B145" s="570"/>
      <c r="D145" s="2251"/>
      <c r="E145" s="122" t="s">
        <v>1537</v>
      </c>
      <c r="F145" s="514">
        <v>0</v>
      </c>
      <c r="G145" s="1336"/>
      <c r="H145" s="1359"/>
      <c r="V145" s="2265"/>
      <c r="W145" s="274">
        <v>0</v>
      </c>
      <c r="X145" s="274">
        <v>0</v>
      </c>
      <c r="Y145" s="274">
        <v>0</v>
      </c>
      <c r="Z145" s="300">
        <v>0</v>
      </c>
      <c r="AA145" s="300">
        <v>0</v>
      </c>
      <c r="AB145" s="300">
        <v>0</v>
      </c>
      <c r="AC145" s="300">
        <v>0</v>
      </c>
      <c r="AD145" s="300">
        <v>0</v>
      </c>
      <c r="AE145" s="300">
        <v>0</v>
      </c>
      <c r="AF145" s="258">
        <f t="shared" si="42"/>
        <v>0</v>
      </c>
      <c r="AG145" s="274"/>
      <c r="AK145" s="344"/>
    </row>
    <row r="146" spans="2:37" hidden="1" outlineLevel="1" x14ac:dyDescent="0.25">
      <c r="B146" s="570"/>
      <c r="D146" s="2251"/>
      <c r="E146" s="122" t="s">
        <v>1539</v>
      </c>
      <c r="F146" s="514">
        <v>1</v>
      </c>
      <c r="G146" s="1336"/>
      <c r="H146" s="1359"/>
      <c r="V146" s="2265"/>
      <c r="W146" s="274">
        <v>1</v>
      </c>
      <c r="X146" s="274">
        <v>1</v>
      </c>
      <c r="Y146" s="274">
        <v>1</v>
      </c>
      <c r="Z146" s="300">
        <v>1</v>
      </c>
      <c r="AA146" s="300">
        <v>1</v>
      </c>
      <c r="AB146" s="300">
        <v>1</v>
      </c>
      <c r="AC146" s="300">
        <v>1</v>
      </c>
      <c r="AD146" s="300">
        <v>1</v>
      </c>
      <c r="AE146" s="300">
        <v>1</v>
      </c>
      <c r="AF146" s="258">
        <f t="shared" si="42"/>
        <v>1</v>
      </c>
      <c r="AG146" s="274"/>
      <c r="AK146" s="344"/>
    </row>
    <row r="147" spans="2:37" hidden="1" outlineLevel="1" x14ac:dyDescent="0.25">
      <c r="B147" s="570"/>
      <c r="D147" s="2251"/>
      <c r="E147" s="122" t="s">
        <v>1541</v>
      </c>
      <c r="F147" s="514">
        <v>1</v>
      </c>
      <c r="G147" s="1336"/>
      <c r="H147" s="1359"/>
      <c r="V147" s="2265"/>
      <c r="W147" s="274">
        <v>1</v>
      </c>
      <c r="X147" s="274">
        <v>1</v>
      </c>
      <c r="Y147" s="274">
        <v>1</v>
      </c>
      <c r="Z147" s="300">
        <v>1</v>
      </c>
      <c r="AA147" s="300">
        <v>1</v>
      </c>
      <c r="AB147" s="300">
        <v>1</v>
      </c>
      <c r="AC147" s="300">
        <v>1</v>
      </c>
      <c r="AD147" s="300">
        <v>1</v>
      </c>
      <c r="AE147" s="300">
        <v>1</v>
      </c>
      <c r="AF147" s="258">
        <f t="shared" si="42"/>
        <v>1</v>
      </c>
      <c r="AG147" s="274"/>
      <c r="AK147" s="344"/>
    </row>
    <row r="148" spans="2:37" hidden="1" outlineLevel="1" x14ac:dyDescent="0.25">
      <c r="B148" s="570"/>
      <c r="D148" s="2251"/>
      <c r="E148" s="122" t="s">
        <v>1543</v>
      </c>
      <c r="F148" s="514">
        <v>0</v>
      </c>
      <c r="G148" s="1336"/>
      <c r="H148" s="1359"/>
      <c r="V148" s="2265"/>
      <c r="W148" s="274">
        <v>0</v>
      </c>
      <c r="X148" s="274">
        <v>0</v>
      </c>
      <c r="Y148" s="274">
        <v>0</v>
      </c>
      <c r="Z148" s="300">
        <v>0</v>
      </c>
      <c r="AA148" s="300">
        <v>0</v>
      </c>
      <c r="AB148" s="300">
        <v>0</v>
      </c>
      <c r="AC148" s="300">
        <v>0</v>
      </c>
      <c r="AD148" s="300">
        <v>0</v>
      </c>
      <c r="AE148" s="300">
        <v>0</v>
      </c>
      <c r="AF148" s="258">
        <f t="shared" si="42"/>
        <v>0</v>
      </c>
      <c r="AG148" s="274"/>
      <c r="AK148" s="344"/>
    </row>
    <row r="149" spans="2:37" hidden="1" outlineLevel="1" x14ac:dyDescent="0.25">
      <c r="B149" s="570"/>
      <c r="D149" s="2251"/>
      <c r="E149" s="122" t="s">
        <v>1545</v>
      </c>
      <c r="F149" s="514">
        <v>1</v>
      </c>
      <c r="G149" s="1336"/>
      <c r="H149" s="1359"/>
      <c r="V149" s="2265"/>
      <c r="W149" s="274">
        <v>1</v>
      </c>
      <c r="X149" s="274">
        <v>1</v>
      </c>
      <c r="Y149" s="274">
        <v>1</v>
      </c>
      <c r="Z149" s="300">
        <v>1</v>
      </c>
      <c r="AA149" s="300">
        <v>1</v>
      </c>
      <c r="AB149" s="300">
        <v>1</v>
      </c>
      <c r="AC149" s="300">
        <v>1</v>
      </c>
      <c r="AD149" s="300">
        <v>1</v>
      </c>
      <c r="AE149" s="300">
        <v>1</v>
      </c>
      <c r="AF149" s="258">
        <f t="shared" si="42"/>
        <v>1</v>
      </c>
      <c r="AG149" s="274"/>
      <c r="AK149" s="344"/>
    </row>
    <row r="150" spans="2:37" hidden="1" outlineLevel="1" x14ac:dyDescent="0.25">
      <c r="B150" s="561"/>
      <c r="D150" s="2251"/>
      <c r="E150" s="122" t="s">
        <v>1547</v>
      </c>
      <c r="F150" s="514">
        <v>1</v>
      </c>
      <c r="G150" s="1336"/>
      <c r="H150" s="1359"/>
      <c r="V150" s="2265"/>
      <c r="W150" s="274">
        <v>1</v>
      </c>
      <c r="X150" s="274">
        <v>1</v>
      </c>
      <c r="Y150" s="274">
        <v>1</v>
      </c>
      <c r="Z150" s="300">
        <v>1</v>
      </c>
      <c r="AA150" s="300">
        <v>1</v>
      </c>
      <c r="AB150" s="300">
        <v>1</v>
      </c>
      <c r="AC150" s="300">
        <v>1</v>
      </c>
      <c r="AD150" s="300">
        <v>1</v>
      </c>
      <c r="AE150" s="300">
        <v>1</v>
      </c>
      <c r="AF150" s="258">
        <f t="shared" si="42"/>
        <v>1</v>
      </c>
      <c r="AG150" s="274"/>
      <c r="AK150" s="344"/>
    </row>
    <row r="151" spans="2:37" hidden="1" outlineLevel="1" x14ac:dyDescent="0.25">
      <c r="B151" s="561"/>
      <c r="D151" s="2251"/>
      <c r="E151" s="122" t="s">
        <v>1549</v>
      </c>
      <c r="F151" s="514">
        <v>0</v>
      </c>
      <c r="G151" s="1336"/>
      <c r="H151" s="1359"/>
      <c r="V151" s="2265"/>
      <c r="W151" s="274">
        <v>0</v>
      </c>
      <c r="X151" s="274">
        <v>0</v>
      </c>
      <c r="Y151" s="274">
        <v>0</v>
      </c>
      <c r="Z151" s="300">
        <v>0</v>
      </c>
      <c r="AA151" s="300">
        <v>0</v>
      </c>
      <c r="AB151" s="300">
        <v>0</v>
      </c>
      <c r="AC151" s="300">
        <v>0</v>
      </c>
      <c r="AD151" s="300">
        <v>0</v>
      </c>
      <c r="AE151" s="300">
        <v>0</v>
      </c>
      <c r="AF151" s="258">
        <f t="shared" si="42"/>
        <v>0</v>
      </c>
      <c r="AG151" s="274"/>
      <c r="AK151" s="344"/>
    </row>
    <row r="152" spans="2:37" hidden="1" outlineLevel="1" x14ac:dyDescent="0.25">
      <c r="B152" s="561"/>
      <c r="D152" s="2251"/>
      <c r="E152" s="122" t="s">
        <v>1551</v>
      </c>
      <c r="F152" s="514">
        <v>1</v>
      </c>
      <c r="G152" s="1336"/>
      <c r="H152" s="1359"/>
      <c r="V152" s="2265"/>
      <c r="W152" s="274">
        <v>1</v>
      </c>
      <c r="X152" s="274">
        <v>1</v>
      </c>
      <c r="Y152" s="274">
        <v>1</v>
      </c>
      <c r="Z152" s="300">
        <v>1</v>
      </c>
      <c r="AA152" s="300">
        <v>1</v>
      </c>
      <c r="AB152" s="300">
        <v>1</v>
      </c>
      <c r="AC152" s="300">
        <v>1</v>
      </c>
      <c r="AD152" s="300">
        <v>1</v>
      </c>
      <c r="AE152" s="300">
        <v>1</v>
      </c>
      <c r="AF152" s="258">
        <f t="shared" si="42"/>
        <v>1</v>
      </c>
      <c r="AG152" s="274"/>
      <c r="AK152" s="344"/>
    </row>
    <row r="153" spans="2:37" hidden="1" outlineLevel="1" x14ac:dyDescent="0.25">
      <c r="B153" s="570"/>
      <c r="D153" s="2251"/>
      <c r="E153" s="122" t="s">
        <v>1553</v>
      </c>
      <c r="F153" s="514">
        <v>1</v>
      </c>
      <c r="G153" s="1336"/>
      <c r="H153" s="1359"/>
      <c r="V153" s="2265"/>
      <c r="W153" s="274">
        <v>1</v>
      </c>
      <c r="X153" s="274">
        <v>1</v>
      </c>
      <c r="Y153" s="274">
        <v>1</v>
      </c>
      <c r="Z153" s="300">
        <v>1</v>
      </c>
      <c r="AA153" s="300">
        <v>1</v>
      </c>
      <c r="AB153" s="300">
        <v>1</v>
      </c>
      <c r="AC153" s="300">
        <v>1</v>
      </c>
      <c r="AD153" s="300">
        <v>1</v>
      </c>
      <c r="AE153" s="300">
        <v>1</v>
      </c>
      <c r="AF153" s="258">
        <f t="shared" si="42"/>
        <v>1</v>
      </c>
      <c r="AG153" s="274"/>
      <c r="AK153" s="344"/>
    </row>
    <row r="154" spans="2:37" hidden="1" outlineLevel="1" x14ac:dyDescent="0.25">
      <c r="B154" s="570"/>
      <c r="D154" s="2251"/>
      <c r="E154" s="122" t="s">
        <v>1555</v>
      </c>
      <c r="F154" s="514">
        <v>0</v>
      </c>
      <c r="G154" s="1336"/>
      <c r="H154" s="1359"/>
      <c r="V154" s="2265"/>
      <c r="W154" s="274">
        <v>0</v>
      </c>
      <c r="X154" s="274">
        <v>0</v>
      </c>
      <c r="Y154" s="274">
        <v>0</v>
      </c>
      <c r="Z154" s="300">
        <v>0</v>
      </c>
      <c r="AA154" s="300">
        <v>0</v>
      </c>
      <c r="AB154" s="300">
        <v>0</v>
      </c>
      <c r="AC154" s="300">
        <v>0</v>
      </c>
      <c r="AD154" s="300">
        <v>0</v>
      </c>
      <c r="AE154" s="300">
        <v>0</v>
      </c>
      <c r="AF154" s="258">
        <f t="shared" si="42"/>
        <v>0</v>
      </c>
      <c r="AG154" s="274"/>
      <c r="AK154" s="344"/>
    </row>
    <row r="155" spans="2:37" hidden="1" outlineLevel="1" x14ac:dyDescent="0.25">
      <c r="B155" s="570"/>
      <c r="D155" s="2251"/>
      <c r="E155" s="122" t="s">
        <v>1557</v>
      </c>
      <c r="F155" s="514">
        <v>1</v>
      </c>
      <c r="G155" s="1336"/>
      <c r="H155" s="1359"/>
      <c r="V155" s="2265"/>
      <c r="W155" s="274">
        <v>1</v>
      </c>
      <c r="X155" s="274">
        <v>1</v>
      </c>
      <c r="Y155" s="274">
        <v>1</v>
      </c>
      <c r="Z155" s="300">
        <v>1</v>
      </c>
      <c r="AA155" s="300">
        <v>1</v>
      </c>
      <c r="AB155" s="300">
        <v>1</v>
      </c>
      <c r="AC155" s="300">
        <v>1</v>
      </c>
      <c r="AD155" s="300">
        <v>1</v>
      </c>
      <c r="AE155" s="300">
        <v>1</v>
      </c>
      <c r="AF155" s="258">
        <f t="shared" si="42"/>
        <v>1</v>
      </c>
      <c r="AG155" s="274"/>
      <c r="AK155" s="344"/>
    </row>
    <row r="156" spans="2:37" hidden="1" outlineLevel="1" x14ac:dyDescent="0.25">
      <c r="B156" s="570"/>
      <c r="D156" s="2251"/>
      <c r="E156" s="122" t="s">
        <v>1559</v>
      </c>
      <c r="F156" s="514">
        <v>1</v>
      </c>
      <c r="G156" s="1336"/>
      <c r="H156" s="1359"/>
      <c r="V156" s="2265"/>
      <c r="W156" s="274">
        <v>1</v>
      </c>
      <c r="X156" s="274">
        <v>1</v>
      </c>
      <c r="Y156" s="274">
        <v>1</v>
      </c>
      <c r="Z156" s="300">
        <v>1</v>
      </c>
      <c r="AA156" s="300">
        <v>1</v>
      </c>
      <c r="AB156" s="300">
        <v>1</v>
      </c>
      <c r="AC156" s="300">
        <v>1</v>
      </c>
      <c r="AD156" s="300">
        <v>1</v>
      </c>
      <c r="AE156" s="300">
        <v>1</v>
      </c>
      <c r="AF156" s="258">
        <f t="shared" si="42"/>
        <v>1</v>
      </c>
      <c r="AG156" s="274"/>
      <c r="AK156" s="344"/>
    </row>
    <row r="157" spans="2:37" hidden="1" outlineLevel="1" x14ac:dyDescent="0.25">
      <c r="B157" s="570"/>
      <c r="D157" s="2251"/>
      <c r="E157" s="122" t="s">
        <v>1561</v>
      </c>
      <c r="F157" s="514">
        <v>0</v>
      </c>
      <c r="G157" s="1336"/>
      <c r="H157" s="1359"/>
      <c r="V157" s="2265"/>
      <c r="W157" s="274">
        <v>0</v>
      </c>
      <c r="X157" s="274">
        <v>0</v>
      </c>
      <c r="Y157" s="274">
        <v>0</v>
      </c>
      <c r="Z157" s="300">
        <v>0</v>
      </c>
      <c r="AA157" s="300">
        <v>0</v>
      </c>
      <c r="AB157" s="300">
        <v>0</v>
      </c>
      <c r="AC157" s="300">
        <v>0</v>
      </c>
      <c r="AD157" s="300">
        <v>0</v>
      </c>
      <c r="AE157" s="300">
        <v>0</v>
      </c>
      <c r="AF157" s="258">
        <f t="shared" si="42"/>
        <v>0</v>
      </c>
      <c r="AG157" s="274"/>
      <c r="AK157" s="344"/>
    </row>
    <row r="158" spans="2:37" hidden="1" outlineLevel="1" x14ac:dyDescent="0.25">
      <c r="B158" s="570"/>
      <c r="D158" s="2251"/>
      <c r="E158" s="122" t="s">
        <v>1563</v>
      </c>
      <c r="F158" s="514">
        <v>1</v>
      </c>
      <c r="G158" s="1336"/>
      <c r="H158" s="1359"/>
      <c r="V158" s="2265"/>
      <c r="W158" s="274">
        <v>1</v>
      </c>
      <c r="X158" s="274">
        <v>1</v>
      </c>
      <c r="Y158" s="274">
        <v>1</v>
      </c>
      <c r="Z158" s="300">
        <v>1</v>
      </c>
      <c r="AA158" s="300">
        <v>1</v>
      </c>
      <c r="AB158" s="300">
        <v>1</v>
      </c>
      <c r="AC158" s="300">
        <v>1</v>
      </c>
      <c r="AD158" s="300">
        <v>1</v>
      </c>
      <c r="AE158" s="300">
        <v>1</v>
      </c>
      <c r="AF158" s="258">
        <f t="shared" si="42"/>
        <v>1</v>
      </c>
      <c r="AG158" s="274"/>
      <c r="AK158" s="344"/>
    </row>
    <row r="159" spans="2:37" hidden="1" outlineLevel="1" x14ac:dyDescent="0.25">
      <c r="B159" s="570"/>
      <c r="D159" s="2251"/>
      <c r="E159" s="122" t="s">
        <v>1565</v>
      </c>
      <c r="F159" s="514">
        <v>1</v>
      </c>
      <c r="G159" s="1336"/>
      <c r="H159" s="1359"/>
      <c r="V159" s="2265"/>
      <c r="W159" s="274">
        <v>1</v>
      </c>
      <c r="X159" s="274">
        <v>1</v>
      </c>
      <c r="Y159" s="274">
        <v>1</v>
      </c>
      <c r="Z159" s="300">
        <v>1</v>
      </c>
      <c r="AA159" s="300">
        <v>1</v>
      </c>
      <c r="AB159" s="300">
        <v>1</v>
      </c>
      <c r="AC159" s="300">
        <v>1</v>
      </c>
      <c r="AD159" s="300">
        <v>1</v>
      </c>
      <c r="AE159" s="300">
        <v>1</v>
      </c>
      <c r="AF159" s="258">
        <f t="shared" si="42"/>
        <v>1</v>
      </c>
      <c r="AG159" s="274"/>
      <c r="AK159" s="344"/>
    </row>
    <row r="160" spans="2:37" hidden="1" outlineLevel="1" x14ac:dyDescent="0.25">
      <c r="B160" s="570"/>
      <c r="D160" s="2251"/>
      <c r="E160" s="122" t="s">
        <v>1567</v>
      </c>
      <c r="F160" s="514">
        <v>0</v>
      </c>
      <c r="G160" s="1336"/>
      <c r="H160" s="1359"/>
      <c r="V160" s="2265"/>
      <c r="W160" s="274">
        <v>0</v>
      </c>
      <c r="X160" s="274">
        <v>0</v>
      </c>
      <c r="Y160" s="274">
        <v>0</v>
      </c>
      <c r="Z160" s="300">
        <v>0</v>
      </c>
      <c r="AA160" s="300">
        <v>0</v>
      </c>
      <c r="AB160" s="300">
        <v>0</v>
      </c>
      <c r="AC160" s="300">
        <v>0</v>
      </c>
      <c r="AD160" s="300">
        <v>0</v>
      </c>
      <c r="AE160" s="300">
        <v>0</v>
      </c>
      <c r="AF160" s="258">
        <f t="shared" si="42"/>
        <v>0</v>
      </c>
      <c r="AG160" s="274"/>
      <c r="AK160" s="344"/>
    </row>
    <row r="161" spans="2:37" hidden="1" outlineLevel="1" x14ac:dyDescent="0.25">
      <c r="B161" s="570"/>
      <c r="D161" s="2251"/>
      <c r="E161" s="122" t="s">
        <v>1569</v>
      </c>
      <c r="F161" s="514">
        <v>1</v>
      </c>
      <c r="G161" s="1336"/>
      <c r="H161" s="1359"/>
      <c r="V161" s="2265"/>
      <c r="W161" s="274">
        <v>1</v>
      </c>
      <c r="X161" s="274">
        <v>1</v>
      </c>
      <c r="Y161" s="274">
        <v>1</v>
      </c>
      <c r="Z161" s="300">
        <v>1</v>
      </c>
      <c r="AA161" s="300">
        <v>1</v>
      </c>
      <c r="AB161" s="300">
        <v>1</v>
      </c>
      <c r="AC161" s="300">
        <v>1</v>
      </c>
      <c r="AD161" s="300">
        <v>1</v>
      </c>
      <c r="AE161" s="300">
        <v>1</v>
      </c>
      <c r="AF161" s="258">
        <f t="shared" si="42"/>
        <v>1</v>
      </c>
      <c r="AG161" s="274"/>
      <c r="AK161" s="344"/>
    </row>
    <row r="162" spans="2:37" hidden="1" outlineLevel="1" x14ac:dyDescent="0.25">
      <c r="B162" s="570"/>
      <c r="D162" s="2251"/>
      <c r="E162" s="122" t="s">
        <v>1571</v>
      </c>
      <c r="F162" s="514">
        <v>1</v>
      </c>
      <c r="G162" s="1336"/>
      <c r="H162" s="1359"/>
      <c r="V162" s="2265"/>
      <c r="W162" s="274">
        <v>1</v>
      </c>
      <c r="X162" s="274">
        <v>1</v>
      </c>
      <c r="Y162" s="274">
        <v>1</v>
      </c>
      <c r="Z162" s="300">
        <v>1</v>
      </c>
      <c r="AA162" s="300">
        <v>1</v>
      </c>
      <c r="AB162" s="300">
        <v>1</v>
      </c>
      <c r="AC162" s="300">
        <v>1</v>
      </c>
      <c r="AD162" s="300">
        <v>1</v>
      </c>
      <c r="AE162" s="300">
        <v>1</v>
      </c>
      <c r="AF162" s="258">
        <f t="shared" si="42"/>
        <v>1</v>
      </c>
      <c r="AG162" s="274"/>
      <c r="AK162" s="344"/>
    </row>
    <row r="163" spans="2:37" hidden="1" outlineLevel="1" x14ac:dyDescent="0.25">
      <c r="B163" s="570"/>
      <c r="D163" s="2251"/>
      <c r="E163" s="122" t="s">
        <v>1573</v>
      </c>
      <c r="F163" s="514">
        <v>0</v>
      </c>
      <c r="G163" s="1336"/>
      <c r="H163" s="1359"/>
      <c r="V163" s="2265"/>
      <c r="W163" s="274">
        <v>0</v>
      </c>
      <c r="X163" s="274">
        <v>0</v>
      </c>
      <c r="Y163" s="274">
        <v>0</v>
      </c>
      <c r="Z163" s="300">
        <v>0</v>
      </c>
      <c r="AA163" s="300">
        <v>0</v>
      </c>
      <c r="AB163" s="300">
        <v>0</v>
      </c>
      <c r="AC163" s="300">
        <v>0</v>
      </c>
      <c r="AD163" s="300">
        <v>0</v>
      </c>
      <c r="AE163" s="300">
        <v>0</v>
      </c>
      <c r="AF163" s="258">
        <f t="shared" si="42"/>
        <v>0</v>
      </c>
      <c r="AG163" s="274"/>
      <c r="AK163" s="344"/>
    </row>
    <row r="164" spans="2:37" hidden="1" outlineLevel="1" x14ac:dyDescent="0.25">
      <c r="B164" s="570"/>
      <c r="D164" s="2251"/>
      <c r="E164" s="122" t="s">
        <v>1575</v>
      </c>
      <c r="F164" s="514">
        <v>1</v>
      </c>
      <c r="G164" s="1336"/>
      <c r="H164" s="1359"/>
      <c r="V164" s="2265"/>
      <c r="W164" s="274">
        <v>1</v>
      </c>
      <c r="X164" s="274">
        <v>1</v>
      </c>
      <c r="Y164" s="274">
        <v>1</v>
      </c>
      <c r="Z164" s="300">
        <v>1</v>
      </c>
      <c r="AA164" s="300">
        <v>1</v>
      </c>
      <c r="AB164" s="300">
        <v>1</v>
      </c>
      <c r="AC164" s="300">
        <v>1</v>
      </c>
      <c r="AD164" s="300">
        <v>1</v>
      </c>
      <c r="AE164" s="300">
        <v>1</v>
      </c>
      <c r="AF164" s="258">
        <f t="shared" si="42"/>
        <v>1</v>
      </c>
      <c r="AG164" s="274"/>
      <c r="AK164" s="344"/>
    </row>
    <row r="165" spans="2:37" hidden="1" outlineLevel="1" x14ac:dyDescent="0.25">
      <c r="B165" s="570"/>
      <c r="D165" s="2251"/>
      <c r="E165" s="122" t="s">
        <v>1577</v>
      </c>
      <c r="F165" s="514">
        <v>1</v>
      </c>
      <c r="G165" s="1336"/>
      <c r="H165" s="1359"/>
      <c r="V165" s="2265"/>
      <c r="W165" s="274">
        <v>1</v>
      </c>
      <c r="X165" s="274">
        <v>1</v>
      </c>
      <c r="Y165" s="274">
        <v>1</v>
      </c>
      <c r="Z165" s="300">
        <v>1</v>
      </c>
      <c r="AA165" s="300">
        <v>1</v>
      </c>
      <c r="AB165" s="300">
        <v>1</v>
      </c>
      <c r="AC165" s="300">
        <v>1</v>
      </c>
      <c r="AD165" s="300">
        <v>1</v>
      </c>
      <c r="AE165" s="300">
        <v>1</v>
      </c>
      <c r="AF165" s="258">
        <f t="shared" si="42"/>
        <v>1</v>
      </c>
      <c r="AG165" s="274"/>
      <c r="AK165" s="344"/>
    </row>
    <row r="166" spans="2:37" hidden="1" outlineLevel="1" x14ac:dyDescent="0.25">
      <c r="B166" s="570"/>
      <c r="D166" s="2251"/>
      <c r="E166" s="122" t="s">
        <v>1579</v>
      </c>
      <c r="F166" s="514">
        <v>0</v>
      </c>
      <c r="G166" s="1336"/>
      <c r="H166" s="1359"/>
      <c r="V166" s="2269"/>
      <c r="W166" s="274">
        <v>0</v>
      </c>
      <c r="X166" s="274">
        <v>0</v>
      </c>
      <c r="Y166" s="274">
        <v>0</v>
      </c>
      <c r="Z166" s="300">
        <v>0</v>
      </c>
      <c r="AA166" s="300">
        <v>0</v>
      </c>
      <c r="AB166" s="300">
        <v>0</v>
      </c>
      <c r="AC166" s="300">
        <v>0</v>
      </c>
      <c r="AD166" s="300">
        <v>0</v>
      </c>
      <c r="AE166" s="300">
        <v>0</v>
      </c>
      <c r="AF166" s="258">
        <f t="shared" si="42"/>
        <v>0</v>
      </c>
      <c r="AG166" s="274"/>
      <c r="AK166" s="344"/>
    </row>
    <row r="167" spans="2:37" ht="17.25" hidden="1" customHeight="1" outlineLevel="1" x14ac:dyDescent="0.25">
      <c r="B167" s="561"/>
      <c r="D167" s="2251" t="s">
        <v>1583</v>
      </c>
      <c r="E167" s="122" t="s">
        <v>1521</v>
      </c>
      <c r="F167" s="1533">
        <v>11</v>
      </c>
      <c r="G167" s="1336"/>
      <c r="H167" s="1359" t="s">
        <v>1584</v>
      </c>
      <c r="V167" s="2264" t="str">
        <f>D167</f>
        <v>Rold</v>
      </c>
      <c r="W167" s="266">
        <v>11</v>
      </c>
      <c r="X167" s="266">
        <v>11</v>
      </c>
      <c r="Y167" s="266">
        <v>11</v>
      </c>
      <c r="Z167" s="430">
        <v>11</v>
      </c>
      <c r="AA167" s="430">
        <v>11</v>
      </c>
      <c r="AB167" s="430">
        <v>11</v>
      </c>
      <c r="AC167" s="430">
        <v>11</v>
      </c>
      <c r="AD167" s="430">
        <v>11</v>
      </c>
      <c r="AE167" s="430">
        <v>11</v>
      </c>
      <c r="AF167" s="258">
        <f t="shared" si="42"/>
        <v>11</v>
      </c>
      <c r="AG167" s="266"/>
      <c r="AK167" s="344"/>
    </row>
    <row r="168" spans="2:37" hidden="1" outlineLevel="1" x14ac:dyDescent="0.25">
      <c r="B168" s="561"/>
      <c r="D168" s="2251"/>
      <c r="E168" s="122" t="s">
        <v>1523</v>
      </c>
      <c r="F168" s="1533">
        <v>11</v>
      </c>
      <c r="G168" s="1336"/>
      <c r="H168" s="1359" t="s">
        <v>1584</v>
      </c>
      <c r="V168" s="2265"/>
      <c r="W168" s="266">
        <v>11</v>
      </c>
      <c r="X168" s="266">
        <v>11</v>
      </c>
      <c r="Y168" s="266">
        <v>11</v>
      </c>
      <c r="Z168" s="430">
        <v>11</v>
      </c>
      <c r="AA168" s="430">
        <v>11</v>
      </c>
      <c r="AB168" s="430">
        <v>11</v>
      </c>
      <c r="AC168" s="430">
        <v>11</v>
      </c>
      <c r="AD168" s="430">
        <v>11</v>
      </c>
      <c r="AE168" s="430">
        <v>11</v>
      </c>
      <c r="AF168" s="258">
        <f t="shared" si="42"/>
        <v>11</v>
      </c>
      <c r="AG168" s="266"/>
      <c r="AK168" s="344"/>
    </row>
    <row r="169" spans="2:37" hidden="1" outlineLevel="1" x14ac:dyDescent="0.25">
      <c r="B169" s="561"/>
      <c r="D169" s="2251"/>
      <c r="E169" s="122" t="s">
        <v>1525</v>
      </c>
      <c r="F169" s="1533">
        <v>11</v>
      </c>
      <c r="G169" s="1336"/>
      <c r="H169" s="1359" t="s">
        <v>1584</v>
      </c>
      <c r="V169" s="2265"/>
      <c r="W169" s="266">
        <v>11</v>
      </c>
      <c r="X169" s="266">
        <v>11</v>
      </c>
      <c r="Y169" s="266">
        <v>11</v>
      </c>
      <c r="Z169" s="430">
        <v>11</v>
      </c>
      <c r="AA169" s="430">
        <v>11</v>
      </c>
      <c r="AB169" s="430">
        <v>11</v>
      </c>
      <c r="AC169" s="430">
        <v>11</v>
      </c>
      <c r="AD169" s="430">
        <v>11</v>
      </c>
      <c r="AE169" s="430">
        <v>11</v>
      </c>
      <c r="AF169" s="258">
        <f t="shared" si="42"/>
        <v>11</v>
      </c>
      <c r="AG169" s="266"/>
      <c r="AK169" s="344"/>
    </row>
    <row r="170" spans="2:37" hidden="1" outlineLevel="1" x14ac:dyDescent="0.25">
      <c r="B170" s="561"/>
      <c r="D170" s="2251"/>
      <c r="E170" s="122" t="s">
        <v>1527</v>
      </c>
      <c r="F170" s="1533">
        <v>11</v>
      </c>
      <c r="G170" s="1336"/>
      <c r="H170" s="1359" t="s">
        <v>1584</v>
      </c>
      <c r="V170" s="2265"/>
      <c r="W170" s="266">
        <v>11</v>
      </c>
      <c r="X170" s="266">
        <v>11</v>
      </c>
      <c r="Y170" s="266">
        <v>11</v>
      </c>
      <c r="Z170" s="430">
        <v>11</v>
      </c>
      <c r="AA170" s="430">
        <v>11</v>
      </c>
      <c r="AB170" s="430">
        <v>11</v>
      </c>
      <c r="AC170" s="430">
        <v>11</v>
      </c>
      <c r="AD170" s="430">
        <v>11</v>
      </c>
      <c r="AE170" s="430">
        <v>11</v>
      </c>
      <c r="AF170" s="258">
        <f t="shared" si="42"/>
        <v>11</v>
      </c>
      <c r="AG170" s="266"/>
      <c r="AK170" s="344"/>
    </row>
    <row r="171" spans="2:37" hidden="1" outlineLevel="1" x14ac:dyDescent="0.25">
      <c r="B171" s="561"/>
      <c r="D171" s="2251"/>
      <c r="E171" s="122" t="s">
        <v>1529</v>
      </c>
      <c r="F171" s="1533">
        <v>11</v>
      </c>
      <c r="G171" s="1336"/>
      <c r="H171" s="1359" t="s">
        <v>1584</v>
      </c>
      <c r="V171" s="2265"/>
      <c r="W171" s="266">
        <v>11</v>
      </c>
      <c r="X171" s="266">
        <v>11</v>
      </c>
      <c r="Y171" s="266">
        <v>11</v>
      </c>
      <c r="Z171" s="430">
        <v>11</v>
      </c>
      <c r="AA171" s="430">
        <v>11</v>
      </c>
      <c r="AB171" s="430">
        <v>11</v>
      </c>
      <c r="AC171" s="430">
        <v>11</v>
      </c>
      <c r="AD171" s="430">
        <v>11</v>
      </c>
      <c r="AE171" s="430">
        <v>11</v>
      </c>
      <c r="AF171" s="258">
        <f t="shared" si="42"/>
        <v>11</v>
      </c>
      <c r="AG171" s="266"/>
      <c r="AK171" s="344"/>
    </row>
    <row r="172" spans="2:37" hidden="1" outlineLevel="1" x14ac:dyDescent="0.25">
      <c r="B172" s="570"/>
      <c r="D172" s="2251"/>
      <c r="E172" s="122" t="s">
        <v>1531</v>
      </c>
      <c r="F172" s="1533">
        <v>11</v>
      </c>
      <c r="G172" s="1336"/>
      <c r="H172" s="1359" t="s">
        <v>1584</v>
      </c>
      <c r="V172" s="2265"/>
      <c r="W172" s="266">
        <v>11</v>
      </c>
      <c r="X172" s="266">
        <v>11</v>
      </c>
      <c r="Y172" s="266">
        <v>11</v>
      </c>
      <c r="Z172" s="430">
        <v>11</v>
      </c>
      <c r="AA172" s="430">
        <v>11</v>
      </c>
      <c r="AB172" s="430">
        <v>11</v>
      </c>
      <c r="AC172" s="430">
        <v>11</v>
      </c>
      <c r="AD172" s="430">
        <v>11</v>
      </c>
      <c r="AE172" s="430">
        <v>11</v>
      </c>
      <c r="AF172" s="258">
        <f t="shared" si="42"/>
        <v>11</v>
      </c>
      <c r="AG172" s="266"/>
      <c r="AK172" s="344"/>
    </row>
    <row r="173" spans="2:37" hidden="1" outlineLevel="1" x14ac:dyDescent="0.25">
      <c r="B173" s="570"/>
      <c r="D173" s="2251"/>
      <c r="E173" s="122" t="s">
        <v>1533</v>
      </c>
      <c r="F173" s="1533">
        <v>5</v>
      </c>
      <c r="G173" s="1336"/>
      <c r="H173" s="1359" t="s">
        <v>1584</v>
      </c>
      <c r="V173" s="2265"/>
      <c r="W173" s="266">
        <v>5</v>
      </c>
      <c r="X173" s="266">
        <v>5</v>
      </c>
      <c r="Y173" s="266">
        <v>5</v>
      </c>
      <c r="Z173" s="430">
        <v>5</v>
      </c>
      <c r="AA173" s="430">
        <v>5</v>
      </c>
      <c r="AB173" s="430">
        <v>5</v>
      </c>
      <c r="AC173" s="430">
        <v>5</v>
      </c>
      <c r="AD173" s="430">
        <v>5</v>
      </c>
      <c r="AE173" s="430">
        <v>5</v>
      </c>
      <c r="AF173" s="258">
        <f t="shared" si="42"/>
        <v>5</v>
      </c>
      <c r="AG173" s="266"/>
      <c r="AK173" s="344"/>
    </row>
    <row r="174" spans="2:37" hidden="1" outlineLevel="1" x14ac:dyDescent="0.25">
      <c r="B174" s="570"/>
      <c r="D174" s="2251"/>
      <c r="E174" s="122" t="s">
        <v>1535</v>
      </c>
      <c r="F174" s="1533">
        <v>5</v>
      </c>
      <c r="G174" s="1336"/>
      <c r="H174" s="1359" t="s">
        <v>1584</v>
      </c>
      <c r="V174" s="2265"/>
      <c r="W174" s="266">
        <v>5</v>
      </c>
      <c r="X174" s="266">
        <v>5</v>
      </c>
      <c r="Y174" s="266">
        <v>5</v>
      </c>
      <c r="Z174" s="430">
        <v>5</v>
      </c>
      <c r="AA174" s="430">
        <v>5</v>
      </c>
      <c r="AB174" s="430">
        <v>5</v>
      </c>
      <c r="AC174" s="430">
        <v>5</v>
      </c>
      <c r="AD174" s="430">
        <v>5</v>
      </c>
      <c r="AE174" s="430">
        <v>5</v>
      </c>
      <c r="AF174" s="258">
        <f t="shared" si="42"/>
        <v>5</v>
      </c>
      <c r="AG174" s="266"/>
      <c r="AK174" s="344"/>
    </row>
    <row r="175" spans="2:37" hidden="1" outlineLevel="1" x14ac:dyDescent="0.25">
      <c r="B175" s="570"/>
      <c r="D175" s="2251"/>
      <c r="E175" s="122" t="s">
        <v>1537</v>
      </c>
      <c r="F175" s="1533">
        <v>5</v>
      </c>
      <c r="G175" s="1336"/>
      <c r="H175" s="1359" t="s">
        <v>1584</v>
      </c>
      <c r="V175" s="2265"/>
      <c r="W175" s="266">
        <v>5</v>
      </c>
      <c r="X175" s="266">
        <v>5</v>
      </c>
      <c r="Y175" s="266">
        <v>5</v>
      </c>
      <c r="Z175" s="430">
        <v>5</v>
      </c>
      <c r="AA175" s="430">
        <v>5</v>
      </c>
      <c r="AB175" s="430">
        <v>5</v>
      </c>
      <c r="AC175" s="430">
        <v>5</v>
      </c>
      <c r="AD175" s="430">
        <v>5</v>
      </c>
      <c r="AE175" s="430">
        <v>5</v>
      </c>
      <c r="AF175" s="258">
        <f t="shared" si="42"/>
        <v>5</v>
      </c>
      <c r="AG175" s="266"/>
      <c r="AK175" s="344"/>
    </row>
    <row r="176" spans="2:37" hidden="1" outlineLevel="1" x14ac:dyDescent="0.25">
      <c r="B176" s="570"/>
      <c r="D176" s="2251"/>
      <c r="E176" s="122" t="s">
        <v>1539</v>
      </c>
      <c r="F176" s="1533">
        <v>5</v>
      </c>
      <c r="G176" s="1336"/>
      <c r="H176" s="1359" t="s">
        <v>1584</v>
      </c>
      <c r="V176" s="2265"/>
      <c r="W176" s="266">
        <v>5</v>
      </c>
      <c r="X176" s="266">
        <v>5</v>
      </c>
      <c r="Y176" s="266">
        <v>5</v>
      </c>
      <c r="Z176" s="430">
        <v>5</v>
      </c>
      <c r="AA176" s="430">
        <v>5</v>
      </c>
      <c r="AB176" s="430">
        <v>5</v>
      </c>
      <c r="AC176" s="430">
        <v>5</v>
      </c>
      <c r="AD176" s="430">
        <v>5</v>
      </c>
      <c r="AE176" s="430">
        <v>5</v>
      </c>
      <c r="AF176" s="258">
        <f t="shared" si="42"/>
        <v>5</v>
      </c>
      <c r="AG176" s="266"/>
      <c r="AK176" s="344"/>
    </row>
    <row r="177" spans="2:37" hidden="1" outlineLevel="1" x14ac:dyDescent="0.25">
      <c r="B177" s="570"/>
      <c r="D177" s="2251"/>
      <c r="E177" s="122" t="s">
        <v>1541</v>
      </c>
      <c r="F177" s="1533">
        <v>5</v>
      </c>
      <c r="G177" s="1336"/>
      <c r="H177" s="1359" t="s">
        <v>1584</v>
      </c>
      <c r="V177" s="2265"/>
      <c r="W177" s="266">
        <v>5</v>
      </c>
      <c r="X177" s="266">
        <v>5</v>
      </c>
      <c r="Y177" s="266">
        <v>5</v>
      </c>
      <c r="Z177" s="430">
        <v>5</v>
      </c>
      <c r="AA177" s="430">
        <v>5</v>
      </c>
      <c r="AB177" s="430">
        <v>5</v>
      </c>
      <c r="AC177" s="430">
        <v>5</v>
      </c>
      <c r="AD177" s="430">
        <v>5</v>
      </c>
      <c r="AE177" s="430">
        <v>5</v>
      </c>
      <c r="AF177" s="258">
        <f t="shared" si="42"/>
        <v>5</v>
      </c>
      <c r="AG177" s="266"/>
      <c r="AK177" s="344"/>
    </row>
    <row r="178" spans="2:37" hidden="1" outlineLevel="1" x14ac:dyDescent="0.25">
      <c r="B178" s="570"/>
      <c r="D178" s="2251"/>
      <c r="E178" s="122" t="s">
        <v>1543</v>
      </c>
      <c r="F178" s="1533">
        <v>5</v>
      </c>
      <c r="G178" s="1336"/>
      <c r="H178" s="1359" t="s">
        <v>1584</v>
      </c>
      <c r="V178" s="2265"/>
      <c r="W178" s="266">
        <v>5</v>
      </c>
      <c r="X178" s="266">
        <v>5</v>
      </c>
      <c r="Y178" s="266">
        <v>5</v>
      </c>
      <c r="Z178" s="430">
        <v>5</v>
      </c>
      <c r="AA178" s="430">
        <v>5</v>
      </c>
      <c r="AB178" s="430">
        <v>5</v>
      </c>
      <c r="AC178" s="430">
        <v>5</v>
      </c>
      <c r="AD178" s="430">
        <v>5</v>
      </c>
      <c r="AE178" s="430">
        <v>5</v>
      </c>
      <c r="AF178" s="258">
        <f t="shared" si="42"/>
        <v>5</v>
      </c>
      <c r="AG178" s="266"/>
      <c r="AK178" s="344"/>
    </row>
    <row r="179" spans="2:37" hidden="1" outlineLevel="1" x14ac:dyDescent="0.25">
      <c r="B179" s="570"/>
      <c r="D179" s="2251"/>
      <c r="E179" s="122" t="s">
        <v>1545</v>
      </c>
      <c r="F179" s="1533">
        <v>5</v>
      </c>
      <c r="G179" s="1336"/>
      <c r="H179" s="1359" t="s">
        <v>1584</v>
      </c>
      <c r="V179" s="2265"/>
      <c r="W179" s="266">
        <v>5</v>
      </c>
      <c r="X179" s="266">
        <v>5</v>
      </c>
      <c r="Y179" s="266">
        <v>5</v>
      </c>
      <c r="Z179" s="430">
        <v>5</v>
      </c>
      <c r="AA179" s="430">
        <v>5</v>
      </c>
      <c r="AB179" s="430">
        <v>5</v>
      </c>
      <c r="AC179" s="430">
        <v>5</v>
      </c>
      <c r="AD179" s="430">
        <v>5</v>
      </c>
      <c r="AE179" s="430">
        <v>5</v>
      </c>
      <c r="AF179" s="258">
        <f t="shared" si="42"/>
        <v>5</v>
      </c>
      <c r="AG179" s="266"/>
      <c r="AK179" s="344"/>
    </row>
    <row r="180" spans="2:37" hidden="1" outlineLevel="1" x14ac:dyDescent="0.25">
      <c r="B180" s="561"/>
      <c r="D180" s="2251"/>
      <c r="E180" s="122" t="s">
        <v>1547</v>
      </c>
      <c r="F180" s="1533">
        <v>5</v>
      </c>
      <c r="G180" s="1336"/>
      <c r="H180" s="1359" t="s">
        <v>1584</v>
      </c>
      <c r="V180" s="2265"/>
      <c r="W180" s="266">
        <v>5</v>
      </c>
      <c r="X180" s="266">
        <v>5</v>
      </c>
      <c r="Y180" s="266">
        <v>5</v>
      </c>
      <c r="Z180" s="430">
        <v>5</v>
      </c>
      <c r="AA180" s="430">
        <v>5</v>
      </c>
      <c r="AB180" s="430">
        <v>5</v>
      </c>
      <c r="AC180" s="430">
        <v>5</v>
      </c>
      <c r="AD180" s="430">
        <v>5</v>
      </c>
      <c r="AE180" s="430">
        <v>5</v>
      </c>
      <c r="AF180" s="258">
        <f t="shared" si="42"/>
        <v>5</v>
      </c>
      <c r="AG180" s="266"/>
      <c r="AK180" s="344"/>
    </row>
    <row r="181" spans="2:37" hidden="1" outlineLevel="1" x14ac:dyDescent="0.25">
      <c r="B181" s="561"/>
      <c r="D181" s="2251"/>
      <c r="E181" s="122" t="s">
        <v>1549</v>
      </c>
      <c r="F181" s="1533">
        <v>5</v>
      </c>
      <c r="G181" s="1336"/>
      <c r="H181" s="1359" t="s">
        <v>1584</v>
      </c>
      <c r="V181" s="2265"/>
      <c r="W181" s="266">
        <v>5</v>
      </c>
      <c r="X181" s="266">
        <v>5</v>
      </c>
      <c r="Y181" s="266">
        <v>5</v>
      </c>
      <c r="Z181" s="430">
        <v>5</v>
      </c>
      <c r="AA181" s="430">
        <v>5</v>
      </c>
      <c r="AB181" s="430">
        <v>5</v>
      </c>
      <c r="AC181" s="430">
        <v>5</v>
      </c>
      <c r="AD181" s="430">
        <v>5</v>
      </c>
      <c r="AE181" s="430">
        <v>5</v>
      </c>
      <c r="AF181" s="258">
        <f t="shared" si="42"/>
        <v>5</v>
      </c>
      <c r="AG181" s="266"/>
      <c r="AK181" s="344"/>
    </row>
    <row r="182" spans="2:37" hidden="1" outlineLevel="1" x14ac:dyDescent="0.25">
      <c r="B182" s="561"/>
      <c r="D182" s="2251"/>
      <c r="E182" s="122" t="s">
        <v>1551</v>
      </c>
      <c r="F182" s="1533">
        <v>5</v>
      </c>
      <c r="G182" s="1336"/>
      <c r="H182" s="1359" t="s">
        <v>1584</v>
      </c>
      <c r="V182" s="2265"/>
      <c r="W182" s="266">
        <v>5</v>
      </c>
      <c r="X182" s="266">
        <v>5</v>
      </c>
      <c r="Y182" s="266">
        <v>5</v>
      </c>
      <c r="Z182" s="430">
        <v>5</v>
      </c>
      <c r="AA182" s="430">
        <v>5</v>
      </c>
      <c r="AB182" s="430">
        <v>5</v>
      </c>
      <c r="AC182" s="430">
        <v>5</v>
      </c>
      <c r="AD182" s="430">
        <v>5</v>
      </c>
      <c r="AE182" s="430">
        <v>5</v>
      </c>
      <c r="AF182" s="258">
        <f t="shared" si="42"/>
        <v>5</v>
      </c>
      <c r="AG182" s="266"/>
      <c r="AK182" s="344"/>
    </row>
    <row r="183" spans="2:37" hidden="1" outlineLevel="1" x14ac:dyDescent="0.25">
      <c r="B183" s="570"/>
      <c r="D183" s="2251"/>
      <c r="E183" s="122" t="s">
        <v>1553</v>
      </c>
      <c r="F183" s="1533">
        <v>5</v>
      </c>
      <c r="G183" s="1336"/>
      <c r="H183" s="1359" t="s">
        <v>1584</v>
      </c>
      <c r="V183" s="2265"/>
      <c r="W183" s="266">
        <v>5</v>
      </c>
      <c r="X183" s="266">
        <v>5</v>
      </c>
      <c r="Y183" s="266">
        <v>5</v>
      </c>
      <c r="Z183" s="430">
        <v>5</v>
      </c>
      <c r="AA183" s="430">
        <v>5</v>
      </c>
      <c r="AB183" s="430">
        <v>5</v>
      </c>
      <c r="AC183" s="430">
        <v>5</v>
      </c>
      <c r="AD183" s="430">
        <v>5</v>
      </c>
      <c r="AE183" s="430">
        <v>5</v>
      </c>
      <c r="AF183" s="258">
        <f t="shared" si="42"/>
        <v>5</v>
      </c>
      <c r="AG183" s="266"/>
      <c r="AK183" s="344"/>
    </row>
    <row r="184" spans="2:37" hidden="1" outlineLevel="1" x14ac:dyDescent="0.25">
      <c r="B184" s="570"/>
      <c r="D184" s="2251"/>
      <c r="E184" s="122" t="s">
        <v>1555</v>
      </c>
      <c r="F184" s="1533">
        <v>5</v>
      </c>
      <c r="G184" s="1336"/>
      <c r="H184" s="1359" t="s">
        <v>1584</v>
      </c>
      <c r="V184" s="2265"/>
      <c r="W184" s="266">
        <v>5</v>
      </c>
      <c r="X184" s="266">
        <v>5</v>
      </c>
      <c r="Y184" s="266">
        <v>5</v>
      </c>
      <c r="Z184" s="430">
        <v>5</v>
      </c>
      <c r="AA184" s="430">
        <v>5</v>
      </c>
      <c r="AB184" s="430">
        <v>5</v>
      </c>
      <c r="AC184" s="430">
        <v>5</v>
      </c>
      <c r="AD184" s="430">
        <v>5</v>
      </c>
      <c r="AE184" s="430">
        <v>5</v>
      </c>
      <c r="AF184" s="258">
        <f t="shared" si="42"/>
        <v>5</v>
      </c>
      <c r="AG184" s="266"/>
      <c r="AK184" s="344"/>
    </row>
    <row r="185" spans="2:37" hidden="1" outlineLevel="1" x14ac:dyDescent="0.25">
      <c r="B185" s="570"/>
      <c r="D185" s="2251"/>
      <c r="E185" s="122" t="s">
        <v>1557</v>
      </c>
      <c r="F185" s="1533">
        <v>5</v>
      </c>
      <c r="G185" s="1336"/>
      <c r="H185" s="1359" t="s">
        <v>1584</v>
      </c>
      <c r="V185" s="2265"/>
      <c r="W185" s="266">
        <v>5</v>
      </c>
      <c r="X185" s="266">
        <v>5</v>
      </c>
      <c r="Y185" s="266">
        <v>5</v>
      </c>
      <c r="Z185" s="430">
        <v>5</v>
      </c>
      <c r="AA185" s="430">
        <v>5</v>
      </c>
      <c r="AB185" s="430">
        <v>5</v>
      </c>
      <c r="AC185" s="430">
        <v>5</v>
      </c>
      <c r="AD185" s="430">
        <v>5</v>
      </c>
      <c r="AE185" s="430">
        <v>5</v>
      </c>
      <c r="AF185" s="258">
        <f t="shared" si="42"/>
        <v>5</v>
      </c>
      <c r="AG185" s="266"/>
      <c r="AK185" s="344"/>
    </row>
    <row r="186" spans="2:37" hidden="1" outlineLevel="1" x14ac:dyDescent="0.25">
      <c r="B186" s="570"/>
      <c r="D186" s="2251"/>
      <c r="E186" s="122" t="s">
        <v>1559</v>
      </c>
      <c r="F186" s="1533">
        <v>5</v>
      </c>
      <c r="G186" s="1336"/>
      <c r="H186" s="1359" t="s">
        <v>1584</v>
      </c>
      <c r="V186" s="2265"/>
      <c r="W186" s="266">
        <v>5</v>
      </c>
      <c r="X186" s="266">
        <v>5</v>
      </c>
      <c r="Y186" s="266">
        <v>5</v>
      </c>
      <c r="Z186" s="430">
        <v>5</v>
      </c>
      <c r="AA186" s="430">
        <v>5</v>
      </c>
      <c r="AB186" s="430">
        <v>5</v>
      </c>
      <c r="AC186" s="430">
        <v>5</v>
      </c>
      <c r="AD186" s="430">
        <v>5</v>
      </c>
      <c r="AE186" s="430">
        <v>5</v>
      </c>
      <c r="AF186" s="258">
        <f t="shared" si="42"/>
        <v>5</v>
      </c>
      <c r="AG186" s="266"/>
      <c r="AK186" s="344"/>
    </row>
    <row r="187" spans="2:37" hidden="1" outlineLevel="1" x14ac:dyDescent="0.25">
      <c r="B187" s="570"/>
      <c r="D187" s="2251"/>
      <c r="E187" s="122" t="s">
        <v>1561</v>
      </c>
      <c r="F187" s="1533">
        <v>5</v>
      </c>
      <c r="G187" s="1336"/>
      <c r="H187" s="1359" t="s">
        <v>1584</v>
      </c>
      <c r="V187" s="2265"/>
      <c r="W187" s="266">
        <v>5</v>
      </c>
      <c r="X187" s="266">
        <v>5</v>
      </c>
      <c r="Y187" s="266">
        <v>5</v>
      </c>
      <c r="Z187" s="430">
        <v>5</v>
      </c>
      <c r="AA187" s="430">
        <v>5</v>
      </c>
      <c r="AB187" s="430">
        <v>5</v>
      </c>
      <c r="AC187" s="430">
        <v>5</v>
      </c>
      <c r="AD187" s="430">
        <v>5</v>
      </c>
      <c r="AE187" s="430">
        <v>5</v>
      </c>
      <c r="AF187" s="258">
        <f t="shared" si="42"/>
        <v>5</v>
      </c>
      <c r="AG187" s="266"/>
      <c r="AK187" s="344"/>
    </row>
    <row r="188" spans="2:37" hidden="1" outlineLevel="1" x14ac:dyDescent="0.25">
      <c r="B188" s="570"/>
      <c r="D188" s="2251"/>
      <c r="E188" s="122" t="s">
        <v>1563</v>
      </c>
      <c r="F188" s="1533">
        <v>5</v>
      </c>
      <c r="G188" s="1336"/>
      <c r="H188" s="1359" t="s">
        <v>1584</v>
      </c>
      <c r="V188" s="2265"/>
      <c r="W188" s="266">
        <v>5</v>
      </c>
      <c r="X188" s="266">
        <v>5</v>
      </c>
      <c r="Y188" s="266">
        <v>5</v>
      </c>
      <c r="Z188" s="430">
        <v>5</v>
      </c>
      <c r="AA188" s="430">
        <v>5</v>
      </c>
      <c r="AB188" s="430">
        <v>5</v>
      </c>
      <c r="AC188" s="430">
        <v>5</v>
      </c>
      <c r="AD188" s="430">
        <v>5</v>
      </c>
      <c r="AE188" s="430">
        <v>5</v>
      </c>
      <c r="AF188" s="258">
        <f t="shared" si="42"/>
        <v>5</v>
      </c>
      <c r="AG188" s="266"/>
      <c r="AK188" s="344"/>
    </row>
    <row r="189" spans="2:37" hidden="1" outlineLevel="1" x14ac:dyDescent="0.25">
      <c r="B189" s="570"/>
      <c r="D189" s="2251"/>
      <c r="E189" s="122" t="s">
        <v>1565</v>
      </c>
      <c r="F189" s="1533">
        <v>5</v>
      </c>
      <c r="G189" s="1336"/>
      <c r="H189" s="1359" t="s">
        <v>1584</v>
      </c>
      <c r="V189" s="2265"/>
      <c r="W189" s="266">
        <v>5</v>
      </c>
      <c r="X189" s="266">
        <v>5</v>
      </c>
      <c r="Y189" s="266">
        <v>5</v>
      </c>
      <c r="Z189" s="430">
        <v>5</v>
      </c>
      <c r="AA189" s="430">
        <v>5</v>
      </c>
      <c r="AB189" s="430">
        <v>5</v>
      </c>
      <c r="AC189" s="430">
        <v>5</v>
      </c>
      <c r="AD189" s="430">
        <v>5</v>
      </c>
      <c r="AE189" s="430">
        <v>5</v>
      </c>
      <c r="AF189" s="258">
        <f t="shared" si="42"/>
        <v>5</v>
      </c>
      <c r="AG189" s="266"/>
      <c r="AK189" s="344"/>
    </row>
    <row r="190" spans="2:37" hidden="1" outlineLevel="1" x14ac:dyDescent="0.25">
      <c r="B190" s="570"/>
      <c r="D190" s="2251"/>
      <c r="E190" s="122" t="s">
        <v>1567</v>
      </c>
      <c r="F190" s="1533">
        <v>5</v>
      </c>
      <c r="G190" s="1336"/>
      <c r="H190" s="1359" t="s">
        <v>1584</v>
      </c>
      <c r="V190" s="2265"/>
      <c r="W190" s="266">
        <v>5</v>
      </c>
      <c r="X190" s="266">
        <v>5</v>
      </c>
      <c r="Y190" s="266">
        <v>5</v>
      </c>
      <c r="Z190" s="430">
        <v>5</v>
      </c>
      <c r="AA190" s="430">
        <v>5</v>
      </c>
      <c r="AB190" s="430">
        <v>5</v>
      </c>
      <c r="AC190" s="430">
        <v>5</v>
      </c>
      <c r="AD190" s="430">
        <v>5</v>
      </c>
      <c r="AE190" s="430">
        <v>5</v>
      </c>
      <c r="AF190" s="258">
        <f t="shared" si="42"/>
        <v>5</v>
      </c>
      <c r="AG190" s="266"/>
      <c r="AK190" s="344"/>
    </row>
    <row r="191" spans="2:37" hidden="1" outlineLevel="1" x14ac:dyDescent="0.25">
      <c r="B191" s="570"/>
      <c r="D191" s="2251"/>
      <c r="E191" s="122" t="s">
        <v>1569</v>
      </c>
      <c r="F191" s="1533">
        <v>5</v>
      </c>
      <c r="G191" s="1336"/>
      <c r="H191" s="1359" t="s">
        <v>1584</v>
      </c>
      <c r="V191" s="2265"/>
      <c r="W191" s="266">
        <v>5</v>
      </c>
      <c r="X191" s="266">
        <v>5</v>
      </c>
      <c r="Y191" s="266">
        <v>5</v>
      </c>
      <c r="Z191" s="430">
        <v>5</v>
      </c>
      <c r="AA191" s="430">
        <v>5</v>
      </c>
      <c r="AB191" s="430">
        <v>5</v>
      </c>
      <c r="AC191" s="430">
        <v>5</v>
      </c>
      <c r="AD191" s="430">
        <v>5</v>
      </c>
      <c r="AE191" s="430">
        <v>5</v>
      </c>
      <c r="AF191" s="258">
        <f t="shared" si="42"/>
        <v>5</v>
      </c>
      <c r="AG191" s="266"/>
      <c r="AK191" s="344"/>
    </row>
    <row r="192" spans="2:37" hidden="1" outlineLevel="1" x14ac:dyDescent="0.25">
      <c r="B192" s="570"/>
      <c r="D192" s="2251"/>
      <c r="E192" s="122" t="s">
        <v>1571</v>
      </c>
      <c r="F192" s="1533">
        <v>5</v>
      </c>
      <c r="G192" s="1336"/>
      <c r="H192" s="1359" t="s">
        <v>1584</v>
      </c>
      <c r="V192" s="2265"/>
      <c r="W192" s="266">
        <v>5</v>
      </c>
      <c r="X192" s="266">
        <v>5</v>
      </c>
      <c r="Y192" s="266">
        <v>5</v>
      </c>
      <c r="Z192" s="430">
        <v>5</v>
      </c>
      <c r="AA192" s="430">
        <v>5</v>
      </c>
      <c r="AB192" s="430">
        <v>5</v>
      </c>
      <c r="AC192" s="430">
        <v>5</v>
      </c>
      <c r="AD192" s="430">
        <v>5</v>
      </c>
      <c r="AE192" s="430">
        <v>5</v>
      </c>
      <c r="AF192" s="258">
        <f t="shared" si="42"/>
        <v>5</v>
      </c>
      <c r="AG192" s="266"/>
      <c r="AK192" s="344"/>
    </row>
    <row r="193" spans="2:37" hidden="1" outlineLevel="1" x14ac:dyDescent="0.25">
      <c r="B193" s="570"/>
      <c r="D193" s="2251"/>
      <c r="E193" s="122" t="s">
        <v>1573</v>
      </c>
      <c r="F193" s="1533">
        <v>5</v>
      </c>
      <c r="G193" s="1336"/>
      <c r="H193" s="1359" t="s">
        <v>1584</v>
      </c>
      <c r="V193" s="2265"/>
      <c r="W193" s="266">
        <v>5</v>
      </c>
      <c r="X193" s="266">
        <v>5</v>
      </c>
      <c r="Y193" s="266">
        <v>5</v>
      </c>
      <c r="Z193" s="430">
        <v>5</v>
      </c>
      <c r="AA193" s="430">
        <v>5</v>
      </c>
      <c r="AB193" s="430">
        <v>5</v>
      </c>
      <c r="AC193" s="430">
        <v>5</v>
      </c>
      <c r="AD193" s="430">
        <v>5</v>
      </c>
      <c r="AE193" s="430">
        <v>5</v>
      </c>
      <c r="AF193" s="258">
        <f t="shared" si="42"/>
        <v>5</v>
      </c>
      <c r="AG193" s="266"/>
      <c r="AK193" s="344"/>
    </row>
    <row r="194" spans="2:37" hidden="1" outlineLevel="1" x14ac:dyDescent="0.25">
      <c r="B194" s="570"/>
      <c r="D194" s="2251"/>
      <c r="E194" s="122" t="s">
        <v>1575</v>
      </c>
      <c r="F194" s="1533">
        <v>5</v>
      </c>
      <c r="G194" s="1336"/>
      <c r="H194" s="1359" t="s">
        <v>1584</v>
      </c>
      <c r="V194" s="2265"/>
      <c r="W194" s="266">
        <v>5</v>
      </c>
      <c r="X194" s="266">
        <v>5</v>
      </c>
      <c r="Y194" s="266">
        <v>5</v>
      </c>
      <c r="Z194" s="430">
        <v>5</v>
      </c>
      <c r="AA194" s="430">
        <v>5</v>
      </c>
      <c r="AB194" s="430">
        <v>5</v>
      </c>
      <c r="AC194" s="430">
        <v>5</v>
      </c>
      <c r="AD194" s="430">
        <v>5</v>
      </c>
      <c r="AE194" s="430">
        <v>5</v>
      </c>
      <c r="AF194" s="258">
        <f t="shared" si="42"/>
        <v>5</v>
      </c>
      <c r="AG194" s="266"/>
      <c r="AK194" s="344"/>
    </row>
    <row r="195" spans="2:37" hidden="1" outlineLevel="1" x14ac:dyDescent="0.25">
      <c r="B195" s="570"/>
      <c r="D195" s="2251"/>
      <c r="E195" s="122" t="s">
        <v>1577</v>
      </c>
      <c r="F195" s="1533">
        <v>5</v>
      </c>
      <c r="G195" s="1336"/>
      <c r="H195" s="1359" t="s">
        <v>1584</v>
      </c>
      <c r="V195" s="2265"/>
      <c r="W195" s="266">
        <v>5</v>
      </c>
      <c r="X195" s="266">
        <v>5</v>
      </c>
      <c r="Y195" s="266">
        <v>5</v>
      </c>
      <c r="Z195" s="430">
        <v>5</v>
      </c>
      <c r="AA195" s="430">
        <v>5</v>
      </c>
      <c r="AB195" s="430">
        <v>5</v>
      </c>
      <c r="AC195" s="430">
        <v>5</v>
      </c>
      <c r="AD195" s="430">
        <v>5</v>
      </c>
      <c r="AE195" s="430">
        <v>5</v>
      </c>
      <c r="AF195" s="258">
        <f t="shared" si="42"/>
        <v>5</v>
      </c>
      <c r="AG195" s="266"/>
      <c r="AK195" s="344"/>
    </row>
    <row r="196" spans="2:37" hidden="1" outlineLevel="1" x14ac:dyDescent="0.25">
      <c r="B196" s="570"/>
      <c r="D196" s="2251"/>
      <c r="E196" s="122" t="s">
        <v>1579</v>
      </c>
      <c r="F196" s="1533">
        <v>5</v>
      </c>
      <c r="G196" s="1336"/>
      <c r="H196" s="1359" t="s">
        <v>1584</v>
      </c>
      <c r="V196" s="2269"/>
      <c r="W196" s="266">
        <v>5</v>
      </c>
      <c r="X196" s="266">
        <v>5</v>
      </c>
      <c r="Y196" s="266">
        <v>5</v>
      </c>
      <c r="Z196" s="430">
        <v>5</v>
      </c>
      <c r="AA196" s="430">
        <v>5</v>
      </c>
      <c r="AB196" s="430">
        <v>5</v>
      </c>
      <c r="AC196" s="430">
        <v>5</v>
      </c>
      <c r="AD196" s="430">
        <v>5</v>
      </c>
      <c r="AE196" s="430">
        <v>5</v>
      </c>
      <c r="AF196" s="258">
        <f t="shared" si="42"/>
        <v>5</v>
      </c>
      <c r="AG196" s="266"/>
      <c r="AK196" s="344"/>
    </row>
    <row r="197" spans="2:37" ht="17.25" hidden="1" customHeight="1" outlineLevel="1" x14ac:dyDescent="0.25">
      <c r="B197" s="561"/>
      <c r="D197" s="2251" t="s">
        <v>1585</v>
      </c>
      <c r="E197" s="122" t="s">
        <v>1521</v>
      </c>
      <c r="F197" s="1533">
        <v>49</v>
      </c>
      <c r="G197" s="1336"/>
      <c r="H197" s="1359" t="s">
        <v>1584</v>
      </c>
      <c r="V197" s="2264" t="str">
        <f>D197</f>
        <v>RAttic</v>
      </c>
      <c r="W197" s="266">
        <v>49</v>
      </c>
      <c r="X197" s="266">
        <v>49</v>
      </c>
      <c r="Y197" s="266">
        <v>49</v>
      </c>
      <c r="Z197" s="430">
        <v>49</v>
      </c>
      <c r="AA197" s="430">
        <v>49</v>
      </c>
      <c r="AB197" s="430">
        <v>49</v>
      </c>
      <c r="AC197" s="430">
        <v>49</v>
      </c>
      <c r="AD197" s="430">
        <v>49</v>
      </c>
      <c r="AE197" s="430">
        <v>49</v>
      </c>
      <c r="AF197" s="258">
        <f t="shared" si="42"/>
        <v>49</v>
      </c>
      <c r="AG197" s="266"/>
      <c r="AK197" s="344"/>
    </row>
    <row r="198" spans="2:37" hidden="1" outlineLevel="1" x14ac:dyDescent="0.25">
      <c r="B198" s="561"/>
      <c r="D198" s="2251"/>
      <c r="E198" s="122" t="s">
        <v>1523</v>
      </c>
      <c r="F198" s="1533">
        <v>49</v>
      </c>
      <c r="G198" s="1336"/>
      <c r="H198" s="1359" t="s">
        <v>1584</v>
      </c>
      <c r="V198" s="2265"/>
      <c r="W198" s="266">
        <v>49</v>
      </c>
      <c r="X198" s="266">
        <v>49</v>
      </c>
      <c r="Y198" s="266">
        <v>49</v>
      </c>
      <c r="Z198" s="430">
        <v>49</v>
      </c>
      <c r="AA198" s="430">
        <v>49</v>
      </c>
      <c r="AB198" s="430">
        <v>49</v>
      </c>
      <c r="AC198" s="430">
        <v>49</v>
      </c>
      <c r="AD198" s="430">
        <v>49</v>
      </c>
      <c r="AE198" s="430">
        <v>49</v>
      </c>
      <c r="AF198" s="258">
        <f t="shared" si="42"/>
        <v>49</v>
      </c>
      <c r="AG198" s="266"/>
      <c r="AK198" s="344"/>
    </row>
    <row r="199" spans="2:37" hidden="1" outlineLevel="1" x14ac:dyDescent="0.25">
      <c r="B199" s="561"/>
      <c r="D199" s="2251"/>
      <c r="E199" s="122" t="s">
        <v>1525</v>
      </c>
      <c r="F199" s="1533">
        <v>49</v>
      </c>
      <c r="G199" s="1336"/>
      <c r="H199" s="1359" t="s">
        <v>1584</v>
      </c>
      <c r="V199" s="2265"/>
      <c r="W199" s="266">
        <v>49</v>
      </c>
      <c r="X199" s="266">
        <v>49</v>
      </c>
      <c r="Y199" s="266">
        <v>49</v>
      </c>
      <c r="Z199" s="430">
        <v>49</v>
      </c>
      <c r="AA199" s="430">
        <v>49</v>
      </c>
      <c r="AB199" s="430">
        <v>49</v>
      </c>
      <c r="AC199" s="430">
        <v>49</v>
      </c>
      <c r="AD199" s="430">
        <v>49</v>
      </c>
      <c r="AE199" s="430">
        <v>49</v>
      </c>
      <c r="AF199" s="258">
        <f t="shared" si="42"/>
        <v>49</v>
      </c>
      <c r="AG199" s="266"/>
      <c r="AK199" s="344"/>
    </row>
    <row r="200" spans="2:37" hidden="1" outlineLevel="1" x14ac:dyDescent="0.25">
      <c r="B200" s="561"/>
      <c r="D200" s="2251"/>
      <c r="E200" s="122" t="s">
        <v>1527</v>
      </c>
      <c r="F200" s="1533">
        <v>49</v>
      </c>
      <c r="G200" s="1336"/>
      <c r="H200" s="1359" t="s">
        <v>1584</v>
      </c>
      <c r="V200" s="2265"/>
      <c r="W200" s="266">
        <v>49</v>
      </c>
      <c r="X200" s="266">
        <v>49</v>
      </c>
      <c r="Y200" s="266">
        <v>49</v>
      </c>
      <c r="Z200" s="430">
        <v>49</v>
      </c>
      <c r="AA200" s="430">
        <v>49</v>
      </c>
      <c r="AB200" s="430">
        <v>49</v>
      </c>
      <c r="AC200" s="430">
        <v>49</v>
      </c>
      <c r="AD200" s="430">
        <v>49</v>
      </c>
      <c r="AE200" s="430">
        <v>49</v>
      </c>
      <c r="AF200" s="258">
        <f t="shared" si="42"/>
        <v>49</v>
      </c>
      <c r="AG200" s="266"/>
      <c r="AK200" s="344"/>
    </row>
    <row r="201" spans="2:37" hidden="1" outlineLevel="1" x14ac:dyDescent="0.25">
      <c r="B201" s="561"/>
      <c r="D201" s="2251"/>
      <c r="E201" s="122" t="s">
        <v>1529</v>
      </c>
      <c r="F201" s="1533">
        <v>49</v>
      </c>
      <c r="G201" s="1336"/>
      <c r="H201" s="1359" t="s">
        <v>1584</v>
      </c>
      <c r="V201" s="2265"/>
      <c r="W201" s="266">
        <v>49</v>
      </c>
      <c r="X201" s="266">
        <v>49</v>
      </c>
      <c r="Y201" s="266">
        <v>49</v>
      </c>
      <c r="Z201" s="430">
        <v>49</v>
      </c>
      <c r="AA201" s="430">
        <v>49</v>
      </c>
      <c r="AB201" s="430">
        <v>49</v>
      </c>
      <c r="AC201" s="430">
        <v>49</v>
      </c>
      <c r="AD201" s="430">
        <v>49</v>
      </c>
      <c r="AE201" s="430">
        <v>49</v>
      </c>
      <c r="AF201" s="258">
        <f t="shared" ref="AF201:AF264" si="43">IF(F201&lt;&gt;"",F201,"")</f>
        <v>49</v>
      </c>
      <c r="AG201" s="266"/>
      <c r="AK201" s="344"/>
    </row>
    <row r="202" spans="2:37" hidden="1" outlineLevel="1" x14ac:dyDescent="0.25">
      <c r="B202" s="570"/>
      <c r="D202" s="2251"/>
      <c r="E202" s="122" t="s">
        <v>1531</v>
      </c>
      <c r="F202" s="1533">
        <v>49</v>
      </c>
      <c r="G202" s="1336"/>
      <c r="H202" s="1359" t="s">
        <v>1584</v>
      </c>
      <c r="V202" s="2265"/>
      <c r="W202" s="266">
        <v>49</v>
      </c>
      <c r="X202" s="266">
        <v>49</v>
      </c>
      <c r="Y202" s="266">
        <v>49</v>
      </c>
      <c r="Z202" s="430">
        <v>49</v>
      </c>
      <c r="AA202" s="430">
        <v>49</v>
      </c>
      <c r="AB202" s="430">
        <v>49</v>
      </c>
      <c r="AC202" s="430">
        <v>49</v>
      </c>
      <c r="AD202" s="430">
        <v>49</v>
      </c>
      <c r="AE202" s="430">
        <v>49</v>
      </c>
      <c r="AF202" s="258">
        <f t="shared" si="43"/>
        <v>49</v>
      </c>
      <c r="AG202" s="266"/>
      <c r="AK202" s="344"/>
    </row>
    <row r="203" spans="2:37" hidden="1" outlineLevel="1" x14ac:dyDescent="0.25">
      <c r="B203" s="570"/>
      <c r="D203" s="2251"/>
      <c r="E203" s="122" t="s">
        <v>1533</v>
      </c>
      <c r="F203" s="1533">
        <v>30</v>
      </c>
      <c r="G203" s="1336"/>
      <c r="H203" s="1359" t="s">
        <v>1584</v>
      </c>
      <c r="V203" s="2265"/>
      <c r="W203" s="266">
        <v>30</v>
      </c>
      <c r="X203" s="266">
        <v>30</v>
      </c>
      <c r="Y203" s="266">
        <v>30</v>
      </c>
      <c r="Z203" s="430">
        <v>30</v>
      </c>
      <c r="AA203" s="430">
        <v>30</v>
      </c>
      <c r="AB203" s="430">
        <v>30</v>
      </c>
      <c r="AC203" s="430">
        <v>30</v>
      </c>
      <c r="AD203" s="430">
        <v>30</v>
      </c>
      <c r="AE203" s="430">
        <v>30</v>
      </c>
      <c r="AF203" s="258">
        <f t="shared" si="43"/>
        <v>30</v>
      </c>
      <c r="AG203" s="266"/>
      <c r="AK203" s="344"/>
    </row>
    <row r="204" spans="2:37" hidden="1" outlineLevel="1" x14ac:dyDescent="0.25">
      <c r="B204" s="570"/>
      <c r="D204" s="2251"/>
      <c r="E204" s="122" t="s">
        <v>1535</v>
      </c>
      <c r="F204" s="1533">
        <v>30</v>
      </c>
      <c r="G204" s="1336"/>
      <c r="H204" s="1359" t="s">
        <v>1584</v>
      </c>
      <c r="V204" s="2265"/>
      <c r="W204" s="266">
        <v>30</v>
      </c>
      <c r="X204" s="266">
        <v>30</v>
      </c>
      <c r="Y204" s="266">
        <v>30</v>
      </c>
      <c r="Z204" s="430">
        <v>30</v>
      </c>
      <c r="AA204" s="430">
        <v>30</v>
      </c>
      <c r="AB204" s="430">
        <v>30</v>
      </c>
      <c r="AC204" s="430">
        <v>30</v>
      </c>
      <c r="AD204" s="430">
        <v>30</v>
      </c>
      <c r="AE204" s="430">
        <v>30</v>
      </c>
      <c r="AF204" s="258">
        <f t="shared" si="43"/>
        <v>30</v>
      </c>
      <c r="AG204" s="266"/>
      <c r="AK204" s="344"/>
    </row>
    <row r="205" spans="2:37" hidden="1" outlineLevel="1" x14ac:dyDescent="0.25">
      <c r="B205" s="570"/>
      <c r="D205" s="2251"/>
      <c r="E205" s="122" t="s">
        <v>1537</v>
      </c>
      <c r="F205" s="1533">
        <v>30</v>
      </c>
      <c r="G205" s="1336"/>
      <c r="H205" s="1359" t="s">
        <v>1584</v>
      </c>
      <c r="V205" s="2265"/>
      <c r="W205" s="266">
        <v>30</v>
      </c>
      <c r="X205" s="266">
        <v>30</v>
      </c>
      <c r="Y205" s="266">
        <v>30</v>
      </c>
      <c r="Z205" s="430">
        <v>30</v>
      </c>
      <c r="AA205" s="430">
        <v>30</v>
      </c>
      <c r="AB205" s="430">
        <v>30</v>
      </c>
      <c r="AC205" s="430">
        <v>30</v>
      </c>
      <c r="AD205" s="430">
        <v>30</v>
      </c>
      <c r="AE205" s="430">
        <v>30</v>
      </c>
      <c r="AF205" s="258">
        <f t="shared" si="43"/>
        <v>30</v>
      </c>
      <c r="AG205" s="266"/>
      <c r="AK205" s="344"/>
    </row>
    <row r="206" spans="2:37" hidden="1" outlineLevel="1" x14ac:dyDescent="0.25">
      <c r="B206" s="570"/>
      <c r="D206" s="2251"/>
      <c r="E206" s="122" t="s">
        <v>1539</v>
      </c>
      <c r="F206" s="1533">
        <v>30</v>
      </c>
      <c r="G206" s="1336"/>
      <c r="H206" s="1359" t="s">
        <v>1584</v>
      </c>
      <c r="V206" s="2265"/>
      <c r="W206" s="266">
        <v>30</v>
      </c>
      <c r="X206" s="266">
        <v>30</v>
      </c>
      <c r="Y206" s="266">
        <v>30</v>
      </c>
      <c r="Z206" s="430">
        <v>30</v>
      </c>
      <c r="AA206" s="430">
        <v>30</v>
      </c>
      <c r="AB206" s="430">
        <v>30</v>
      </c>
      <c r="AC206" s="430">
        <v>30</v>
      </c>
      <c r="AD206" s="430">
        <v>30</v>
      </c>
      <c r="AE206" s="430">
        <v>30</v>
      </c>
      <c r="AF206" s="258">
        <f t="shared" si="43"/>
        <v>30</v>
      </c>
      <c r="AG206" s="266"/>
      <c r="AK206" s="344"/>
    </row>
    <row r="207" spans="2:37" hidden="1" outlineLevel="1" x14ac:dyDescent="0.25">
      <c r="B207" s="570"/>
      <c r="D207" s="2251"/>
      <c r="E207" s="122" t="s">
        <v>1541</v>
      </c>
      <c r="F207" s="1533">
        <v>30</v>
      </c>
      <c r="G207" s="1336"/>
      <c r="H207" s="1359" t="s">
        <v>1584</v>
      </c>
      <c r="V207" s="2265"/>
      <c r="W207" s="266">
        <v>30</v>
      </c>
      <c r="X207" s="266">
        <v>30</v>
      </c>
      <c r="Y207" s="266">
        <v>30</v>
      </c>
      <c r="Z207" s="430">
        <v>30</v>
      </c>
      <c r="AA207" s="430">
        <v>30</v>
      </c>
      <c r="AB207" s="430">
        <v>30</v>
      </c>
      <c r="AC207" s="430">
        <v>30</v>
      </c>
      <c r="AD207" s="430">
        <v>30</v>
      </c>
      <c r="AE207" s="430">
        <v>30</v>
      </c>
      <c r="AF207" s="258">
        <f t="shared" si="43"/>
        <v>30</v>
      </c>
      <c r="AG207" s="266"/>
      <c r="AK207" s="344"/>
    </row>
    <row r="208" spans="2:37" hidden="1" outlineLevel="1" x14ac:dyDescent="0.25">
      <c r="B208" s="570"/>
      <c r="D208" s="2251"/>
      <c r="E208" s="122" t="s">
        <v>1543</v>
      </c>
      <c r="F208" s="1533">
        <v>30</v>
      </c>
      <c r="G208" s="1336"/>
      <c r="H208" s="1359" t="s">
        <v>1584</v>
      </c>
      <c r="V208" s="2265"/>
      <c r="W208" s="266">
        <v>30</v>
      </c>
      <c r="X208" s="266">
        <v>30</v>
      </c>
      <c r="Y208" s="266">
        <v>30</v>
      </c>
      <c r="Z208" s="430">
        <v>30</v>
      </c>
      <c r="AA208" s="430">
        <v>30</v>
      </c>
      <c r="AB208" s="430">
        <v>30</v>
      </c>
      <c r="AC208" s="430">
        <v>30</v>
      </c>
      <c r="AD208" s="430">
        <v>30</v>
      </c>
      <c r="AE208" s="430">
        <v>30</v>
      </c>
      <c r="AF208" s="258">
        <f t="shared" si="43"/>
        <v>30</v>
      </c>
      <c r="AG208" s="266"/>
      <c r="AK208" s="344"/>
    </row>
    <row r="209" spans="2:37" hidden="1" outlineLevel="1" x14ac:dyDescent="0.25">
      <c r="B209" s="570"/>
      <c r="D209" s="2251"/>
      <c r="E209" s="122" t="s">
        <v>1545</v>
      </c>
      <c r="F209" s="1533">
        <v>38</v>
      </c>
      <c r="G209" s="1336"/>
      <c r="H209" s="1359" t="s">
        <v>1584</v>
      </c>
      <c r="V209" s="2265"/>
      <c r="W209" s="266">
        <v>38</v>
      </c>
      <c r="X209" s="266">
        <v>38</v>
      </c>
      <c r="Y209" s="266">
        <v>38</v>
      </c>
      <c r="Z209" s="430">
        <v>38</v>
      </c>
      <c r="AA209" s="430">
        <v>38</v>
      </c>
      <c r="AB209" s="430">
        <v>38</v>
      </c>
      <c r="AC209" s="430">
        <v>38</v>
      </c>
      <c r="AD209" s="430">
        <v>38</v>
      </c>
      <c r="AE209" s="430">
        <v>38</v>
      </c>
      <c r="AF209" s="258">
        <f t="shared" si="43"/>
        <v>38</v>
      </c>
      <c r="AG209" s="266"/>
      <c r="AK209" s="344"/>
    </row>
    <row r="210" spans="2:37" hidden="1" outlineLevel="1" x14ac:dyDescent="0.25">
      <c r="B210" s="561"/>
      <c r="D210" s="2251"/>
      <c r="E210" s="122" t="s">
        <v>1547</v>
      </c>
      <c r="F210" s="1533">
        <v>38</v>
      </c>
      <c r="G210" s="1336"/>
      <c r="H210" s="1359" t="s">
        <v>1584</v>
      </c>
      <c r="V210" s="2265"/>
      <c r="W210" s="266">
        <v>38</v>
      </c>
      <c r="X210" s="266">
        <v>38</v>
      </c>
      <c r="Y210" s="266">
        <v>38</v>
      </c>
      <c r="Z210" s="430">
        <v>38</v>
      </c>
      <c r="AA210" s="430">
        <v>38</v>
      </c>
      <c r="AB210" s="430">
        <v>38</v>
      </c>
      <c r="AC210" s="430">
        <v>38</v>
      </c>
      <c r="AD210" s="430">
        <v>38</v>
      </c>
      <c r="AE210" s="430">
        <v>38</v>
      </c>
      <c r="AF210" s="258">
        <f t="shared" si="43"/>
        <v>38</v>
      </c>
      <c r="AG210" s="266"/>
      <c r="AK210" s="344"/>
    </row>
    <row r="211" spans="2:37" hidden="1" outlineLevel="1" x14ac:dyDescent="0.25">
      <c r="B211" s="561"/>
      <c r="D211" s="2251"/>
      <c r="E211" s="122" t="s">
        <v>1549</v>
      </c>
      <c r="F211" s="1533">
        <v>38</v>
      </c>
      <c r="G211" s="1336"/>
      <c r="H211" s="1359" t="s">
        <v>1584</v>
      </c>
      <c r="V211" s="2265"/>
      <c r="W211" s="266">
        <v>38</v>
      </c>
      <c r="X211" s="266">
        <v>38</v>
      </c>
      <c r="Y211" s="266">
        <v>38</v>
      </c>
      <c r="Z211" s="430">
        <v>38</v>
      </c>
      <c r="AA211" s="430">
        <v>38</v>
      </c>
      <c r="AB211" s="430">
        <v>38</v>
      </c>
      <c r="AC211" s="430">
        <v>38</v>
      </c>
      <c r="AD211" s="430">
        <v>38</v>
      </c>
      <c r="AE211" s="430">
        <v>38</v>
      </c>
      <c r="AF211" s="258">
        <f t="shared" si="43"/>
        <v>38</v>
      </c>
      <c r="AG211" s="266"/>
      <c r="AK211" s="344"/>
    </row>
    <row r="212" spans="2:37" hidden="1" outlineLevel="1" x14ac:dyDescent="0.25">
      <c r="B212" s="561"/>
      <c r="D212" s="2251"/>
      <c r="E212" s="122" t="s">
        <v>1551</v>
      </c>
      <c r="F212" s="1533">
        <v>38</v>
      </c>
      <c r="G212" s="1336"/>
      <c r="H212" s="1359" t="s">
        <v>1584</v>
      </c>
      <c r="V212" s="2265"/>
      <c r="W212" s="266">
        <v>38</v>
      </c>
      <c r="X212" s="266">
        <v>38</v>
      </c>
      <c r="Y212" s="266">
        <v>38</v>
      </c>
      <c r="Z212" s="430">
        <v>38</v>
      </c>
      <c r="AA212" s="430">
        <v>38</v>
      </c>
      <c r="AB212" s="430">
        <v>38</v>
      </c>
      <c r="AC212" s="430">
        <v>38</v>
      </c>
      <c r="AD212" s="430">
        <v>38</v>
      </c>
      <c r="AE212" s="430">
        <v>38</v>
      </c>
      <c r="AF212" s="258">
        <f t="shared" si="43"/>
        <v>38</v>
      </c>
      <c r="AG212" s="266"/>
      <c r="AK212" s="344"/>
    </row>
    <row r="213" spans="2:37" hidden="1" outlineLevel="1" x14ac:dyDescent="0.25">
      <c r="B213" s="570"/>
      <c r="D213" s="2251"/>
      <c r="E213" s="122" t="s">
        <v>1553</v>
      </c>
      <c r="F213" s="1533">
        <v>38</v>
      </c>
      <c r="G213" s="1336"/>
      <c r="H213" s="1359" t="s">
        <v>1584</v>
      </c>
      <c r="V213" s="2265"/>
      <c r="W213" s="266">
        <v>38</v>
      </c>
      <c r="X213" s="266">
        <v>38</v>
      </c>
      <c r="Y213" s="266">
        <v>38</v>
      </c>
      <c r="Z213" s="430">
        <v>38</v>
      </c>
      <c r="AA213" s="430">
        <v>38</v>
      </c>
      <c r="AB213" s="430">
        <v>38</v>
      </c>
      <c r="AC213" s="430">
        <v>38</v>
      </c>
      <c r="AD213" s="430">
        <v>38</v>
      </c>
      <c r="AE213" s="430">
        <v>38</v>
      </c>
      <c r="AF213" s="258">
        <f t="shared" si="43"/>
        <v>38</v>
      </c>
      <c r="AG213" s="266"/>
      <c r="AK213" s="344"/>
    </row>
    <row r="214" spans="2:37" hidden="1" outlineLevel="1" x14ac:dyDescent="0.25">
      <c r="B214" s="570"/>
      <c r="D214" s="2251"/>
      <c r="E214" s="122" t="s">
        <v>1555</v>
      </c>
      <c r="F214" s="1533">
        <v>38</v>
      </c>
      <c r="G214" s="1336"/>
      <c r="H214" s="1359" t="s">
        <v>1584</v>
      </c>
      <c r="V214" s="2265"/>
      <c r="W214" s="266">
        <v>38</v>
      </c>
      <c r="X214" s="266">
        <v>38</v>
      </c>
      <c r="Y214" s="266">
        <v>38</v>
      </c>
      <c r="Z214" s="430">
        <v>38</v>
      </c>
      <c r="AA214" s="430">
        <v>38</v>
      </c>
      <c r="AB214" s="430">
        <v>38</v>
      </c>
      <c r="AC214" s="430">
        <v>38</v>
      </c>
      <c r="AD214" s="430">
        <v>38</v>
      </c>
      <c r="AE214" s="430">
        <v>38</v>
      </c>
      <c r="AF214" s="258">
        <f t="shared" si="43"/>
        <v>38</v>
      </c>
      <c r="AG214" s="266"/>
      <c r="AK214" s="344"/>
    </row>
    <row r="215" spans="2:37" hidden="1" outlineLevel="1" x14ac:dyDescent="0.25">
      <c r="B215" s="570"/>
      <c r="D215" s="2251"/>
      <c r="E215" s="122" t="s">
        <v>1557</v>
      </c>
      <c r="F215" s="1533">
        <v>49</v>
      </c>
      <c r="G215" s="1336"/>
      <c r="H215" s="1359" t="s">
        <v>1584</v>
      </c>
      <c r="V215" s="2265"/>
      <c r="W215" s="266">
        <v>49</v>
      </c>
      <c r="X215" s="266">
        <v>49</v>
      </c>
      <c r="Y215" s="266">
        <v>49</v>
      </c>
      <c r="Z215" s="430">
        <v>49</v>
      </c>
      <c r="AA215" s="430">
        <v>49</v>
      </c>
      <c r="AB215" s="430">
        <v>49</v>
      </c>
      <c r="AC215" s="430">
        <v>49</v>
      </c>
      <c r="AD215" s="430">
        <v>49</v>
      </c>
      <c r="AE215" s="430">
        <v>49</v>
      </c>
      <c r="AF215" s="258">
        <f t="shared" si="43"/>
        <v>49</v>
      </c>
      <c r="AG215" s="266"/>
      <c r="AK215" s="344"/>
    </row>
    <row r="216" spans="2:37" hidden="1" outlineLevel="1" x14ac:dyDescent="0.25">
      <c r="B216" s="570"/>
      <c r="D216" s="2251"/>
      <c r="E216" s="122" t="s">
        <v>1559</v>
      </c>
      <c r="F216" s="1533">
        <v>49</v>
      </c>
      <c r="G216" s="1336"/>
      <c r="H216" s="1359" t="s">
        <v>1584</v>
      </c>
      <c r="V216" s="2265"/>
      <c r="W216" s="266">
        <v>49</v>
      </c>
      <c r="X216" s="266">
        <v>49</v>
      </c>
      <c r="Y216" s="266">
        <v>49</v>
      </c>
      <c r="Z216" s="430">
        <v>49</v>
      </c>
      <c r="AA216" s="430">
        <v>49</v>
      </c>
      <c r="AB216" s="430">
        <v>49</v>
      </c>
      <c r="AC216" s="430">
        <v>49</v>
      </c>
      <c r="AD216" s="430">
        <v>49</v>
      </c>
      <c r="AE216" s="430">
        <v>49</v>
      </c>
      <c r="AF216" s="258">
        <f t="shared" si="43"/>
        <v>49</v>
      </c>
      <c r="AG216" s="266"/>
      <c r="AK216" s="344"/>
    </row>
    <row r="217" spans="2:37" hidden="1" outlineLevel="1" x14ac:dyDescent="0.25">
      <c r="B217" s="570"/>
      <c r="D217" s="2251"/>
      <c r="E217" s="122" t="s">
        <v>1561</v>
      </c>
      <c r="F217" s="1533">
        <v>49</v>
      </c>
      <c r="G217" s="1336"/>
      <c r="H217" s="1359" t="s">
        <v>1584</v>
      </c>
      <c r="V217" s="2265"/>
      <c r="W217" s="266">
        <v>49</v>
      </c>
      <c r="X217" s="266">
        <v>49</v>
      </c>
      <c r="Y217" s="266">
        <v>49</v>
      </c>
      <c r="Z217" s="430">
        <v>49</v>
      </c>
      <c r="AA217" s="430">
        <v>49</v>
      </c>
      <c r="AB217" s="430">
        <v>49</v>
      </c>
      <c r="AC217" s="430">
        <v>49</v>
      </c>
      <c r="AD217" s="430">
        <v>49</v>
      </c>
      <c r="AE217" s="430">
        <v>49</v>
      </c>
      <c r="AF217" s="258">
        <f t="shared" si="43"/>
        <v>49</v>
      </c>
      <c r="AG217" s="266"/>
      <c r="AK217" s="344"/>
    </row>
    <row r="218" spans="2:37" hidden="1" outlineLevel="1" x14ac:dyDescent="0.25">
      <c r="B218" s="570"/>
      <c r="D218" s="2251"/>
      <c r="E218" s="122" t="s">
        <v>1563</v>
      </c>
      <c r="F218" s="1533">
        <v>49</v>
      </c>
      <c r="G218" s="1336"/>
      <c r="H218" s="1359" t="s">
        <v>1584</v>
      </c>
      <c r="V218" s="2265"/>
      <c r="W218" s="266">
        <v>49</v>
      </c>
      <c r="X218" s="266">
        <v>49</v>
      </c>
      <c r="Y218" s="266">
        <v>49</v>
      </c>
      <c r="Z218" s="430">
        <v>49</v>
      </c>
      <c r="AA218" s="430">
        <v>49</v>
      </c>
      <c r="AB218" s="430">
        <v>49</v>
      </c>
      <c r="AC218" s="430">
        <v>49</v>
      </c>
      <c r="AD218" s="430">
        <v>49</v>
      </c>
      <c r="AE218" s="430">
        <v>49</v>
      </c>
      <c r="AF218" s="258">
        <f t="shared" si="43"/>
        <v>49</v>
      </c>
      <c r="AG218" s="266"/>
      <c r="AK218" s="344"/>
    </row>
    <row r="219" spans="2:37" hidden="1" outlineLevel="1" x14ac:dyDescent="0.25">
      <c r="B219" s="570"/>
      <c r="D219" s="2251"/>
      <c r="E219" s="122" t="s">
        <v>1565</v>
      </c>
      <c r="F219" s="1533">
        <v>49</v>
      </c>
      <c r="G219" s="1336"/>
      <c r="H219" s="1359" t="s">
        <v>1584</v>
      </c>
      <c r="V219" s="2265"/>
      <c r="W219" s="266">
        <v>49</v>
      </c>
      <c r="X219" s="266">
        <v>49</v>
      </c>
      <c r="Y219" s="266">
        <v>49</v>
      </c>
      <c r="Z219" s="430">
        <v>49</v>
      </c>
      <c r="AA219" s="430">
        <v>49</v>
      </c>
      <c r="AB219" s="430">
        <v>49</v>
      </c>
      <c r="AC219" s="430">
        <v>49</v>
      </c>
      <c r="AD219" s="430">
        <v>49</v>
      </c>
      <c r="AE219" s="430">
        <v>49</v>
      </c>
      <c r="AF219" s="258">
        <f t="shared" si="43"/>
        <v>49</v>
      </c>
      <c r="AG219" s="266"/>
      <c r="AK219" s="344"/>
    </row>
    <row r="220" spans="2:37" hidden="1" outlineLevel="1" x14ac:dyDescent="0.25">
      <c r="B220" s="570"/>
      <c r="D220" s="2251"/>
      <c r="E220" s="122" t="s">
        <v>1567</v>
      </c>
      <c r="F220" s="1533">
        <v>49</v>
      </c>
      <c r="G220" s="1336"/>
      <c r="H220" s="1359" t="s">
        <v>1584</v>
      </c>
      <c r="V220" s="2265"/>
      <c r="W220" s="266">
        <v>49</v>
      </c>
      <c r="X220" s="266">
        <v>49</v>
      </c>
      <c r="Y220" s="266">
        <v>49</v>
      </c>
      <c r="Z220" s="430">
        <v>49</v>
      </c>
      <c r="AA220" s="430">
        <v>49</v>
      </c>
      <c r="AB220" s="430">
        <v>49</v>
      </c>
      <c r="AC220" s="430">
        <v>49</v>
      </c>
      <c r="AD220" s="430">
        <v>49</v>
      </c>
      <c r="AE220" s="430">
        <v>49</v>
      </c>
      <c r="AF220" s="258">
        <f t="shared" si="43"/>
        <v>49</v>
      </c>
      <c r="AG220" s="266"/>
      <c r="AK220" s="344"/>
    </row>
    <row r="221" spans="2:37" hidden="1" outlineLevel="1" x14ac:dyDescent="0.25">
      <c r="B221" s="570"/>
      <c r="D221" s="2251"/>
      <c r="E221" s="122" t="s">
        <v>1569</v>
      </c>
      <c r="F221" s="1533">
        <v>60</v>
      </c>
      <c r="G221" s="1336"/>
      <c r="H221" s="1359" t="s">
        <v>1584</v>
      </c>
      <c r="V221" s="2265"/>
      <c r="W221" s="266">
        <v>60</v>
      </c>
      <c r="X221" s="266">
        <v>60</v>
      </c>
      <c r="Y221" s="266">
        <v>60</v>
      </c>
      <c r="Z221" s="430">
        <v>60</v>
      </c>
      <c r="AA221" s="430">
        <v>60</v>
      </c>
      <c r="AB221" s="430">
        <v>60</v>
      </c>
      <c r="AC221" s="430">
        <v>60</v>
      </c>
      <c r="AD221" s="430">
        <v>60</v>
      </c>
      <c r="AE221" s="430">
        <v>60</v>
      </c>
      <c r="AF221" s="258">
        <f t="shared" si="43"/>
        <v>60</v>
      </c>
      <c r="AG221" s="266"/>
      <c r="AK221" s="344"/>
    </row>
    <row r="222" spans="2:37" hidden="1" outlineLevel="1" x14ac:dyDescent="0.25">
      <c r="B222" s="570"/>
      <c r="D222" s="2251"/>
      <c r="E222" s="122" t="s">
        <v>1571</v>
      </c>
      <c r="F222" s="1533">
        <v>60</v>
      </c>
      <c r="G222" s="1336"/>
      <c r="H222" s="1359" t="s">
        <v>1584</v>
      </c>
      <c r="V222" s="2265"/>
      <c r="W222" s="266">
        <v>60</v>
      </c>
      <c r="X222" s="266">
        <v>60</v>
      </c>
      <c r="Y222" s="266">
        <v>60</v>
      </c>
      <c r="Z222" s="430">
        <v>60</v>
      </c>
      <c r="AA222" s="430">
        <v>60</v>
      </c>
      <c r="AB222" s="430">
        <v>60</v>
      </c>
      <c r="AC222" s="430">
        <v>60</v>
      </c>
      <c r="AD222" s="430">
        <v>60</v>
      </c>
      <c r="AE222" s="430">
        <v>60</v>
      </c>
      <c r="AF222" s="258">
        <f t="shared" si="43"/>
        <v>60</v>
      </c>
      <c r="AG222" s="266"/>
      <c r="AK222" s="344"/>
    </row>
    <row r="223" spans="2:37" hidden="1" outlineLevel="1" x14ac:dyDescent="0.25">
      <c r="B223" s="570"/>
      <c r="D223" s="2251"/>
      <c r="E223" s="122" t="s">
        <v>1573</v>
      </c>
      <c r="F223" s="1533">
        <v>60</v>
      </c>
      <c r="G223" s="1336"/>
      <c r="H223" s="1359" t="s">
        <v>1584</v>
      </c>
      <c r="V223" s="2265"/>
      <c r="W223" s="266">
        <v>60</v>
      </c>
      <c r="X223" s="266">
        <v>60</v>
      </c>
      <c r="Y223" s="266">
        <v>60</v>
      </c>
      <c r="Z223" s="430">
        <v>60</v>
      </c>
      <c r="AA223" s="430">
        <v>60</v>
      </c>
      <c r="AB223" s="430">
        <v>60</v>
      </c>
      <c r="AC223" s="430">
        <v>60</v>
      </c>
      <c r="AD223" s="430">
        <v>60</v>
      </c>
      <c r="AE223" s="430">
        <v>60</v>
      </c>
      <c r="AF223" s="258">
        <f t="shared" si="43"/>
        <v>60</v>
      </c>
      <c r="AG223" s="266"/>
      <c r="AK223" s="344"/>
    </row>
    <row r="224" spans="2:37" hidden="1" outlineLevel="1" x14ac:dyDescent="0.25">
      <c r="B224" s="570"/>
      <c r="D224" s="2251"/>
      <c r="E224" s="122" t="s">
        <v>1575</v>
      </c>
      <c r="F224" s="1533">
        <v>60</v>
      </c>
      <c r="G224" s="1336"/>
      <c r="H224" s="1359" t="s">
        <v>1584</v>
      </c>
      <c r="V224" s="2265"/>
      <c r="W224" s="266">
        <v>60</v>
      </c>
      <c r="X224" s="266">
        <v>60</v>
      </c>
      <c r="Y224" s="266">
        <v>60</v>
      </c>
      <c r="Z224" s="430">
        <v>60</v>
      </c>
      <c r="AA224" s="430">
        <v>60</v>
      </c>
      <c r="AB224" s="430">
        <v>60</v>
      </c>
      <c r="AC224" s="430">
        <v>60</v>
      </c>
      <c r="AD224" s="430">
        <v>60</v>
      </c>
      <c r="AE224" s="430">
        <v>60</v>
      </c>
      <c r="AF224" s="258">
        <f t="shared" si="43"/>
        <v>60</v>
      </c>
      <c r="AG224" s="266"/>
      <c r="AK224" s="344"/>
    </row>
    <row r="225" spans="2:37" hidden="1" outlineLevel="1" x14ac:dyDescent="0.25">
      <c r="B225" s="570"/>
      <c r="D225" s="2251"/>
      <c r="E225" s="122" t="s">
        <v>1577</v>
      </c>
      <c r="F225" s="1533">
        <v>60</v>
      </c>
      <c r="G225" s="1336"/>
      <c r="H225" s="1359" t="s">
        <v>1584</v>
      </c>
      <c r="V225" s="2265"/>
      <c r="W225" s="266">
        <v>60</v>
      </c>
      <c r="X225" s="266">
        <v>60</v>
      </c>
      <c r="Y225" s="266">
        <v>60</v>
      </c>
      <c r="Z225" s="430">
        <v>60</v>
      </c>
      <c r="AA225" s="430">
        <v>60</v>
      </c>
      <c r="AB225" s="430">
        <v>60</v>
      </c>
      <c r="AC225" s="430">
        <v>60</v>
      </c>
      <c r="AD225" s="430">
        <v>60</v>
      </c>
      <c r="AE225" s="430">
        <v>60</v>
      </c>
      <c r="AF225" s="258">
        <f t="shared" si="43"/>
        <v>60</v>
      </c>
      <c r="AG225" s="266"/>
      <c r="AK225" s="344"/>
    </row>
    <row r="226" spans="2:37" hidden="1" outlineLevel="1" x14ac:dyDescent="0.25">
      <c r="B226" s="570"/>
      <c r="D226" s="2251"/>
      <c r="E226" s="122" t="s">
        <v>1579</v>
      </c>
      <c r="F226" s="1533">
        <v>60</v>
      </c>
      <c r="G226" s="1336"/>
      <c r="H226" s="1359" t="s">
        <v>1584</v>
      </c>
      <c r="V226" s="2269"/>
      <c r="W226" s="266">
        <v>60</v>
      </c>
      <c r="X226" s="266">
        <v>60</v>
      </c>
      <c r="Y226" s="266">
        <v>60</v>
      </c>
      <c r="Z226" s="430">
        <v>60</v>
      </c>
      <c r="AA226" s="430">
        <v>60</v>
      </c>
      <c r="AB226" s="430">
        <v>60</v>
      </c>
      <c r="AC226" s="430">
        <v>60</v>
      </c>
      <c r="AD226" s="430">
        <v>60</v>
      </c>
      <c r="AE226" s="430">
        <v>60</v>
      </c>
      <c r="AF226" s="258">
        <f t="shared" si="43"/>
        <v>60</v>
      </c>
      <c r="AG226" s="266"/>
      <c r="AK226" s="344"/>
    </row>
    <row r="227" spans="2:37" ht="17.25" hidden="1" customHeight="1" outlineLevel="1" x14ac:dyDescent="0.25">
      <c r="B227" s="561"/>
      <c r="D227" s="2251" t="s">
        <v>1586</v>
      </c>
      <c r="E227" s="122" t="s">
        <v>1521</v>
      </c>
      <c r="F227" s="1544">
        <v>1</v>
      </c>
      <c r="G227" s="1336" t="s">
        <v>1587</v>
      </c>
      <c r="H227" s="1359" t="s">
        <v>1588</v>
      </c>
      <c r="V227" s="2264" t="str">
        <f>D227</f>
        <v>AAttic</v>
      </c>
      <c r="W227" s="266">
        <f>0.65*1347</f>
        <v>875.55000000000007</v>
      </c>
      <c r="X227" s="266">
        <v>875.55000000000007</v>
      </c>
      <c r="Y227" s="180">
        <v>1</v>
      </c>
      <c r="Z227" s="182">
        <v>1</v>
      </c>
      <c r="AA227" s="182">
        <v>1</v>
      </c>
      <c r="AB227" s="182">
        <v>1</v>
      </c>
      <c r="AC227" s="296">
        <v>1</v>
      </c>
      <c r="AD227" s="296">
        <v>1</v>
      </c>
      <c r="AE227" s="296">
        <v>1</v>
      </c>
      <c r="AF227" s="258">
        <f t="shared" si="43"/>
        <v>1</v>
      </c>
      <c r="AG227" s="266"/>
      <c r="AK227" s="344"/>
    </row>
    <row r="228" spans="2:37" hidden="1" outlineLevel="1" x14ac:dyDescent="0.25">
      <c r="D228" s="2251"/>
      <c r="E228" s="122" t="s">
        <v>1523</v>
      </c>
      <c r="F228" s="1544">
        <v>1</v>
      </c>
      <c r="G228" s="1336" t="s">
        <v>1587</v>
      </c>
      <c r="H228" s="1359" t="s">
        <v>1588</v>
      </c>
      <c r="V228" s="2265"/>
      <c r="W228" s="266">
        <f>0.65*1347</f>
        <v>875.55000000000007</v>
      </c>
      <c r="X228" s="266">
        <v>875.55000000000007</v>
      </c>
      <c r="Y228" s="180">
        <v>1</v>
      </c>
      <c r="Z228" s="182">
        <v>1</v>
      </c>
      <c r="AA228" s="182">
        <v>1</v>
      </c>
      <c r="AB228" s="182">
        <v>1</v>
      </c>
      <c r="AC228" s="296">
        <v>1</v>
      </c>
      <c r="AD228" s="296">
        <v>1</v>
      </c>
      <c r="AE228" s="296">
        <v>1</v>
      </c>
      <c r="AF228" s="258">
        <f t="shared" si="43"/>
        <v>1</v>
      </c>
      <c r="AG228" s="266"/>
      <c r="AK228" s="344"/>
    </row>
    <row r="229" spans="2:37" hidden="1" outlineLevel="1" x14ac:dyDescent="0.25">
      <c r="D229" s="2251"/>
      <c r="E229" s="122" t="s">
        <v>1525</v>
      </c>
      <c r="F229" s="1544">
        <v>1</v>
      </c>
      <c r="G229" s="1336" t="s">
        <v>1587</v>
      </c>
      <c r="H229" s="1359" t="s">
        <v>1588</v>
      </c>
      <c r="V229" s="2265"/>
      <c r="W229" s="266">
        <f>0.65*1347</f>
        <v>875.55000000000007</v>
      </c>
      <c r="X229" s="266">
        <v>875.55000000000007</v>
      </c>
      <c r="Y229" s="180">
        <v>1</v>
      </c>
      <c r="Z229" s="182">
        <v>1</v>
      </c>
      <c r="AA229" s="182">
        <v>1</v>
      </c>
      <c r="AB229" s="182">
        <v>1</v>
      </c>
      <c r="AC229" s="296">
        <v>1</v>
      </c>
      <c r="AD229" s="296">
        <v>1</v>
      </c>
      <c r="AE229" s="296">
        <v>1</v>
      </c>
      <c r="AF229" s="258">
        <f t="shared" si="43"/>
        <v>1</v>
      </c>
      <c r="AG229" s="266"/>
      <c r="AK229" s="344"/>
    </row>
    <row r="230" spans="2:37" hidden="1" outlineLevel="1" x14ac:dyDescent="0.25">
      <c r="D230" s="2251"/>
      <c r="E230" s="122" t="s">
        <v>1527</v>
      </c>
      <c r="F230" s="1544">
        <v>1</v>
      </c>
      <c r="G230" s="1336" t="s">
        <v>1587</v>
      </c>
      <c r="H230" s="1359" t="s">
        <v>1589</v>
      </c>
      <c r="V230" s="2265"/>
      <c r="W230" s="266">
        <v>1347</v>
      </c>
      <c r="X230" s="266">
        <v>1347</v>
      </c>
      <c r="Y230" s="180">
        <v>1</v>
      </c>
      <c r="Z230" s="182">
        <v>1</v>
      </c>
      <c r="AA230" s="182">
        <v>1</v>
      </c>
      <c r="AB230" s="182">
        <v>1</v>
      </c>
      <c r="AC230" s="296">
        <v>1</v>
      </c>
      <c r="AD230" s="296">
        <v>1</v>
      </c>
      <c r="AE230" s="296">
        <v>1</v>
      </c>
      <c r="AF230" s="258">
        <f t="shared" si="43"/>
        <v>1</v>
      </c>
      <c r="AG230" s="266"/>
      <c r="AK230" s="344"/>
    </row>
    <row r="231" spans="2:37" hidden="1" outlineLevel="1" x14ac:dyDescent="0.25">
      <c r="D231" s="2251"/>
      <c r="E231" s="122" t="s">
        <v>1529</v>
      </c>
      <c r="F231" s="1544">
        <v>1</v>
      </c>
      <c r="G231" s="1336" t="s">
        <v>1587</v>
      </c>
      <c r="H231" s="1359" t="s">
        <v>1589</v>
      </c>
      <c r="V231" s="2265"/>
      <c r="W231" s="266">
        <v>1347</v>
      </c>
      <c r="X231" s="266">
        <v>1347</v>
      </c>
      <c r="Y231" s="180">
        <v>1</v>
      </c>
      <c r="Z231" s="182">
        <v>1</v>
      </c>
      <c r="AA231" s="182">
        <v>1</v>
      </c>
      <c r="AB231" s="182">
        <v>1</v>
      </c>
      <c r="AC231" s="296">
        <v>1</v>
      </c>
      <c r="AD231" s="296">
        <v>1</v>
      </c>
      <c r="AE231" s="296">
        <v>1</v>
      </c>
      <c r="AF231" s="258">
        <f t="shared" si="43"/>
        <v>1</v>
      </c>
      <c r="AG231" s="266"/>
      <c r="AK231" s="344"/>
    </row>
    <row r="232" spans="2:37" hidden="1" outlineLevel="1" x14ac:dyDescent="0.25">
      <c r="D232" s="2251"/>
      <c r="E232" s="122" t="s">
        <v>1531</v>
      </c>
      <c r="F232" s="1544">
        <v>1</v>
      </c>
      <c r="G232" s="1336" t="s">
        <v>1587</v>
      </c>
      <c r="H232" s="1359" t="s">
        <v>1589</v>
      </c>
      <c r="V232" s="2265"/>
      <c r="W232" s="266">
        <v>1347</v>
      </c>
      <c r="X232" s="266">
        <v>1347</v>
      </c>
      <c r="Y232" s="180">
        <v>1</v>
      </c>
      <c r="Z232" s="182">
        <v>1</v>
      </c>
      <c r="AA232" s="182">
        <v>1</v>
      </c>
      <c r="AB232" s="182">
        <v>1</v>
      </c>
      <c r="AC232" s="296">
        <v>1</v>
      </c>
      <c r="AD232" s="296">
        <v>1</v>
      </c>
      <c r="AE232" s="296">
        <v>1</v>
      </c>
      <c r="AF232" s="258">
        <f t="shared" si="43"/>
        <v>1</v>
      </c>
      <c r="AG232" s="266"/>
      <c r="AK232" s="344"/>
    </row>
    <row r="233" spans="2:37" hidden="1" outlineLevel="1" x14ac:dyDescent="0.25">
      <c r="D233" s="2251"/>
      <c r="E233" s="122" t="s">
        <v>1533</v>
      </c>
      <c r="F233" s="1544">
        <v>1</v>
      </c>
      <c r="G233" s="1336" t="s">
        <v>1587</v>
      </c>
      <c r="H233" s="1359" t="s">
        <v>1590</v>
      </c>
      <c r="V233" s="2265"/>
      <c r="W233" s="266">
        <f>0.65*1106</f>
        <v>718.9</v>
      </c>
      <c r="X233" s="266">
        <v>718.9</v>
      </c>
      <c r="Y233" s="180">
        <v>1</v>
      </c>
      <c r="Z233" s="182">
        <v>1</v>
      </c>
      <c r="AA233" s="182">
        <v>1</v>
      </c>
      <c r="AB233" s="182">
        <v>1</v>
      </c>
      <c r="AC233" s="296">
        <v>1</v>
      </c>
      <c r="AD233" s="296">
        <v>1</v>
      </c>
      <c r="AE233" s="296">
        <v>1</v>
      </c>
      <c r="AF233" s="258">
        <f t="shared" si="43"/>
        <v>1</v>
      </c>
      <c r="AG233" s="266"/>
      <c r="AK233" s="344"/>
    </row>
    <row r="234" spans="2:37" hidden="1" outlineLevel="1" x14ac:dyDescent="0.25">
      <c r="D234" s="2251"/>
      <c r="E234" s="122" t="s">
        <v>1535</v>
      </c>
      <c r="F234" s="1544">
        <v>1</v>
      </c>
      <c r="G234" s="1336" t="s">
        <v>1587</v>
      </c>
      <c r="H234" s="1359" t="s">
        <v>1590</v>
      </c>
      <c r="V234" s="2265"/>
      <c r="W234" s="266">
        <f>0.65*1106</f>
        <v>718.9</v>
      </c>
      <c r="X234" s="266">
        <v>718.9</v>
      </c>
      <c r="Y234" s="180">
        <v>1</v>
      </c>
      <c r="Z234" s="182">
        <v>1</v>
      </c>
      <c r="AA234" s="182">
        <v>1</v>
      </c>
      <c r="AB234" s="182">
        <v>1</v>
      </c>
      <c r="AC234" s="296">
        <v>1</v>
      </c>
      <c r="AD234" s="296">
        <v>1</v>
      </c>
      <c r="AE234" s="296">
        <v>1</v>
      </c>
      <c r="AF234" s="258">
        <f t="shared" si="43"/>
        <v>1</v>
      </c>
      <c r="AG234" s="266"/>
      <c r="AK234" s="344"/>
    </row>
    <row r="235" spans="2:37" hidden="1" outlineLevel="1" x14ac:dyDescent="0.25">
      <c r="D235" s="2251"/>
      <c r="E235" s="122" t="s">
        <v>1537</v>
      </c>
      <c r="F235" s="1544">
        <v>1</v>
      </c>
      <c r="G235" s="1336" t="s">
        <v>1587</v>
      </c>
      <c r="H235" s="1359" t="s">
        <v>1590</v>
      </c>
      <c r="V235" s="2265"/>
      <c r="W235" s="266">
        <f>0.65*1106</f>
        <v>718.9</v>
      </c>
      <c r="X235" s="266">
        <v>718.9</v>
      </c>
      <c r="Y235" s="180">
        <v>1</v>
      </c>
      <c r="Z235" s="182">
        <v>1</v>
      </c>
      <c r="AA235" s="182">
        <v>1</v>
      </c>
      <c r="AB235" s="182">
        <v>1</v>
      </c>
      <c r="AC235" s="296">
        <v>1</v>
      </c>
      <c r="AD235" s="296">
        <v>1</v>
      </c>
      <c r="AE235" s="296">
        <v>1</v>
      </c>
      <c r="AF235" s="258">
        <f t="shared" si="43"/>
        <v>1</v>
      </c>
      <c r="AG235" s="266"/>
      <c r="AK235" s="344"/>
    </row>
    <row r="236" spans="2:37" hidden="1" outlineLevel="1" x14ac:dyDescent="0.25">
      <c r="D236" s="2251"/>
      <c r="E236" s="122" t="s">
        <v>1539</v>
      </c>
      <c r="F236" s="1544">
        <v>1</v>
      </c>
      <c r="G236" s="1336" t="s">
        <v>1587</v>
      </c>
      <c r="H236" s="1359" t="s">
        <v>1591</v>
      </c>
      <c r="V236" s="2265"/>
      <c r="W236" s="266">
        <v>1106</v>
      </c>
      <c r="X236" s="266">
        <v>1106</v>
      </c>
      <c r="Y236" s="180">
        <v>1</v>
      </c>
      <c r="Z236" s="182">
        <v>1</v>
      </c>
      <c r="AA236" s="182">
        <v>1</v>
      </c>
      <c r="AB236" s="182">
        <v>1</v>
      </c>
      <c r="AC236" s="296">
        <v>1</v>
      </c>
      <c r="AD236" s="296">
        <v>1</v>
      </c>
      <c r="AE236" s="296">
        <v>1</v>
      </c>
      <c r="AF236" s="258">
        <f t="shared" si="43"/>
        <v>1</v>
      </c>
      <c r="AG236" s="266"/>
      <c r="AK236" s="344"/>
    </row>
    <row r="237" spans="2:37" hidden="1" outlineLevel="1" x14ac:dyDescent="0.25">
      <c r="D237" s="2251"/>
      <c r="E237" s="122" t="s">
        <v>1541</v>
      </c>
      <c r="F237" s="1544">
        <v>1</v>
      </c>
      <c r="G237" s="1336" t="s">
        <v>1587</v>
      </c>
      <c r="H237" s="1359" t="s">
        <v>1591</v>
      </c>
      <c r="V237" s="2265"/>
      <c r="W237" s="266">
        <v>1106</v>
      </c>
      <c r="X237" s="266">
        <v>1106</v>
      </c>
      <c r="Y237" s="180">
        <v>1</v>
      </c>
      <c r="Z237" s="182">
        <v>1</v>
      </c>
      <c r="AA237" s="182">
        <v>1</v>
      </c>
      <c r="AB237" s="182">
        <v>1</v>
      </c>
      <c r="AC237" s="296">
        <v>1</v>
      </c>
      <c r="AD237" s="296">
        <v>1</v>
      </c>
      <c r="AE237" s="296">
        <v>1</v>
      </c>
      <c r="AF237" s="258">
        <f t="shared" si="43"/>
        <v>1</v>
      </c>
      <c r="AG237" s="266"/>
      <c r="AK237" s="344"/>
    </row>
    <row r="238" spans="2:37" hidden="1" outlineLevel="1" x14ac:dyDescent="0.25">
      <c r="D238" s="2251"/>
      <c r="E238" s="122" t="s">
        <v>1543</v>
      </c>
      <c r="F238" s="1544">
        <v>1</v>
      </c>
      <c r="G238" s="1336" t="s">
        <v>1587</v>
      </c>
      <c r="H238" s="1359" t="s">
        <v>1591</v>
      </c>
      <c r="V238" s="2265"/>
      <c r="W238" s="266">
        <v>1106</v>
      </c>
      <c r="X238" s="266">
        <v>1106</v>
      </c>
      <c r="Y238" s="180">
        <v>1</v>
      </c>
      <c r="Z238" s="182">
        <v>1</v>
      </c>
      <c r="AA238" s="182">
        <v>1</v>
      </c>
      <c r="AB238" s="182">
        <v>1</v>
      </c>
      <c r="AC238" s="296">
        <v>1</v>
      </c>
      <c r="AD238" s="296">
        <v>1</v>
      </c>
      <c r="AE238" s="296">
        <v>1</v>
      </c>
      <c r="AF238" s="258">
        <f t="shared" si="43"/>
        <v>1</v>
      </c>
      <c r="AG238" s="266"/>
      <c r="AK238" s="344"/>
    </row>
    <row r="239" spans="2:37" ht="30" hidden="1" outlineLevel="1" x14ac:dyDescent="0.25">
      <c r="D239" s="2251"/>
      <c r="E239" s="122" t="s">
        <v>1545</v>
      </c>
      <c r="F239" s="1544">
        <v>1</v>
      </c>
      <c r="G239" s="1336" t="s">
        <v>1592</v>
      </c>
      <c r="H239" s="1359" t="s">
        <v>1590</v>
      </c>
      <c r="V239" s="2265"/>
      <c r="W239" s="266">
        <f>0.65*1106</f>
        <v>718.9</v>
      </c>
      <c r="X239" s="266">
        <v>718.9</v>
      </c>
      <c r="Y239" s="180">
        <v>1</v>
      </c>
      <c r="Z239" s="182">
        <v>1</v>
      </c>
      <c r="AA239" s="182">
        <v>1</v>
      </c>
      <c r="AB239" s="182">
        <v>1</v>
      </c>
      <c r="AC239" s="296">
        <v>1</v>
      </c>
      <c r="AD239" s="296">
        <v>1</v>
      </c>
      <c r="AE239" s="296">
        <v>1</v>
      </c>
      <c r="AF239" s="258">
        <f t="shared" si="43"/>
        <v>1</v>
      </c>
      <c r="AG239" s="266"/>
      <c r="AK239" s="344"/>
    </row>
    <row r="240" spans="2:37" ht="30" hidden="1" outlineLevel="1" x14ac:dyDescent="0.25">
      <c r="D240" s="2251"/>
      <c r="E240" s="122" t="s">
        <v>1547</v>
      </c>
      <c r="F240" s="1544">
        <v>1</v>
      </c>
      <c r="G240" s="1336" t="s">
        <v>1592</v>
      </c>
      <c r="H240" s="1359" t="s">
        <v>1590</v>
      </c>
      <c r="V240" s="2265"/>
      <c r="W240" s="266">
        <f>0.65*1106</f>
        <v>718.9</v>
      </c>
      <c r="X240" s="266">
        <v>718.9</v>
      </c>
      <c r="Y240" s="180">
        <v>1</v>
      </c>
      <c r="Z240" s="182">
        <v>1</v>
      </c>
      <c r="AA240" s="182">
        <v>1</v>
      </c>
      <c r="AB240" s="182">
        <v>1</v>
      </c>
      <c r="AC240" s="296">
        <v>1</v>
      </c>
      <c r="AD240" s="296">
        <v>1</v>
      </c>
      <c r="AE240" s="296">
        <v>1</v>
      </c>
      <c r="AF240" s="258">
        <f t="shared" si="43"/>
        <v>1</v>
      </c>
      <c r="AG240" s="266"/>
      <c r="AK240" s="344"/>
    </row>
    <row r="241" spans="4:37" ht="30" hidden="1" outlineLevel="1" x14ac:dyDescent="0.25">
      <c r="D241" s="2251"/>
      <c r="E241" s="122" t="s">
        <v>1549</v>
      </c>
      <c r="F241" s="1544">
        <v>1</v>
      </c>
      <c r="G241" s="1336" t="s">
        <v>1592</v>
      </c>
      <c r="H241" s="1359" t="s">
        <v>1590</v>
      </c>
      <c r="V241" s="2265"/>
      <c r="W241" s="266">
        <f>0.65*1106</f>
        <v>718.9</v>
      </c>
      <c r="X241" s="266">
        <v>718.9</v>
      </c>
      <c r="Y241" s="180">
        <v>1</v>
      </c>
      <c r="Z241" s="182">
        <v>1</v>
      </c>
      <c r="AA241" s="182">
        <v>1</v>
      </c>
      <c r="AB241" s="182">
        <v>1</v>
      </c>
      <c r="AC241" s="296">
        <v>1</v>
      </c>
      <c r="AD241" s="296">
        <v>1</v>
      </c>
      <c r="AE241" s="296">
        <v>1</v>
      </c>
      <c r="AF241" s="258">
        <f t="shared" si="43"/>
        <v>1</v>
      </c>
      <c r="AG241" s="266"/>
      <c r="AK241" s="344"/>
    </row>
    <row r="242" spans="4:37" ht="30" hidden="1" outlineLevel="1" x14ac:dyDescent="0.25">
      <c r="D242" s="2251"/>
      <c r="E242" s="122" t="s">
        <v>1551</v>
      </c>
      <c r="F242" s="1544">
        <v>1</v>
      </c>
      <c r="G242" s="1336" t="s">
        <v>1592</v>
      </c>
      <c r="H242" s="1359" t="s">
        <v>1591</v>
      </c>
      <c r="V242" s="2265"/>
      <c r="W242" s="266">
        <v>1106</v>
      </c>
      <c r="X242" s="266">
        <v>1106</v>
      </c>
      <c r="Y242" s="180">
        <v>1</v>
      </c>
      <c r="Z242" s="182">
        <v>1</v>
      </c>
      <c r="AA242" s="182">
        <v>1</v>
      </c>
      <c r="AB242" s="182">
        <v>1</v>
      </c>
      <c r="AC242" s="296">
        <v>1</v>
      </c>
      <c r="AD242" s="296">
        <v>1</v>
      </c>
      <c r="AE242" s="296">
        <v>1</v>
      </c>
      <c r="AF242" s="258">
        <f t="shared" si="43"/>
        <v>1</v>
      </c>
      <c r="AG242" s="266"/>
      <c r="AK242" s="344"/>
    </row>
    <row r="243" spans="4:37" ht="30" hidden="1" outlineLevel="1" x14ac:dyDescent="0.25">
      <c r="D243" s="2251"/>
      <c r="E243" s="122" t="s">
        <v>1553</v>
      </c>
      <c r="F243" s="1544">
        <v>1</v>
      </c>
      <c r="G243" s="1336" t="s">
        <v>1592</v>
      </c>
      <c r="H243" s="1359" t="s">
        <v>1591</v>
      </c>
      <c r="V243" s="2265"/>
      <c r="W243" s="266">
        <v>1106</v>
      </c>
      <c r="X243" s="266">
        <v>1106</v>
      </c>
      <c r="Y243" s="180">
        <v>1</v>
      </c>
      <c r="Z243" s="182">
        <v>1</v>
      </c>
      <c r="AA243" s="182">
        <v>1</v>
      </c>
      <c r="AB243" s="182">
        <v>1</v>
      </c>
      <c r="AC243" s="296">
        <v>1</v>
      </c>
      <c r="AD243" s="296">
        <v>1</v>
      </c>
      <c r="AE243" s="296">
        <v>1</v>
      </c>
      <c r="AF243" s="258">
        <f t="shared" si="43"/>
        <v>1</v>
      </c>
      <c r="AG243" s="266"/>
      <c r="AK243" s="344"/>
    </row>
    <row r="244" spans="4:37" ht="30" hidden="1" outlineLevel="1" x14ac:dyDescent="0.25">
      <c r="D244" s="2251"/>
      <c r="E244" s="122" t="s">
        <v>1555</v>
      </c>
      <c r="F244" s="1544">
        <v>1</v>
      </c>
      <c r="G244" s="1336" t="s">
        <v>1592</v>
      </c>
      <c r="H244" s="1359" t="s">
        <v>1591</v>
      </c>
      <c r="V244" s="2265"/>
      <c r="W244" s="266">
        <v>1106</v>
      </c>
      <c r="X244" s="266">
        <v>1106</v>
      </c>
      <c r="Y244" s="180">
        <v>1</v>
      </c>
      <c r="Z244" s="182">
        <v>1</v>
      </c>
      <c r="AA244" s="182">
        <v>1</v>
      </c>
      <c r="AB244" s="182">
        <v>1</v>
      </c>
      <c r="AC244" s="296">
        <v>1</v>
      </c>
      <c r="AD244" s="296">
        <v>1</v>
      </c>
      <c r="AE244" s="296">
        <v>1</v>
      </c>
      <c r="AF244" s="258">
        <f t="shared" si="43"/>
        <v>1</v>
      </c>
      <c r="AG244" s="266"/>
      <c r="AK244" s="344"/>
    </row>
    <row r="245" spans="4:37" ht="30" hidden="1" outlineLevel="1" x14ac:dyDescent="0.25">
      <c r="D245" s="2251"/>
      <c r="E245" s="122" t="s">
        <v>1557</v>
      </c>
      <c r="F245" s="1544">
        <v>1</v>
      </c>
      <c r="G245" s="1336" t="s">
        <v>1592</v>
      </c>
      <c r="H245" s="1359" t="s">
        <v>1590</v>
      </c>
      <c r="V245" s="2265"/>
      <c r="W245" s="266">
        <f>0.65*1106</f>
        <v>718.9</v>
      </c>
      <c r="X245" s="266">
        <v>718.9</v>
      </c>
      <c r="Y245" s="180">
        <v>1</v>
      </c>
      <c r="Z245" s="182">
        <v>1</v>
      </c>
      <c r="AA245" s="182">
        <v>1</v>
      </c>
      <c r="AB245" s="182">
        <v>1</v>
      </c>
      <c r="AC245" s="296">
        <v>1</v>
      </c>
      <c r="AD245" s="296">
        <v>1</v>
      </c>
      <c r="AE245" s="296">
        <v>1</v>
      </c>
      <c r="AF245" s="258">
        <f t="shared" si="43"/>
        <v>1</v>
      </c>
      <c r="AG245" s="266"/>
      <c r="AK245" s="344"/>
    </row>
    <row r="246" spans="4:37" ht="30" hidden="1" outlineLevel="1" x14ac:dyDescent="0.25">
      <c r="D246" s="2251"/>
      <c r="E246" s="122" t="s">
        <v>1559</v>
      </c>
      <c r="F246" s="1544">
        <v>1</v>
      </c>
      <c r="G246" s="1336" t="s">
        <v>1592</v>
      </c>
      <c r="H246" s="1359" t="s">
        <v>1590</v>
      </c>
      <c r="V246" s="2265"/>
      <c r="W246" s="266">
        <f>0.65*1106</f>
        <v>718.9</v>
      </c>
      <c r="X246" s="266">
        <v>718.9</v>
      </c>
      <c r="Y246" s="180">
        <v>1</v>
      </c>
      <c r="Z246" s="182">
        <v>1</v>
      </c>
      <c r="AA246" s="182">
        <v>1</v>
      </c>
      <c r="AB246" s="182">
        <v>1</v>
      </c>
      <c r="AC246" s="296">
        <v>1</v>
      </c>
      <c r="AD246" s="296">
        <v>1</v>
      </c>
      <c r="AE246" s="296">
        <v>1</v>
      </c>
      <c r="AF246" s="258">
        <f t="shared" si="43"/>
        <v>1</v>
      </c>
      <c r="AG246" s="266"/>
      <c r="AK246" s="344"/>
    </row>
    <row r="247" spans="4:37" ht="30" hidden="1" outlineLevel="1" x14ac:dyDescent="0.25">
      <c r="D247" s="2251"/>
      <c r="E247" s="122" t="s">
        <v>1561</v>
      </c>
      <c r="F247" s="1544">
        <v>1</v>
      </c>
      <c r="G247" s="1336" t="s">
        <v>1592</v>
      </c>
      <c r="H247" s="1359" t="s">
        <v>1590</v>
      </c>
      <c r="V247" s="2265"/>
      <c r="W247" s="266">
        <f>0.65*1106</f>
        <v>718.9</v>
      </c>
      <c r="X247" s="266">
        <v>718.9</v>
      </c>
      <c r="Y247" s="180">
        <v>1</v>
      </c>
      <c r="Z247" s="182">
        <v>1</v>
      </c>
      <c r="AA247" s="182">
        <v>1</v>
      </c>
      <c r="AB247" s="182">
        <v>1</v>
      </c>
      <c r="AC247" s="296">
        <v>1</v>
      </c>
      <c r="AD247" s="296">
        <v>1</v>
      </c>
      <c r="AE247" s="296">
        <v>1</v>
      </c>
      <c r="AF247" s="258">
        <f t="shared" si="43"/>
        <v>1</v>
      </c>
      <c r="AG247" s="266"/>
      <c r="AK247" s="344"/>
    </row>
    <row r="248" spans="4:37" ht="30" hidden="1" outlineLevel="1" x14ac:dyDescent="0.25">
      <c r="D248" s="2251"/>
      <c r="E248" s="122" t="s">
        <v>1563</v>
      </c>
      <c r="F248" s="1544">
        <v>1</v>
      </c>
      <c r="G248" s="1336" t="s">
        <v>1592</v>
      </c>
      <c r="H248" s="1359" t="s">
        <v>1591</v>
      </c>
      <c r="V248" s="2265"/>
      <c r="W248" s="266">
        <v>1106</v>
      </c>
      <c r="X248" s="266">
        <v>1106</v>
      </c>
      <c r="Y248" s="180">
        <v>1</v>
      </c>
      <c r="Z248" s="182">
        <v>1</v>
      </c>
      <c r="AA248" s="182">
        <v>1</v>
      </c>
      <c r="AB248" s="182">
        <v>1</v>
      </c>
      <c r="AC248" s="296">
        <v>1</v>
      </c>
      <c r="AD248" s="296">
        <v>1</v>
      </c>
      <c r="AE248" s="296">
        <v>1</v>
      </c>
      <c r="AF248" s="258">
        <f t="shared" si="43"/>
        <v>1</v>
      </c>
      <c r="AG248" s="266"/>
      <c r="AK248" s="344"/>
    </row>
    <row r="249" spans="4:37" ht="30" hidden="1" outlineLevel="1" x14ac:dyDescent="0.25">
      <c r="D249" s="2251"/>
      <c r="E249" s="122" t="s">
        <v>1565</v>
      </c>
      <c r="F249" s="1544">
        <v>1</v>
      </c>
      <c r="G249" s="1336" t="s">
        <v>1592</v>
      </c>
      <c r="H249" s="1359" t="s">
        <v>1591</v>
      </c>
      <c r="V249" s="2265"/>
      <c r="W249" s="266">
        <v>1106</v>
      </c>
      <c r="X249" s="266">
        <v>1106</v>
      </c>
      <c r="Y249" s="180">
        <v>1</v>
      </c>
      <c r="Z249" s="182">
        <v>1</v>
      </c>
      <c r="AA249" s="182">
        <v>1</v>
      </c>
      <c r="AB249" s="182">
        <v>1</v>
      </c>
      <c r="AC249" s="296">
        <v>1</v>
      </c>
      <c r="AD249" s="296">
        <v>1</v>
      </c>
      <c r="AE249" s="296">
        <v>1</v>
      </c>
      <c r="AF249" s="258">
        <f t="shared" si="43"/>
        <v>1</v>
      </c>
      <c r="AG249" s="266"/>
      <c r="AK249" s="344"/>
    </row>
    <row r="250" spans="4:37" ht="30" hidden="1" outlineLevel="1" x14ac:dyDescent="0.25">
      <c r="D250" s="2251"/>
      <c r="E250" s="122" t="s">
        <v>1567</v>
      </c>
      <c r="F250" s="1544">
        <v>1</v>
      </c>
      <c r="G250" s="1336" t="s">
        <v>1592</v>
      </c>
      <c r="H250" s="1359" t="s">
        <v>1591</v>
      </c>
      <c r="V250" s="2265"/>
      <c r="W250" s="266">
        <v>1106</v>
      </c>
      <c r="X250" s="266">
        <v>1106</v>
      </c>
      <c r="Y250" s="180">
        <v>1</v>
      </c>
      <c r="Z250" s="182">
        <v>1</v>
      </c>
      <c r="AA250" s="182">
        <v>1</v>
      </c>
      <c r="AB250" s="182">
        <v>1</v>
      </c>
      <c r="AC250" s="296">
        <v>1</v>
      </c>
      <c r="AD250" s="296">
        <v>1</v>
      </c>
      <c r="AE250" s="296">
        <v>1</v>
      </c>
      <c r="AF250" s="258">
        <f t="shared" si="43"/>
        <v>1</v>
      </c>
      <c r="AG250" s="266"/>
      <c r="AK250" s="344"/>
    </row>
    <row r="251" spans="4:37" ht="30" hidden="1" outlineLevel="1" x14ac:dyDescent="0.25">
      <c r="D251" s="2251"/>
      <c r="E251" s="122" t="s">
        <v>1569</v>
      </c>
      <c r="F251" s="1544">
        <v>1</v>
      </c>
      <c r="G251" s="1336" t="s">
        <v>1592</v>
      </c>
      <c r="H251" s="1359" t="s">
        <v>1590</v>
      </c>
      <c r="V251" s="2265"/>
      <c r="W251" s="266">
        <f>0.65*1106</f>
        <v>718.9</v>
      </c>
      <c r="X251" s="266">
        <v>718.9</v>
      </c>
      <c r="Y251" s="180">
        <v>1</v>
      </c>
      <c r="Z251" s="182">
        <v>1</v>
      </c>
      <c r="AA251" s="182">
        <v>1</v>
      </c>
      <c r="AB251" s="182">
        <v>1</v>
      </c>
      <c r="AC251" s="296">
        <v>1</v>
      </c>
      <c r="AD251" s="296">
        <v>1</v>
      </c>
      <c r="AE251" s="296">
        <v>1</v>
      </c>
      <c r="AF251" s="258">
        <f t="shared" si="43"/>
        <v>1</v>
      </c>
      <c r="AG251" s="266"/>
      <c r="AK251" s="344"/>
    </row>
    <row r="252" spans="4:37" ht="30" hidden="1" outlineLevel="1" x14ac:dyDescent="0.25">
      <c r="D252" s="2251"/>
      <c r="E252" s="122" t="s">
        <v>1571</v>
      </c>
      <c r="F252" s="1544">
        <v>1</v>
      </c>
      <c r="G252" s="1336" t="s">
        <v>1592</v>
      </c>
      <c r="H252" s="1359" t="s">
        <v>1590</v>
      </c>
      <c r="V252" s="2265"/>
      <c r="W252" s="266">
        <f>0.65*1106</f>
        <v>718.9</v>
      </c>
      <c r="X252" s="266">
        <v>718.9</v>
      </c>
      <c r="Y252" s="180">
        <v>1</v>
      </c>
      <c r="Z252" s="182">
        <v>1</v>
      </c>
      <c r="AA252" s="182">
        <v>1</v>
      </c>
      <c r="AB252" s="182">
        <v>1</v>
      </c>
      <c r="AC252" s="296">
        <v>1</v>
      </c>
      <c r="AD252" s="296">
        <v>1</v>
      </c>
      <c r="AE252" s="296">
        <v>1</v>
      </c>
      <c r="AF252" s="258">
        <f t="shared" si="43"/>
        <v>1</v>
      </c>
      <c r="AG252" s="266"/>
      <c r="AK252" s="344"/>
    </row>
    <row r="253" spans="4:37" ht="30" hidden="1" outlineLevel="1" x14ac:dyDescent="0.25">
      <c r="D253" s="2251"/>
      <c r="E253" s="122" t="s">
        <v>1573</v>
      </c>
      <c r="F253" s="1544">
        <v>1</v>
      </c>
      <c r="G253" s="1336" t="s">
        <v>1592</v>
      </c>
      <c r="H253" s="1359" t="s">
        <v>1590</v>
      </c>
      <c r="V253" s="2265"/>
      <c r="W253" s="266">
        <f>0.65*1106</f>
        <v>718.9</v>
      </c>
      <c r="X253" s="266">
        <v>718.9</v>
      </c>
      <c r="Y253" s="180">
        <v>1</v>
      </c>
      <c r="Z253" s="182">
        <v>1</v>
      </c>
      <c r="AA253" s="182">
        <v>1</v>
      </c>
      <c r="AB253" s="182">
        <v>1</v>
      </c>
      <c r="AC253" s="296">
        <v>1</v>
      </c>
      <c r="AD253" s="296">
        <v>1</v>
      </c>
      <c r="AE253" s="296">
        <v>1</v>
      </c>
      <c r="AF253" s="258">
        <f t="shared" si="43"/>
        <v>1</v>
      </c>
      <c r="AG253" s="266"/>
      <c r="AK253" s="344"/>
    </row>
    <row r="254" spans="4:37" ht="30" hidden="1" outlineLevel="1" x14ac:dyDescent="0.25">
      <c r="D254" s="2251"/>
      <c r="E254" s="122" t="s">
        <v>1575</v>
      </c>
      <c r="F254" s="1544">
        <v>1</v>
      </c>
      <c r="G254" s="1336" t="s">
        <v>1592</v>
      </c>
      <c r="H254" s="1359" t="s">
        <v>1591</v>
      </c>
      <c r="V254" s="2265"/>
      <c r="W254" s="266">
        <v>1106</v>
      </c>
      <c r="X254" s="266">
        <v>1106</v>
      </c>
      <c r="Y254" s="180">
        <v>1</v>
      </c>
      <c r="Z254" s="182">
        <v>1</v>
      </c>
      <c r="AA254" s="182">
        <v>1</v>
      </c>
      <c r="AB254" s="182">
        <v>1</v>
      </c>
      <c r="AC254" s="296">
        <v>1</v>
      </c>
      <c r="AD254" s="296">
        <v>1</v>
      </c>
      <c r="AE254" s="296">
        <v>1</v>
      </c>
      <c r="AF254" s="258">
        <f t="shared" si="43"/>
        <v>1</v>
      </c>
      <c r="AG254" s="266"/>
      <c r="AK254" s="344"/>
    </row>
    <row r="255" spans="4:37" ht="30" hidden="1" outlineLevel="1" x14ac:dyDescent="0.25">
      <c r="D255" s="2251"/>
      <c r="E255" s="122" t="s">
        <v>1577</v>
      </c>
      <c r="F255" s="1544">
        <v>1</v>
      </c>
      <c r="G255" s="1336" t="s">
        <v>1592</v>
      </c>
      <c r="H255" s="1359" t="s">
        <v>1591</v>
      </c>
      <c r="V255" s="2265"/>
      <c r="W255" s="266">
        <v>1106</v>
      </c>
      <c r="X255" s="266">
        <v>1106</v>
      </c>
      <c r="Y255" s="180">
        <v>1</v>
      </c>
      <c r="Z255" s="182">
        <v>1</v>
      </c>
      <c r="AA255" s="182">
        <v>1</v>
      </c>
      <c r="AB255" s="182">
        <v>1</v>
      </c>
      <c r="AC255" s="296">
        <v>1</v>
      </c>
      <c r="AD255" s="296">
        <v>1</v>
      </c>
      <c r="AE255" s="296">
        <v>1</v>
      </c>
      <c r="AF255" s="258">
        <f t="shared" si="43"/>
        <v>1</v>
      </c>
      <c r="AG255" s="266"/>
      <c r="AK255" s="344"/>
    </row>
    <row r="256" spans="4:37" ht="30" hidden="1" outlineLevel="1" x14ac:dyDescent="0.25">
      <c r="D256" s="2251"/>
      <c r="E256" s="122" t="s">
        <v>1579</v>
      </c>
      <c r="F256" s="1544">
        <v>1</v>
      </c>
      <c r="G256" s="1336" t="s">
        <v>1592</v>
      </c>
      <c r="H256" s="1359" t="s">
        <v>1591</v>
      </c>
      <c r="V256" s="2269"/>
      <c r="W256" s="266">
        <v>1106</v>
      </c>
      <c r="X256" s="266">
        <v>1106</v>
      </c>
      <c r="Y256" s="180">
        <v>1</v>
      </c>
      <c r="Z256" s="182">
        <v>1</v>
      </c>
      <c r="AA256" s="182">
        <v>1</v>
      </c>
      <c r="AB256" s="182">
        <v>1</v>
      </c>
      <c r="AC256" s="296">
        <v>1</v>
      </c>
      <c r="AD256" s="296">
        <v>1</v>
      </c>
      <c r="AE256" s="296">
        <v>1</v>
      </c>
      <c r="AF256" s="258">
        <f t="shared" si="43"/>
        <v>1</v>
      </c>
      <c r="AG256" s="266"/>
      <c r="AK256" s="344"/>
    </row>
    <row r="257" spans="4:37" ht="105" hidden="1" outlineLevel="1" x14ac:dyDescent="0.25">
      <c r="D257" s="1321" t="s">
        <v>1593</v>
      </c>
      <c r="E257" s="122" t="s">
        <v>734</v>
      </c>
      <c r="F257" s="1526">
        <v>7.0000000000000007E-2</v>
      </c>
      <c r="G257" s="1336" t="s">
        <v>1594</v>
      </c>
      <c r="H257" s="1359"/>
      <c r="V257" s="276" t="str">
        <f>D257</f>
        <v>Framing FactorAttic</v>
      </c>
      <c r="W257" s="274">
        <v>7.0000000000000007E-2</v>
      </c>
      <c r="X257" s="274">
        <v>7.0000000000000007E-2</v>
      </c>
      <c r="Y257" s="274">
        <v>7.0000000000000007E-2</v>
      </c>
      <c r="Z257" s="300">
        <v>7.0000000000000007E-2</v>
      </c>
      <c r="AA257" s="300">
        <v>7.0000000000000007E-2</v>
      </c>
      <c r="AB257" s="300">
        <v>7.0000000000000007E-2</v>
      </c>
      <c r="AC257" s="300">
        <v>7.0000000000000007E-2</v>
      </c>
      <c r="AD257" s="300">
        <v>7.0000000000000007E-2</v>
      </c>
      <c r="AE257" s="300">
        <v>7.0000000000000007E-2</v>
      </c>
      <c r="AF257" s="258">
        <f t="shared" si="43"/>
        <v>7.0000000000000007E-2</v>
      </c>
      <c r="AG257" s="274"/>
      <c r="AK257" s="344"/>
    </row>
    <row r="258" spans="4:37" hidden="1" outlineLevel="1" x14ac:dyDescent="0.25">
      <c r="D258" s="1321" t="s">
        <v>1595</v>
      </c>
      <c r="E258" s="122" t="s">
        <v>734</v>
      </c>
      <c r="F258" s="1522">
        <v>4486</v>
      </c>
      <c r="G258" s="1336" t="s">
        <v>747</v>
      </c>
      <c r="H258" s="1359" t="s">
        <v>1596</v>
      </c>
      <c r="V258" s="276" t="str">
        <f>D258</f>
        <v>HDD</v>
      </c>
      <c r="W258" s="266">
        <v>4486</v>
      </c>
      <c r="X258" s="266">
        <v>4486</v>
      </c>
      <c r="Y258" s="266">
        <v>4486</v>
      </c>
      <c r="Z258" s="430">
        <v>4486</v>
      </c>
      <c r="AA258" s="430">
        <v>4486</v>
      </c>
      <c r="AB258" s="430">
        <v>4486</v>
      </c>
      <c r="AC258" s="430">
        <v>4486</v>
      </c>
      <c r="AD258" s="430">
        <v>4486</v>
      </c>
      <c r="AE258" s="430">
        <v>4486</v>
      </c>
      <c r="AF258" s="258">
        <f t="shared" si="43"/>
        <v>4486</v>
      </c>
      <c r="AG258" s="266"/>
      <c r="AK258" s="344"/>
    </row>
    <row r="259" spans="4:37" ht="30" hidden="1" outlineLevel="1" x14ac:dyDescent="0.25">
      <c r="D259" s="1321" t="s">
        <v>1597</v>
      </c>
      <c r="E259" s="122" t="s">
        <v>734</v>
      </c>
      <c r="F259" s="1526">
        <v>1.1399999999999999</v>
      </c>
      <c r="G259" s="1336" t="s">
        <v>1598</v>
      </c>
      <c r="H259" s="1359"/>
      <c r="V259" s="276" t="str">
        <f>D259</f>
        <v>AdjAtticCool</v>
      </c>
      <c r="W259" s="274">
        <v>0.74</v>
      </c>
      <c r="X259" s="274">
        <v>0.74</v>
      </c>
      <c r="Y259" s="274">
        <v>0.74</v>
      </c>
      <c r="Z259" s="300">
        <v>0.74</v>
      </c>
      <c r="AA259" s="300">
        <v>0.74</v>
      </c>
      <c r="AB259" s="300">
        <v>0.74</v>
      </c>
      <c r="AC259" s="300">
        <v>0.74</v>
      </c>
      <c r="AD259" s="300">
        <v>0.74</v>
      </c>
      <c r="AE259" s="300">
        <v>0.74</v>
      </c>
      <c r="AF259" s="258">
        <f t="shared" si="43"/>
        <v>1.1399999999999999</v>
      </c>
      <c r="AG259" s="274"/>
      <c r="AK259" s="344"/>
    </row>
    <row r="260" spans="4:37" ht="30" hidden="1" outlineLevel="1" x14ac:dyDescent="0.25">
      <c r="D260" s="1321" t="s">
        <v>1599</v>
      </c>
      <c r="E260" s="122" t="s">
        <v>734</v>
      </c>
      <c r="F260" s="1526">
        <v>0.63</v>
      </c>
      <c r="G260" s="1336" t="s">
        <v>1598</v>
      </c>
      <c r="H260" s="1359"/>
      <c r="V260" s="1346"/>
      <c r="W260" s="274"/>
      <c r="X260" s="274"/>
      <c r="Y260" s="274"/>
      <c r="Z260" s="300"/>
      <c r="AA260" s="300"/>
      <c r="AB260" s="300"/>
      <c r="AC260" s="300"/>
      <c r="AD260" s="300"/>
      <c r="AE260" s="300"/>
      <c r="AF260" s="258">
        <f t="shared" si="43"/>
        <v>0.63</v>
      </c>
      <c r="AG260" s="274"/>
      <c r="AK260" s="344"/>
    </row>
    <row r="261" spans="4:37" hidden="1" outlineLevel="1" x14ac:dyDescent="0.25">
      <c r="D261" s="2251" t="s">
        <v>1600</v>
      </c>
      <c r="E261" s="122" t="s">
        <v>1521</v>
      </c>
      <c r="F261" s="1545">
        <v>1</v>
      </c>
      <c r="G261" s="2252" t="s">
        <v>1601</v>
      </c>
      <c r="H261" s="2273"/>
      <c r="V261" s="2264" t="str">
        <f>D261</f>
        <v>ƞheat</v>
      </c>
      <c r="W261" s="277">
        <v>1</v>
      </c>
      <c r="X261" s="277">
        <v>1</v>
      </c>
      <c r="Y261" s="277">
        <v>1</v>
      </c>
      <c r="Z261" s="296">
        <v>1</v>
      </c>
      <c r="AA261" s="296">
        <v>1</v>
      </c>
      <c r="AB261" s="296">
        <v>1</v>
      </c>
      <c r="AC261" s="296">
        <v>1</v>
      </c>
      <c r="AD261" s="296">
        <v>1</v>
      </c>
      <c r="AE261" s="296">
        <v>1</v>
      </c>
      <c r="AF261" s="258">
        <f t="shared" si="43"/>
        <v>1</v>
      </c>
      <c r="AG261" s="277"/>
      <c r="AK261" s="344"/>
    </row>
    <row r="262" spans="4:37" hidden="1" outlineLevel="1" x14ac:dyDescent="0.25">
      <c r="D262" s="2251"/>
      <c r="E262" s="122" t="s">
        <v>1523</v>
      </c>
      <c r="F262" s="1545">
        <v>1.62</v>
      </c>
      <c r="G262" s="2252"/>
      <c r="H262" s="2138"/>
      <c r="V262" s="2265"/>
      <c r="W262" s="277">
        <f>7/3.412*0.85</f>
        <v>1.7438452520515826</v>
      </c>
      <c r="X262" s="277">
        <v>1.7438452520515826</v>
      </c>
      <c r="Y262" s="277">
        <v>1.7438452520515826</v>
      </c>
      <c r="Z262" s="296">
        <v>1.7438452520515826</v>
      </c>
      <c r="AA262" s="296">
        <v>1.7438452520515826</v>
      </c>
      <c r="AB262" s="296">
        <v>1.7438452520515826</v>
      </c>
      <c r="AC262" s="296">
        <v>1.7438452520515826</v>
      </c>
      <c r="AD262" s="296">
        <v>1.7438452520515826</v>
      </c>
      <c r="AE262" s="296">
        <v>1.7438452520515826</v>
      </c>
      <c r="AF262" s="258">
        <f t="shared" si="43"/>
        <v>1.62</v>
      </c>
      <c r="AG262" s="277"/>
      <c r="AK262" s="344"/>
    </row>
    <row r="263" spans="4:37" hidden="1" outlineLevel="1" x14ac:dyDescent="0.25">
      <c r="D263" s="2251"/>
      <c r="E263" s="122" t="s">
        <v>1525</v>
      </c>
      <c r="F263" s="1552">
        <v>0.71</v>
      </c>
      <c r="G263" s="2252"/>
      <c r="H263" s="2138"/>
      <c r="V263" s="2265"/>
      <c r="W263" s="278">
        <v>0.71</v>
      </c>
      <c r="X263" s="278">
        <v>0.71</v>
      </c>
      <c r="Y263" s="278">
        <v>0.71</v>
      </c>
      <c r="Z263" s="299">
        <v>0.71</v>
      </c>
      <c r="AA263" s="299">
        <v>0.71</v>
      </c>
      <c r="AB263" s="299">
        <v>0.71</v>
      </c>
      <c r="AC263" s="299">
        <v>0.71</v>
      </c>
      <c r="AD263" s="299">
        <v>0.71</v>
      </c>
      <c r="AE263" s="299">
        <v>0.71</v>
      </c>
      <c r="AF263" s="258">
        <f t="shared" si="43"/>
        <v>0.71</v>
      </c>
      <c r="AG263" s="278"/>
      <c r="AK263" s="344"/>
    </row>
    <row r="264" spans="4:37" hidden="1" outlineLevel="1" x14ac:dyDescent="0.25">
      <c r="D264" s="2251"/>
      <c r="E264" s="122" t="s">
        <v>1527</v>
      </c>
      <c r="F264" s="1545">
        <v>1</v>
      </c>
      <c r="G264" s="2252"/>
      <c r="H264" s="2138"/>
      <c r="V264" s="2265"/>
      <c r="W264" s="277">
        <v>1</v>
      </c>
      <c r="X264" s="277">
        <v>1</v>
      </c>
      <c r="Y264" s="277">
        <v>1</v>
      </c>
      <c r="Z264" s="296">
        <v>1</v>
      </c>
      <c r="AA264" s="296">
        <v>1</v>
      </c>
      <c r="AB264" s="296">
        <v>1</v>
      </c>
      <c r="AC264" s="296">
        <v>1</v>
      </c>
      <c r="AD264" s="296">
        <v>1</v>
      </c>
      <c r="AE264" s="296">
        <v>1</v>
      </c>
      <c r="AF264" s="258">
        <f t="shared" si="43"/>
        <v>1</v>
      </c>
      <c r="AG264" s="277"/>
      <c r="AK264" s="344"/>
    </row>
    <row r="265" spans="4:37" hidden="1" outlineLevel="1" x14ac:dyDescent="0.25">
      <c r="D265" s="2251"/>
      <c r="E265" s="122" t="s">
        <v>1529</v>
      </c>
      <c r="F265" s="1545">
        <v>1.62</v>
      </c>
      <c r="G265" s="2252"/>
      <c r="H265" s="2138"/>
      <c r="V265" s="2265"/>
      <c r="W265" s="277">
        <f>7/3.412*0.85</f>
        <v>1.7438452520515826</v>
      </c>
      <c r="X265" s="277">
        <v>1.7438452520515826</v>
      </c>
      <c r="Y265" s="277">
        <v>1.7438452520515826</v>
      </c>
      <c r="Z265" s="296">
        <v>1.7438452520515826</v>
      </c>
      <c r="AA265" s="296">
        <v>1.7438452520515826</v>
      </c>
      <c r="AB265" s="296">
        <v>1.7438452520515826</v>
      </c>
      <c r="AC265" s="296">
        <v>1.7438452520515826</v>
      </c>
      <c r="AD265" s="296">
        <v>1.7438452520515826</v>
      </c>
      <c r="AE265" s="296">
        <v>1.7438452520515826</v>
      </c>
      <c r="AF265" s="258">
        <f t="shared" ref="AF265:AF328" si="44">IF(F265&lt;&gt;"",F265,"")</f>
        <v>1.62</v>
      </c>
      <c r="AG265" s="277"/>
      <c r="AK265" s="344"/>
    </row>
    <row r="266" spans="4:37" hidden="1" outlineLevel="1" x14ac:dyDescent="0.25">
      <c r="D266" s="2251"/>
      <c r="E266" s="122" t="s">
        <v>1531</v>
      </c>
      <c r="F266" s="1552">
        <v>0.71</v>
      </c>
      <c r="G266" s="2252"/>
      <c r="H266" s="2138"/>
      <c r="V266" s="2265"/>
      <c r="W266" s="278">
        <v>0.71</v>
      </c>
      <c r="X266" s="278">
        <v>0.71</v>
      </c>
      <c r="Y266" s="278">
        <v>0.71</v>
      </c>
      <c r="Z266" s="299">
        <v>0.71</v>
      </c>
      <c r="AA266" s="299">
        <v>0.71</v>
      </c>
      <c r="AB266" s="299">
        <v>0.71</v>
      </c>
      <c r="AC266" s="299">
        <v>0.71</v>
      </c>
      <c r="AD266" s="299">
        <v>0.71</v>
      </c>
      <c r="AE266" s="299">
        <v>0.71</v>
      </c>
      <c r="AF266" s="258">
        <f t="shared" si="44"/>
        <v>0.71</v>
      </c>
      <c r="AG266" s="278"/>
      <c r="AK266" s="344"/>
    </row>
    <row r="267" spans="4:37" hidden="1" outlineLevel="1" x14ac:dyDescent="0.25">
      <c r="D267" s="2251"/>
      <c r="E267" s="122" t="s">
        <v>1533</v>
      </c>
      <c r="F267" s="1545">
        <v>1</v>
      </c>
      <c r="G267" s="2252"/>
      <c r="H267" s="2138"/>
      <c r="V267" s="2265"/>
      <c r="W267" s="277">
        <v>1</v>
      </c>
      <c r="X267" s="277">
        <v>1</v>
      </c>
      <c r="Y267" s="277">
        <v>1</v>
      </c>
      <c r="Z267" s="296">
        <v>1</v>
      </c>
      <c r="AA267" s="296">
        <v>1</v>
      </c>
      <c r="AB267" s="296">
        <v>1</v>
      </c>
      <c r="AC267" s="296">
        <v>1</v>
      </c>
      <c r="AD267" s="296">
        <v>1</v>
      </c>
      <c r="AE267" s="296">
        <v>1</v>
      </c>
      <c r="AF267" s="258">
        <f t="shared" si="44"/>
        <v>1</v>
      </c>
      <c r="AG267" s="277"/>
      <c r="AK267" s="344"/>
    </row>
    <row r="268" spans="4:37" hidden="1" outlineLevel="1" x14ac:dyDescent="0.25">
      <c r="D268" s="2251"/>
      <c r="E268" s="122" t="s">
        <v>1535</v>
      </c>
      <c r="F268" s="1545">
        <v>1.62</v>
      </c>
      <c r="G268" s="2252"/>
      <c r="H268" s="2138"/>
      <c r="V268" s="2265"/>
      <c r="W268" s="277">
        <f>7/3.412*0.85</f>
        <v>1.7438452520515826</v>
      </c>
      <c r="X268" s="277">
        <v>1.7438452520515826</v>
      </c>
      <c r="Y268" s="277">
        <v>1.7438452520515826</v>
      </c>
      <c r="Z268" s="296">
        <v>1.7438452520515826</v>
      </c>
      <c r="AA268" s="296">
        <v>1.7438452520515826</v>
      </c>
      <c r="AB268" s="296">
        <v>1.7438452520515826</v>
      </c>
      <c r="AC268" s="296">
        <v>1.7438452520515826</v>
      </c>
      <c r="AD268" s="296">
        <v>1.7438452520515826</v>
      </c>
      <c r="AE268" s="296">
        <v>1.7438452520515826</v>
      </c>
      <c r="AF268" s="258">
        <f t="shared" si="44"/>
        <v>1.62</v>
      </c>
      <c r="AG268" s="277"/>
      <c r="AK268" s="344"/>
    </row>
    <row r="269" spans="4:37" hidden="1" outlineLevel="1" x14ac:dyDescent="0.25">
      <c r="D269" s="2251"/>
      <c r="E269" s="122" t="s">
        <v>1537</v>
      </c>
      <c r="F269" s="1552">
        <v>0.71</v>
      </c>
      <c r="G269" s="2252"/>
      <c r="H269" s="2138"/>
      <c r="V269" s="2265"/>
      <c r="W269" s="278">
        <v>0.71</v>
      </c>
      <c r="X269" s="278">
        <v>0.71</v>
      </c>
      <c r="Y269" s="278">
        <v>0.71</v>
      </c>
      <c r="Z269" s="299">
        <v>0.71</v>
      </c>
      <c r="AA269" s="299">
        <v>0.71</v>
      </c>
      <c r="AB269" s="299">
        <v>0.71</v>
      </c>
      <c r="AC269" s="299">
        <v>0.71</v>
      </c>
      <c r="AD269" s="299">
        <v>0.71</v>
      </c>
      <c r="AE269" s="299">
        <v>0.71</v>
      </c>
      <c r="AF269" s="258">
        <f t="shared" si="44"/>
        <v>0.71</v>
      </c>
      <c r="AG269" s="278"/>
      <c r="AK269" s="344"/>
    </row>
    <row r="270" spans="4:37" hidden="1" outlineLevel="1" x14ac:dyDescent="0.25">
      <c r="D270" s="2251"/>
      <c r="E270" s="122" t="s">
        <v>1539</v>
      </c>
      <c r="F270" s="1545">
        <v>1</v>
      </c>
      <c r="G270" s="2252"/>
      <c r="H270" s="2138"/>
      <c r="V270" s="2265"/>
      <c r="W270" s="277">
        <v>1</v>
      </c>
      <c r="X270" s="277">
        <v>1</v>
      </c>
      <c r="Y270" s="277">
        <v>1</v>
      </c>
      <c r="Z270" s="296">
        <v>1</v>
      </c>
      <c r="AA270" s="296">
        <v>1</v>
      </c>
      <c r="AB270" s="296">
        <v>1</v>
      </c>
      <c r="AC270" s="296">
        <v>1</v>
      </c>
      <c r="AD270" s="296">
        <v>1</v>
      </c>
      <c r="AE270" s="296">
        <v>1</v>
      </c>
      <c r="AF270" s="258">
        <f t="shared" si="44"/>
        <v>1</v>
      </c>
      <c r="AG270" s="277"/>
      <c r="AK270" s="344"/>
    </row>
    <row r="271" spans="4:37" hidden="1" outlineLevel="1" x14ac:dyDescent="0.25">
      <c r="D271" s="2251"/>
      <c r="E271" s="122" t="s">
        <v>1541</v>
      </c>
      <c r="F271" s="1545">
        <v>1.62</v>
      </c>
      <c r="G271" s="2252"/>
      <c r="H271" s="2138"/>
      <c r="V271" s="2265"/>
      <c r="W271" s="277">
        <f>7/3.412*0.85</f>
        <v>1.7438452520515826</v>
      </c>
      <c r="X271" s="277">
        <v>1.7438452520515826</v>
      </c>
      <c r="Y271" s="277">
        <v>1.7438452520515826</v>
      </c>
      <c r="Z271" s="296">
        <v>1.7438452520515826</v>
      </c>
      <c r="AA271" s="296">
        <v>1.7438452520515826</v>
      </c>
      <c r="AB271" s="296">
        <v>1.7438452520515826</v>
      </c>
      <c r="AC271" s="296">
        <v>1.7438452520515826</v>
      </c>
      <c r="AD271" s="296">
        <v>1.7438452520515826</v>
      </c>
      <c r="AE271" s="296">
        <v>1.7438452520515826</v>
      </c>
      <c r="AF271" s="258">
        <f t="shared" si="44"/>
        <v>1.62</v>
      </c>
      <c r="AG271" s="277"/>
      <c r="AK271" s="344"/>
    </row>
    <row r="272" spans="4:37" hidden="1" outlineLevel="1" x14ac:dyDescent="0.25">
      <c r="D272" s="2251"/>
      <c r="E272" s="122" t="s">
        <v>1543</v>
      </c>
      <c r="F272" s="1552">
        <v>0.71</v>
      </c>
      <c r="G272" s="2252"/>
      <c r="H272" s="2138"/>
      <c r="V272" s="2265"/>
      <c r="W272" s="278">
        <v>0.71</v>
      </c>
      <c r="X272" s="278">
        <v>0.71</v>
      </c>
      <c r="Y272" s="278">
        <v>0.71</v>
      </c>
      <c r="Z272" s="299">
        <v>0.71</v>
      </c>
      <c r="AA272" s="299">
        <v>0.71</v>
      </c>
      <c r="AB272" s="299">
        <v>0.71</v>
      </c>
      <c r="AC272" s="299">
        <v>0.71</v>
      </c>
      <c r="AD272" s="299">
        <v>0.71</v>
      </c>
      <c r="AE272" s="299">
        <v>0.71</v>
      </c>
      <c r="AF272" s="258">
        <f t="shared" si="44"/>
        <v>0.71</v>
      </c>
      <c r="AG272" s="278"/>
      <c r="AK272" s="344"/>
    </row>
    <row r="273" spans="4:37" hidden="1" outlineLevel="1" x14ac:dyDescent="0.25">
      <c r="D273" s="2251"/>
      <c r="E273" s="122" t="s">
        <v>1545</v>
      </c>
      <c r="F273" s="1545">
        <v>1</v>
      </c>
      <c r="G273" s="2252"/>
      <c r="H273" s="2138"/>
      <c r="V273" s="2265"/>
      <c r="W273" s="277">
        <v>1</v>
      </c>
      <c r="X273" s="277">
        <v>1</v>
      </c>
      <c r="Y273" s="277">
        <v>1</v>
      </c>
      <c r="Z273" s="296">
        <v>1</v>
      </c>
      <c r="AA273" s="296">
        <v>1</v>
      </c>
      <c r="AB273" s="296">
        <v>1</v>
      </c>
      <c r="AC273" s="296">
        <v>1</v>
      </c>
      <c r="AD273" s="296">
        <v>1</v>
      </c>
      <c r="AE273" s="296">
        <v>1</v>
      </c>
      <c r="AF273" s="258">
        <f t="shared" si="44"/>
        <v>1</v>
      </c>
      <c r="AG273" s="277"/>
      <c r="AK273" s="344"/>
    </row>
    <row r="274" spans="4:37" hidden="1" outlineLevel="1" x14ac:dyDescent="0.25">
      <c r="D274" s="2251"/>
      <c r="E274" s="122" t="s">
        <v>1547</v>
      </c>
      <c r="F274" s="1545">
        <v>1.62</v>
      </c>
      <c r="G274" s="2252"/>
      <c r="H274" s="2138"/>
      <c r="V274" s="2265"/>
      <c r="W274" s="277">
        <f>7/3.412*0.85</f>
        <v>1.7438452520515826</v>
      </c>
      <c r="X274" s="277">
        <v>1.7438452520515826</v>
      </c>
      <c r="Y274" s="277">
        <v>1.7438452520515826</v>
      </c>
      <c r="Z274" s="296">
        <v>1.7438452520515826</v>
      </c>
      <c r="AA274" s="296">
        <v>1.7438452520515826</v>
      </c>
      <c r="AB274" s="296">
        <v>1.7438452520515826</v>
      </c>
      <c r="AC274" s="296">
        <v>1.7438452520515826</v>
      </c>
      <c r="AD274" s="296">
        <v>1.7438452520515826</v>
      </c>
      <c r="AE274" s="296">
        <v>1.7438452520515826</v>
      </c>
      <c r="AF274" s="258">
        <f t="shared" si="44"/>
        <v>1.62</v>
      </c>
      <c r="AG274" s="277"/>
      <c r="AK274" s="344"/>
    </row>
    <row r="275" spans="4:37" hidden="1" outlineLevel="1" x14ac:dyDescent="0.25">
      <c r="D275" s="2251"/>
      <c r="E275" s="122" t="s">
        <v>1549</v>
      </c>
      <c r="F275" s="1552">
        <v>0.71</v>
      </c>
      <c r="G275" s="2252"/>
      <c r="H275" s="2138"/>
      <c r="V275" s="2265"/>
      <c r="W275" s="278">
        <v>0.71</v>
      </c>
      <c r="X275" s="278">
        <v>0.71</v>
      </c>
      <c r="Y275" s="278">
        <v>0.71</v>
      </c>
      <c r="Z275" s="299">
        <v>0.71</v>
      </c>
      <c r="AA275" s="299">
        <v>0.71</v>
      </c>
      <c r="AB275" s="299">
        <v>0.71</v>
      </c>
      <c r="AC275" s="299">
        <v>0.71</v>
      </c>
      <c r="AD275" s="299">
        <v>0.71</v>
      </c>
      <c r="AE275" s="299">
        <v>0.71</v>
      </c>
      <c r="AF275" s="258">
        <f t="shared" si="44"/>
        <v>0.71</v>
      </c>
      <c r="AG275" s="278"/>
      <c r="AK275" s="344"/>
    </row>
    <row r="276" spans="4:37" hidden="1" outlineLevel="1" x14ac:dyDescent="0.25">
      <c r="D276" s="2251"/>
      <c r="E276" s="122" t="s">
        <v>1551</v>
      </c>
      <c r="F276" s="1545">
        <v>1</v>
      </c>
      <c r="G276" s="2252"/>
      <c r="H276" s="2138"/>
      <c r="V276" s="2265"/>
      <c r="W276" s="277">
        <v>1</v>
      </c>
      <c r="X276" s="277">
        <v>1</v>
      </c>
      <c r="Y276" s="277">
        <v>1</v>
      </c>
      <c r="Z276" s="296">
        <v>1</v>
      </c>
      <c r="AA276" s="296">
        <v>1</v>
      </c>
      <c r="AB276" s="296">
        <v>1</v>
      </c>
      <c r="AC276" s="296">
        <v>1</v>
      </c>
      <c r="AD276" s="296">
        <v>1</v>
      </c>
      <c r="AE276" s="296">
        <v>1</v>
      </c>
      <c r="AF276" s="258">
        <f t="shared" si="44"/>
        <v>1</v>
      </c>
      <c r="AG276" s="277"/>
      <c r="AK276" s="344"/>
    </row>
    <row r="277" spans="4:37" hidden="1" outlineLevel="1" x14ac:dyDescent="0.25">
      <c r="D277" s="2251"/>
      <c r="E277" s="122" t="s">
        <v>1553</v>
      </c>
      <c r="F277" s="1545">
        <v>1.62</v>
      </c>
      <c r="G277" s="2252"/>
      <c r="H277" s="2138"/>
      <c r="V277" s="2265"/>
      <c r="W277" s="277">
        <f>7/3.412*0.85</f>
        <v>1.7438452520515826</v>
      </c>
      <c r="X277" s="277">
        <v>1.7438452520515826</v>
      </c>
      <c r="Y277" s="277">
        <v>1.7438452520515826</v>
      </c>
      <c r="Z277" s="296">
        <v>1.7438452520515826</v>
      </c>
      <c r="AA277" s="296">
        <v>1.7438452520515826</v>
      </c>
      <c r="AB277" s="296">
        <v>1.7438452520515826</v>
      </c>
      <c r="AC277" s="296">
        <v>1.7438452520515826</v>
      </c>
      <c r="AD277" s="296">
        <v>1.7438452520515826</v>
      </c>
      <c r="AE277" s="296">
        <v>1.7438452520515826</v>
      </c>
      <c r="AF277" s="258">
        <f t="shared" si="44"/>
        <v>1.62</v>
      </c>
      <c r="AG277" s="277"/>
      <c r="AK277" s="344"/>
    </row>
    <row r="278" spans="4:37" hidden="1" outlineLevel="1" x14ac:dyDescent="0.25">
      <c r="D278" s="2251"/>
      <c r="E278" s="122" t="s">
        <v>1555</v>
      </c>
      <c r="F278" s="1552">
        <v>0.71</v>
      </c>
      <c r="G278" s="2252"/>
      <c r="H278" s="2138"/>
      <c r="V278" s="2265"/>
      <c r="W278" s="278">
        <v>0.71</v>
      </c>
      <c r="X278" s="278">
        <v>0.71</v>
      </c>
      <c r="Y278" s="278">
        <v>0.71</v>
      </c>
      <c r="Z278" s="299">
        <v>0.71</v>
      </c>
      <c r="AA278" s="299">
        <v>0.71</v>
      </c>
      <c r="AB278" s="299">
        <v>0.71</v>
      </c>
      <c r="AC278" s="299">
        <v>0.71</v>
      </c>
      <c r="AD278" s="299">
        <v>0.71</v>
      </c>
      <c r="AE278" s="299">
        <v>0.71</v>
      </c>
      <c r="AF278" s="258">
        <f t="shared" si="44"/>
        <v>0.71</v>
      </c>
      <c r="AG278" s="278"/>
      <c r="AK278" s="344"/>
    </row>
    <row r="279" spans="4:37" hidden="1" outlineLevel="1" x14ac:dyDescent="0.25">
      <c r="D279" s="2251"/>
      <c r="E279" s="122" t="s">
        <v>1557</v>
      </c>
      <c r="F279" s="1545">
        <v>1</v>
      </c>
      <c r="G279" s="2252"/>
      <c r="H279" s="2138"/>
      <c r="V279" s="2265"/>
      <c r="W279" s="277">
        <v>1</v>
      </c>
      <c r="X279" s="277">
        <v>1</v>
      </c>
      <c r="Y279" s="277">
        <v>1</v>
      </c>
      <c r="Z279" s="296">
        <v>1</v>
      </c>
      <c r="AA279" s="296">
        <v>1</v>
      </c>
      <c r="AB279" s="296">
        <v>1</v>
      </c>
      <c r="AC279" s="296">
        <v>1</v>
      </c>
      <c r="AD279" s="296">
        <v>1</v>
      </c>
      <c r="AE279" s="296">
        <v>1</v>
      </c>
      <c r="AF279" s="258">
        <f t="shared" si="44"/>
        <v>1</v>
      </c>
      <c r="AG279" s="277"/>
      <c r="AK279" s="344"/>
    </row>
    <row r="280" spans="4:37" hidden="1" outlineLevel="1" x14ac:dyDescent="0.25">
      <c r="D280" s="2251"/>
      <c r="E280" s="122" t="s">
        <v>1559</v>
      </c>
      <c r="F280" s="1545">
        <v>1.62</v>
      </c>
      <c r="G280" s="2252"/>
      <c r="H280" s="2138"/>
      <c r="V280" s="2265"/>
      <c r="W280" s="277">
        <f>7/3.412*0.85</f>
        <v>1.7438452520515826</v>
      </c>
      <c r="X280" s="277">
        <v>1.7438452520515826</v>
      </c>
      <c r="Y280" s="277">
        <v>1.7438452520515826</v>
      </c>
      <c r="Z280" s="296">
        <v>1.7438452520515826</v>
      </c>
      <c r="AA280" s="296">
        <v>1.7438452520515826</v>
      </c>
      <c r="AB280" s="296">
        <v>1.7438452520515826</v>
      </c>
      <c r="AC280" s="296">
        <v>1.7438452520515826</v>
      </c>
      <c r="AD280" s="296">
        <v>1.7438452520515826</v>
      </c>
      <c r="AE280" s="296">
        <v>1.7438452520515826</v>
      </c>
      <c r="AF280" s="258">
        <f t="shared" si="44"/>
        <v>1.62</v>
      </c>
      <c r="AG280" s="277"/>
      <c r="AK280" s="344"/>
    </row>
    <row r="281" spans="4:37" hidden="1" outlineLevel="1" x14ac:dyDescent="0.25">
      <c r="D281" s="2251"/>
      <c r="E281" s="122" t="s">
        <v>1561</v>
      </c>
      <c r="F281" s="1552">
        <v>0.71</v>
      </c>
      <c r="G281" s="2252"/>
      <c r="H281" s="2138"/>
      <c r="V281" s="2265"/>
      <c r="W281" s="278">
        <v>0.71</v>
      </c>
      <c r="X281" s="278">
        <v>0.71</v>
      </c>
      <c r="Y281" s="278">
        <v>0.71</v>
      </c>
      <c r="Z281" s="299">
        <v>0.71</v>
      </c>
      <c r="AA281" s="299">
        <v>0.71</v>
      </c>
      <c r="AB281" s="299">
        <v>0.71</v>
      </c>
      <c r="AC281" s="299">
        <v>0.71</v>
      </c>
      <c r="AD281" s="299">
        <v>0.71</v>
      </c>
      <c r="AE281" s="299">
        <v>0.71</v>
      </c>
      <c r="AF281" s="258">
        <f t="shared" si="44"/>
        <v>0.71</v>
      </c>
      <c r="AG281" s="278"/>
      <c r="AK281" s="344"/>
    </row>
    <row r="282" spans="4:37" hidden="1" outlineLevel="1" x14ac:dyDescent="0.25">
      <c r="D282" s="2251"/>
      <c r="E282" s="122" t="s">
        <v>1563</v>
      </c>
      <c r="F282" s="1545">
        <v>1</v>
      </c>
      <c r="G282" s="2252"/>
      <c r="H282" s="2138"/>
      <c r="V282" s="2265"/>
      <c r="W282" s="277">
        <v>1</v>
      </c>
      <c r="X282" s="277">
        <v>1</v>
      </c>
      <c r="Y282" s="277">
        <v>1</v>
      </c>
      <c r="Z282" s="296">
        <v>1</v>
      </c>
      <c r="AA282" s="296">
        <v>1</v>
      </c>
      <c r="AB282" s="296">
        <v>1</v>
      </c>
      <c r="AC282" s="296">
        <v>1</v>
      </c>
      <c r="AD282" s="296">
        <v>1</v>
      </c>
      <c r="AE282" s="296">
        <v>1</v>
      </c>
      <c r="AF282" s="258">
        <f t="shared" si="44"/>
        <v>1</v>
      </c>
      <c r="AG282" s="277"/>
      <c r="AK282" s="344"/>
    </row>
    <row r="283" spans="4:37" hidden="1" outlineLevel="1" x14ac:dyDescent="0.25">
      <c r="D283" s="2251"/>
      <c r="E283" s="122" t="s">
        <v>1565</v>
      </c>
      <c r="F283" s="1545">
        <v>1.62</v>
      </c>
      <c r="G283" s="2252"/>
      <c r="H283" s="2138"/>
      <c r="V283" s="2265"/>
      <c r="W283" s="277">
        <f>7/3.412*0.85</f>
        <v>1.7438452520515826</v>
      </c>
      <c r="X283" s="277">
        <v>1.7438452520515826</v>
      </c>
      <c r="Y283" s="277">
        <v>1.7438452520515826</v>
      </c>
      <c r="Z283" s="296">
        <v>1.7438452520515826</v>
      </c>
      <c r="AA283" s="296">
        <v>1.7438452520515826</v>
      </c>
      <c r="AB283" s="296">
        <v>1.7438452520515826</v>
      </c>
      <c r="AC283" s="296">
        <v>1.7438452520515826</v>
      </c>
      <c r="AD283" s="296">
        <v>1.7438452520515826</v>
      </c>
      <c r="AE283" s="296">
        <v>1.7438452520515826</v>
      </c>
      <c r="AF283" s="258">
        <f t="shared" si="44"/>
        <v>1.62</v>
      </c>
      <c r="AG283" s="277"/>
      <c r="AK283" s="344"/>
    </row>
    <row r="284" spans="4:37" hidden="1" outlineLevel="1" x14ac:dyDescent="0.25">
      <c r="D284" s="2251"/>
      <c r="E284" s="122" t="s">
        <v>1567</v>
      </c>
      <c r="F284" s="1552">
        <v>0.71</v>
      </c>
      <c r="G284" s="2252"/>
      <c r="H284" s="2138"/>
      <c r="V284" s="2265"/>
      <c r="W284" s="278">
        <v>0.71</v>
      </c>
      <c r="X284" s="278">
        <v>0.71</v>
      </c>
      <c r="Y284" s="278">
        <v>0.71</v>
      </c>
      <c r="Z284" s="299">
        <v>0.71</v>
      </c>
      <c r="AA284" s="299">
        <v>0.71</v>
      </c>
      <c r="AB284" s="299">
        <v>0.71</v>
      </c>
      <c r="AC284" s="299">
        <v>0.71</v>
      </c>
      <c r="AD284" s="299">
        <v>0.71</v>
      </c>
      <c r="AE284" s="299">
        <v>0.71</v>
      </c>
      <c r="AF284" s="258">
        <f t="shared" si="44"/>
        <v>0.71</v>
      </c>
      <c r="AG284" s="278"/>
      <c r="AK284" s="344"/>
    </row>
    <row r="285" spans="4:37" hidden="1" outlineLevel="1" x14ac:dyDescent="0.25">
      <c r="D285" s="2251"/>
      <c r="E285" s="122" t="s">
        <v>1569</v>
      </c>
      <c r="F285" s="1545">
        <v>1</v>
      </c>
      <c r="G285" s="2252"/>
      <c r="H285" s="2138"/>
      <c r="V285" s="2265"/>
      <c r="W285" s="277">
        <v>1</v>
      </c>
      <c r="X285" s="277">
        <v>1</v>
      </c>
      <c r="Y285" s="277">
        <v>1</v>
      </c>
      <c r="Z285" s="296">
        <v>1</v>
      </c>
      <c r="AA285" s="296">
        <v>1</v>
      </c>
      <c r="AB285" s="296">
        <v>1</v>
      </c>
      <c r="AC285" s="296">
        <v>1</v>
      </c>
      <c r="AD285" s="296">
        <v>1</v>
      </c>
      <c r="AE285" s="296">
        <v>1</v>
      </c>
      <c r="AF285" s="258">
        <f t="shared" si="44"/>
        <v>1</v>
      </c>
      <c r="AG285" s="277"/>
      <c r="AK285" s="344"/>
    </row>
    <row r="286" spans="4:37" hidden="1" outlineLevel="1" x14ac:dyDescent="0.25">
      <c r="D286" s="2251"/>
      <c r="E286" s="122" t="s">
        <v>1571</v>
      </c>
      <c r="F286" s="1545">
        <v>1.62</v>
      </c>
      <c r="G286" s="2252"/>
      <c r="H286" s="2138"/>
      <c r="V286" s="2265"/>
      <c r="W286" s="277">
        <f>7/3.412*0.85</f>
        <v>1.7438452520515826</v>
      </c>
      <c r="X286" s="277">
        <v>1.7438452520515826</v>
      </c>
      <c r="Y286" s="277">
        <v>1.7438452520515826</v>
      </c>
      <c r="Z286" s="296">
        <v>1.7438452520515826</v>
      </c>
      <c r="AA286" s="296">
        <v>1.7438452520515826</v>
      </c>
      <c r="AB286" s="296">
        <v>1.7438452520515826</v>
      </c>
      <c r="AC286" s="296">
        <v>1.7438452520515826</v>
      </c>
      <c r="AD286" s="296">
        <v>1.7438452520515826</v>
      </c>
      <c r="AE286" s="296">
        <v>1.7438452520515826</v>
      </c>
      <c r="AF286" s="258">
        <f t="shared" si="44"/>
        <v>1.62</v>
      </c>
      <c r="AG286" s="277"/>
      <c r="AK286" s="344"/>
    </row>
    <row r="287" spans="4:37" hidden="1" outlineLevel="1" x14ac:dyDescent="0.25">
      <c r="D287" s="2251"/>
      <c r="E287" s="122" t="s">
        <v>1573</v>
      </c>
      <c r="F287" s="1552">
        <v>0.71</v>
      </c>
      <c r="G287" s="2252"/>
      <c r="H287" s="2138"/>
      <c r="V287" s="2265"/>
      <c r="W287" s="278">
        <v>0.71</v>
      </c>
      <c r="X287" s="278">
        <v>0.71</v>
      </c>
      <c r="Y287" s="278">
        <v>0.71</v>
      </c>
      <c r="Z287" s="299">
        <v>0.71</v>
      </c>
      <c r="AA287" s="299">
        <v>0.71</v>
      </c>
      <c r="AB287" s="299">
        <v>0.71</v>
      </c>
      <c r="AC287" s="299">
        <v>0.71</v>
      </c>
      <c r="AD287" s="299">
        <v>0.71</v>
      </c>
      <c r="AE287" s="299">
        <v>0.71</v>
      </c>
      <c r="AF287" s="258">
        <f t="shared" si="44"/>
        <v>0.71</v>
      </c>
      <c r="AG287" s="278"/>
      <c r="AK287" s="344"/>
    </row>
    <row r="288" spans="4:37" hidden="1" outlineLevel="1" x14ac:dyDescent="0.25">
      <c r="D288" s="2251"/>
      <c r="E288" s="122" t="s">
        <v>1575</v>
      </c>
      <c r="F288" s="1545">
        <v>1</v>
      </c>
      <c r="G288" s="2252"/>
      <c r="H288" s="2138"/>
      <c r="V288" s="2265"/>
      <c r="W288" s="277">
        <v>1</v>
      </c>
      <c r="X288" s="277">
        <v>1</v>
      </c>
      <c r="Y288" s="277">
        <v>1</v>
      </c>
      <c r="Z288" s="296">
        <v>1</v>
      </c>
      <c r="AA288" s="296">
        <v>1</v>
      </c>
      <c r="AB288" s="296">
        <v>1</v>
      </c>
      <c r="AC288" s="296">
        <v>1</v>
      </c>
      <c r="AD288" s="296">
        <v>1</v>
      </c>
      <c r="AE288" s="296">
        <v>1</v>
      </c>
      <c r="AF288" s="258">
        <f t="shared" si="44"/>
        <v>1</v>
      </c>
      <c r="AG288" s="277"/>
      <c r="AK288" s="344"/>
    </row>
    <row r="289" spans="4:37" hidden="1" outlineLevel="1" x14ac:dyDescent="0.25">
      <c r="D289" s="2251"/>
      <c r="E289" s="122" t="s">
        <v>1577</v>
      </c>
      <c r="F289" s="1545">
        <v>1.62</v>
      </c>
      <c r="G289" s="2252"/>
      <c r="H289" s="2138"/>
      <c r="V289" s="2265"/>
      <c r="W289" s="277">
        <f>7/3.412*0.85</f>
        <v>1.7438452520515826</v>
      </c>
      <c r="X289" s="277">
        <v>1.7438452520515826</v>
      </c>
      <c r="Y289" s="277">
        <v>1.7438452520515826</v>
      </c>
      <c r="Z289" s="296">
        <v>1.7438452520515826</v>
      </c>
      <c r="AA289" s="296">
        <v>1.7438452520515826</v>
      </c>
      <c r="AB289" s="296">
        <v>1.7438452520515826</v>
      </c>
      <c r="AC289" s="296">
        <v>1.7438452520515826</v>
      </c>
      <c r="AD289" s="296">
        <v>1.7438452520515826</v>
      </c>
      <c r="AE289" s="296">
        <v>1.7438452520515826</v>
      </c>
      <c r="AF289" s="258">
        <f t="shared" si="44"/>
        <v>1.62</v>
      </c>
      <c r="AG289" s="277"/>
      <c r="AK289" s="344"/>
    </row>
    <row r="290" spans="4:37" hidden="1" outlineLevel="1" x14ac:dyDescent="0.25">
      <c r="D290" s="2251"/>
      <c r="E290" s="122" t="s">
        <v>1579</v>
      </c>
      <c r="F290" s="1552">
        <v>0.71</v>
      </c>
      <c r="G290" s="2252"/>
      <c r="H290" s="2232"/>
      <c r="V290" s="2269"/>
      <c r="W290" s="278">
        <v>0.71</v>
      </c>
      <c r="X290" s="278">
        <v>0.71</v>
      </c>
      <c r="Y290" s="278">
        <v>0.71</v>
      </c>
      <c r="Z290" s="299">
        <v>0.71</v>
      </c>
      <c r="AA290" s="299">
        <v>0.71</v>
      </c>
      <c r="AB290" s="299">
        <v>0.71</v>
      </c>
      <c r="AC290" s="299">
        <v>0.71</v>
      </c>
      <c r="AD290" s="299">
        <v>0.71</v>
      </c>
      <c r="AE290" s="299">
        <v>0.71</v>
      </c>
      <c r="AF290" s="258">
        <f t="shared" si="44"/>
        <v>0.71</v>
      </c>
      <c r="AG290" s="278"/>
      <c r="AK290" s="344"/>
    </row>
    <row r="291" spans="4:37" hidden="1" outlineLevel="1" x14ac:dyDescent="0.25">
      <c r="D291" s="2287" t="s">
        <v>737</v>
      </c>
      <c r="E291" s="122" t="s">
        <v>1521</v>
      </c>
      <c r="F291" s="1545">
        <f>(1-F137)*(1/(F167+5)-1/(F197+5))*F227*(1-F$257)*F$258*24*F$260/(100000*F261)</f>
        <v>0</v>
      </c>
      <c r="G291" s="1336" t="s">
        <v>738</v>
      </c>
      <c r="H291" s="1359"/>
      <c r="V291" s="2264" t="str">
        <f>D291</f>
        <v>∆Therms</v>
      </c>
      <c r="W291" s="277">
        <f t="shared" ref="W291:W320" si="45">(1-W137)*(1/(W167+5)-1/(W197+5))*W227*(1-W$257)*W$258*24*W$259/(100000*W261)</f>
        <v>0</v>
      </c>
      <c r="X291" s="277">
        <v>0</v>
      </c>
      <c r="Y291" s="277">
        <v>0</v>
      </c>
      <c r="Z291" s="296">
        <v>0</v>
      </c>
      <c r="AA291" s="296">
        <v>0</v>
      </c>
      <c r="AB291" s="296">
        <v>0</v>
      </c>
      <c r="AC291" s="296">
        <v>0</v>
      </c>
      <c r="AD291" s="296">
        <v>0</v>
      </c>
      <c r="AE291" s="296">
        <v>0</v>
      </c>
      <c r="AF291" s="258">
        <f t="shared" si="44"/>
        <v>0</v>
      </c>
      <c r="AG291" s="277"/>
      <c r="AK291" s="344"/>
    </row>
    <row r="292" spans="4:37" hidden="1" outlineLevel="1" x14ac:dyDescent="0.25">
      <c r="D292" s="2287"/>
      <c r="E292" s="122" t="s">
        <v>1523</v>
      </c>
      <c r="F292" s="1545">
        <f t="shared" ref="F292:F320" si="46">(1-F138)*(1/(F168+5)-1/(F198+5))*F228*(1-F$257)*F$258*24*F$260/(100000*F262)</f>
        <v>0</v>
      </c>
      <c r="G292" s="1336" t="s">
        <v>738</v>
      </c>
      <c r="H292" s="1359"/>
      <c r="V292" s="2265"/>
      <c r="W292" s="277">
        <f t="shared" si="45"/>
        <v>0</v>
      </c>
      <c r="X292" s="277">
        <v>0</v>
      </c>
      <c r="Y292" s="277">
        <v>0</v>
      </c>
      <c r="Z292" s="296">
        <v>0</v>
      </c>
      <c r="AA292" s="296">
        <v>0</v>
      </c>
      <c r="AB292" s="296">
        <v>0</v>
      </c>
      <c r="AC292" s="296">
        <v>0</v>
      </c>
      <c r="AD292" s="296">
        <v>0</v>
      </c>
      <c r="AE292" s="296">
        <v>0</v>
      </c>
      <c r="AF292" s="258">
        <f t="shared" si="44"/>
        <v>0</v>
      </c>
      <c r="AG292" s="277"/>
      <c r="AK292" s="344"/>
    </row>
    <row r="293" spans="4:37" hidden="1" outlineLevel="1" x14ac:dyDescent="0.25">
      <c r="D293" s="2287"/>
      <c r="E293" s="122" t="s">
        <v>1525</v>
      </c>
      <c r="F293" s="1545">
        <f t="shared" si="46"/>
        <v>3.9075587323943659E-2</v>
      </c>
      <c r="G293" s="1336" t="s">
        <v>738</v>
      </c>
      <c r="H293" s="1359"/>
      <c r="V293" s="2265"/>
      <c r="W293" s="277">
        <f t="shared" si="45"/>
        <v>40.186264375070415</v>
      </c>
      <c r="X293" s="277">
        <v>40.186264375070415</v>
      </c>
      <c r="Y293" s="277">
        <v>4.5898308920187786E-2</v>
      </c>
      <c r="Z293" s="296">
        <v>4.5898308920187786E-2</v>
      </c>
      <c r="AA293" s="296">
        <v>4.5898308920187786E-2</v>
      </c>
      <c r="AB293" s="296">
        <v>4.5898308920187786E-2</v>
      </c>
      <c r="AC293" s="296">
        <v>4.5898308920187786E-2</v>
      </c>
      <c r="AD293" s="296">
        <v>4.5898308920187786E-2</v>
      </c>
      <c r="AE293" s="296">
        <v>4.5898308920187786E-2</v>
      </c>
      <c r="AF293" s="258">
        <f t="shared" si="44"/>
        <v>3.9075587323943659E-2</v>
      </c>
      <c r="AG293" s="277"/>
      <c r="AK293" s="344"/>
    </row>
    <row r="294" spans="4:37" hidden="1" outlineLevel="1" x14ac:dyDescent="0.25">
      <c r="D294" s="2287"/>
      <c r="E294" s="122" t="s">
        <v>1527</v>
      </c>
      <c r="F294" s="1545">
        <f t="shared" si="46"/>
        <v>0</v>
      </c>
      <c r="G294" s="1336" t="s">
        <v>738</v>
      </c>
      <c r="H294" s="1359"/>
      <c r="V294" s="2265"/>
      <c r="W294" s="277">
        <f t="shared" si="45"/>
        <v>0</v>
      </c>
      <c r="X294" s="277">
        <v>0</v>
      </c>
      <c r="Y294" s="277">
        <v>0</v>
      </c>
      <c r="Z294" s="296">
        <v>0</v>
      </c>
      <c r="AA294" s="296">
        <v>0</v>
      </c>
      <c r="AB294" s="296">
        <v>0</v>
      </c>
      <c r="AC294" s="296">
        <v>0</v>
      </c>
      <c r="AD294" s="296">
        <v>0</v>
      </c>
      <c r="AE294" s="296">
        <v>0</v>
      </c>
      <c r="AF294" s="258">
        <f t="shared" si="44"/>
        <v>0</v>
      </c>
      <c r="AG294" s="277"/>
      <c r="AK294" s="344"/>
    </row>
    <row r="295" spans="4:37" hidden="1" outlineLevel="1" x14ac:dyDescent="0.25">
      <c r="D295" s="2287"/>
      <c r="E295" s="122" t="s">
        <v>1529</v>
      </c>
      <c r="F295" s="1545">
        <f t="shared" si="46"/>
        <v>0</v>
      </c>
      <c r="G295" s="1336" t="s">
        <v>738</v>
      </c>
      <c r="H295" s="1359"/>
      <c r="V295" s="2265"/>
      <c r="W295" s="277">
        <f t="shared" si="45"/>
        <v>0</v>
      </c>
      <c r="X295" s="277">
        <v>0</v>
      </c>
      <c r="Y295" s="277">
        <v>0</v>
      </c>
      <c r="Z295" s="296">
        <v>0</v>
      </c>
      <c r="AA295" s="296">
        <v>0</v>
      </c>
      <c r="AB295" s="296">
        <v>0</v>
      </c>
      <c r="AC295" s="296">
        <v>0</v>
      </c>
      <c r="AD295" s="296">
        <v>0</v>
      </c>
      <c r="AE295" s="296">
        <v>0</v>
      </c>
      <c r="AF295" s="258">
        <f t="shared" si="44"/>
        <v>0</v>
      </c>
      <c r="AG295" s="277"/>
      <c r="AK295" s="344"/>
    </row>
    <row r="296" spans="4:37" hidden="1" outlineLevel="1" x14ac:dyDescent="0.25">
      <c r="D296" s="2287"/>
      <c r="E296" s="122" t="s">
        <v>1531</v>
      </c>
      <c r="F296" s="1545">
        <f t="shared" si="46"/>
        <v>3.9075587323943659E-2</v>
      </c>
      <c r="G296" s="1336" t="s">
        <v>738</v>
      </c>
      <c r="H296" s="1359"/>
      <c r="V296" s="2265"/>
      <c r="W296" s="277">
        <f t="shared" si="45"/>
        <v>61.825022115492956</v>
      </c>
      <c r="X296" s="277">
        <v>61.825022115492956</v>
      </c>
      <c r="Y296" s="277">
        <v>4.5898308920187786E-2</v>
      </c>
      <c r="Z296" s="296">
        <v>4.5898308920187786E-2</v>
      </c>
      <c r="AA296" s="296">
        <v>4.5898308920187786E-2</v>
      </c>
      <c r="AB296" s="296">
        <v>4.5898308920187786E-2</v>
      </c>
      <c r="AC296" s="296">
        <v>4.5898308920187786E-2</v>
      </c>
      <c r="AD296" s="296">
        <v>4.5898308920187786E-2</v>
      </c>
      <c r="AE296" s="296">
        <v>4.5898308920187786E-2</v>
      </c>
      <c r="AF296" s="258">
        <f t="shared" si="44"/>
        <v>3.9075587323943659E-2</v>
      </c>
      <c r="AG296" s="277"/>
      <c r="AK296" s="344"/>
    </row>
    <row r="297" spans="4:37" hidden="1" outlineLevel="1" x14ac:dyDescent="0.25">
      <c r="D297" s="2287"/>
      <c r="E297" s="122" t="s">
        <v>1533</v>
      </c>
      <c r="F297" s="1545">
        <f t="shared" si="46"/>
        <v>0</v>
      </c>
      <c r="G297" s="1336" t="s">
        <v>738</v>
      </c>
      <c r="H297" s="1359"/>
      <c r="V297" s="2265"/>
      <c r="W297" s="277">
        <f t="shared" si="45"/>
        <v>0</v>
      </c>
      <c r="X297" s="277">
        <v>0</v>
      </c>
      <c r="Y297" s="277">
        <v>0</v>
      </c>
      <c r="Z297" s="296">
        <v>0</v>
      </c>
      <c r="AA297" s="296">
        <v>0</v>
      </c>
      <c r="AB297" s="296">
        <v>0</v>
      </c>
      <c r="AC297" s="296">
        <v>0</v>
      </c>
      <c r="AD297" s="296">
        <v>0</v>
      </c>
      <c r="AE297" s="296">
        <v>0</v>
      </c>
      <c r="AF297" s="258">
        <f t="shared" si="44"/>
        <v>0</v>
      </c>
      <c r="AG297" s="277"/>
      <c r="AK297" s="344"/>
    </row>
    <row r="298" spans="4:37" hidden="1" outlineLevel="1" x14ac:dyDescent="0.25">
      <c r="D298" s="2287"/>
      <c r="E298" s="122" t="s">
        <v>1535</v>
      </c>
      <c r="F298" s="1545">
        <f>(1-F144)*(1/(F174+5)-1/(F204+5))*F234*(1-F$257)*F$258*24*F$260/(100000*F268)</f>
        <v>0</v>
      </c>
      <c r="G298" s="1336" t="s">
        <v>738</v>
      </c>
      <c r="H298" s="1359"/>
      <c r="V298" s="2265"/>
      <c r="W298" s="277">
        <f t="shared" si="45"/>
        <v>0</v>
      </c>
      <c r="X298" s="277">
        <v>0</v>
      </c>
      <c r="Y298" s="277">
        <v>0</v>
      </c>
      <c r="Z298" s="296">
        <v>0</v>
      </c>
      <c r="AA298" s="296">
        <v>0</v>
      </c>
      <c r="AB298" s="296">
        <v>0</v>
      </c>
      <c r="AC298" s="296">
        <v>0</v>
      </c>
      <c r="AD298" s="296">
        <v>0</v>
      </c>
      <c r="AE298" s="296">
        <v>0</v>
      </c>
      <c r="AF298" s="258">
        <f t="shared" si="44"/>
        <v>0</v>
      </c>
      <c r="AG298" s="277"/>
      <c r="AK298" s="344"/>
    </row>
    <row r="299" spans="4:37" hidden="1" outlineLevel="1" x14ac:dyDescent="0.25">
      <c r="D299" s="2287"/>
      <c r="E299" s="122" t="s">
        <v>1537</v>
      </c>
      <c r="F299" s="1545">
        <f t="shared" si="46"/>
        <v>6.3461104225352116E-2</v>
      </c>
      <c r="G299" s="1336" t="s">
        <v>738</v>
      </c>
      <c r="H299" s="1359"/>
      <c r="V299" s="2265"/>
      <c r="W299" s="277">
        <f t="shared" si="45"/>
        <v>53.587966654647893</v>
      </c>
      <c r="X299" s="277">
        <v>53.587966654647893</v>
      </c>
      <c r="Y299" s="277">
        <v>7.4541614486921537E-2</v>
      </c>
      <c r="Z299" s="296">
        <v>7.4541614486921537E-2</v>
      </c>
      <c r="AA299" s="296">
        <v>7.4541614486921537E-2</v>
      </c>
      <c r="AB299" s="296">
        <v>7.4541614486921537E-2</v>
      </c>
      <c r="AC299" s="296">
        <v>7.4541614486921537E-2</v>
      </c>
      <c r="AD299" s="296">
        <v>7.4541614486921537E-2</v>
      </c>
      <c r="AE299" s="296">
        <v>7.4541614486921537E-2</v>
      </c>
      <c r="AF299" s="258">
        <f t="shared" si="44"/>
        <v>6.3461104225352116E-2</v>
      </c>
      <c r="AG299" s="277"/>
      <c r="AK299" s="344"/>
    </row>
    <row r="300" spans="4:37" hidden="1" outlineLevel="1" x14ac:dyDescent="0.25">
      <c r="D300" s="2287"/>
      <c r="E300" s="122" t="s">
        <v>1539</v>
      </c>
      <c r="F300" s="1545">
        <f t="shared" si="46"/>
        <v>0</v>
      </c>
      <c r="G300" s="1336" t="s">
        <v>738</v>
      </c>
      <c r="H300" s="1359"/>
      <c r="V300" s="2265"/>
      <c r="W300" s="277">
        <f t="shared" si="45"/>
        <v>0</v>
      </c>
      <c r="X300" s="277">
        <v>0</v>
      </c>
      <c r="Y300" s="277">
        <v>0</v>
      </c>
      <c r="Z300" s="296">
        <v>0</v>
      </c>
      <c r="AA300" s="296">
        <v>0</v>
      </c>
      <c r="AB300" s="296">
        <v>0</v>
      </c>
      <c r="AC300" s="296">
        <v>0</v>
      </c>
      <c r="AD300" s="296">
        <v>0</v>
      </c>
      <c r="AE300" s="296">
        <v>0</v>
      </c>
      <c r="AF300" s="258">
        <f t="shared" si="44"/>
        <v>0</v>
      </c>
      <c r="AG300" s="277"/>
      <c r="AK300" s="344"/>
    </row>
    <row r="301" spans="4:37" hidden="1" outlineLevel="1" x14ac:dyDescent="0.25">
      <c r="D301" s="2287"/>
      <c r="E301" s="122" t="s">
        <v>1541</v>
      </c>
      <c r="F301" s="1545">
        <f t="shared" si="46"/>
        <v>0</v>
      </c>
      <c r="G301" s="1336" t="s">
        <v>738</v>
      </c>
      <c r="H301" s="1359"/>
      <c r="V301" s="2265"/>
      <c r="W301" s="277">
        <f t="shared" si="45"/>
        <v>0</v>
      </c>
      <c r="X301" s="277">
        <v>0</v>
      </c>
      <c r="Y301" s="277">
        <v>0</v>
      </c>
      <c r="Z301" s="296">
        <v>0</v>
      </c>
      <c r="AA301" s="296">
        <v>0</v>
      </c>
      <c r="AB301" s="296">
        <v>0</v>
      </c>
      <c r="AC301" s="296">
        <v>0</v>
      </c>
      <c r="AD301" s="296">
        <v>0</v>
      </c>
      <c r="AE301" s="296">
        <v>0</v>
      </c>
      <c r="AF301" s="258">
        <f t="shared" si="44"/>
        <v>0</v>
      </c>
      <c r="AG301" s="277"/>
      <c r="AK301" s="344"/>
    </row>
    <row r="302" spans="4:37" hidden="1" outlineLevel="1" x14ac:dyDescent="0.25">
      <c r="D302" s="2287"/>
      <c r="E302" s="122" t="s">
        <v>1543</v>
      </c>
      <c r="F302" s="1545">
        <f t="shared" si="46"/>
        <v>6.3461104225352116E-2</v>
      </c>
      <c r="G302" s="1336" t="s">
        <v>738</v>
      </c>
      <c r="H302" s="1359"/>
      <c r="V302" s="2265"/>
      <c r="W302" s="277">
        <f t="shared" si="45"/>
        <v>82.443025622535217</v>
      </c>
      <c r="X302" s="277">
        <v>82.443025622535217</v>
      </c>
      <c r="Y302" s="277">
        <v>7.4541614486921537E-2</v>
      </c>
      <c r="Z302" s="296">
        <v>7.4541614486921537E-2</v>
      </c>
      <c r="AA302" s="296">
        <v>7.4541614486921537E-2</v>
      </c>
      <c r="AB302" s="296">
        <v>7.4541614486921537E-2</v>
      </c>
      <c r="AC302" s="296">
        <v>7.4541614486921537E-2</v>
      </c>
      <c r="AD302" s="296">
        <v>7.4541614486921537E-2</v>
      </c>
      <c r="AE302" s="296">
        <v>7.4541614486921537E-2</v>
      </c>
      <c r="AF302" s="258">
        <f t="shared" si="44"/>
        <v>6.3461104225352116E-2</v>
      </c>
      <c r="AG302" s="277"/>
      <c r="AK302" s="344"/>
    </row>
    <row r="303" spans="4:37" hidden="1" outlineLevel="1" x14ac:dyDescent="0.25">
      <c r="D303" s="2287"/>
      <c r="E303" s="122" t="s">
        <v>1545</v>
      </c>
      <c r="F303" s="1545">
        <f t="shared" si="46"/>
        <v>0</v>
      </c>
      <c r="G303" s="1336" t="s">
        <v>738</v>
      </c>
      <c r="H303" s="1359"/>
      <c r="V303" s="2265"/>
      <c r="W303" s="277">
        <f t="shared" si="45"/>
        <v>0</v>
      </c>
      <c r="X303" s="277">
        <v>0</v>
      </c>
      <c r="Y303" s="277">
        <v>0</v>
      </c>
      <c r="Z303" s="296">
        <v>0</v>
      </c>
      <c r="AA303" s="296">
        <v>0</v>
      </c>
      <c r="AB303" s="296">
        <v>0</v>
      </c>
      <c r="AC303" s="296">
        <v>0</v>
      </c>
      <c r="AD303" s="296">
        <v>0</v>
      </c>
      <c r="AE303" s="296">
        <v>0</v>
      </c>
      <c r="AF303" s="258">
        <f t="shared" si="44"/>
        <v>0</v>
      </c>
      <c r="AG303" s="277"/>
      <c r="AK303" s="344"/>
    </row>
    <row r="304" spans="4:37" hidden="1" outlineLevel="1" x14ac:dyDescent="0.25">
      <c r="D304" s="2287"/>
      <c r="E304" s="122" t="s">
        <v>1547</v>
      </c>
      <c r="F304" s="1545">
        <f t="shared" si="46"/>
        <v>0</v>
      </c>
      <c r="G304" s="1336" t="s">
        <v>738</v>
      </c>
      <c r="H304" s="1359"/>
      <c r="V304" s="2265"/>
      <c r="W304" s="277">
        <f t="shared" si="45"/>
        <v>0</v>
      </c>
      <c r="X304" s="277">
        <v>0</v>
      </c>
      <c r="Y304" s="277">
        <v>0</v>
      </c>
      <c r="Z304" s="296">
        <v>0</v>
      </c>
      <c r="AA304" s="296">
        <v>0</v>
      </c>
      <c r="AB304" s="296">
        <v>0</v>
      </c>
      <c r="AC304" s="296">
        <v>0</v>
      </c>
      <c r="AD304" s="296">
        <v>0</v>
      </c>
      <c r="AE304" s="296">
        <v>0</v>
      </c>
      <c r="AF304" s="258">
        <f t="shared" si="44"/>
        <v>0</v>
      </c>
      <c r="AG304" s="277"/>
      <c r="AK304" s="344"/>
    </row>
    <row r="305" spans="4:37" hidden="1" outlineLevel="1" x14ac:dyDescent="0.25">
      <c r="D305" s="2287"/>
      <c r="E305" s="122" t="s">
        <v>1549</v>
      </c>
      <c r="F305" s="1545">
        <f t="shared" si="46"/>
        <v>6.818379105142483E-2</v>
      </c>
      <c r="G305" s="1336" t="s">
        <v>738</v>
      </c>
      <c r="H305" s="1359"/>
      <c r="V305" s="2265"/>
      <c r="W305" s="277">
        <f t="shared" si="45"/>
        <v>57.57590835917982</v>
      </c>
      <c r="X305" s="277">
        <v>57.57590835917982</v>
      </c>
      <c r="Y305" s="277">
        <v>8.0088897425483141E-2</v>
      </c>
      <c r="Z305" s="296">
        <v>8.0088897425483141E-2</v>
      </c>
      <c r="AA305" s="296">
        <v>8.0088897425483141E-2</v>
      </c>
      <c r="AB305" s="296">
        <v>8.0088897425483141E-2</v>
      </c>
      <c r="AC305" s="296">
        <v>8.0088897425483141E-2</v>
      </c>
      <c r="AD305" s="296">
        <v>8.0088897425483141E-2</v>
      </c>
      <c r="AE305" s="296">
        <v>8.0088897425483141E-2</v>
      </c>
      <c r="AF305" s="258">
        <f t="shared" si="44"/>
        <v>6.818379105142483E-2</v>
      </c>
      <c r="AG305" s="277"/>
      <c r="AK305" s="344"/>
    </row>
    <row r="306" spans="4:37" hidden="1" outlineLevel="1" x14ac:dyDescent="0.25">
      <c r="D306" s="2287"/>
      <c r="E306" s="122" t="s">
        <v>1551</v>
      </c>
      <c r="F306" s="1545">
        <f t="shared" si="46"/>
        <v>0</v>
      </c>
      <c r="G306" s="1336" t="s">
        <v>738</v>
      </c>
      <c r="H306" s="1359"/>
      <c r="V306" s="2265"/>
      <c r="W306" s="277">
        <f t="shared" si="45"/>
        <v>0</v>
      </c>
      <c r="X306" s="277">
        <v>0</v>
      </c>
      <c r="Y306" s="277">
        <v>0</v>
      </c>
      <c r="Z306" s="296">
        <v>0</v>
      </c>
      <c r="AA306" s="296">
        <v>0</v>
      </c>
      <c r="AB306" s="296">
        <v>0</v>
      </c>
      <c r="AC306" s="296">
        <v>0</v>
      </c>
      <c r="AD306" s="296">
        <v>0</v>
      </c>
      <c r="AE306" s="296">
        <v>0</v>
      </c>
      <c r="AF306" s="258">
        <f t="shared" si="44"/>
        <v>0</v>
      </c>
      <c r="AG306" s="277"/>
      <c r="AK306" s="344"/>
    </row>
    <row r="307" spans="4:37" hidden="1" outlineLevel="1" x14ac:dyDescent="0.25">
      <c r="D307" s="2287"/>
      <c r="E307" s="122" t="s">
        <v>1553</v>
      </c>
      <c r="F307" s="1545">
        <f t="shared" si="46"/>
        <v>0</v>
      </c>
      <c r="G307" s="1336" t="s">
        <v>738</v>
      </c>
      <c r="H307" s="1359"/>
      <c r="V307" s="2265"/>
      <c r="W307" s="277">
        <f t="shared" si="45"/>
        <v>0</v>
      </c>
      <c r="X307" s="277">
        <v>0</v>
      </c>
      <c r="Y307" s="277">
        <v>0</v>
      </c>
      <c r="Z307" s="296">
        <v>0</v>
      </c>
      <c r="AA307" s="296">
        <v>0</v>
      </c>
      <c r="AB307" s="296">
        <v>0</v>
      </c>
      <c r="AC307" s="296">
        <v>0</v>
      </c>
      <c r="AD307" s="296">
        <v>0</v>
      </c>
      <c r="AE307" s="296">
        <v>0</v>
      </c>
      <c r="AF307" s="258">
        <f t="shared" si="44"/>
        <v>0</v>
      </c>
      <c r="AG307" s="277"/>
      <c r="AK307" s="344"/>
    </row>
    <row r="308" spans="4:37" hidden="1" outlineLevel="1" x14ac:dyDescent="0.25">
      <c r="D308" s="2287"/>
      <c r="E308" s="122" t="s">
        <v>1555</v>
      </c>
      <c r="F308" s="1545">
        <f t="shared" si="46"/>
        <v>6.818379105142483E-2</v>
      </c>
      <c r="G308" s="1336" t="s">
        <v>738</v>
      </c>
      <c r="H308" s="1359"/>
      <c r="V308" s="2265"/>
      <c r="W308" s="277">
        <f t="shared" si="45"/>
        <v>88.578320552584344</v>
      </c>
      <c r="X308" s="277">
        <v>88.578320552584344</v>
      </c>
      <c r="Y308" s="277">
        <v>8.0088897425483141E-2</v>
      </c>
      <c r="Z308" s="296">
        <v>8.0088897425483141E-2</v>
      </c>
      <c r="AA308" s="296">
        <v>8.0088897425483141E-2</v>
      </c>
      <c r="AB308" s="296">
        <v>8.0088897425483141E-2</v>
      </c>
      <c r="AC308" s="296">
        <v>8.0088897425483141E-2</v>
      </c>
      <c r="AD308" s="296">
        <v>8.0088897425483141E-2</v>
      </c>
      <c r="AE308" s="296">
        <v>8.0088897425483141E-2</v>
      </c>
      <c r="AF308" s="258">
        <f t="shared" si="44"/>
        <v>6.818379105142483E-2</v>
      </c>
      <c r="AG308" s="277"/>
      <c r="AK308" s="344"/>
    </row>
    <row r="309" spans="4:37" hidden="1" outlineLevel="1" x14ac:dyDescent="0.25">
      <c r="D309" s="2287"/>
      <c r="E309" s="122" t="s">
        <v>1557</v>
      </c>
      <c r="F309" s="1545">
        <f t="shared" si="46"/>
        <v>0</v>
      </c>
      <c r="G309" s="1336" t="s">
        <v>738</v>
      </c>
      <c r="H309" s="1359"/>
      <c r="V309" s="2265"/>
      <c r="W309" s="277">
        <f t="shared" si="45"/>
        <v>0</v>
      </c>
      <c r="X309" s="277">
        <v>0</v>
      </c>
      <c r="Y309" s="277">
        <v>0</v>
      </c>
      <c r="Z309" s="296">
        <v>0</v>
      </c>
      <c r="AA309" s="296">
        <v>0</v>
      </c>
      <c r="AB309" s="296">
        <v>0</v>
      </c>
      <c r="AC309" s="296">
        <v>0</v>
      </c>
      <c r="AD309" s="296">
        <v>0</v>
      </c>
      <c r="AE309" s="296">
        <v>0</v>
      </c>
      <c r="AF309" s="258">
        <f t="shared" si="44"/>
        <v>0</v>
      </c>
      <c r="AG309" s="277"/>
      <c r="AK309" s="344"/>
    </row>
    <row r="310" spans="4:37" hidden="1" outlineLevel="1" x14ac:dyDescent="0.25">
      <c r="D310" s="2287"/>
      <c r="E310" s="122" t="s">
        <v>1559</v>
      </c>
      <c r="F310" s="1545">
        <f t="shared" si="46"/>
        <v>0</v>
      </c>
      <c r="G310" s="1336" t="s">
        <v>738</v>
      </c>
      <c r="H310" s="1359"/>
      <c r="V310" s="2265"/>
      <c r="W310" s="277">
        <f t="shared" si="45"/>
        <v>0</v>
      </c>
      <c r="X310" s="277">
        <v>0</v>
      </c>
      <c r="Y310" s="277">
        <v>0</v>
      </c>
      <c r="Z310" s="296">
        <v>0</v>
      </c>
      <c r="AA310" s="296">
        <v>0</v>
      </c>
      <c r="AB310" s="296">
        <v>0</v>
      </c>
      <c r="AC310" s="296">
        <v>0</v>
      </c>
      <c r="AD310" s="296">
        <v>0</v>
      </c>
      <c r="AE310" s="296">
        <v>0</v>
      </c>
      <c r="AF310" s="258">
        <f t="shared" si="44"/>
        <v>0</v>
      </c>
      <c r="AG310" s="277"/>
      <c r="AK310" s="344"/>
    </row>
    <row r="311" spans="4:37" hidden="1" outlineLevel="1" x14ac:dyDescent="0.25">
      <c r="D311" s="2287"/>
      <c r="E311" s="122" t="s">
        <v>1561</v>
      </c>
      <c r="F311" s="1545">
        <f t="shared" si="46"/>
        <v>7.2392667042253528E-2</v>
      </c>
      <c r="G311" s="1336" t="s">
        <v>738</v>
      </c>
      <c r="H311" s="1359"/>
      <c r="V311" s="2265"/>
      <c r="W311" s="277">
        <f t="shared" si="45"/>
        <v>61.129976776413137</v>
      </c>
      <c r="X311" s="277">
        <v>61.129976776413137</v>
      </c>
      <c r="Y311" s="277">
        <v>8.5032656525821607E-2</v>
      </c>
      <c r="Z311" s="296">
        <v>8.5032656525821607E-2</v>
      </c>
      <c r="AA311" s="296">
        <v>8.5032656525821607E-2</v>
      </c>
      <c r="AB311" s="296">
        <v>8.5032656525821607E-2</v>
      </c>
      <c r="AC311" s="296">
        <v>8.5032656525821607E-2</v>
      </c>
      <c r="AD311" s="296">
        <v>8.5032656525821607E-2</v>
      </c>
      <c r="AE311" s="296">
        <v>8.5032656525821607E-2</v>
      </c>
      <c r="AF311" s="258">
        <f t="shared" si="44"/>
        <v>7.2392667042253528E-2</v>
      </c>
      <c r="AG311" s="277"/>
      <c r="AK311" s="344"/>
    </row>
    <row r="312" spans="4:37" hidden="1" outlineLevel="1" x14ac:dyDescent="0.25">
      <c r="D312" s="2287"/>
      <c r="E312" s="122" t="s">
        <v>1563</v>
      </c>
      <c r="F312" s="1545">
        <f t="shared" si="46"/>
        <v>0</v>
      </c>
      <c r="G312" s="1336" t="s">
        <v>738</v>
      </c>
      <c r="H312" s="1359"/>
      <c r="V312" s="2265"/>
      <c r="W312" s="277">
        <f t="shared" si="45"/>
        <v>0</v>
      </c>
      <c r="X312" s="277">
        <v>0</v>
      </c>
      <c r="Y312" s="277">
        <v>0</v>
      </c>
      <c r="Z312" s="296">
        <v>0</v>
      </c>
      <c r="AA312" s="296">
        <v>0</v>
      </c>
      <c r="AB312" s="296">
        <v>0</v>
      </c>
      <c r="AC312" s="296">
        <v>0</v>
      </c>
      <c r="AD312" s="296">
        <v>0</v>
      </c>
      <c r="AE312" s="296">
        <v>0</v>
      </c>
      <c r="AF312" s="258">
        <f t="shared" si="44"/>
        <v>0</v>
      </c>
      <c r="AG312" s="277"/>
      <c r="AK312" s="344"/>
    </row>
    <row r="313" spans="4:37" hidden="1" outlineLevel="1" x14ac:dyDescent="0.25">
      <c r="D313" s="2287"/>
      <c r="E313" s="122" t="s">
        <v>1565</v>
      </c>
      <c r="F313" s="1545">
        <f t="shared" si="46"/>
        <v>0</v>
      </c>
      <c r="G313" s="1336" t="s">
        <v>738</v>
      </c>
      <c r="H313" s="1359"/>
      <c r="V313" s="2265"/>
      <c r="W313" s="277">
        <f t="shared" si="45"/>
        <v>0</v>
      </c>
      <c r="X313" s="277">
        <v>0</v>
      </c>
      <c r="Y313" s="277">
        <v>0</v>
      </c>
      <c r="Z313" s="296">
        <v>0</v>
      </c>
      <c r="AA313" s="296">
        <v>0</v>
      </c>
      <c r="AB313" s="296">
        <v>0</v>
      </c>
      <c r="AC313" s="296">
        <v>0</v>
      </c>
      <c r="AD313" s="296">
        <v>0</v>
      </c>
      <c r="AE313" s="296">
        <v>0</v>
      </c>
      <c r="AF313" s="258">
        <f t="shared" si="44"/>
        <v>0</v>
      </c>
      <c r="AG313" s="277"/>
      <c r="AK313" s="344"/>
    </row>
    <row r="314" spans="4:37" hidden="1" outlineLevel="1" x14ac:dyDescent="0.25">
      <c r="D314" s="2287"/>
      <c r="E314" s="122" t="s">
        <v>1567</v>
      </c>
      <c r="F314" s="1545">
        <f t="shared" si="46"/>
        <v>7.2392667042253528E-2</v>
      </c>
      <c r="G314" s="1336" t="s">
        <v>738</v>
      </c>
      <c r="H314" s="1359"/>
      <c r="V314" s="2265"/>
      <c r="W314" s="277">
        <f t="shared" si="45"/>
        <v>94.046118117558692</v>
      </c>
      <c r="X314" s="277">
        <v>94.046118117558692</v>
      </c>
      <c r="Y314" s="277">
        <v>8.5032656525821607E-2</v>
      </c>
      <c r="Z314" s="296">
        <v>8.5032656525821607E-2</v>
      </c>
      <c r="AA314" s="296">
        <v>8.5032656525821607E-2</v>
      </c>
      <c r="AB314" s="296">
        <v>8.5032656525821607E-2</v>
      </c>
      <c r="AC314" s="296">
        <v>8.5032656525821607E-2</v>
      </c>
      <c r="AD314" s="296">
        <v>8.5032656525821607E-2</v>
      </c>
      <c r="AE314" s="296">
        <v>8.5032656525821607E-2</v>
      </c>
      <c r="AF314" s="258">
        <f t="shared" si="44"/>
        <v>7.2392667042253528E-2</v>
      </c>
      <c r="AG314" s="277"/>
      <c r="AK314" s="344"/>
    </row>
    <row r="315" spans="4:37" hidden="1" outlineLevel="1" x14ac:dyDescent="0.25">
      <c r="D315" s="2287"/>
      <c r="E315" s="122" t="s">
        <v>1569</v>
      </c>
      <c r="F315" s="1545">
        <f t="shared" si="46"/>
        <v>0</v>
      </c>
      <c r="G315" s="1336" t="s">
        <v>738</v>
      </c>
      <c r="H315" s="1359"/>
      <c r="V315" s="2265"/>
      <c r="W315" s="277">
        <f t="shared" si="45"/>
        <v>0</v>
      </c>
      <c r="X315" s="277">
        <v>0</v>
      </c>
      <c r="Y315" s="277">
        <v>0</v>
      </c>
      <c r="Z315" s="296">
        <v>0</v>
      </c>
      <c r="AA315" s="296">
        <v>0</v>
      </c>
      <c r="AB315" s="296">
        <v>0</v>
      </c>
      <c r="AC315" s="296">
        <v>0</v>
      </c>
      <c r="AD315" s="296">
        <v>0</v>
      </c>
      <c r="AE315" s="296">
        <v>0</v>
      </c>
      <c r="AF315" s="258">
        <f t="shared" si="44"/>
        <v>0</v>
      </c>
      <c r="AG315" s="277"/>
      <c r="AK315" s="344"/>
    </row>
    <row r="316" spans="4:37" hidden="1" outlineLevel="1" x14ac:dyDescent="0.25">
      <c r="D316" s="2287"/>
      <c r="E316" s="122" t="s">
        <v>1571</v>
      </c>
      <c r="F316" s="1545">
        <f t="shared" si="46"/>
        <v>0</v>
      </c>
      <c r="G316" s="1336" t="s">
        <v>738</v>
      </c>
      <c r="H316" s="1359"/>
      <c r="V316" s="2265"/>
      <c r="W316" s="277">
        <f t="shared" si="45"/>
        <v>0</v>
      </c>
      <c r="X316" s="277">
        <v>0</v>
      </c>
      <c r="Y316" s="277">
        <v>0</v>
      </c>
      <c r="Z316" s="296">
        <v>0</v>
      </c>
      <c r="AA316" s="296">
        <v>0</v>
      </c>
      <c r="AB316" s="296">
        <v>0</v>
      </c>
      <c r="AC316" s="296">
        <v>0</v>
      </c>
      <c r="AD316" s="296">
        <v>0</v>
      </c>
      <c r="AE316" s="296">
        <v>0</v>
      </c>
      <c r="AF316" s="258">
        <f t="shared" si="44"/>
        <v>0</v>
      </c>
      <c r="AG316" s="277"/>
      <c r="AK316" s="344"/>
    </row>
    <row r="317" spans="4:37" hidden="1" outlineLevel="1" x14ac:dyDescent="0.25">
      <c r="D317" s="2287"/>
      <c r="E317" s="122" t="s">
        <v>1573</v>
      </c>
      <c r="F317" s="1545">
        <f t="shared" si="46"/>
        <v>7.51770003900325E-2</v>
      </c>
      <c r="G317" s="1336" t="s">
        <v>738</v>
      </c>
      <c r="H317" s="1359"/>
      <c r="V317" s="2265"/>
      <c r="W317" s="277">
        <f t="shared" si="45"/>
        <v>63.481129729352105</v>
      </c>
      <c r="X317" s="277">
        <v>63.481129729352105</v>
      </c>
      <c r="Y317" s="277">
        <v>8.8303143315276264E-2</v>
      </c>
      <c r="Z317" s="296">
        <v>8.8303143315276264E-2</v>
      </c>
      <c r="AA317" s="296">
        <v>8.8303143315276264E-2</v>
      </c>
      <c r="AB317" s="296">
        <v>8.8303143315276264E-2</v>
      </c>
      <c r="AC317" s="296">
        <v>8.8303143315276264E-2</v>
      </c>
      <c r="AD317" s="296">
        <v>8.8303143315276264E-2</v>
      </c>
      <c r="AE317" s="296">
        <v>8.8303143315276264E-2</v>
      </c>
      <c r="AF317" s="258">
        <f t="shared" si="44"/>
        <v>7.51770003900325E-2</v>
      </c>
      <c r="AG317" s="277"/>
      <c r="AK317" s="344"/>
    </row>
    <row r="318" spans="4:37" hidden="1" outlineLevel="1" x14ac:dyDescent="0.25">
      <c r="D318" s="2287"/>
      <c r="E318" s="122" t="s">
        <v>1575</v>
      </c>
      <c r="F318" s="1545">
        <f t="shared" si="46"/>
        <v>0</v>
      </c>
      <c r="G318" s="1336" t="s">
        <v>738</v>
      </c>
      <c r="H318" s="1359"/>
      <c r="V318" s="2265"/>
      <c r="W318" s="277">
        <f t="shared" si="45"/>
        <v>0</v>
      </c>
      <c r="X318" s="277">
        <v>0</v>
      </c>
      <c r="Y318" s="277">
        <v>0</v>
      </c>
      <c r="Z318" s="296">
        <v>0</v>
      </c>
      <c r="AA318" s="296">
        <v>0</v>
      </c>
      <c r="AB318" s="296">
        <v>0</v>
      </c>
      <c r="AC318" s="296">
        <v>0</v>
      </c>
      <c r="AD318" s="296">
        <v>0</v>
      </c>
      <c r="AE318" s="296">
        <v>0</v>
      </c>
      <c r="AF318" s="258">
        <f t="shared" si="44"/>
        <v>0</v>
      </c>
      <c r="AG318" s="277"/>
      <c r="AK318" s="344"/>
    </row>
    <row r="319" spans="4:37" hidden="1" outlineLevel="1" x14ac:dyDescent="0.25">
      <c r="D319" s="2287"/>
      <c r="E319" s="122" t="s">
        <v>1577</v>
      </c>
      <c r="F319" s="1545">
        <f t="shared" si="46"/>
        <v>0</v>
      </c>
      <c r="G319" s="1336" t="s">
        <v>738</v>
      </c>
      <c r="H319" s="1359"/>
      <c r="V319" s="2265"/>
      <c r="W319" s="277">
        <f t="shared" si="45"/>
        <v>0</v>
      </c>
      <c r="X319" s="277">
        <v>0</v>
      </c>
      <c r="Y319" s="277">
        <v>0</v>
      </c>
      <c r="Z319" s="296">
        <v>0</v>
      </c>
      <c r="AA319" s="296">
        <v>0</v>
      </c>
      <c r="AB319" s="296">
        <v>0</v>
      </c>
      <c r="AC319" s="296">
        <v>0</v>
      </c>
      <c r="AD319" s="296">
        <v>0</v>
      </c>
      <c r="AE319" s="296">
        <v>0</v>
      </c>
      <c r="AF319" s="258">
        <f t="shared" si="44"/>
        <v>0</v>
      </c>
      <c r="AG319" s="277"/>
      <c r="AK319" s="344"/>
    </row>
    <row r="320" spans="4:37" hidden="1" outlineLevel="1" x14ac:dyDescent="0.25">
      <c r="D320" s="2287"/>
      <c r="E320" s="122" t="s">
        <v>1579</v>
      </c>
      <c r="F320" s="1545">
        <f t="shared" si="46"/>
        <v>7.51770003900325E-2</v>
      </c>
      <c r="G320" s="1336" t="s">
        <v>738</v>
      </c>
      <c r="H320" s="1359"/>
      <c r="V320" s="2269"/>
      <c r="W320" s="277">
        <f t="shared" si="45"/>
        <v>97.663276506695567</v>
      </c>
      <c r="X320" s="277">
        <v>97.663276506695567</v>
      </c>
      <c r="Y320" s="277">
        <v>8.8303143315276264E-2</v>
      </c>
      <c r="Z320" s="296">
        <v>8.8303143315276264E-2</v>
      </c>
      <c r="AA320" s="296">
        <v>8.8303143315276264E-2</v>
      </c>
      <c r="AB320" s="296">
        <v>8.8303143315276264E-2</v>
      </c>
      <c r="AC320" s="296">
        <v>8.8303143315276264E-2</v>
      </c>
      <c r="AD320" s="296">
        <v>8.8303143315276264E-2</v>
      </c>
      <c r="AE320" s="296">
        <v>8.8303143315276264E-2</v>
      </c>
      <c r="AF320" s="258">
        <f t="shared" si="44"/>
        <v>7.51770003900325E-2</v>
      </c>
      <c r="AG320" s="277"/>
      <c r="AK320" s="344"/>
    </row>
    <row r="321" spans="4:37" hidden="1" outlineLevel="1" x14ac:dyDescent="0.25">
      <c r="D321" s="1321" t="s">
        <v>739</v>
      </c>
      <c r="E321" s="122" t="s">
        <v>734</v>
      </c>
      <c r="F321" s="1525">
        <v>3.1399999999999997E-2</v>
      </c>
      <c r="G321" s="1336" t="s">
        <v>1602</v>
      </c>
      <c r="H321" s="1359"/>
      <c r="V321" s="276" t="str">
        <f>D321</f>
        <v>Fe</v>
      </c>
      <c r="W321" s="278">
        <v>3.1399999999999997E-2</v>
      </c>
      <c r="X321" s="278">
        <v>3.1399999999999997E-2</v>
      </c>
      <c r="Y321" s="278">
        <v>3.1399999999999997E-2</v>
      </c>
      <c r="Z321" s="299">
        <v>3.1399999999999997E-2</v>
      </c>
      <c r="AA321" s="299">
        <v>3.1399999999999997E-2</v>
      </c>
      <c r="AB321" s="299">
        <v>3.1399999999999997E-2</v>
      </c>
      <c r="AC321" s="299">
        <v>3.1399999999999997E-2</v>
      </c>
      <c r="AD321" s="299">
        <v>3.1399999999999997E-2</v>
      </c>
      <c r="AE321" s="299">
        <v>3.1399999999999997E-2</v>
      </c>
      <c r="AF321" s="258">
        <f t="shared" si="44"/>
        <v>3.1399999999999997E-2</v>
      </c>
      <c r="AG321" s="278"/>
      <c r="AK321" s="344"/>
    </row>
    <row r="322" spans="4:37" hidden="1" outlineLevel="1" x14ac:dyDescent="0.25">
      <c r="D322" s="1321" t="s">
        <v>1603</v>
      </c>
      <c r="E322" s="122" t="s">
        <v>734</v>
      </c>
      <c r="F322" s="1522">
        <v>1646</v>
      </c>
      <c r="G322" s="1336" t="s">
        <v>747</v>
      </c>
      <c r="H322" s="1359" t="s">
        <v>1604</v>
      </c>
      <c r="V322" s="276" t="str">
        <f>D322</f>
        <v>CDD</v>
      </c>
      <c r="W322" s="266">
        <v>1646</v>
      </c>
      <c r="X322" s="266">
        <v>1646</v>
      </c>
      <c r="Y322" s="266">
        <v>1646</v>
      </c>
      <c r="Z322" s="430">
        <v>1646</v>
      </c>
      <c r="AA322" s="430">
        <v>1646</v>
      </c>
      <c r="AB322" s="430">
        <v>1646</v>
      </c>
      <c r="AC322" s="430">
        <v>1646</v>
      </c>
      <c r="AD322" s="430">
        <v>1646</v>
      </c>
      <c r="AE322" s="430">
        <v>1646</v>
      </c>
      <c r="AF322" s="258">
        <f t="shared" si="44"/>
        <v>1646</v>
      </c>
      <c r="AG322" s="266"/>
      <c r="AK322" s="344"/>
    </row>
    <row r="323" spans="4:37" ht="75" hidden="1" outlineLevel="1" x14ac:dyDescent="0.25">
      <c r="D323" s="1321" t="s">
        <v>1605</v>
      </c>
      <c r="E323" s="122" t="s">
        <v>734</v>
      </c>
      <c r="F323" s="1526">
        <v>0.75</v>
      </c>
      <c r="G323" s="1336" t="s">
        <v>1606</v>
      </c>
      <c r="H323" s="1359"/>
      <c r="V323" s="276" t="str">
        <f>D323</f>
        <v>DUA</v>
      </c>
      <c r="W323" s="274">
        <v>0.75</v>
      </c>
      <c r="X323" s="274">
        <v>0.75</v>
      </c>
      <c r="Y323" s="274">
        <v>0.75</v>
      </c>
      <c r="Z323" s="300">
        <v>0.75</v>
      </c>
      <c r="AA323" s="300">
        <v>0.75</v>
      </c>
      <c r="AB323" s="300">
        <v>0.75</v>
      </c>
      <c r="AC323" s="300">
        <v>0.75</v>
      </c>
      <c r="AD323" s="300">
        <v>0.75</v>
      </c>
      <c r="AE323" s="300">
        <v>0.75</v>
      </c>
      <c r="AF323" s="258">
        <f t="shared" si="44"/>
        <v>0.75</v>
      </c>
      <c r="AG323" s="274"/>
      <c r="AK323" s="344"/>
    </row>
    <row r="324" spans="4:37" hidden="1" outlineLevel="1" x14ac:dyDescent="0.25">
      <c r="D324" s="2251" t="s">
        <v>1607</v>
      </c>
      <c r="E324" s="122" t="s">
        <v>1521</v>
      </c>
      <c r="F324" s="514">
        <v>0.91</v>
      </c>
      <c r="G324" s="2252" t="s">
        <v>1608</v>
      </c>
      <c r="H324" s="1359" t="s">
        <v>1609</v>
      </c>
      <c r="V324" s="2264" t="str">
        <f>D324</f>
        <v>%cool</v>
      </c>
      <c r="W324" s="274">
        <v>0.91</v>
      </c>
      <c r="X324" s="274">
        <v>0.91</v>
      </c>
      <c r="Y324" s="274">
        <v>0.91</v>
      </c>
      <c r="Z324" s="300">
        <v>0.91</v>
      </c>
      <c r="AA324" s="300">
        <v>0.91</v>
      </c>
      <c r="AB324" s="300">
        <v>0.91</v>
      </c>
      <c r="AC324" s="300">
        <v>0.91</v>
      </c>
      <c r="AD324" s="300">
        <v>0.91</v>
      </c>
      <c r="AE324" s="300">
        <v>0.91</v>
      </c>
      <c r="AF324" s="258">
        <f t="shared" si="44"/>
        <v>0.91</v>
      </c>
      <c r="AG324" s="274"/>
      <c r="AK324" s="344"/>
    </row>
    <row r="325" spans="4:37" hidden="1" outlineLevel="1" x14ac:dyDescent="0.25">
      <c r="D325" s="2251"/>
      <c r="E325" s="122" t="s">
        <v>1523</v>
      </c>
      <c r="F325" s="514">
        <v>1</v>
      </c>
      <c r="G325" s="2252"/>
      <c r="H325" s="1359" t="s">
        <v>1610</v>
      </c>
      <c r="V325" s="2265"/>
      <c r="W325" s="274">
        <v>1</v>
      </c>
      <c r="X325" s="274">
        <v>1</v>
      </c>
      <c r="Y325" s="274">
        <v>1</v>
      </c>
      <c r="Z325" s="300">
        <v>1</v>
      </c>
      <c r="AA325" s="300">
        <v>1</v>
      </c>
      <c r="AB325" s="300">
        <v>1</v>
      </c>
      <c r="AC325" s="300">
        <v>1</v>
      </c>
      <c r="AD325" s="300">
        <v>1</v>
      </c>
      <c r="AE325" s="300">
        <v>1</v>
      </c>
      <c r="AF325" s="258">
        <f t="shared" si="44"/>
        <v>1</v>
      </c>
      <c r="AG325" s="274"/>
      <c r="AK325" s="344"/>
    </row>
    <row r="326" spans="4:37" hidden="1" outlineLevel="1" x14ac:dyDescent="0.25">
      <c r="D326" s="2251"/>
      <c r="E326" s="122" t="s">
        <v>1525</v>
      </c>
      <c r="F326" s="514">
        <v>0.91</v>
      </c>
      <c r="G326" s="2252"/>
      <c r="H326" s="1359" t="s">
        <v>1609</v>
      </c>
      <c r="V326" s="2265"/>
      <c r="W326" s="274">
        <v>0.91</v>
      </c>
      <c r="X326" s="274">
        <v>0.91</v>
      </c>
      <c r="Y326" s="274">
        <v>0.91</v>
      </c>
      <c r="Z326" s="300">
        <v>0.91</v>
      </c>
      <c r="AA326" s="300">
        <v>0.91</v>
      </c>
      <c r="AB326" s="300">
        <v>0.91</v>
      </c>
      <c r="AC326" s="300">
        <v>0.91</v>
      </c>
      <c r="AD326" s="300">
        <v>0.91</v>
      </c>
      <c r="AE326" s="300">
        <v>0.91</v>
      </c>
      <c r="AF326" s="258">
        <f t="shared" si="44"/>
        <v>0.91</v>
      </c>
      <c r="AG326" s="274"/>
      <c r="AK326" s="344"/>
    </row>
    <row r="327" spans="4:37" hidden="1" outlineLevel="1" x14ac:dyDescent="0.25">
      <c r="D327" s="2251"/>
      <c r="E327" s="122" t="s">
        <v>1527</v>
      </c>
      <c r="F327" s="514">
        <v>0.91</v>
      </c>
      <c r="G327" s="2252"/>
      <c r="H327" s="1359" t="s">
        <v>1609</v>
      </c>
      <c r="V327" s="2265"/>
      <c r="W327" s="274">
        <v>0.91</v>
      </c>
      <c r="X327" s="274">
        <v>0.91</v>
      </c>
      <c r="Y327" s="274">
        <v>0.91</v>
      </c>
      <c r="Z327" s="300">
        <v>0.91</v>
      </c>
      <c r="AA327" s="300">
        <v>0.91</v>
      </c>
      <c r="AB327" s="300">
        <v>0.91</v>
      </c>
      <c r="AC327" s="300">
        <v>0.91</v>
      </c>
      <c r="AD327" s="300">
        <v>0.91</v>
      </c>
      <c r="AE327" s="300">
        <v>0.91</v>
      </c>
      <c r="AF327" s="258">
        <f t="shared" si="44"/>
        <v>0.91</v>
      </c>
      <c r="AG327" s="274"/>
      <c r="AK327" s="344"/>
    </row>
    <row r="328" spans="4:37" hidden="1" outlineLevel="1" x14ac:dyDescent="0.25">
      <c r="D328" s="2251"/>
      <c r="E328" s="122" t="s">
        <v>1529</v>
      </c>
      <c r="F328" s="514">
        <v>1</v>
      </c>
      <c r="G328" s="2252"/>
      <c r="H328" s="1359" t="s">
        <v>1610</v>
      </c>
      <c r="V328" s="2265"/>
      <c r="W328" s="274">
        <v>1</v>
      </c>
      <c r="X328" s="274">
        <v>1</v>
      </c>
      <c r="Y328" s="274">
        <v>1</v>
      </c>
      <c r="Z328" s="300">
        <v>1</v>
      </c>
      <c r="AA328" s="300">
        <v>1</v>
      </c>
      <c r="AB328" s="300">
        <v>1</v>
      </c>
      <c r="AC328" s="300">
        <v>1</v>
      </c>
      <c r="AD328" s="300">
        <v>1</v>
      </c>
      <c r="AE328" s="300">
        <v>1</v>
      </c>
      <c r="AF328" s="258">
        <f t="shared" si="44"/>
        <v>1</v>
      </c>
      <c r="AG328" s="274"/>
      <c r="AK328" s="344"/>
    </row>
    <row r="329" spans="4:37" hidden="1" outlineLevel="1" x14ac:dyDescent="0.25">
      <c r="D329" s="2251"/>
      <c r="E329" s="122" t="s">
        <v>1531</v>
      </c>
      <c r="F329" s="514">
        <v>0.91</v>
      </c>
      <c r="G329" s="2252"/>
      <c r="H329" s="1359" t="s">
        <v>1609</v>
      </c>
      <c r="V329" s="2265"/>
      <c r="W329" s="274">
        <v>0.91</v>
      </c>
      <c r="X329" s="274">
        <v>0.91</v>
      </c>
      <c r="Y329" s="274">
        <v>0.91</v>
      </c>
      <c r="Z329" s="300">
        <v>0.91</v>
      </c>
      <c r="AA329" s="300">
        <v>0.91</v>
      </c>
      <c r="AB329" s="300">
        <v>0.91</v>
      </c>
      <c r="AC329" s="300">
        <v>0.91</v>
      </c>
      <c r="AD329" s="300">
        <v>0.91</v>
      </c>
      <c r="AE329" s="300">
        <v>0.91</v>
      </c>
      <c r="AF329" s="258">
        <f t="shared" ref="AF329:AF392" si="47">IF(F329&lt;&gt;"",F329,"")</f>
        <v>0.91</v>
      </c>
      <c r="AG329" s="274"/>
      <c r="AK329" s="344"/>
    </row>
    <row r="330" spans="4:37" hidden="1" outlineLevel="1" x14ac:dyDescent="0.25">
      <c r="D330" s="2251"/>
      <c r="E330" s="122" t="s">
        <v>1533</v>
      </c>
      <c r="F330" s="514">
        <v>0.91</v>
      </c>
      <c r="G330" s="2252"/>
      <c r="H330" s="1359" t="s">
        <v>1609</v>
      </c>
      <c r="V330" s="2265"/>
      <c r="W330" s="274">
        <v>0.91</v>
      </c>
      <c r="X330" s="274">
        <v>0.91</v>
      </c>
      <c r="Y330" s="274">
        <v>0.91</v>
      </c>
      <c r="Z330" s="300">
        <v>0.91</v>
      </c>
      <c r="AA330" s="300">
        <v>0.91</v>
      </c>
      <c r="AB330" s="300">
        <v>0.91</v>
      </c>
      <c r="AC330" s="300">
        <v>0.91</v>
      </c>
      <c r="AD330" s="300">
        <v>0.91</v>
      </c>
      <c r="AE330" s="300">
        <v>0.91</v>
      </c>
      <c r="AF330" s="258">
        <f t="shared" si="47"/>
        <v>0.91</v>
      </c>
      <c r="AG330" s="274"/>
      <c r="AK330" s="344"/>
    </row>
    <row r="331" spans="4:37" hidden="1" outlineLevel="1" x14ac:dyDescent="0.25">
      <c r="D331" s="2251"/>
      <c r="E331" s="122" t="s">
        <v>1535</v>
      </c>
      <c r="F331" s="514">
        <v>1</v>
      </c>
      <c r="G331" s="2252"/>
      <c r="H331" s="1359" t="s">
        <v>1610</v>
      </c>
      <c r="V331" s="2265"/>
      <c r="W331" s="274">
        <v>1</v>
      </c>
      <c r="X331" s="274">
        <v>1</v>
      </c>
      <c r="Y331" s="274">
        <v>1</v>
      </c>
      <c r="Z331" s="300">
        <v>1</v>
      </c>
      <c r="AA331" s="300">
        <v>1</v>
      </c>
      <c r="AB331" s="300">
        <v>1</v>
      </c>
      <c r="AC331" s="300">
        <v>1</v>
      </c>
      <c r="AD331" s="300">
        <v>1</v>
      </c>
      <c r="AE331" s="300">
        <v>1</v>
      </c>
      <c r="AF331" s="258">
        <f t="shared" si="47"/>
        <v>1</v>
      </c>
      <c r="AG331" s="274"/>
      <c r="AK331" s="344"/>
    </row>
    <row r="332" spans="4:37" hidden="1" outlineLevel="1" x14ac:dyDescent="0.25">
      <c r="D332" s="2251"/>
      <c r="E332" s="122" t="s">
        <v>1537</v>
      </c>
      <c r="F332" s="514">
        <v>0.91</v>
      </c>
      <c r="G332" s="2252"/>
      <c r="H332" s="1359" t="s">
        <v>1609</v>
      </c>
      <c r="V332" s="2265"/>
      <c r="W332" s="274">
        <v>0.91</v>
      </c>
      <c r="X332" s="274">
        <v>0.91</v>
      </c>
      <c r="Y332" s="274">
        <v>0.91</v>
      </c>
      <c r="Z332" s="300">
        <v>0.91</v>
      </c>
      <c r="AA332" s="300">
        <v>0.91</v>
      </c>
      <c r="AB332" s="300">
        <v>0.91</v>
      </c>
      <c r="AC332" s="300">
        <v>0.91</v>
      </c>
      <c r="AD332" s="300">
        <v>0.91</v>
      </c>
      <c r="AE332" s="300">
        <v>0.91</v>
      </c>
      <c r="AF332" s="258">
        <f t="shared" si="47"/>
        <v>0.91</v>
      </c>
      <c r="AG332" s="274"/>
      <c r="AK332" s="344"/>
    </row>
    <row r="333" spans="4:37" hidden="1" outlineLevel="1" x14ac:dyDescent="0.25">
      <c r="D333" s="2251"/>
      <c r="E333" s="122" t="s">
        <v>1539</v>
      </c>
      <c r="F333" s="514">
        <v>0.91</v>
      </c>
      <c r="G333" s="2252"/>
      <c r="H333" s="1359" t="s">
        <v>1609</v>
      </c>
      <c r="V333" s="2265"/>
      <c r="W333" s="274">
        <v>0.91</v>
      </c>
      <c r="X333" s="274">
        <v>0.91</v>
      </c>
      <c r="Y333" s="274">
        <v>0.91</v>
      </c>
      <c r="Z333" s="300">
        <v>0.91</v>
      </c>
      <c r="AA333" s="300">
        <v>0.91</v>
      </c>
      <c r="AB333" s="300">
        <v>0.91</v>
      </c>
      <c r="AC333" s="300">
        <v>0.91</v>
      </c>
      <c r="AD333" s="300">
        <v>0.91</v>
      </c>
      <c r="AE333" s="300">
        <v>0.91</v>
      </c>
      <c r="AF333" s="258">
        <f t="shared" si="47"/>
        <v>0.91</v>
      </c>
      <c r="AG333" s="274"/>
      <c r="AK333" s="344"/>
    </row>
    <row r="334" spans="4:37" hidden="1" outlineLevel="1" x14ac:dyDescent="0.25">
      <c r="D334" s="2251"/>
      <c r="E334" s="122" t="s">
        <v>1541</v>
      </c>
      <c r="F334" s="514">
        <v>1</v>
      </c>
      <c r="G334" s="2252"/>
      <c r="H334" s="1359" t="s">
        <v>1610</v>
      </c>
      <c r="V334" s="2265"/>
      <c r="W334" s="274">
        <v>1</v>
      </c>
      <c r="X334" s="274">
        <v>1</v>
      </c>
      <c r="Y334" s="274">
        <v>1</v>
      </c>
      <c r="Z334" s="300">
        <v>1</v>
      </c>
      <c r="AA334" s="300">
        <v>1</v>
      </c>
      <c r="AB334" s="300">
        <v>1</v>
      </c>
      <c r="AC334" s="300">
        <v>1</v>
      </c>
      <c r="AD334" s="300">
        <v>1</v>
      </c>
      <c r="AE334" s="300">
        <v>1</v>
      </c>
      <c r="AF334" s="258">
        <f t="shared" si="47"/>
        <v>1</v>
      </c>
      <c r="AG334" s="274"/>
      <c r="AK334" s="344"/>
    </row>
    <row r="335" spans="4:37" hidden="1" outlineLevel="1" x14ac:dyDescent="0.25">
      <c r="D335" s="2251"/>
      <c r="E335" s="122" t="s">
        <v>1543</v>
      </c>
      <c r="F335" s="514">
        <v>0.91</v>
      </c>
      <c r="G335" s="2252"/>
      <c r="H335" s="1359" t="s">
        <v>1609</v>
      </c>
      <c r="V335" s="2265"/>
      <c r="W335" s="274">
        <v>0.91</v>
      </c>
      <c r="X335" s="274">
        <v>0.91</v>
      </c>
      <c r="Y335" s="274">
        <v>0.91</v>
      </c>
      <c r="Z335" s="300">
        <v>0.91</v>
      </c>
      <c r="AA335" s="300">
        <v>0.91</v>
      </c>
      <c r="AB335" s="300">
        <v>0.91</v>
      </c>
      <c r="AC335" s="300">
        <v>0.91</v>
      </c>
      <c r="AD335" s="300">
        <v>0.91</v>
      </c>
      <c r="AE335" s="300">
        <v>0.91</v>
      </c>
      <c r="AF335" s="258">
        <f t="shared" si="47"/>
        <v>0.91</v>
      </c>
      <c r="AG335" s="274"/>
      <c r="AK335" s="344"/>
    </row>
    <row r="336" spans="4:37" hidden="1" outlineLevel="1" x14ac:dyDescent="0.25">
      <c r="D336" s="2251"/>
      <c r="E336" s="122" t="s">
        <v>1545</v>
      </c>
      <c r="F336" s="514">
        <v>0.91</v>
      </c>
      <c r="G336" s="2252"/>
      <c r="H336" s="1359" t="s">
        <v>1609</v>
      </c>
      <c r="V336" s="2265"/>
      <c r="W336" s="274">
        <v>0.91</v>
      </c>
      <c r="X336" s="274">
        <v>0.91</v>
      </c>
      <c r="Y336" s="274">
        <v>0.91</v>
      </c>
      <c r="Z336" s="300">
        <v>0.91</v>
      </c>
      <c r="AA336" s="300">
        <v>0.91</v>
      </c>
      <c r="AB336" s="300">
        <v>0.91</v>
      </c>
      <c r="AC336" s="300">
        <v>0.91</v>
      </c>
      <c r="AD336" s="300">
        <v>0.91</v>
      </c>
      <c r="AE336" s="300">
        <v>0.91</v>
      </c>
      <c r="AF336" s="258">
        <f t="shared" si="47"/>
        <v>0.91</v>
      </c>
      <c r="AG336" s="274"/>
      <c r="AK336" s="344"/>
    </row>
    <row r="337" spans="4:37" hidden="1" outlineLevel="1" x14ac:dyDescent="0.25">
      <c r="D337" s="2251"/>
      <c r="E337" s="122" t="s">
        <v>1547</v>
      </c>
      <c r="F337" s="514">
        <v>1</v>
      </c>
      <c r="G337" s="2252"/>
      <c r="H337" s="1359" t="s">
        <v>1610</v>
      </c>
      <c r="V337" s="2265"/>
      <c r="W337" s="274">
        <v>1</v>
      </c>
      <c r="X337" s="274">
        <v>1</v>
      </c>
      <c r="Y337" s="274">
        <v>1</v>
      </c>
      <c r="Z337" s="300">
        <v>1</v>
      </c>
      <c r="AA337" s="300">
        <v>1</v>
      </c>
      <c r="AB337" s="300">
        <v>1</v>
      </c>
      <c r="AC337" s="300">
        <v>1</v>
      </c>
      <c r="AD337" s="300">
        <v>1</v>
      </c>
      <c r="AE337" s="300">
        <v>1</v>
      </c>
      <c r="AF337" s="258">
        <f t="shared" si="47"/>
        <v>1</v>
      </c>
      <c r="AG337" s="274"/>
      <c r="AK337" s="344"/>
    </row>
    <row r="338" spans="4:37" hidden="1" outlineLevel="1" x14ac:dyDescent="0.25">
      <c r="D338" s="2251"/>
      <c r="E338" s="122" t="s">
        <v>1549</v>
      </c>
      <c r="F338" s="514">
        <v>0.91</v>
      </c>
      <c r="G338" s="2252"/>
      <c r="H338" s="1359" t="s">
        <v>1609</v>
      </c>
      <c r="V338" s="2265"/>
      <c r="W338" s="274">
        <v>0.91</v>
      </c>
      <c r="X338" s="274">
        <v>0.91</v>
      </c>
      <c r="Y338" s="274">
        <v>0.91</v>
      </c>
      <c r="Z338" s="300">
        <v>0.91</v>
      </c>
      <c r="AA338" s="300">
        <v>0.91</v>
      </c>
      <c r="AB338" s="300">
        <v>0.91</v>
      </c>
      <c r="AC338" s="300">
        <v>0.91</v>
      </c>
      <c r="AD338" s="300">
        <v>0.91</v>
      </c>
      <c r="AE338" s="300">
        <v>0.91</v>
      </c>
      <c r="AF338" s="258">
        <f t="shared" si="47"/>
        <v>0.91</v>
      </c>
      <c r="AG338" s="274"/>
      <c r="AK338" s="344"/>
    </row>
    <row r="339" spans="4:37" hidden="1" outlineLevel="1" x14ac:dyDescent="0.25">
      <c r="D339" s="2251"/>
      <c r="E339" s="122" t="s">
        <v>1551</v>
      </c>
      <c r="F339" s="514">
        <v>0.91</v>
      </c>
      <c r="G339" s="2252"/>
      <c r="H339" s="1359" t="s">
        <v>1609</v>
      </c>
      <c r="V339" s="2265"/>
      <c r="W339" s="274">
        <v>0.91</v>
      </c>
      <c r="X339" s="274">
        <v>0.91</v>
      </c>
      <c r="Y339" s="274">
        <v>0.91</v>
      </c>
      <c r="Z339" s="300">
        <v>0.91</v>
      </c>
      <c r="AA339" s="300">
        <v>0.91</v>
      </c>
      <c r="AB339" s="300">
        <v>0.91</v>
      </c>
      <c r="AC339" s="300">
        <v>0.91</v>
      </c>
      <c r="AD339" s="300">
        <v>0.91</v>
      </c>
      <c r="AE339" s="300">
        <v>0.91</v>
      </c>
      <c r="AF339" s="258">
        <f t="shared" si="47"/>
        <v>0.91</v>
      </c>
      <c r="AG339" s="274"/>
      <c r="AK339" s="344"/>
    </row>
    <row r="340" spans="4:37" hidden="1" outlineLevel="1" x14ac:dyDescent="0.25">
      <c r="D340" s="2251"/>
      <c r="E340" s="122" t="s">
        <v>1553</v>
      </c>
      <c r="F340" s="514">
        <v>1</v>
      </c>
      <c r="G340" s="2252"/>
      <c r="H340" s="1359" t="s">
        <v>1610</v>
      </c>
      <c r="V340" s="2265"/>
      <c r="W340" s="274">
        <v>1</v>
      </c>
      <c r="X340" s="274">
        <v>1</v>
      </c>
      <c r="Y340" s="274">
        <v>1</v>
      </c>
      <c r="Z340" s="300">
        <v>1</v>
      </c>
      <c r="AA340" s="300">
        <v>1</v>
      </c>
      <c r="AB340" s="300">
        <v>1</v>
      </c>
      <c r="AC340" s="300">
        <v>1</v>
      </c>
      <c r="AD340" s="300">
        <v>1</v>
      </c>
      <c r="AE340" s="300">
        <v>1</v>
      </c>
      <c r="AF340" s="258">
        <f t="shared" si="47"/>
        <v>1</v>
      </c>
      <c r="AG340" s="274"/>
      <c r="AK340" s="344"/>
    </row>
    <row r="341" spans="4:37" hidden="1" outlineLevel="1" x14ac:dyDescent="0.25">
      <c r="D341" s="2251"/>
      <c r="E341" s="122" t="s">
        <v>1555</v>
      </c>
      <c r="F341" s="514">
        <v>0.91</v>
      </c>
      <c r="G341" s="2252"/>
      <c r="H341" s="1359" t="s">
        <v>1609</v>
      </c>
      <c r="V341" s="2265"/>
      <c r="W341" s="274">
        <v>0.91</v>
      </c>
      <c r="X341" s="274">
        <v>0.91</v>
      </c>
      <c r="Y341" s="274">
        <v>0.91</v>
      </c>
      <c r="Z341" s="300">
        <v>0.91</v>
      </c>
      <c r="AA341" s="300">
        <v>0.91</v>
      </c>
      <c r="AB341" s="300">
        <v>0.91</v>
      </c>
      <c r="AC341" s="300">
        <v>0.91</v>
      </c>
      <c r="AD341" s="300">
        <v>0.91</v>
      </c>
      <c r="AE341" s="300">
        <v>0.91</v>
      </c>
      <c r="AF341" s="258">
        <f t="shared" si="47"/>
        <v>0.91</v>
      </c>
      <c r="AG341" s="274"/>
      <c r="AK341" s="344"/>
    </row>
    <row r="342" spans="4:37" hidden="1" outlineLevel="1" x14ac:dyDescent="0.25">
      <c r="D342" s="2251"/>
      <c r="E342" s="122" t="s">
        <v>1557</v>
      </c>
      <c r="F342" s="514">
        <v>0.91</v>
      </c>
      <c r="G342" s="2252"/>
      <c r="H342" s="1359" t="s">
        <v>1609</v>
      </c>
      <c r="V342" s="2265"/>
      <c r="W342" s="274">
        <v>0.91</v>
      </c>
      <c r="X342" s="274">
        <v>0.91</v>
      </c>
      <c r="Y342" s="274">
        <v>0.91</v>
      </c>
      <c r="Z342" s="300">
        <v>0.91</v>
      </c>
      <c r="AA342" s="300">
        <v>0.91</v>
      </c>
      <c r="AB342" s="300">
        <v>0.91</v>
      </c>
      <c r="AC342" s="300">
        <v>0.91</v>
      </c>
      <c r="AD342" s="300">
        <v>0.91</v>
      </c>
      <c r="AE342" s="300">
        <v>0.91</v>
      </c>
      <c r="AF342" s="258">
        <f t="shared" si="47"/>
        <v>0.91</v>
      </c>
      <c r="AG342" s="274"/>
      <c r="AK342" s="344"/>
    </row>
    <row r="343" spans="4:37" hidden="1" outlineLevel="1" x14ac:dyDescent="0.25">
      <c r="D343" s="2251"/>
      <c r="E343" s="122" t="s">
        <v>1559</v>
      </c>
      <c r="F343" s="514">
        <v>1</v>
      </c>
      <c r="G343" s="2252"/>
      <c r="H343" s="1359" t="s">
        <v>1610</v>
      </c>
      <c r="V343" s="2265"/>
      <c r="W343" s="274">
        <v>1</v>
      </c>
      <c r="X343" s="274">
        <v>1</v>
      </c>
      <c r="Y343" s="274">
        <v>1</v>
      </c>
      <c r="Z343" s="300">
        <v>1</v>
      </c>
      <c r="AA343" s="300">
        <v>1</v>
      </c>
      <c r="AB343" s="300">
        <v>1</v>
      </c>
      <c r="AC343" s="300">
        <v>1</v>
      </c>
      <c r="AD343" s="300">
        <v>1</v>
      </c>
      <c r="AE343" s="300">
        <v>1</v>
      </c>
      <c r="AF343" s="258">
        <f t="shared" si="47"/>
        <v>1</v>
      </c>
      <c r="AG343" s="274"/>
      <c r="AK343" s="344"/>
    </row>
    <row r="344" spans="4:37" hidden="1" outlineLevel="1" x14ac:dyDescent="0.25">
      <c r="D344" s="2251"/>
      <c r="E344" s="122" t="s">
        <v>1561</v>
      </c>
      <c r="F344" s="514">
        <v>0.91</v>
      </c>
      <c r="G344" s="2252"/>
      <c r="H344" s="1359" t="s">
        <v>1609</v>
      </c>
      <c r="V344" s="2265"/>
      <c r="W344" s="274">
        <v>0.91</v>
      </c>
      <c r="X344" s="274">
        <v>0.91</v>
      </c>
      <c r="Y344" s="274">
        <v>0.91</v>
      </c>
      <c r="Z344" s="300">
        <v>0.91</v>
      </c>
      <c r="AA344" s="300">
        <v>0.91</v>
      </c>
      <c r="AB344" s="300">
        <v>0.91</v>
      </c>
      <c r="AC344" s="300">
        <v>0.91</v>
      </c>
      <c r="AD344" s="300">
        <v>0.91</v>
      </c>
      <c r="AE344" s="300">
        <v>0.91</v>
      </c>
      <c r="AF344" s="258">
        <f t="shared" si="47"/>
        <v>0.91</v>
      </c>
      <c r="AG344" s="274"/>
      <c r="AK344" s="344"/>
    </row>
    <row r="345" spans="4:37" hidden="1" outlineLevel="1" x14ac:dyDescent="0.25">
      <c r="D345" s="2251"/>
      <c r="E345" s="122" t="s">
        <v>1563</v>
      </c>
      <c r="F345" s="514">
        <v>0.91</v>
      </c>
      <c r="G345" s="2252"/>
      <c r="H345" s="1359" t="s">
        <v>1609</v>
      </c>
      <c r="V345" s="2265"/>
      <c r="W345" s="274">
        <v>0.91</v>
      </c>
      <c r="X345" s="274">
        <v>0.91</v>
      </c>
      <c r="Y345" s="274">
        <v>0.91</v>
      </c>
      <c r="Z345" s="300">
        <v>0.91</v>
      </c>
      <c r="AA345" s="300">
        <v>0.91</v>
      </c>
      <c r="AB345" s="300">
        <v>0.91</v>
      </c>
      <c r="AC345" s="300">
        <v>0.91</v>
      </c>
      <c r="AD345" s="300">
        <v>0.91</v>
      </c>
      <c r="AE345" s="300">
        <v>0.91</v>
      </c>
      <c r="AF345" s="258">
        <f t="shared" si="47"/>
        <v>0.91</v>
      </c>
      <c r="AG345" s="274"/>
      <c r="AK345" s="344"/>
    </row>
    <row r="346" spans="4:37" hidden="1" outlineLevel="1" x14ac:dyDescent="0.25">
      <c r="D346" s="2251"/>
      <c r="E346" s="122" t="s">
        <v>1565</v>
      </c>
      <c r="F346" s="514">
        <v>1</v>
      </c>
      <c r="G346" s="2252"/>
      <c r="H346" s="1359" t="s">
        <v>1610</v>
      </c>
      <c r="V346" s="2265"/>
      <c r="W346" s="274">
        <v>1</v>
      </c>
      <c r="X346" s="274">
        <v>1</v>
      </c>
      <c r="Y346" s="274">
        <v>1</v>
      </c>
      <c r="Z346" s="300">
        <v>1</v>
      </c>
      <c r="AA346" s="300">
        <v>1</v>
      </c>
      <c r="AB346" s="300">
        <v>1</v>
      </c>
      <c r="AC346" s="300">
        <v>1</v>
      </c>
      <c r="AD346" s="300">
        <v>1</v>
      </c>
      <c r="AE346" s="300">
        <v>1</v>
      </c>
      <c r="AF346" s="258">
        <f t="shared" si="47"/>
        <v>1</v>
      </c>
      <c r="AG346" s="274"/>
      <c r="AK346" s="344"/>
    </row>
    <row r="347" spans="4:37" hidden="1" outlineLevel="1" x14ac:dyDescent="0.25">
      <c r="D347" s="2251"/>
      <c r="E347" s="122" t="s">
        <v>1567</v>
      </c>
      <c r="F347" s="514">
        <v>0.91</v>
      </c>
      <c r="G347" s="2252"/>
      <c r="H347" s="1359" t="s">
        <v>1609</v>
      </c>
      <c r="V347" s="2265"/>
      <c r="W347" s="274">
        <v>0.91</v>
      </c>
      <c r="X347" s="274">
        <v>0.91</v>
      </c>
      <c r="Y347" s="274">
        <v>0.91</v>
      </c>
      <c r="Z347" s="300">
        <v>0.91</v>
      </c>
      <c r="AA347" s="300">
        <v>0.91</v>
      </c>
      <c r="AB347" s="300">
        <v>0.91</v>
      </c>
      <c r="AC347" s="300">
        <v>0.91</v>
      </c>
      <c r="AD347" s="300">
        <v>0.91</v>
      </c>
      <c r="AE347" s="300">
        <v>0.91</v>
      </c>
      <c r="AF347" s="258">
        <f t="shared" si="47"/>
        <v>0.91</v>
      </c>
      <c r="AG347" s="274"/>
      <c r="AK347" s="344"/>
    </row>
    <row r="348" spans="4:37" hidden="1" outlineLevel="1" x14ac:dyDescent="0.25">
      <c r="D348" s="2251"/>
      <c r="E348" s="122" t="s">
        <v>1569</v>
      </c>
      <c r="F348" s="514">
        <v>0.91</v>
      </c>
      <c r="G348" s="2252"/>
      <c r="H348" s="1359" t="s">
        <v>1609</v>
      </c>
      <c r="V348" s="2265"/>
      <c r="W348" s="274">
        <v>0.91</v>
      </c>
      <c r="X348" s="274">
        <v>0.91</v>
      </c>
      <c r="Y348" s="274">
        <v>0.91</v>
      </c>
      <c r="Z348" s="300">
        <v>0.91</v>
      </c>
      <c r="AA348" s="300">
        <v>0.91</v>
      </c>
      <c r="AB348" s="300">
        <v>0.91</v>
      </c>
      <c r="AC348" s="300">
        <v>0.91</v>
      </c>
      <c r="AD348" s="300">
        <v>0.91</v>
      </c>
      <c r="AE348" s="300">
        <v>0.91</v>
      </c>
      <c r="AF348" s="258">
        <f t="shared" si="47"/>
        <v>0.91</v>
      </c>
      <c r="AG348" s="274"/>
      <c r="AK348" s="344"/>
    </row>
    <row r="349" spans="4:37" hidden="1" outlineLevel="1" x14ac:dyDescent="0.25">
      <c r="D349" s="2251"/>
      <c r="E349" s="122" t="s">
        <v>1571</v>
      </c>
      <c r="F349" s="514">
        <v>1</v>
      </c>
      <c r="G349" s="2252"/>
      <c r="H349" s="1359" t="s">
        <v>1610</v>
      </c>
      <c r="V349" s="2265"/>
      <c r="W349" s="274">
        <v>1</v>
      </c>
      <c r="X349" s="274">
        <v>1</v>
      </c>
      <c r="Y349" s="274">
        <v>1</v>
      </c>
      <c r="Z349" s="300">
        <v>1</v>
      </c>
      <c r="AA349" s="300">
        <v>1</v>
      </c>
      <c r="AB349" s="300">
        <v>1</v>
      </c>
      <c r="AC349" s="300">
        <v>1</v>
      </c>
      <c r="AD349" s="300">
        <v>1</v>
      </c>
      <c r="AE349" s="300">
        <v>1</v>
      </c>
      <c r="AF349" s="258">
        <f t="shared" si="47"/>
        <v>1</v>
      </c>
      <c r="AG349" s="274"/>
      <c r="AK349" s="344"/>
    </row>
    <row r="350" spans="4:37" hidden="1" outlineLevel="1" x14ac:dyDescent="0.25">
      <c r="D350" s="2251"/>
      <c r="E350" s="122" t="s">
        <v>1573</v>
      </c>
      <c r="F350" s="514">
        <v>0.91</v>
      </c>
      <c r="G350" s="2252"/>
      <c r="H350" s="1359" t="s">
        <v>1609</v>
      </c>
      <c r="V350" s="2265"/>
      <c r="W350" s="274">
        <v>0.91</v>
      </c>
      <c r="X350" s="274">
        <v>0.91</v>
      </c>
      <c r="Y350" s="274">
        <v>0.91</v>
      </c>
      <c r="Z350" s="300">
        <v>0.91</v>
      </c>
      <c r="AA350" s="300">
        <v>0.91</v>
      </c>
      <c r="AB350" s="300">
        <v>0.91</v>
      </c>
      <c r="AC350" s="300">
        <v>0.91</v>
      </c>
      <c r="AD350" s="300">
        <v>0.91</v>
      </c>
      <c r="AE350" s="300">
        <v>0.91</v>
      </c>
      <c r="AF350" s="258">
        <f t="shared" si="47"/>
        <v>0.91</v>
      </c>
      <c r="AG350" s="274"/>
      <c r="AK350" s="344"/>
    </row>
    <row r="351" spans="4:37" hidden="1" outlineLevel="1" x14ac:dyDescent="0.25">
      <c r="D351" s="2251"/>
      <c r="E351" s="122" t="s">
        <v>1575</v>
      </c>
      <c r="F351" s="514">
        <v>0.91</v>
      </c>
      <c r="G351" s="2252"/>
      <c r="H351" s="1359" t="s">
        <v>1609</v>
      </c>
      <c r="V351" s="2265"/>
      <c r="W351" s="274">
        <v>0.91</v>
      </c>
      <c r="X351" s="274">
        <v>0.91</v>
      </c>
      <c r="Y351" s="274">
        <v>0.91</v>
      </c>
      <c r="Z351" s="300">
        <v>0.91</v>
      </c>
      <c r="AA351" s="300">
        <v>0.91</v>
      </c>
      <c r="AB351" s="300">
        <v>0.91</v>
      </c>
      <c r="AC351" s="300">
        <v>0.91</v>
      </c>
      <c r="AD351" s="300">
        <v>0.91</v>
      </c>
      <c r="AE351" s="300">
        <v>0.91</v>
      </c>
      <c r="AF351" s="258">
        <f t="shared" si="47"/>
        <v>0.91</v>
      </c>
      <c r="AG351" s="274"/>
      <c r="AK351" s="344"/>
    </row>
    <row r="352" spans="4:37" hidden="1" outlineLevel="1" x14ac:dyDescent="0.25">
      <c r="D352" s="2251"/>
      <c r="E352" s="122" t="s">
        <v>1577</v>
      </c>
      <c r="F352" s="514">
        <v>1</v>
      </c>
      <c r="G352" s="2252"/>
      <c r="H352" s="1359" t="s">
        <v>1610</v>
      </c>
      <c r="V352" s="2265"/>
      <c r="W352" s="274">
        <v>1</v>
      </c>
      <c r="X352" s="274">
        <v>1</v>
      </c>
      <c r="Y352" s="274">
        <v>1</v>
      </c>
      <c r="Z352" s="300">
        <v>1</v>
      </c>
      <c r="AA352" s="300">
        <v>1</v>
      </c>
      <c r="AB352" s="300">
        <v>1</v>
      </c>
      <c r="AC352" s="300">
        <v>1</v>
      </c>
      <c r="AD352" s="300">
        <v>1</v>
      </c>
      <c r="AE352" s="300">
        <v>1</v>
      </c>
      <c r="AF352" s="258">
        <f t="shared" si="47"/>
        <v>1</v>
      </c>
      <c r="AG352" s="274"/>
      <c r="AK352" s="344"/>
    </row>
    <row r="353" spans="4:37" hidden="1" outlineLevel="1" x14ac:dyDescent="0.25">
      <c r="D353" s="2251"/>
      <c r="E353" s="122" t="s">
        <v>1579</v>
      </c>
      <c r="F353" s="514">
        <v>0.91</v>
      </c>
      <c r="G353" s="2252"/>
      <c r="H353" s="1359" t="s">
        <v>1609</v>
      </c>
      <c r="V353" s="2269"/>
      <c r="W353" s="274">
        <v>0.91</v>
      </c>
      <c r="X353" s="274">
        <v>0.91</v>
      </c>
      <c r="Y353" s="274">
        <v>0.91</v>
      </c>
      <c r="Z353" s="300">
        <v>0.91</v>
      </c>
      <c r="AA353" s="300">
        <v>0.91</v>
      </c>
      <c r="AB353" s="300">
        <v>0.91</v>
      </c>
      <c r="AC353" s="300">
        <v>0.91</v>
      </c>
      <c r="AD353" s="300">
        <v>0.91</v>
      </c>
      <c r="AE353" s="300">
        <v>0.91</v>
      </c>
      <c r="AF353" s="258">
        <f t="shared" si="47"/>
        <v>0.91</v>
      </c>
      <c r="AG353" s="274"/>
      <c r="AK353" s="344"/>
    </row>
    <row r="354" spans="4:37" hidden="1" outlineLevel="1" x14ac:dyDescent="0.25">
      <c r="D354" s="2251" t="s">
        <v>1611</v>
      </c>
      <c r="E354" s="122" t="s">
        <v>1521</v>
      </c>
      <c r="F354" s="1516">
        <v>12.4</v>
      </c>
      <c r="G354" s="1359"/>
      <c r="H354" s="1359"/>
      <c r="V354" s="2264" t="str">
        <f>D354</f>
        <v>ƞcool</v>
      </c>
      <c r="W354" s="266">
        <v>11</v>
      </c>
      <c r="X354" s="266">
        <v>11</v>
      </c>
      <c r="Y354" s="266">
        <v>11</v>
      </c>
      <c r="Z354" s="430">
        <v>11</v>
      </c>
      <c r="AA354" s="430">
        <v>11</v>
      </c>
      <c r="AB354" s="430">
        <v>11</v>
      </c>
      <c r="AC354" s="430">
        <v>11</v>
      </c>
      <c r="AD354" s="430">
        <v>11</v>
      </c>
      <c r="AE354" s="430">
        <v>11</v>
      </c>
      <c r="AF354" s="258">
        <f t="shared" si="47"/>
        <v>12.4</v>
      </c>
      <c r="AG354" s="266"/>
      <c r="AK354" s="344"/>
    </row>
    <row r="355" spans="4:37" hidden="1" outlineLevel="1" x14ac:dyDescent="0.25">
      <c r="D355" s="2251"/>
      <c r="E355" s="122" t="s">
        <v>1523</v>
      </c>
      <c r="F355" s="1516">
        <v>12.4</v>
      </c>
      <c r="G355" s="1359"/>
      <c r="H355" s="2170" t="s">
        <v>717</v>
      </c>
      <c r="V355" s="2265"/>
      <c r="W355" s="266">
        <v>11</v>
      </c>
      <c r="X355" s="266">
        <v>11</v>
      </c>
      <c r="Y355" s="266">
        <v>11</v>
      </c>
      <c r="Z355" s="430">
        <v>11</v>
      </c>
      <c r="AA355" s="430">
        <v>11</v>
      </c>
      <c r="AB355" s="430">
        <v>11</v>
      </c>
      <c r="AC355" s="430">
        <v>11</v>
      </c>
      <c r="AD355" s="430">
        <v>11</v>
      </c>
      <c r="AE355" s="430">
        <v>11</v>
      </c>
      <c r="AF355" s="258">
        <f t="shared" si="47"/>
        <v>12.4</v>
      </c>
      <c r="AG355" s="266"/>
      <c r="AK355" s="344"/>
    </row>
    <row r="356" spans="4:37" hidden="1" outlineLevel="1" x14ac:dyDescent="0.25">
      <c r="D356" s="2251"/>
      <c r="E356" s="122" t="s">
        <v>1525</v>
      </c>
      <c r="F356" s="1516">
        <v>12.4</v>
      </c>
      <c r="G356" s="1359"/>
      <c r="H356" s="2138"/>
      <c r="V356" s="2265"/>
      <c r="W356" s="266">
        <v>11</v>
      </c>
      <c r="X356" s="266">
        <v>11</v>
      </c>
      <c r="Y356" s="266">
        <v>11</v>
      </c>
      <c r="Z356" s="430">
        <v>11</v>
      </c>
      <c r="AA356" s="430">
        <v>11</v>
      </c>
      <c r="AB356" s="430">
        <v>11</v>
      </c>
      <c r="AC356" s="430">
        <v>11</v>
      </c>
      <c r="AD356" s="430">
        <v>11</v>
      </c>
      <c r="AE356" s="430">
        <v>11</v>
      </c>
      <c r="AF356" s="258">
        <f t="shared" si="47"/>
        <v>12.4</v>
      </c>
      <c r="AG356" s="266"/>
      <c r="AK356" s="344"/>
    </row>
    <row r="357" spans="4:37" hidden="1" outlineLevel="1" x14ac:dyDescent="0.25">
      <c r="D357" s="2251"/>
      <c r="E357" s="122" t="s">
        <v>1527</v>
      </c>
      <c r="F357" s="1516">
        <v>12.4</v>
      </c>
      <c r="G357" s="1359"/>
      <c r="H357" s="2138"/>
      <c r="V357" s="2265"/>
      <c r="W357" s="266">
        <v>11</v>
      </c>
      <c r="X357" s="266">
        <v>11</v>
      </c>
      <c r="Y357" s="266">
        <v>11</v>
      </c>
      <c r="Z357" s="430">
        <v>11</v>
      </c>
      <c r="AA357" s="430">
        <v>11</v>
      </c>
      <c r="AB357" s="430">
        <v>11</v>
      </c>
      <c r="AC357" s="430">
        <v>11</v>
      </c>
      <c r="AD357" s="430">
        <v>11</v>
      </c>
      <c r="AE357" s="430">
        <v>11</v>
      </c>
      <c r="AF357" s="258">
        <f t="shared" si="47"/>
        <v>12.4</v>
      </c>
      <c r="AG357" s="266"/>
      <c r="AK357" s="344"/>
    </row>
    <row r="358" spans="4:37" hidden="1" outlineLevel="1" x14ac:dyDescent="0.25">
      <c r="D358" s="2251"/>
      <c r="E358" s="122" t="s">
        <v>1529</v>
      </c>
      <c r="F358" s="1516">
        <v>12.4</v>
      </c>
      <c r="G358" s="1359"/>
      <c r="H358" s="2138"/>
      <c r="V358" s="2265"/>
      <c r="W358" s="266">
        <v>11</v>
      </c>
      <c r="X358" s="266">
        <v>11</v>
      </c>
      <c r="Y358" s="266">
        <v>11</v>
      </c>
      <c r="Z358" s="430">
        <v>11</v>
      </c>
      <c r="AA358" s="430">
        <v>11</v>
      </c>
      <c r="AB358" s="430">
        <v>11</v>
      </c>
      <c r="AC358" s="430">
        <v>11</v>
      </c>
      <c r="AD358" s="430">
        <v>11</v>
      </c>
      <c r="AE358" s="430">
        <v>11</v>
      </c>
      <c r="AF358" s="258">
        <f t="shared" si="47"/>
        <v>12.4</v>
      </c>
      <c r="AG358" s="266"/>
      <c r="AK358" s="344"/>
    </row>
    <row r="359" spans="4:37" hidden="1" outlineLevel="1" x14ac:dyDescent="0.25">
      <c r="D359" s="2251"/>
      <c r="E359" s="122" t="s">
        <v>1531</v>
      </c>
      <c r="F359" s="1516">
        <v>12.4</v>
      </c>
      <c r="G359" s="1359"/>
      <c r="H359" s="2138"/>
      <c r="V359" s="2265"/>
      <c r="W359" s="266">
        <v>11</v>
      </c>
      <c r="X359" s="266">
        <v>11</v>
      </c>
      <c r="Y359" s="266">
        <v>11</v>
      </c>
      <c r="Z359" s="430">
        <v>11</v>
      </c>
      <c r="AA359" s="430">
        <v>11</v>
      </c>
      <c r="AB359" s="430">
        <v>11</v>
      </c>
      <c r="AC359" s="430">
        <v>11</v>
      </c>
      <c r="AD359" s="430">
        <v>11</v>
      </c>
      <c r="AE359" s="430">
        <v>11</v>
      </c>
      <c r="AF359" s="258">
        <f t="shared" si="47"/>
        <v>12.4</v>
      </c>
      <c r="AG359" s="266"/>
      <c r="AK359" s="344"/>
    </row>
    <row r="360" spans="4:37" hidden="1" outlineLevel="1" x14ac:dyDescent="0.25">
      <c r="D360" s="2251"/>
      <c r="E360" s="122" t="s">
        <v>1533</v>
      </c>
      <c r="F360" s="1516">
        <v>12.4</v>
      </c>
      <c r="G360" s="1359"/>
      <c r="H360" s="2138"/>
      <c r="V360" s="2265"/>
      <c r="W360" s="266">
        <v>11</v>
      </c>
      <c r="X360" s="266">
        <v>11</v>
      </c>
      <c r="Y360" s="266">
        <v>11</v>
      </c>
      <c r="Z360" s="430">
        <v>11</v>
      </c>
      <c r="AA360" s="430">
        <v>11</v>
      </c>
      <c r="AB360" s="430">
        <v>11</v>
      </c>
      <c r="AC360" s="430">
        <v>11</v>
      </c>
      <c r="AD360" s="430">
        <v>11</v>
      </c>
      <c r="AE360" s="430">
        <v>11</v>
      </c>
      <c r="AF360" s="258">
        <f t="shared" si="47"/>
        <v>12.4</v>
      </c>
      <c r="AG360" s="266"/>
      <c r="AK360" s="344"/>
    </row>
    <row r="361" spans="4:37" hidden="1" outlineLevel="1" x14ac:dyDescent="0.25">
      <c r="D361" s="2251"/>
      <c r="E361" s="122" t="s">
        <v>1535</v>
      </c>
      <c r="F361" s="1516">
        <v>12.4</v>
      </c>
      <c r="G361" s="1359"/>
      <c r="H361" s="2138"/>
      <c r="V361" s="2265"/>
      <c r="W361" s="266">
        <v>11</v>
      </c>
      <c r="X361" s="266">
        <v>11</v>
      </c>
      <c r="Y361" s="266">
        <v>11</v>
      </c>
      <c r="Z361" s="430">
        <v>11</v>
      </c>
      <c r="AA361" s="430">
        <v>11</v>
      </c>
      <c r="AB361" s="430">
        <v>11</v>
      </c>
      <c r="AC361" s="430">
        <v>11</v>
      </c>
      <c r="AD361" s="430">
        <v>11</v>
      </c>
      <c r="AE361" s="430">
        <v>11</v>
      </c>
      <c r="AF361" s="258">
        <f t="shared" si="47"/>
        <v>12.4</v>
      </c>
      <c r="AG361" s="266"/>
      <c r="AK361" s="344"/>
    </row>
    <row r="362" spans="4:37" hidden="1" outlineLevel="1" x14ac:dyDescent="0.25">
      <c r="D362" s="2251"/>
      <c r="E362" s="122" t="s">
        <v>1537</v>
      </c>
      <c r="F362" s="1516">
        <v>12.4</v>
      </c>
      <c r="G362" s="1359"/>
      <c r="H362" s="2138"/>
      <c r="V362" s="2265"/>
      <c r="W362" s="266">
        <v>11</v>
      </c>
      <c r="X362" s="266">
        <v>11</v>
      </c>
      <c r="Y362" s="266">
        <v>11</v>
      </c>
      <c r="Z362" s="430">
        <v>11</v>
      </c>
      <c r="AA362" s="430">
        <v>11</v>
      </c>
      <c r="AB362" s="430">
        <v>11</v>
      </c>
      <c r="AC362" s="430">
        <v>11</v>
      </c>
      <c r="AD362" s="430">
        <v>11</v>
      </c>
      <c r="AE362" s="430">
        <v>11</v>
      </c>
      <c r="AF362" s="258">
        <f t="shared" si="47"/>
        <v>12.4</v>
      </c>
      <c r="AG362" s="266"/>
      <c r="AK362" s="344"/>
    </row>
    <row r="363" spans="4:37" hidden="1" outlineLevel="1" x14ac:dyDescent="0.25">
      <c r="D363" s="2251"/>
      <c r="E363" s="122" t="s">
        <v>1539</v>
      </c>
      <c r="F363" s="1516">
        <v>12.4</v>
      </c>
      <c r="G363" s="1359"/>
      <c r="H363" s="2138"/>
      <c r="V363" s="2265"/>
      <c r="W363" s="266">
        <v>11</v>
      </c>
      <c r="X363" s="266">
        <v>11</v>
      </c>
      <c r="Y363" s="266">
        <v>11</v>
      </c>
      <c r="Z363" s="430">
        <v>11</v>
      </c>
      <c r="AA363" s="430">
        <v>11</v>
      </c>
      <c r="AB363" s="430">
        <v>11</v>
      </c>
      <c r="AC363" s="430">
        <v>11</v>
      </c>
      <c r="AD363" s="430">
        <v>11</v>
      </c>
      <c r="AE363" s="430">
        <v>11</v>
      </c>
      <c r="AF363" s="258">
        <f t="shared" si="47"/>
        <v>12.4</v>
      </c>
      <c r="AG363" s="266"/>
      <c r="AK363" s="344"/>
    </row>
    <row r="364" spans="4:37" hidden="1" outlineLevel="1" x14ac:dyDescent="0.25">
      <c r="D364" s="2251"/>
      <c r="E364" s="122" t="s">
        <v>1541</v>
      </c>
      <c r="F364" s="1516">
        <v>12.4</v>
      </c>
      <c r="G364" s="1359"/>
      <c r="H364" s="2138"/>
      <c r="V364" s="2265"/>
      <c r="W364" s="266">
        <v>11</v>
      </c>
      <c r="X364" s="266">
        <v>11</v>
      </c>
      <c r="Y364" s="266">
        <v>11</v>
      </c>
      <c r="Z364" s="430">
        <v>11</v>
      </c>
      <c r="AA364" s="430">
        <v>11</v>
      </c>
      <c r="AB364" s="430">
        <v>11</v>
      </c>
      <c r="AC364" s="430">
        <v>11</v>
      </c>
      <c r="AD364" s="430">
        <v>11</v>
      </c>
      <c r="AE364" s="430">
        <v>11</v>
      </c>
      <c r="AF364" s="258">
        <f t="shared" si="47"/>
        <v>12.4</v>
      </c>
      <c r="AG364" s="266"/>
      <c r="AK364" s="344"/>
    </row>
    <row r="365" spans="4:37" hidden="1" outlineLevel="1" x14ac:dyDescent="0.25">
      <c r="D365" s="2251"/>
      <c r="E365" s="122" t="s">
        <v>1543</v>
      </c>
      <c r="F365" s="1516">
        <v>12.4</v>
      </c>
      <c r="G365" s="1359"/>
      <c r="H365" s="2138"/>
      <c r="V365" s="2265"/>
      <c r="W365" s="266">
        <v>11</v>
      </c>
      <c r="X365" s="266">
        <v>11</v>
      </c>
      <c r="Y365" s="266">
        <v>11</v>
      </c>
      <c r="Z365" s="430">
        <v>11</v>
      </c>
      <c r="AA365" s="430">
        <v>11</v>
      </c>
      <c r="AB365" s="430">
        <v>11</v>
      </c>
      <c r="AC365" s="430">
        <v>11</v>
      </c>
      <c r="AD365" s="430">
        <v>11</v>
      </c>
      <c r="AE365" s="430">
        <v>11</v>
      </c>
      <c r="AF365" s="258">
        <f t="shared" si="47"/>
        <v>12.4</v>
      </c>
      <c r="AG365" s="266"/>
      <c r="AK365" s="344"/>
    </row>
    <row r="366" spans="4:37" hidden="1" outlineLevel="1" x14ac:dyDescent="0.25">
      <c r="D366" s="2251"/>
      <c r="E366" s="122" t="s">
        <v>1545</v>
      </c>
      <c r="F366" s="1516">
        <v>12.4</v>
      </c>
      <c r="G366" s="1359"/>
      <c r="H366" s="2138"/>
      <c r="V366" s="2265"/>
      <c r="W366" s="266">
        <v>11</v>
      </c>
      <c r="X366" s="266">
        <v>11</v>
      </c>
      <c r="Y366" s="266">
        <v>11</v>
      </c>
      <c r="Z366" s="430">
        <v>11</v>
      </c>
      <c r="AA366" s="430">
        <v>11</v>
      </c>
      <c r="AB366" s="430">
        <v>11</v>
      </c>
      <c r="AC366" s="430">
        <v>11</v>
      </c>
      <c r="AD366" s="430">
        <v>11</v>
      </c>
      <c r="AE366" s="430">
        <v>11</v>
      </c>
      <c r="AF366" s="258">
        <f t="shared" si="47"/>
        <v>12.4</v>
      </c>
      <c r="AG366" s="266"/>
      <c r="AK366" s="344"/>
    </row>
    <row r="367" spans="4:37" hidden="1" outlineLevel="1" x14ac:dyDescent="0.25">
      <c r="D367" s="2251"/>
      <c r="E367" s="122" t="s">
        <v>1547</v>
      </c>
      <c r="F367" s="1516">
        <v>12.4</v>
      </c>
      <c r="G367" s="1359"/>
      <c r="H367" s="2138"/>
      <c r="V367" s="2265"/>
      <c r="W367" s="266">
        <v>11</v>
      </c>
      <c r="X367" s="266">
        <v>11</v>
      </c>
      <c r="Y367" s="266">
        <v>11</v>
      </c>
      <c r="Z367" s="430">
        <v>11</v>
      </c>
      <c r="AA367" s="430">
        <v>11</v>
      </c>
      <c r="AB367" s="430">
        <v>11</v>
      </c>
      <c r="AC367" s="430">
        <v>11</v>
      </c>
      <c r="AD367" s="430">
        <v>11</v>
      </c>
      <c r="AE367" s="430">
        <v>11</v>
      </c>
      <c r="AF367" s="258">
        <f t="shared" si="47"/>
        <v>12.4</v>
      </c>
      <c r="AG367" s="266"/>
      <c r="AK367" s="344"/>
    </row>
    <row r="368" spans="4:37" hidden="1" outlineLevel="1" x14ac:dyDescent="0.25">
      <c r="D368" s="2251"/>
      <c r="E368" s="122" t="s">
        <v>1549</v>
      </c>
      <c r="F368" s="1516">
        <v>12.4</v>
      </c>
      <c r="G368" s="1359"/>
      <c r="H368" s="2138"/>
      <c r="V368" s="2265"/>
      <c r="W368" s="266">
        <v>11</v>
      </c>
      <c r="X368" s="266">
        <v>11</v>
      </c>
      <c r="Y368" s="266">
        <v>11</v>
      </c>
      <c r="Z368" s="430">
        <v>11</v>
      </c>
      <c r="AA368" s="430">
        <v>11</v>
      </c>
      <c r="AB368" s="430">
        <v>11</v>
      </c>
      <c r="AC368" s="430">
        <v>11</v>
      </c>
      <c r="AD368" s="430">
        <v>11</v>
      </c>
      <c r="AE368" s="430">
        <v>11</v>
      </c>
      <c r="AF368" s="258">
        <f t="shared" si="47"/>
        <v>12.4</v>
      </c>
      <c r="AG368" s="266"/>
      <c r="AK368" s="344"/>
    </row>
    <row r="369" spans="4:37" hidden="1" outlineLevel="1" x14ac:dyDescent="0.25">
      <c r="D369" s="2251"/>
      <c r="E369" s="122" t="s">
        <v>1551</v>
      </c>
      <c r="F369" s="1516">
        <v>12.4</v>
      </c>
      <c r="G369" s="1359"/>
      <c r="H369" s="2138"/>
      <c r="V369" s="2265"/>
      <c r="W369" s="266">
        <v>11</v>
      </c>
      <c r="X369" s="266">
        <v>11</v>
      </c>
      <c r="Y369" s="266">
        <v>11</v>
      </c>
      <c r="Z369" s="430">
        <v>11</v>
      </c>
      <c r="AA369" s="430">
        <v>11</v>
      </c>
      <c r="AB369" s="430">
        <v>11</v>
      </c>
      <c r="AC369" s="430">
        <v>11</v>
      </c>
      <c r="AD369" s="430">
        <v>11</v>
      </c>
      <c r="AE369" s="430">
        <v>11</v>
      </c>
      <c r="AF369" s="258">
        <f t="shared" si="47"/>
        <v>12.4</v>
      </c>
      <c r="AG369" s="266"/>
      <c r="AK369" s="344"/>
    </row>
    <row r="370" spans="4:37" hidden="1" outlineLevel="1" x14ac:dyDescent="0.25">
      <c r="D370" s="2251"/>
      <c r="E370" s="122" t="s">
        <v>1553</v>
      </c>
      <c r="F370" s="1516">
        <v>12.4</v>
      </c>
      <c r="G370" s="1359"/>
      <c r="H370" s="2138"/>
      <c r="V370" s="2265"/>
      <c r="W370" s="279">
        <v>11</v>
      </c>
      <c r="X370" s="279">
        <v>11</v>
      </c>
      <c r="Y370" s="279">
        <v>11</v>
      </c>
      <c r="Z370" s="573">
        <v>11</v>
      </c>
      <c r="AA370" s="573">
        <v>11</v>
      </c>
      <c r="AB370" s="573">
        <v>11</v>
      </c>
      <c r="AC370" s="573">
        <v>11</v>
      </c>
      <c r="AD370" s="573">
        <v>11</v>
      </c>
      <c r="AE370" s="573">
        <v>11</v>
      </c>
      <c r="AF370" s="258">
        <f t="shared" si="47"/>
        <v>12.4</v>
      </c>
      <c r="AG370" s="279"/>
      <c r="AK370" s="344"/>
    </row>
    <row r="371" spans="4:37" hidden="1" outlineLevel="1" x14ac:dyDescent="0.25">
      <c r="D371" s="2251"/>
      <c r="E371" s="122" t="s">
        <v>1555</v>
      </c>
      <c r="F371" s="1516">
        <v>12.4</v>
      </c>
      <c r="G371" s="1359"/>
      <c r="H371" s="2138"/>
      <c r="V371" s="2265"/>
      <c r="W371" s="280">
        <v>11</v>
      </c>
      <c r="X371" s="280">
        <v>11</v>
      </c>
      <c r="Y371" s="280">
        <v>11</v>
      </c>
      <c r="Z371" s="574">
        <v>11</v>
      </c>
      <c r="AA371" s="574">
        <v>11</v>
      </c>
      <c r="AB371" s="574">
        <v>11</v>
      </c>
      <c r="AC371" s="574">
        <v>11</v>
      </c>
      <c r="AD371" s="574">
        <v>11</v>
      </c>
      <c r="AE371" s="574">
        <v>11</v>
      </c>
      <c r="AF371" s="258">
        <f t="shared" si="47"/>
        <v>12.4</v>
      </c>
      <c r="AG371" s="280"/>
      <c r="AK371" s="344"/>
    </row>
    <row r="372" spans="4:37" hidden="1" outlineLevel="1" x14ac:dyDescent="0.25">
      <c r="D372" s="2251"/>
      <c r="E372" s="122" t="s">
        <v>1557</v>
      </c>
      <c r="F372" s="1516">
        <v>12.4</v>
      </c>
      <c r="G372" s="1359"/>
      <c r="H372" s="2138"/>
      <c r="V372" s="2265"/>
      <c r="W372" s="280">
        <v>11</v>
      </c>
      <c r="X372" s="280">
        <v>11</v>
      </c>
      <c r="Y372" s="280">
        <v>11</v>
      </c>
      <c r="Z372" s="574">
        <v>11</v>
      </c>
      <c r="AA372" s="574">
        <v>11</v>
      </c>
      <c r="AB372" s="574">
        <v>11</v>
      </c>
      <c r="AC372" s="574">
        <v>11</v>
      </c>
      <c r="AD372" s="574">
        <v>11</v>
      </c>
      <c r="AE372" s="574">
        <v>11</v>
      </c>
      <c r="AF372" s="258">
        <f t="shared" si="47"/>
        <v>12.4</v>
      </c>
      <c r="AG372" s="280"/>
      <c r="AK372" s="344"/>
    </row>
    <row r="373" spans="4:37" hidden="1" outlineLevel="1" x14ac:dyDescent="0.25">
      <c r="D373" s="2251"/>
      <c r="E373" s="122" t="s">
        <v>1559</v>
      </c>
      <c r="F373" s="1516">
        <v>12.4</v>
      </c>
      <c r="G373" s="1359"/>
      <c r="H373" s="2138"/>
      <c r="V373" s="2265"/>
      <c r="W373" s="280">
        <v>11</v>
      </c>
      <c r="X373" s="280">
        <v>11</v>
      </c>
      <c r="Y373" s="280">
        <v>11</v>
      </c>
      <c r="Z373" s="574">
        <v>11</v>
      </c>
      <c r="AA373" s="574">
        <v>11</v>
      </c>
      <c r="AB373" s="574">
        <v>11</v>
      </c>
      <c r="AC373" s="574">
        <v>11</v>
      </c>
      <c r="AD373" s="574">
        <v>11</v>
      </c>
      <c r="AE373" s="574">
        <v>11</v>
      </c>
      <c r="AF373" s="258">
        <f t="shared" si="47"/>
        <v>12.4</v>
      </c>
      <c r="AG373" s="280"/>
      <c r="AK373" s="344"/>
    </row>
    <row r="374" spans="4:37" hidden="1" outlineLevel="1" x14ac:dyDescent="0.25">
      <c r="D374" s="2251"/>
      <c r="E374" s="122" t="s">
        <v>1561</v>
      </c>
      <c r="F374" s="1516">
        <v>12.4</v>
      </c>
      <c r="G374" s="1359"/>
      <c r="H374" s="2138"/>
      <c r="V374" s="2265"/>
      <c r="W374" s="280">
        <v>11</v>
      </c>
      <c r="X374" s="280">
        <v>11</v>
      </c>
      <c r="Y374" s="280">
        <v>11</v>
      </c>
      <c r="Z374" s="574">
        <v>11</v>
      </c>
      <c r="AA374" s="574">
        <v>11</v>
      </c>
      <c r="AB374" s="574">
        <v>11</v>
      </c>
      <c r="AC374" s="574">
        <v>11</v>
      </c>
      <c r="AD374" s="574">
        <v>11</v>
      </c>
      <c r="AE374" s="574">
        <v>11</v>
      </c>
      <c r="AF374" s="258">
        <f t="shared" si="47"/>
        <v>12.4</v>
      </c>
      <c r="AG374" s="280"/>
      <c r="AK374" s="344"/>
    </row>
    <row r="375" spans="4:37" hidden="1" outlineLevel="1" x14ac:dyDescent="0.25">
      <c r="D375" s="2251"/>
      <c r="E375" s="122" t="s">
        <v>1563</v>
      </c>
      <c r="F375" s="1516">
        <v>12.4</v>
      </c>
      <c r="G375" s="1359"/>
      <c r="H375" s="2138"/>
      <c r="V375" s="2265"/>
      <c r="W375" s="280">
        <v>11</v>
      </c>
      <c r="X375" s="280">
        <v>11</v>
      </c>
      <c r="Y375" s="280">
        <v>11</v>
      </c>
      <c r="Z375" s="574">
        <v>11</v>
      </c>
      <c r="AA375" s="574">
        <v>11</v>
      </c>
      <c r="AB375" s="574">
        <v>11</v>
      </c>
      <c r="AC375" s="574">
        <v>11</v>
      </c>
      <c r="AD375" s="574">
        <v>11</v>
      </c>
      <c r="AE375" s="574">
        <v>11</v>
      </c>
      <c r="AF375" s="258">
        <f t="shared" si="47"/>
        <v>12.4</v>
      </c>
      <c r="AG375" s="280"/>
      <c r="AK375" s="344"/>
    </row>
    <row r="376" spans="4:37" hidden="1" outlineLevel="1" x14ac:dyDescent="0.25">
      <c r="D376" s="2251"/>
      <c r="E376" s="122" t="s">
        <v>1565</v>
      </c>
      <c r="F376" s="1516">
        <v>12.4</v>
      </c>
      <c r="G376" s="1359"/>
      <c r="H376" s="2138"/>
      <c r="V376" s="2265"/>
      <c r="W376" s="280">
        <v>11</v>
      </c>
      <c r="X376" s="280">
        <v>11</v>
      </c>
      <c r="Y376" s="280">
        <v>11</v>
      </c>
      <c r="Z376" s="574">
        <v>11</v>
      </c>
      <c r="AA376" s="574">
        <v>11</v>
      </c>
      <c r="AB376" s="574">
        <v>11</v>
      </c>
      <c r="AC376" s="574">
        <v>11</v>
      </c>
      <c r="AD376" s="574">
        <v>11</v>
      </c>
      <c r="AE376" s="574">
        <v>11</v>
      </c>
      <c r="AF376" s="258">
        <f t="shared" si="47"/>
        <v>12.4</v>
      </c>
      <c r="AG376" s="280"/>
      <c r="AK376" s="344"/>
    </row>
    <row r="377" spans="4:37" hidden="1" outlineLevel="1" x14ac:dyDescent="0.25">
      <c r="D377" s="2251"/>
      <c r="E377" s="122" t="s">
        <v>1567</v>
      </c>
      <c r="F377" s="1516">
        <v>12.4</v>
      </c>
      <c r="G377" s="1359"/>
      <c r="H377" s="2138"/>
      <c r="V377" s="2265"/>
      <c r="W377" s="280">
        <v>11</v>
      </c>
      <c r="X377" s="280">
        <v>11</v>
      </c>
      <c r="Y377" s="280">
        <v>11</v>
      </c>
      <c r="Z377" s="574">
        <v>11</v>
      </c>
      <c r="AA377" s="574">
        <v>11</v>
      </c>
      <c r="AB377" s="574">
        <v>11</v>
      </c>
      <c r="AC377" s="574">
        <v>11</v>
      </c>
      <c r="AD377" s="574">
        <v>11</v>
      </c>
      <c r="AE377" s="574">
        <v>11</v>
      </c>
      <c r="AF377" s="258">
        <f t="shared" si="47"/>
        <v>12.4</v>
      </c>
      <c r="AG377" s="280"/>
      <c r="AK377" s="344"/>
    </row>
    <row r="378" spans="4:37" hidden="1" outlineLevel="1" x14ac:dyDescent="0.25">
      <c r="D378" s="2251"/>
      <c r="E378" s="122" t="s">
        <v>1569</v>
      </c>
      <c r="F378" s="1516">
        <v>12.4</v>
      </c>
      <c r="G378" s="1359"/>
      <c r="H378" s="2138"/>
      <c r="V378" s="2265"/>
      <c r="W378" s="280">
        <v>11</v>
      </c>
      <c r="X378" s="280">
        <v>11</v>
      </c>
      <c r="Y378" s="280">
        <v>11</v>
      </c>
      <c r="Z378" s="574">
        <v>11</v>
      </c>
      <c r="AA378" s="574">
        <v>11</v>
      </c>
      <c r="AB378" s="574">
        <v>11</v>
      </c>
      <c r="AC378" s="574">
        <v>11</v>
      </c>
      <c r="AD378" s="574">
        <v>11</v>
      </c>
      <c r="AE378" s="574">
        <v>11</v>
      </c>
      <c r="AF378" s="258">
        <f t="shared" si="47"/>
        <v>12.4</v>
      </c>
      <c r="AG378" s="280"/>
      <c r="AK378" s="344"/>
    </row>
    <row r="379" spans="4:37" hidden="1" outlineLevel="1" x14ac:dyDescent="0.25">
      <c r="D379" s="2251"/>
      <c r="E379" s="122" t="s">
        <v>1571</v>
      </c>
      <c r="F379" s="1516">
        <v>12.4</v>
      </c>
      <c r="G379" s="1359"/>
      <c r="H379" s="2138"/>
      <c r="V379" s="2265"/>
      <c r="W379" s="280">
        <v>11</v>
      </c>
      <c r="X379" s="280">
        <v>11</v>
      </c>
      <c r="Y379" s="280">
        <v>11</v>
      </c>
      <c r="Z379" s="574">
        <v>11</v>
      </c>
      <c r="AA379" s="574">
        <v>11</v>
      </c>
      <c r="AB379" s="574">
        <v>11</v>
      </c>
      <c r="AC379" s="574">
        <v>11</v>
      </c>
      <c r="AD379" s="574">
        <v>11</v>
      </c>
      <c r="AE379" s="574">
        <v>11</v>
      </c>
      <c r="AF379" s="258">
        <f t="shared" si="47"/>
        <v>12.4</v>
      </c>
      <c r="AG379" s="280"/>
      <c r="AK379" s="344"/>
    </row>
    <row r="380" spans="4:37" hidden="1" outlineLevel="1" x14ac:dyDescent="0.25">
      <c r="D380" s="2251"/>
      <c r="E380" s="122" t="s">
        <v>1573</v>
      </c>
      <c r="F380" s="1516">
        <v>12.4</v>
      </c>
      <c r="G380" s="1359"/>
      <c r="H380" s="2138"/>
      <c r="V380" s="2265"/>
      <c r="W380" s="280">
        <v>11</v>
      </c>
      <c r="X380" s="280">
        <v>11</v>
      </c>
      <c r="Y380" s="280">
        <v>11</v>
      </c>
      <c r="Z380" s="574">
        <v>11</v>
      </c>
      <c r="AA380" s="574">
        <v>11</v>
      </c>
      <c r="AB380" s="574">
        <v>11</v>
      </c>
      <c r="AC380" s="574">
        <v>11</v>
      </c>
      <c r="AD380" s="574">
        <v>11</v>
      </c>
      <c r="AE380" s="574">
        <v>11</v>
      </c>
      <c r="AF380" s="258">
        <f t="shared" si="47"/>
        <v>12.4</v>
      </c>
      <c r="AG380" s="280"/>
      <c r="AK380" s="344"/>
    </row>
    <row r="381" spans="4:37" hidden="1" outlineLevel="1" x14ac:dyDescent="0.25">
      <c r="D381" s="2251"/>
      <c r="E381" s="122" t="s">
        <v>1575</v>
      </c>
      <c r="F381" s="1516">
        <v>12.4</v>
      </c>
      <c r="G381" s="1359"/>
      <c r="H381" s="2138"/>
      <c r="V381" s="2265"/>
      <c r="W381" s="280">
        <v>11</v>
      </c>
      <c r="X381" s="280">
        <v>11</v>
      </c>
      <c r="Y381" s="280">
        <v>11</v>
      </c>
      <c r="Z381" s="574">
        <v>11</v>
      </c>
      <c r="AA381" s="574">
        <v>11</v>
      </c>
      <c r="AB381" s="574">
        <v>11</v>
      </c>
      <c r="AC381" s="574">
        <v>11</v>
      </c>
      <c r="AD381" s="574">
        <v>11</v>
      </c>
      <c r="AE381" s="574">
        <v>11</v>
      </c>
      <c r="AF381" s="258">
        <f t="shared" si="47"/>
        <v>12.4</v>
      </c>
      <c r="AG381" s="280"/>
      <c r="AK381" s="344"/>
    </row>
    <row r="382" spans="4:37" hidden="1" outlineLevel="1" x14ac:dyDescent="0.25">
      <c r="D382" s="2251"/>
      <c r="E382" s="122" t="s">
        <v>1577</v>
      </c>
      <c r="F382" s="1516">
        <v>12.4</v>
      </c>
      <c r="G382" s="1359"/>
      <c r="H382" s="2138"/>
      <c r="V382" s="2265"/>
      <c r="W382" s="280">
        <v>11</v>
      </c>
      <c r="X382" s="280">
        <v>11</v>
      </c>
      <c r="Y382" s="280">
        <v>11</v>
      </c>
      <c r="Z382" s="574">
        <v>11</v>
      </c>
      <c r="AA382" s="574">
        <v>11</v>
      </c>
      <c r="AB382" s="574">
        <v>11</v>
      </c>
      <c r="AC382" s="574">
        <v>11</v>
      </c>
      <c r="AD382" s="574">
        <v>11</v>
      </c>
      <c r="AE382" s="574">
        <v>11</v>
      </c>
      <c r="AF382" s="258">
        <f t="shared" si="47"/>
        <v>12.4</v>
      </c>
      <c r="AG382" s="280"/>
      <c r="AK382" s="344"/>
    </row>
    <row r="383" spans="4:37" hidden="1" outlineLevel="1" x14ac:dyDescent="0.25">
      <c r="D383" s="2251"/>
      <c r="E383" s="122" t="s">
        <v>1579</v>
      </c>
      <c r="F383" s="1516">
        <v>12.4</v>
      </c>
      <c r="G383" s="1359"/>
      <c r="H383" s="2138"/>
      <c r="V383" s="2269"/>
      <c r="W383" s="266">
        <v>11</v>
      </c>
      <c r="X383" s="266">
        <v>11</v>
      </c>
      <c r="Y383" s="266">
        <v>11</v>
      </c>
      <c r="Z383" s="430">
        <v>11</v>
      </c>
      <c r="AA383" s="430">
        <v>11</v>
      </c>
      <c r="AB383" s="430">
        <v>11</v>
      </c>
      <c r="AC383" s="430">
        <v>11</v>
      </c>
      <c r="AD383" s="430">
        <v>11</v>
      </c>
      <c r="AE383" s="430">
        <v>11</v>
      </c>
      <c r="AF383" s="258">
        <f t="shared" si="47"/>
        <v>12.4</v>
      </c>
      <c r="AG383" s="266"/>
      <c r="AK383" s="344"/>
    </row>
    <row r="384" spans="4:37" ht="30" hidden="1" outlineLevel="1" x14ac:dyDescent="0.25">
      <c r="D384" s="1370" t="str">
        <f>D24</f>
        <v>EUL</v>
      </c>
      <c r="E384" s="122" t="s">
        <v>734</v>
      </c>
      <c r="F384" s="1524">
        <v>30</v>
      </c>
      <c r="G384" s="1336" t="s">
        <v>1612</v>
      </c>
      <c r="H384" s="1359"/>
      <c r="I384" s="127"/>
      <c r="V384" s="282" t="str">
        <f>D384</f>
        <v>EUL</v>
      </c>
      <c r="W384" s="283">
        <v>25</v>
      </c>
      <c r="X384" s="283">
        <v>25</v>
      </c>
      <c r="Y384" s="283">
        <v>25</v>
      </c>
      <c r="Z384" s="304">
        <v>25</v>
      </c>
      <c r="AA384" s="304">
        <v>25</v>
      </c>
      <c r="AB384" s="304">
        <v>25</v>
      </c>
      <c r="AC384" s="326">
        <v>25</v>
      </c>
      <c r="AD384" s="326">
        <v>25</v>
      </c>
      <c r="AE384" s="326">
        <v>25</v>
      </c>
      <c r="AF384" s="258">
        <f t="shared" si="47"/>
        <v>30</v>
      </c>
      <c r="AG384" s="283"/>
      <c r="AK384" s="344"/>
    </row>
    <row r="385" spans="4:37" hidden="1" outlineLevel="1" x14ac:dyDescent="0.25">
      <c r="D385" s="2251" t="str">
        <f>D87</f>
        <v>Inc. Cost</v>
      </c>
      <c r="E385" s="122" t="s">
        <v>1521</v>
      </c>
      <c r="F385" s="1546">
        <f>1860.46/(1347*0.65)</f>
        <v>2.1249043458397576</v>
      </c>
      <c r="G385" s="2253" t="s">
        <v>1516</v>
      </c>
      <c r="H385" s="1359" t="s">
        <v>1588</v>
      </c>
      <c r="I385" s="127">
        <f>0.65*1347</f>
        <v>875.55000000000007</v>
      </c>
      <c r="V385" s="2270" t="str">
        <f>D385</f>
        <v>Inc. Cost</v>
      </c>
      <c r="W385" s="285">
        <v>1860.46</v>
      </c>
      <c r="X385" s="285">
        <v>1860.46</v>
      </c>
      <c r="Y385" s="193">
        <v>2.1249043458397576</v>
      </c>
      <c r="Z385" s="129">
        <v>2.1249043458397576</v>
      </c>
      <c r="AA385" s="129">
        <v>2.1249043458397576</v>
      </c>
      <c r="AB385" s="129">
        <v>2.1249043458397576</v>
      </c>
      <c r="AC385" s="129">
        <v>2.1249043458397576</v>
      </c>
      <c r="AD385" s="129">
        <v>2.1249043458397576</v>
      </c>
      <c r="AE385" s="129">
        <v>2.1249043458397576</v>
      </c>
      <c r="AF385" s="258">
        <f t="shared" si="47"/>
        <v>2.1249043458397576</v>
      </c>
      <c r="AG385" s="285"/>
      <c r="AK385" s="344"/>
    </row>
    <row r="386" spans="4:37" hidden="1" outlineLevel="1" x14ac:dyDescent="0.25">
      <c r="D386" s="2251"/>
      <c r="E386" s="122" t="s">
        <v>1523</v>
      </c>
      <c r="F386" s="1546">
        <f>1860.46/(1347*0.65)</f>
        <v>2.1249043458397576</v>
      </c>
      <c r="G386" s="2254"/>
      <c r="H386" s="1359" t="s">
        <v>1588</v>
      </c>
      <c r="I386" s="127">
        <f>0.65*1347</f>
        <v>875.55000000000007</v>
      </c>
      <c r="V386" s="2271"/>
      <c r="W386" s="285">
        <v>1860.46</v>
      </c>
      <c r="X386" s="285">
        <v>1860.46</v>
      </c>
      <c r="Y386" s="193">
        <v>2.1249043458397576</v>
      </c>
      <c r="Z386" s="129">
        <v>2.1249043458397576</v>
      </c>
      <c r="AA386" s="129">
        <v>2.1249043458397576</v>
      </c>
      <c r="AB386" s="129">
        <v>2.1249043458397576</v>
      </c>
      <c r="AC386" s="129">
        <v>2.1249043458397576</v>
      </c>
      <c r="AD386" s="129">
        <v>2.1249043458397576</v>
      </c>
      <c r="AE386" s="129">
        <v>2.1249043458397576</v>
      </c>
      <c r="AF386" s="258">
        <f t="shared" si="47"/>
        <v>2.1249043458397576</v>
      </c>
      <c r="AG386" s="285"/>
      <c r="AK386" s="344"/>
    </row>
    <row r="387" spans="4:37" hidden="1" outlineLevel="1" x14ac:dyDescent="0.25">
      <c r="D387" s="2251"/>
      <c r="E387" s="122" t="s">
        <v>1525</v>
      </c>
      <c r="F387" s="1546">
        <f>1860.46/(1347*0.65)</f>
        <v>2.1249043458397576</v>
      </c>
      <c r="G387" s="2254"/>
      <c r="H387" s="1359" t="s">
        <v>1588</v>
      </c>
      <c r="I387" s="127">
        <f>0.65*1347</f>
        <v>875.55000000000007</v>
      </c>
      <c r="V387" s="2271"/>
      <c r="W387" s="285">
        <v>1860.46</v>
      </c>
      <c r="X387" s="285">
        <v>1860.46</v>
      </c>
      <c r="Y387" s="193">
        <v>2.1249043458397576</v>
      </c>
      <c r="Z387" s="129">
        <v>2.1249043458397576</v>
      </c>
      <c r="AA387" s="129">
        <v>2.1249043458397576</v>
      </c>
      <c r="AB387" s="129">
        <v>2.1249043458397576</v>
      </c>
      <c r="AC387" s="129">
        <v>2.1249043458397576</v>
      </c>
      <c r="AD387" s="129">
        <v>2.1249043458397576</v>
      </c>
      <c r="AE387" s="129">
        <v>2.1249043458397576</v>
      </c>
      <c r="AF387" s="258">
        <f t="shared" si="47"/>
        <v>2.1249043458397576</v>
      </c>
      <c r="AG387" s="285"/>
      <c r="AK387" s="344"/>
    </row>
    <row r="388" spans="4:37" hidden="1" outlineLevel="1" x14ac:dyDescent="0.25">
      <c r="D388" s="2251"/>
      <c r="E388" s="122" t="s">
        <v>1527</v>
      </c>
      <c r="F388" s="1546">
        <f>2862.25/1347</f>
        <v>2.1249072011878249</v>
      </c>
      <c r="G388" s="2254"/>
      <c r="H388" s="1359" t="s">
        <v>1589</v>
      </c>
      <c r="I388" s="127">
        <v>1347</v>
      </c>
      <c r="V388" s="2271"/>
      <c r="W388" s="285">
        <v>2862.25</v>
      </c>
      <c r="X388" s="285">
        <v>2862.25</v>
      </c>
      <c r="Y388" s="193">
        <v>2.1249072011878249</v>
      </c>
      <c r="Z388" s="129">
        <v>2.1249072011878249</v>
      </c>
      <c r="AA388" s="129">
        <v>2.1249072011878249</v>
      </c>
      <c r="AB388" s="129">
        <v>2.1249072011878249</v>
      </c>
      <c r="AC388" s="129">
        <v>2.1249072011878249</v>
      </c>
      <c r="AD388" s="129">
        <v>2.1249072011878249</v>
      </c>
      <c r="AE388" s="129">
        <v>2.1249072011878249</v>
      </c>
      <c r="AF388" s="258">
        <f t="shared" si="47"/>
        <v>2.1249072011878249</v>
      </c>
      <c r="AG388" s="285"/>
      <c r="AK388" s="344"/>
    </row>
    <row r="389" spans="4:37" hidden="1" outlineLevel="1" x14ac:dyDescent="0.25">
      <c r="D389" s="2251"/>
      <c r="E389" s="122" t="s">
        <v>1529</v>
      </c>
      <c r="F389" s="1546">
        <f>2862.25/1347</f>
        <v>2.1249072011878249</v>
      </c>
      <c r="G389" s="2254"/>
      <c r="H389" s="1359" t="s">
        <v>1589</v>
      </c>
      <c r="I389" s="127">
        <v>1347</v>
      </c>
      <c r="V389" s="2271"/>
      <c r="W389" s="285">
        <v>2862.25</v>
      </c>
      <c r="X389" s="285">
        <v>2862.25</v>
      </c>
      <c r="Y389" s="193">
        <v>2.1249072011878249</v>
      </c>
      <c r="Z389" s="129">
        <v>2.1249072011878249</v>
      </c>
      <c r="AA389" s="129">
        <v>2.1249072011878249</v>
      </c>
      <c r="AB389" s="129">
        <v>2.1249072011878249</v>
      </c>
      <c r="AC389" s="129">
        <v>2.1249072011878249</v>
      </c>
      <c r="AD389" s="129">
        <v>2.1249072011878249</v>
      </c>
      <c r="AE389" s="129">
        <v>2.1249072011878249</v>
      </c>
      <c r="AF389" s="258">
        <f t="shared" si="47"/>
        <v>2.1249072011878249</v>
      </c>
      <c r="AG389" s="285"/>
      <c r="AK389" s="344"/>
    </row>
    <row r="390" spans="4:37" hidden="1" outlineLevel="1" x14ac:dyDescent="0.25">
      <c r="D390" s="2251"/>
      <c r="E390" s="122" t="s">
        <v>1531</v>
      </c>
      <c r="F390" s="1546">
        <f>2862.25/1347</f>
        <v>2.1249072011878249</v>
      </c>
      <c r="G390" s="2254"/>
      <c r="H390" s="1359" t="s">
        <v>1589</v>
      </c>
      <c r="I390" s="127">
        <v>1347</v>
      </c>
      <c r="V390" s="2271"/>
      <c r="W390" s="285">
        <v>2862.25</v>
      </c>
      <c r="X390" s="285">
        <v>2862.25</v>
      </c>
      <c r="Y390" s="193">
        <v>2.1249072011878249</v>
      </c>
      <c r="Z390" s="129">
        <v>2.1249072011878249</v>
      </c>
      <c r="AA390" s="129">
        <v>2.1249072011878249</v>
      </c>
      <c r="AB390" s="129">
        <v>2.1249072011878249</v>
      </c>
      <c r="AC390" s="129">
        <v>2.1249072011878249</v>
      </c>
      <c r="AD390" s="129">
        <v>2.1249072011878249</v>
      </c>
      <c r="AE390" s="129">
        <v>2.1249072011878249</v>
      </c>
      <c r="AF390" s="258">
        <f t="shared" si="47"/>
        <v>2.1249072011878249</v>
      </c>
      <c r="AG390" s="285"/>
      <c r="AK390" s="344"/>
    </row>
    <row r="391" spans="4:37" hidden="1" outlineLevel="1" x14ac:dyDescent="0.25">
      <c r="D391" s="2251"/>
      <c r="E391" s="122" t="s">
        <v>1533</v>
      </c>
      <c r="F391" s="1546">
        <f>836.16/(1106*0.65)</f>
        <v>1.1631103074141049</v>
      </c>
      <c r="G391" s="2254"/>
      <c r="H391" s="1359" t="s">
        <v>1590</v>
      </c>
      <c r="I391" s="127">
        <f>0.65*1106</f>
        <v>718.9</v>
      </c>
      <c r="V391" s="2271"/>
      <c r="W391" s="285">
        <v>836.16</v>
      </c>
      <c r="X391" s="285">
        <v>836.16</v>
      </c>
      <c r="Y391" s="193">
        <v>1.1631103074141049</v>
      </c>
      <c r="Z391" s="129">
        <v>1.1631103074141049</v>
      </c>
      <c r="AA391" s="129">
        <v>1.1631103074141049</v>
      </c>
      <c r="AB391" s="129">
        <v>1.1631103074141049</v>
      </c>
      <c r="AC391" s="129">
        <v>1.1631103074141049</v>
      </c>
      <c r="AD391" s="129">
        <v>1.1631103074141049</v>
      </c>
      <c r="AE391" s="129">
        <v>1.1631103074141049</v>
      </c>
      <c r="AF391" s="258">
        <f t="shared" si="47"/>
        <v>1.1631103074141049</v>
      </c>
      <c r="AG391" s="285"/>
      <c r="AK391" s="344"/>
    </row>
    <row r="392" spans="4:37" hidden="1" outlineLevel="1" x14ac:dyDescent="0.25">
      <c r="D392" s="2251"/>
      <c r="E392" s="122" t="s">
        <v>1535</v>
      </c>
      <c r="F392" s="1546">
        <f>836.16/(1106*0.65)</f>
        <v>1.1631103074141049</v>
      </c>
      <c r="G392" s="2254"/>
      <c r="H392" s="1359" t="s">
        <v>1590</v>
      </c>
      <c r="I392" s="127">
        <f>0.65*1106</f>
        <v>718.9</v>
      </c>
      <c r="V392" s="2271"/>
      <c r="W392" s="285">
        <v>836.16</v>
      </c>
      <c r="X392" s="285">
        <v>836.16</v>
      </c>
      <c r="Y392" s="193">
        <v>1.1631103074141049</v>
      </c>
      <c r="Z392" s="129">
        <v>1.1631103074141049</v>
      </c>
      <c r="AA392" s="129">
        <v>1.1631103074141049</v>
      </c>
      <c r="AB392" s="129">
        <v>1.1631103074141049</v>
      </c>
      <c r="AC392" s="129">
        <v>1.1631103074141049</v>
      </c>
      <c r="AD392" s="129">
        <v>1.1631103074141049</v>
      </c>
      <c r="AE392" s="129">
        <v>1.1631103074141049</v>
      </c>
      <c r="AF392" s="258">
        <f t="shared" si="47"/>
        <v>1.1631103074141049</v>
      </c>
      <c r="AG392" s="285"/>
      <c r="AK392" s="344"/>
    </row>
    <row r="393" spans="4:37" hidden="1" outlineLevel="1" x14ac:dyDescent="0.25">
      <c r="D393" s="2251"/>
      <c r="E393" s="122" t="s">
        <v>1537</v>
      </c>
      <c r="F393" s="1546">
        <f>836.16/(1106*0.65)</f>
        <v>1.1631103074141049</v>
      </c>
      <c r="G393" s="2232"/>
      <c r="H393" s="1359" t="s">
        <v>1590</v>
      </c>
      <c r="I393" s="127">
        <f>0.65*1106</f>
        <v>718.9</v>
      </c>
      <c r="V393" s="2271"/>
      <c r="W393" s="285">
        <v>836.16</v>
      </c>
      <c r="X393" s="285">
        <v>836.16</v>
      </c>
      <c r="Y393" s="193">
        <v>1.1631103074141049</v>
      </c>
      <c r="Z393" s="129">
        <v>1.1631103074141049</v>
      </c>
      <c r="AA393" s="129">
        <v>1.1631103074141049</v>
      </c>
      <c r="AB393" s="129">
        <v>1.1631103074141049</v>
      </c>
      <c r="AC393" s="129">
        <v>1.1631103074141049</v>
      </c>
      <c r="AD393" s="129">
        <v>1.1631103074141049</v>
      </c>
      <c r="AE393" s="129">
        <v>1.1631103074141049</v>
      </c>
      <c r="AF393" s="258">
        <f t="shared" ref="AF393:AF414" si="48">IF(F393&lt;&gt;"",F393,"")</f>
        <v>1.1631103074141049</v>
      </c>
      <c r="AG393" s="285"/>
      <c r="AK393" s="344"/>
    </row>
    <row r="394" spans="4:37" hidden="1" outlineLevel="1" x14ac:dyDescent="0.25">
      <c r="D394" s="2251"/>
      <c r="E394" s="122" t="s">
        <v>1539</v>
      </c>
      <c r="F394" s="1546">
        <f>1286.39/1106</f>
        <v>1.1631012658227848</v>
      </c>
      <c r="G394" s="2232"/>
      <c r="H394" s="1359" t="s">
        <v>1591</v>
      </c>
      <c r="I394" s="127">
        <v>1106</v>
      </c>
      <c r="V394" s="2271"/>
      <c r="W394" s="285">
        <v>1286.3900000000001</v>
      </c>
      <c r="X394" s="285">
        <v>1286.3900000000001</v>
      </c>
      <c r="Y394" s="193">
        <v>1.1631012658227848</v>
      </c>
      <c r="Z394" s="129">
        <v>1.1631012658227848</v>
      </c>
      <c r="AA394" s="129">
        <v>1.1631012658227848</v>
      </c>
      <c r="AB394" s="129">
        <v>1.1631012658227848</v>
      </c>
      <c r="AC394" s="129">
        <v>1.1631012658227848</v>
      </c>
      <c r="AD394" s="129">
        <v>1.1631012658227848</v>
      </c>
      <c r="AE394" s="129">
        <v>1.1631012658227848</v>
      </c>
      <c r="AF394" s="258">
        <f t="shared" si="48"/>
        <v>1.1631012658227848</v>
      </c>
      <c r="AG394" s="285"/>
      <c r="AK394" s="344"/>
    </row>
    <row r="395" spans="4:37" hidden="1" outlineLevel="1" x14ac:dyDescent="0.25">
      <c r="D395" s="2251"/>
      <c r="E395" s="122" t="s">
        <v>1541</v>
      </c>
      <c r="F395" s="1546">
        <f>1286.39/1106</f>
        <v>1.1631012658227848</v>
      </c>
      <c r="G395" s="2232"/>
      <c r="H395" s="1359" t="s">
        <v>1591</v>
      </c>
      <c r="I395" s="127">
        <v>1106</v>
      </c>
      <c r="V395" s="2271"/>
      <c r="W395" s="285">
        <v>1286.3900000000001</v>
      </c>
      <c r="X395" s="285">
        <v>1286.3900000000001</v>
      </c>
      <c r="Y395" s="193">
        <v>1.1631012658227848</v>
      </c>
      <c r="Z395" s="129">
        <v>1.1631012658227848</v>
      </c>
      <c r="AA395" s="129">
        <v>1.1631012658227848</v>
      </c>
      <c r="AB395" s="129">
        <v>1.1631012658227848</v>
      </c>
      <c r="AC395" s="129">
        <v>1.1631012658227848</v>
      </c>
      <c r="AD395" s="129">
        <v>1.1631012658227848</v>
      </c>
      <c r="AE395" s="129">
        <v>1.1631012658227848</v>
      </c>
      <c r="AF395" s="258">
        <f t="shared" si="48"/>
        <v>1.1631012658227848</v>
      </c>
      <c r="AG395" s="285"/>
      <c r="AK395" s="344"/>
    </row>
    <row r="396" spans="4:37" hidden="1" outlineLevel="1" x14ac:dyDescent="0.25">
      <c r="D396" s="2251"/>
      <c r="E396" s="122" t="s">
        <v>1543</v>
      </c>
      <c r="F396" s="1546">
        <f>1286.39/1106</f>
        <v>1.1631012658227848</v>
      </c>
      <c r="G396" s="2232"/>
      <c r="H396" s="1359" t="s">
        <v>1591</v>
      </c>
      <c r="I396" s="127">
        <v>1106</v>
      </c>
      <c r="V396" s="2271"/>
      <c r="W396" s="285">
        <v>1286.3900000000001</v>
      </c>
      <c r="X396" s="285">
        <v>1286.3900000000001</v>
      </c>
      <c r="Y396" s="193">
        <v>1.1631012658227848</v>
      </c>
      <c r="Z396" s="129">
        <v>1.1631012658227848</v>
      </c>
      <c r="AA396" s="129">
        <v>1.1631012658227848</v>
      </c>
      <c r="AB396" s="129">
        <v>1.1631012658227848</v>
      </c>
      <c r="AC396" s="129">
        <v>1.1631012658227848</v>
      </c>
      <c r="AD396" s="129">
        <v>1.1631012658227848</v>
      </c>
      <c r="AE396" s="129">
        <v>1.1631012658227848</v>
      </c>
      <c r="AF396" s="258">
        <f t="shared" si="48"/>
        <v>1.1631012658227848</v>
      </c>
      <c r="AG396" s="285"/>
      <c r="AK396" s="344"/>
    </row>
    <row r="397" spans="4:37" hidden="1" outlineLevel="1" x14ac:dyDescent="0.25">
      <c r="D397" s="2251"/>
      <c r="E397" s="122" t="s">
        <v>1545</v>
      </c>
      <c r="F397" s="1546">
        <f>1208.5/(1106*0.65)</f>
        <v>1.6810404785088331</v>
      </c>
      <c r="G397" s="2232"/>
      <c r="H397" s="1359" t="s">
        <v>1590</v>
      </c>
      <c r="I397" s="127">
        <f>0.65*1106</f>
        <v>718.9</v>
      </c>
      <c r="V397" s="2271"/>
      <c r="W397" s="285">
        <v>1208.5</v>
      </c>
      <c r="X397" s="285">
        <v>1208.5</v>
      </c>
      <c r="Y397" s="193">
        <v>1.6810404785088331</v>
      </c>
      <c r="Z397" s="129">
        <v>1.6810404785088331</v>
      </c>
      <c r="AA397" s="129">
        <v>1.6810404785088331</v>
      </c>
      <c r="AB397" s="129">
        <v>1.6810404785088331</v>
      </c>
      <c r="AC397" s="129">
        <v>1.6810404785088331</v>
      </c>
      <c r="AD397" s="129">
        <v>1.6810404785088331</v>
      </c>
      <c r="AE397" s="129">
        <v>1.6810404785088331</v>
      </c>
      <c r="AF397" s="258">
        <f t="shared" si="48"/>
        <v>1.6810404785088331</v>
      </c>
      <c r="AG397" s="285"/>
      <c r="AK397" s="344"/>
    </row>
    <row r="398" spans="4:37" hidden="1" outlineLevel="1" x14ac:dyDescent="0.25">
      <c r="D398" s="2251"/>
      <c r="E398" s="122" t="s">
        <v>1547</v>
      </c>
      <c r="F398" s="1546">
        <f>1208.5/(1106*0.65)</f>
        <v>1.6810404785088331</v>
      </c>
      <c r="G398" s="2232"/>
      <c r="H398" s="1359" t="s">
        <v>1590</v>
      </c>
      <c r="I398" s="127">
        <f>0.65*1106</f>
        <v>718.9</v>
      </c>
      <c r="V398" s="2271"/>
      <c r="W398" s="285">
        <v>1208.5</v>
      </c>
      <c r="X398" s="285">
        <v>1208.5</v>
      </c>
      <c r="Y398" s="193">
        <v>1.6810404785088331</v>
      </c>
      <c r="Z398" s="129">
        <v>1.6810404785088331</v>
      </c>
      <c r="AA398" s="129">
        <v>1.6810404785088331</v>
      </c>
      <c r="AB398" s="129">
        <v>1.6810404785088331</v>
      </c>
      <c r="AC398" s="129">
        <v>1.6810404785088331</v>
      </c>
      <c r="AD398" s="129">
        <v>1.6810404785088331</v>
      </c>
      <c r="AE398" s="129">
        <v>1.6810404785088331</v>
      </c>
      <c r="AF398" s="258">
        <f t="shared" si="48"/>
        <v>1.6810404785088331</v>
      </c>
      <c r="AG398" s="285"/>
      <c r="AK398" s="344"/>
    </row>
    <row r="399" spans="4:37" hidden="1" outlineLevel="1" x14ac:dyDescent="0.25">
      <c r="D399" s="2251"/>
      <c r="E399" s="122" t="s">
        <v>1549</v>
      </c>
      <c r="F399" s="1546">
        <f>1208.5/(1106*0.65)</f>
        <v>1.6810404785088331</v>
      </c>
      <c r="G399" s="2232"/>
      <c r="H399" s="1359" t="s">
        <v>1590</v>
      </c>
      <c r="I399" s="127">
        <f>0.65*1106</f>
        <v>718.9</v>
      </c>
      <c r="V399" s="2271"/>
      <c r="W399" s="285">
        <v>1208.5</v>
      </c>
      <c r="X399" s="285">
        <v>1208.5</v>
      </c>
      <c r="Y399" s="193">
        <v>1.6810404785088331</v>
      </c>
      <c r="Z399" s="129">
        <v>1.6810404785088331</v>
      </c>
      <c r="AA399" s="129">
        <v>1.6810404785088331</v>
      </c>
      <c r="AB399" s="129">
        <v>1.6810404785088331</v>
      </c>
      <c r="AC399" s="129">
        <v>1.6810404785088331</v>
      </c>
      <c r="AD399" s="129">
        <v>1.6810404785088331</v>
      </c>
      <c r="AE399" s="129">
        <v>1.6810404785088331</v>
      </c>
      <c r="AF399" s="258">
        <f t="shared" si="48"/>
        <v>1.6810404785088331</v>
      </c>
      <c r="AG399" s="285"/>
      <c r="AK399" s="344"/>
    </row>
    <row r="400" spans="4:37" hidden="1" outlineLevel="1" x14ac:dyDescent="0.25">
      <c r="D400" s="2251"/>
      <c r="E400" s="122" t="s">
        <v>1551</v>
      </c>
      <c r="F400" s="1546">
        <f>1859.23/1106</f>
        <v>1.6810397830018082</v>
      </c>
      <c r="G400" s="2232"/>
      <c r="H400" s="1359" t="s">
        <v>1591</v>
      </c>
      <c r="I400" s="127">
        <v>1106</v>
      </c>
      <c r="V400" s="2271"/>
      <c r="W400" s="285">
        <v>1859.23</v>
      </c>
      <c r="X400" s="285">
        <v>1859.23</v>
      </c>
      <c r="Y400" s="193">
        <v>1.6810397830018082</v>
      </c>
      <c r="Z400" s="129">
        <v>1.6810397830018082</v>
      </c>
      <c r="AA400" s="129">
        <v>1.6810397830018082</v>
      </c>
      <c r="AB400" s="129">
        <v>1.6810397830018082</v>
      </c>
      <c r="AC400" s="129">
        <v>1.6810397830018082</v>
      </c>
      <c r="AD400" s="129">
        <v>1.6810397830018082</v>
      </c>
      <c r="AE400" s="129">
        <v>1.6810397830018082</v>
      </c>
      <c r="AF400" s="258">
        <f t="shared" si="48"/>
        <v>1.6810397830018082</v>
      </c>
      <c r="AG400" s="285"/>
      <c r="AK400" s="344"/>
    </row>
    <row r="401" spans="2:37" hidden="1" outlineLevel="1" x14ac:dyDescent="0.25">
      <c r="D401" s="2251"/>
      <c r="E401" s="122" t="s">
        <v>1553</v>
      </c>
      <c r="F401" s="1546">
        <f>1859.23/1106</f>
        <v>1.6810397830018082</v>
      </c>
      <c r="G401" s="2232"/>
      <c r="H401" s="1359" t="s">
        <v>1591</v>
      </c>
      <c r="I401" s="127">
        <v>1106</v>
      </c>
      <c r="V401" s="2271"/>
      <c r="W401" s="285">
        <v>1859.23</v>
      </c>
      <c r="X401" s="285">
        <v>1859.23</v>
      </c>
      <c r="Y401" s="193">
        <v>1.6810397830018082</v>
      </c>
      <c r="Z401" s="129">
        <v>1.6810397830018082</v>
      </c>
      <c r="AA401" s="129">
        <v>1.6810397830018082</v>
      </c>
      <c r="AB401" s="129">
        <v>1.6810397830018082</v>
      </c>
      <c r="AC401" s="129">
        <v>1.6810397830018082</v>
      </c>
      <c r="AD401" s="129">
        <v>1.6810397830018082</v>
      </c>
      <c r="AE401" s="129">
        <v>1.6810397830018082</v>
      </c>
      <c r="AF401" s="258">
        <f t="shared" si="48"/>
        <v>1.6810397830018082</v>
      </c>
      <c r="AG401" s="285"/>
      <c r="AK401" s="344"/>
    </row>
    <row r="402" spans="2:37" hidden="1" outlineLevel="1" x14ac:dyDescent="0.25">
      <c r="D402" s="2251"/>
      <c r="E402" s="122" t="s">
        <v>1555</v>
      </c>
      <c r="F402" s="1546">
        <f>1859.23/1106</f>
        <v>1.6810397830018082</v>
      </c>
      <c r="G402" s="2232"/>
      <c r="H402" s="1359" t="s">
        <v>1591</v>
      </c>
      <c r="I402" s="127">
        <v>1106</v>
      </c>
      <c r="V402" s="2271"/>
      <c r="W402" s="285">
        <v>1859.23</v>
      </c>
      <c r="X402" s="285">
        <v>1859.23</v>
      </c>
      <c r="Y402" s="193">
        <v>1.6810397830018082</v>
      </c>
      <c r="Z402" s="129">
        <v>1.6810397830018082</v>
      </c>
      <c r="AA402" s="129">
        <v>1.6810397830018082</v>
      </c>
      <c r="AB402" s="129">
        <v>1.6810397830018082</v>
      </c>
      <c r="AC402" s="129">
        <v>1.6810397830018082</v>
      </c>
      <c r="AD402" s="129">
        <v>1.6810397830018082</v>
      </c>
      <c r="AE402" s="129">
        <v>1.6810397830018082</v>
      </c>
      <c r="AF402" s="258">
        <f t="shared" si="48"/>
        <v>1.6810397830018082</v>
      </c>
      <c r="AG402" s="285"/>
      <c r="AK402" s="344"/>
    </row>
    <row r="403" spans="2:37" hidden="1" outlineLevel="1" x14ac:dyDescent="0.25">
      <c r="D403" s="2251"/>
      <c r="E403" s="122" t="s">
        <v>1557</v>
      </c>
      <c r="F403" s="1546">
        <f>1846.68/(1106*0.65)</f>
        <v>2.568757824454027</v>
      </c>
      <c r="G403" s="2232"/>
      <c r="H403" s="1359" t="s">
        <v>1590</v>
      </c>
      <c r="I403" s="127">
        <f>0.65*1106</f>
        <v>718.9</v>
      </c>
      <c r="V403" s="2271"/>
      <c r="W403" s="285">
        <v>1846.68</v>
      </c>
      <c r="X403" s="285">
        <v>1846.68</v>
      </c>
      <c r="Y403" s="193">
        <v>2.568757824454027</v>
      </c>
      <c r="Z403" s="129">
        <v>2.568757824454027</v>
      </c>
      <c r="AA403" s="129">
        <v>2.568757824454027</v>
      </c>
      <c r="AB403" s="129">
        <v>2.568757824454027</v>
      </c>
      <c r="AC403" s="129">
        <v>2.568757824454027</v>
      </c>
      <c r="AD403" s="129">
        <v>2.568757824454027</v>
      </c>
      <c r="AE403" s="129">
        <v>2.568757824454027</v>
      </c>
      <c r="AF403" s="258">
        <f t="shared" si="48"/>
        <v>2.568757824454027</v>
      </c>
      <c r="AG403" s="285"/>
      <c r="AK403" s="344"/>
    </row>
    <row r="404" spans="2:37" hidden="1" outlineLevel="1" x14ac:dyDescent="0.25">
      <c r="D404" s="2251"/>
      <c r="E404" s="122" t="s">
        <v>1559</v>
      </c>
      <c r="F404" s="1546">
        <f>1846.68/(1106*0.65)</f>
        <v>2.568757824454027</v>
      </c>
      <c r="G404" s="2232"/>
      <c r="H404" s="1359" t="s">
        <v>1590</v>
      </c>
      <c r="I404" s="127">
        <f>0.65*1106</f>
        <v>718.9</v>
      </c>
      <c r="V404" s="2271"/>
      <c r="W404" s="285">
        <v>1846.68</v>
      </c>
      <c r="X404" s="285">
        <v>1846.68</v>
      </c>
      <c r="Y404" s="193">
        <v>2.568757824454027</v>
      </c>
      <c r="Z404" s="129">
        <v>2.568757824454027</v>
      </c>
      <c r="AA404" s="129">
        <v>2.568757824454027</v>
      </c>
      <c r="AB404" s="129">
        <v>2.568757824454027</v>
      </c>
      <c r="AC404" s="129">
        <v>2.568757824454027</v>
      </c>
      <c r="AD404" s="129">
        <v>2.568757824454027</v>
      </c>
      <c r="AE404" s="129">
        <v>2.568757824454027</v>
      </c>
      <c r="AF404" s="258">
        <f t="shared" si="48"/>
        <v>2.568757824454027</v>
      </c>
      <c r="AG404" s="285"/>
      <c r="AK404" s="344"/>
    </row>
    <row r="405" spans="2:37" hidden="1" outlineLevel="1" x14ac:dyDescent="0.25">
      <c r="D405" s="2251"/>
      <c r="E405" s="122" t="s">
        <v>1561</v>
      </c>
      <c r="F405" s="1546">
        <f>1846.68/(1106*0.65)</f>
        <v>2.568757824454027</v>
      </c>
      <c r="G405" s="2232"/>
      <c r="H405" s="1359" t="s">
        <v>1590</v>
      </c>
      <c r="I405" s="127">
        <f>0.65*1106</f>
        <v>718.9</v>
      </c>
      <c r="V405" s="2271"/>
      <c r="W405" s="285">
        <v>1846.68</v>
      </c>
      <c r="X405" s="285">
        <v>1846.68</v>
      </c>
      <c r="Y405" s="193">
        <v>2.568757824454027</v>
      </c>
      <c r="Z405" s="129">
        <v>2.568757824454027</v>
      </c>
      <c r="AA405" s="129">
        <v>2.568757824454027</v>
      </c>
      <c r="AB405" s="129">
        <v>2.568757824454027</v>
      </c>
      <c r="AC405" s="129">
        <v>2.568757824454027</v>
      </c>
      <c r="AD405" s="129">
        <v>2.568757824454027</v>
      </c>
      <c r="AE405" s="129">
        <v>2.568757824454027</v>
      </c>
      <c r="AF405" s="258">
        <f t="shared" si="48"/>
        <v>2.568757824454027</v>
      </c>
      <c r="AG405" s="285"/>
      <c r="AK405" s="344"/>
    </row>
    <row r="406" spans="2:37" hidden="1" outlineLevel="1" x14ac:dyDescent="0.25">
      <c r="D406" s="2251"/>
      <c r="E406" s="122" t="s">
        <v>1563</v>
      </c>
      <c r="F406" s="1546">
        <f>2841.04/1106</f>
        <v>2.5687522603978299</v>
      </c>
      <c r="G406" s="2232"/>
      <c r="H406" s="1359" t="s">
        <v>1591</v>
      </c>
      <c r="I406" s="127">
        <v>1106</v>
      </c>
      <c r="V406" s="2271"/>
      <c r="W406" s="285">
        <v>2841.04</v>
      </c>
      <c r="X406" s="285">
        <v>2841.04</v>
      </c>
      <c r="Y406" s="193">
        <v>2.5687522603978299</v>
      </c>
      <c r="Z406" s="129">
        <v>2.5687522603978299</v>
      </c>
      <c r="AA406" s="129">
        <v>2.5687522603978299</v>
      </c>
      <c r="AB406" s="129">
        <v>2.5687522603978299</v>
      </c>
      <c r="AC406" s="129">
        <v>2.5687522603978299</v>
      </c>
      <c r="AD406" s="129">
        <v>2.5687522603978299</v>
      </c>
      <c r="AE406" s="129">
        <v>2.5687522603978299</v>
      </c>
      <c r="AF406" s="258">
        <f t="shared" si="48"/>
        <v>2.5687522603978299</v>
      </c>
      <c r="AG406" s="285"/>
      <c r="AK406" s="344"/>
    </row>
    <row r="407" spans="2:37" hidden="1" outlineLevel="1" x14ac:dyDescent="0.25">
      <c r="D407" s="2251"/>
      <c r="E407" s="122" t="s">
        <v>1565</v>
      </c>
      <c r="F407" s="1546">
        <f>2841.04/1106</f>
        <v>2.5687522603978299</v>
      </c>
      <c r="G407" s="2232"/>
      <c r="H407" s="1359" t="s">
        <v>1591</v>
      </c>
      <c r="I407" s="127">
        <v>1106</v>
      </c>
      <c r="V407" s="2271"/>
      <c r="W407" s="285">
        <v>2841.04</v>
      </c>
      <c r="X407" s="285">
        <v>2841.04</v>
      </c>
      <c r="Y407" s="193">
        <v>2.5687522603978299</v>
      </c>
      <c r="Z407" s="129">
        <v>2.5687522603978299</v>
      </c>
      <c r="AA407" s="129">
        <v>2.5687522603978299</v>
      </c>
      <c r="AB407" s="129">
        <v>2.5687522603978299</v>
      </c>
      <c r="AC407" s="129">
        <v>2.5687522603978299</v>
      </c>
      <c r="AD407" s="129">
        <v>2.5687522603978299</v>
      </c>
      <c r="AE407" s="129">
        <v>2.5687522603978299</v>
      </c>
      <c r="AF407" s="258">
        <f t="shared" si="48"/>
        <v>2.5687522603978299</v>
      </c>
      <c r="AG407" s="285"/>
      <c r="AK407" s="344"/>
    </row>
    <row r="408" spans="2:37" hidden="1" outlineLevel="1" x14ac:dyDescent="0.25">
      <c r="D408" s="2251"/>
      <c r="E408" s="122" t="s">
        <v>1567</v>
      </c>
      <c r="F408" s="1546">
        <f>2841.04/1106</f>
        <v>2.5687522603978299</v>
      </c>
      <c r="G408" s="2232"/>
      <c r="H408" s="1359" t="s">
        <v>1591</v>
      </c>
      <c r="I408" s="127">
        <v>1106</v>
      </c>
      <c r="V408" s="2271"/>
      <c r="W408" s="285">
        <v>2841.04</v>
      </c>
      <c r="X408" s="285">
        <v>2841.04</v>
      </c>
      <c r="Y408" s="193">
        <v>2.5687522603978299</v>
      </c>
      <c r="Z408" s="129">
        <v>2.5687522603978299</v>
      </c>
      <c r="AA408" s="129">
        <v>2.5687522603978299</v>
      </c>
      <c r="AB408" s="129">
        <v>2.5687522603978299</v>
      </c>
      <c r="AC408" s="129">
        <v>2.5687522603978299</v>
      </c>
      <c r="AD408" s="129">
        <v>2.5687522603978299</v>
      </c>
      <c r="AE408" s="129">
        <v>2.5687522603978299</v>
      </c>
      <c r="AF408" s="258">
        <f t="shared" si="48"/>
        <v>2.5687522603978299</v>
      </c>
      <c r="AG408" s="285"/>
      <c r="AK408" s="344"/>
    </row>
    <row r="409" spans="2:37" hidden="1" outlineLevel="1" x14ac:dyDescent="0.25">
      <c r="D409" s="2251"/>
      <c r="E409" s="122" t="s">
        <v>1569</v>
      </c>
      <c r="F409" s="1546">
        <f>2461.73/(1106*0.65)</f>
        <v>3.424301015440256</v>
      </c>
      <c r="G409" s="2232"/>
      <c r="H409" s="1359" t="s">
        <v>1590</v>
      </c>
      <c r="I409" s="127">
        <f>0.65*1106</f>
        <v>718.9</v>
      </c>
      <c r="V409" s="2271"/>
      <c r="W409" s="285">
        <v>2461.73</v>
      </c>
      <c r="X409" s="285">
        <v>2461.73</v>
      </c>
      <c r="Y409" s="193">
        <v>3.424301015440256</v>
      </c>
      <c r="Z409" s="129">
        <v>3.424301015440256</v>
      </c>
      <c r="AA409" s="129">
        <v>3.424301015440256</v>
      </c>
      <c r="AB409" s="129">
        <v>3.424301015440256</v>
      </c>
      <c r="AC409" s="129">
        <v>3.424301015440256</v>
      </c>
      <c r="AD409" s="129">
        <v>3.424301015440256</v>
      </c>
      <c r="AE409" s="129">
        <v>3.424301015440256</v>
      </c>
      <c r="AF409" s="258">
        <f t="shared" si="48"/>
        <v>3.424301015440256</v>
      </c>
      <c r="AG409" s="285"/>
      <c r="AK409" s="344"/>
    </row>
    <row r="410" spans="2:37" hidden="1" outlineLevel="1" x14ac:dyDescent="0.25">
      <c r="D410" s="2251"/>
      <c r="E410" s="122" t="s">
        <v>1571</v>
      </c>
      <c r="F410" s="1546">
        <f>2461.73/(1106*0.65)</f>
        <v>3.424301015440256</v>
      </c>
      <c r="G410" s="2232"/>
      <c r="H410" s="1359" t="s">
        <v>1590</v>
      </c>
      <c r="I410" s="127">
        <f>0.65*1106</f>
        <v>718.9</v>
      </c>
      <c r="V410" s="2271"/>
      <c r="W410" s="285">
        <v>2461.73</v>
      </c>
      <c r="X410" s="285">
        <v>2461.73</v>
      </c>
      <c r="Y410" s="193">
        <v>3.424301015440256</v>
      </c>
      <c r="Z410" s="129">
        <v>3.424301015440256</v>
      </c>
      <c r="AA410" s="129">
        <v>3.424301015440256</v>
      </c>
      <c r="AB410" s="129">
        <v>3.424301015440256</v>
      </c>
      <c r="AC410" s="129">
        <v>3.424301015440256</v>
      </c>
      <c r="AD410" s="129">
        <v>3.424301015440256</v>
      </c>
      <c r="AE410" s="129">
        <v>3.424301015440256</v>
      </c>
      <c r="AF410" s="258">
        <f t="shared" si="48"/>
        <v>3.424301015440256</v>
      </c>
      <c r="AG410" s="285"/>
      <c r="AK410" s="344"/>
    </row>
    <row r="411" spans="2:37" hidden="1" outlineLevel="1" x14ac:dyDescent="0.25">
      <c r="D411" s="2251"/>
      <c r="E411" s="122" t="s">
        <v>1573</v>
      </c>
      <c r="F411" s="1546">
        <f>2461.73/(1106*0.65)</f>
        <v>3.424301015440256</v>
      </c>
      <c r="G411" s="2232"/>
      <c r="H411" s="1359" t="s">
        <v>1590</v>
      </c>
      <c r="I411" s="127">
        <f>0.65*1106</f>
        <v>718.9</v>
      </c>
      <c r="V411" s="2271"/>
      <c r="W411" s="285">
        <v>2461.73</v>
      </c>
      <c r="X411" s="285">
        <v>2461.73</v>
      </c>
      <c r="Y411" s="193">
        <v>3.424301015440256</v>
      </c>
      <c r="Z411" s="129">
        <v>3.424301015440256</v>
      </c>
      <c r="AA411" s="129">
        <v>3.424301015440256</v>
      </c>
      <c r="AB411" s="129">
        <v>3.424301015440256</v>
      </c>
      <c r="AC411" s="129">
        <v>3.424301015440256</v>
      </c>
      <c r="AD411" s="129">
        <v>3.424301015440256</v>
      </c>
      <c r="AE411" s="129">
        <v>3.424301015440256</v>
      </c>
      <c r="AF411" s="258">
        <f t="shared" si="48"/>
        <v>3.424301015440256</v>
      </c>
      <c r="AG411" s="285"/>
      <c r="AK411" s="344"/>
    </row>
    <row r="412" spans="2:37" hidden="1" outlineLevel="1" x14ac:dyDescent="0.25">
      <c r="D412" s="2251"/>
      <c r="E412" s="122" t="s">
        <v>1575</v>
      </c>
      <c r="F412" s="1546">
        <f>3787.28/1106</f>
        <v>3.4243037974683546</v>
      </c>
      <c r="G412" s="2232"/>
      <c r="H412" s="1359" t="s">
        <v>1591</v>
      </c>
      <c r="I412" s="127">
        <v>1106</v>
      </c>
      <c r="V412" s="2271"/>
      <c r="W412" s="285">
        <v>3787.28</v>
      </c>
      <c r="X412" s="285">
        <v>3787.28</v>
      </c>
      <c r="Y412" s="193">
        <v>3.4243037974683546</v>
      </c>
      <c r="Z412" s="129">
        <v>3.4243037974683546</v>
      </c>
      <c r="AA412" s="129">
        <v>3.4243037974683546</v>
      </c>
      <c r="AB412" s="129">
        <v>3.4243037974683546</v>
      </c>
      <c r="AC412" s="129">
        <v>3.4243037974683546</v>
      </c>
      <c r="AD412" s="129">
        <v>3.4243037974683546</v>
      </c>
      <c r="AE412" s="129">
        <v>3.4243037974683546</v>
      </c>
      <c r="AF412" s="258">
        <f t="shared" si="48"/>
        <v>3.4243037974683546</v>
      </c>
      <c r="AG412" s="285"/>
      <c r="AK412" s="344"/>
    </row>
    <row r="413" spans="2:37" hidden="1" outlineLevel="1" x14ac:dyDescent="0.25">
      <c r="D413" s="2251"/>
      <c r="E413" s="122" t="s">
        <v>1577</v>
      </c>
      <c r="F413" s="1546">
        <f>3787.28/1106</f>
        <v>3.4243037974683546</v>
      </c>
      <c r="G413" s="2232"/>
      <c r="H413" s="1359" t="s">
        <v>1591</v>
      </c>
      <c r="I413" s="127">
        <v>1106</v>
      </c>
      <c r="V413" s="2271"/>
      <c r="W413" s="285">
        <v>3787.28</v>
      </c>
      <c r="X413" s="285">
        <v>3787.28</v>
      </c>
      <c r="Y413" s="193">
        <v>3.4243037974683546</v>
      </c>
      <c r="Z413" s="129">
        <v>3.4243037974683546</v>
      </c>
      <c r="AA413" s="129">
        <v>3.4243037974683546</v>
      </c>
      <c r="AB413" s="129">
        <v>3.4243037974683546</v>
      </c>
      <c r="AC413" s="129">
        <v>3.4243037974683546</v>
      </c>
      <c r="AD413" s="129">
        <v>3.4243037974683546</v>
      </c>
      <c r="AE413" s="129">
        <v>3.4243037974683546</v>
      </c>
      <c r="AF413" s="258">
        <f t="shared" si="48"/>
        <v>3.4243037974683546</v>
      </c>
      <c r="AG413" s="285"/>
      <c r="AK413" s="344"/>
    </row>
    <row r="414" spans="2:37" hidden="1" outlineLevel="1" x14ac:dyDescent="0.25">
      <c r="D414" s="2251"/>
      <c r="E414" s="122" t="s">
        <v>1579</v>
      </c>
      <c r="F414" s="1546">
        <f>3787.28/1106</f>
        <v>3.4243037974683546</v>
      </c>
      <c r="G414" s="2232"/>
      <c r="H414" s="1359" t="s">
        <v>1591</v>
      </c>
      <c r="I414" s="127">
        <v>1106</v>
      </c>
      <c r="V414" s="2272"/>
      <c r="W414" s="285">
        <v>3787.28</v>
      </c>
      <c r="X414" s="285">
        <v>3787.28</v>
      </c>
      <c r="Y414" s="193">
        <v>3.4243037974683546</v>
      </c>
      <c r="Z414" s="129">
        <v>3.4243037974683546</v>
      </c>
      <c r="AA414" s="129">
        <v>3.4243037974683546</v>
      </c>
      <c r="AB414" s="129">
        <v>3.4243037974683546</v>
      </c>
      <c r="AC414" s="129">
        <v>3.4243037974683546</v>
      </c>
      <c r="AD414" s="129">
        <v>3.4243037974683546</v>
      </c>
      <c r="AE414" s="129">
        <v>3.4243037974683546</v>
      </c>
      <c r="AF414" s="258">
        <f t="shared" si="48"/>
        <v>3.4243037974683546</v>
      </c>
      <c r="AG414" s="285"/>
      <c r="AK414" s="344"/>
    </row>
    <row r="415" spans="2:37" hidden="1" outlineLevel="1" x14ac:dyDescent="0.25">
      <c r="B415" s="561"/>
      <c r="Y415" s="527" t="s">
        <v>1517</v>
      </c>
      <c r="AK415" s="344"/>
    </row>
    <row r="416" spans="2:37" collapsed="1" x14ac:dyDescent="0.25">
      <c r="B416" s="561"/>
      <c r="AK416" s="344"/>
    </row>
    <row r="417" spans="2:114" x14ac:dyDescent="0.25">
      <c r="B417" s="2134" t="s">
        <v>1613</v>
      </c>
      <c r="C417" s="2135"/>
      <c r="D417" s="2135"/>
      <c r="E417" s="2135"/>
      <c r="F417" s="2135"/>
      <c r="G417" s="2135"/>
      <c r="H417" s="2135"/>
      <c r="I417" s="2082"/>
      <c r="J417" s="2082"/>
      <c r="K417" s="2082"/>
      <c r="L417" s="2082"/>
      <c r="M417" s="2082"/>
      <c r="N417" s="2082"/>
      <c r="O417" s="2082"/>
      <c r="P417" s="2082"/>
      <c r="Q417" s="2082"/>
      <c r="R417" s="2083"/>
      <c r="V417" s="2103" t="str">
        <f>B417</f>
        <v>Floor Insulation</v>
      </c>
      <c r="W417" s="2104"/>
      <c r="X417" s="2104"/>
      <c r="Y417" s="2104"/>
      <c r="Z417" s="2104"/>
      <c r="AA417" s="2104"/>
      <c r="AB417" s="2104"/>
      <c r="AC417" s="2106"/>
      <c r="AD417" s="2106"/>
      <c r="AE417" s="2106"/>
      <c r="AF417" s="2106"/>
      <c r="AG417" s="2106"/>
      <c r="AH417" s="2106"/>
      <c r="AI417" s="2107"/>
      <c r="AK417" s="344"/>
    </row>
    <row r="418" spans="2:114" x14ac:dyDescent="0.25">
      <c r="B418" s="561"/>
      <c r="D418" s="565"/>
      <c r="E418" s="565" t="s">
        <v>1614</v>
      </c>
      <c r="F418" s="269"/>
      <c r="G418" s="269"/>
      <c r="H418" s="269"/>
      <c r="I418" s="269"/>
      <c r="J418" s="269"/>
      <c r="K418" s="269"/>
      <c r="L418" s="566"/>
      <c r="AK418" s="344"/>
    </row>
    <row r="419" spans="2:114" ht="30" x14ac:dyDescent="0.25">
      <c r="B419" s="561"/>
      <c r="C419" s="1300" t="s">
        <v>42</v>
      </c>
      <c r="D419" s="1300" t="s">
        <v>594</v>
      </c>
      <c r="E419" s="1300" t="s">
        <v>44</v>
      </c>
      <c r="F419" s="1300" t="s">
        <v>45</v>
      </c>
      <c r="G419" s="1300" t="s">
        <v>46</v>
      </c>
      <c r="H419" s="1300" t="s">
        <v>47</v>
      </c>
      <c r="I419" s="1300" t="s">
        <v>798</v>
      </c>
      <c r="J419" s="1300" t="s">
        <v>799</v>
      </c>
      <c r="K419" s="1300" t="s">
        <v>48</v>
      </c>
      <c r="L419" s="1312" t="s">
        <v>49</v>
      </c>
      <c r="M419" s="1300" t="s">
        <v>50</v>
      </c>
      <c r="N419" s="1300" t="s">
        <v>1615</v>
      </c>
      <c r="V419" s="648" t="s">
        <v>52</v>
      </c>
      <c r="W419" s="649">
        <f>W$6</f>
        <v>43252</v>
      </c>
      <c r="X419" s="649">
        <f t="shared" ref="X419:AG419" si="49">X$6</f>
        <v>43465</v>
      </c>
      <c r="Y419" s="110">
        <f t="shared" si="49"/>
        <v>43800</v>
      </c>
      <c r="Z419" s="649">
        <f t="shared" si="49"/>
        <v>43862</v>
      </c>
      <c r="AA419" s="649">
        <f t="shared" si="49"/>
        <v>44013</v>
      </c>
      <c r="AB419" s="649">
        <f t="shared" si="49"/>
        <v>44166</v>
      </c>
      <c r="AC419" s="649">
        <f t="shared" si="49"/>
        <v>44531</v>
      </c>
      <c r="AD419" s="649">
        <f t="shared" si="49"/>
        <v>44774</v>
      </c>
      <c r="AE419" s="649">
        <f t="shared" si="49"/>
        <v>45139</v>
      </c>
      <c r="AF419" s="649">
        <f t="shared" si="49"/>
        <v>45672</v>
      </c>
      <c r="AG419" s="649" t="str">
        <f t="shared" si="49"/>
        <v>-</v>
      </c>
      <c r="AK419" s="344"/>
      <c r="DG419" s="1018" t="str">
        <f>$DG$6</f>
        <v>TRC (2025)</v>
      </c>
      <c r="DH419" s="776" t="str">
        <f>$DH$6</f>
        <v>Benefit Lookup</v>
      </c>
      <c r="DI419" s="1034" t="str">
        <f>$DI$6</f>
        <v>Benefits (2025 $)</v>
      </c>
      <c r="DJ419" s="1060" t="str">
        <f>$DJ$6</f>
        <v>Incremental Cost (2025 $)</v>
      </c>
    </row>
    <row r="420" spans="2:114" x14ac:dyDescent="0.25">
      <c r="B420" s="1384">
        <f t="shared" ref="B420:B425" si="50">VALUE(LEFT(C420,6))</f>
        <v>402200</v>
      </c>
      <c r="C420" s="332" t="s">
        <v>1616</v>
      </c>
      <c r="D420" s="537" t="s">
        <v>825</v>
      </c>
      <c r="E420" s="122" t="s">
        <v>1617</v>
      </c>
      <c r="F420" s="173">
        <f t="shared" ref="F420:F424" si="51">ROUND(I420+J420,2)</f>
        <v>2.0499999999999998</v>
      </c>
      <c r="G420" s="134" t="s">
        <v>1480</v>
      </c>
      <c r="H420" s="66">
        <f>VLOOKUP(G420,'CP FACTORS'!$A$3:$B$38, 2, FALSE)</f>
        <v>4.6608050000000002E-4</v>
      </c>
      <c r="I420" s="526">
        <f>(1/F$433-1/F$435)*F$436*(1-F$437)*F438*24*F$442/(F443*3412)</f>
        <v>1.8130236039175185</v>
      </c>
      <c r="J420" s="526">
        <f>(1/$F$433-1/$F$435)*$F$436*(1-$F$437)*F446*24*$F$449/($F$450*1000)</f>
        <v>0.23681313862743308</v>
      </c>
      <c r="K420" s="261">
        <f>ROUND(H420*F420,6)</f>
        <v>9.5500000000000001E-4</v>
      </c>
      <c r="L420" s="323">
        <f t="shared" ref="L420:L425" si="52">$F$451</f>
        <v>30</v>
      </c>
      <c r="M420" s="710">
        <f t="shared" ref="M420:M425" si="53">$F$452</f>
        <v>0.67966666666666664</v>
      </c>
      <c r="N420" s="323">
        <f t="shared" ref="N420:N425" si="54">$F$436</f>
        <v>1</v>
      </c>
      <c r="V420" s="342" t="str">
        <f t="shared" ref="V420:V425" si="55">$F$32</f>
        <v>kWh Annual Savings</v>
      </c>
      <c r="W420" s="84">
        <v>2641.1109246458486</v>
      </c>
      <c r="X420" s="124">
        <v>2641.1109246458486</v>
      </c>
      <c r="Y420" s="259">
        <v>2.4500000000000002</v>
      </c>
      <c r="Z420" s="257">
        <v>2.4500000000000002</v>
      </c>
      <c r="AA420" s="257">
        <v>2.4500000000000002</v>
      </c>
      <c r="AB420" s="257">
        <v>2.4500000000000002</v>
      </c>
      <c r="AC420" s="257">
        <v>2.4500000000000002</v>
      </c>
      <c r="AD420" s="257">
        <v>2.4500000000000002</v>
      </c>
      <c r="AE420" s="257">
        <v>2.4500000000000002</v>
      </c>
      <c r="AF420" s="258">
        <f t="shared" ref="AF420:AF425" si="56">IF(F420&lt;&gt;"",F420,"")</f>
        <v>2.0499999999999998</v>
      </c>
      <c r="AG420" s="342"/>
      <c r="AK420" s="344"/>
      <c r="DG420" s="1025">
        <f t="shared" ref="DG420:DG425" si="57">(DI420)/(DJ420)</f>
        <v>5.6659779555419325</v>
      </c>
      <c r="DH420" s="1330" t="str">
        <f t="shared" ref="DH420:DH425" si="58">CONCATENATE(G420," ",L420," Year EUL")</f>
        <v>Building Shell RES 30 Year EUL</v>
      </c>
      <c r="DI420" s="1036">
        <f>(INDEX('Avoided Cost Benefits'!$B$4:$B$865,MATCH(DH420,'Avoided Cost Benefits'!$A$4:$A$865,0)))*F420</f>
        <v>3.8509763504499999</v>
      </c>
      <c r="DJ420" s="1954">
        <f t="shared" ref="DJ420:DJ425" si="59">IFERROR(M420/((1+DiscountRate)^(CurrentYear-DiscountYear)),0)</f>
        <v>0.67966666666666664</v>
      </c>
    </row>
    <row r="421" spans="2:114" x14ac:dyDescent="0.25">
      <c r="B421" s="1384">
        <f t="shared" si="50"/>
        <v>402201</v>
      </c>
      <c r="C421" s="332" t="s">
        <v>1618</v>
      </c>
      <c r="D421" s="537" t="s">
        <v>825</v>
      </c>
      <c r="E421" s="122" t="s">
        <v>1619</v>
      </c>
      <c r="F421" s="173">
        <f t="shared" si="51"/>
        <v>1.36</v>
      </c>
      <c r="G421" s="134" t="s">
        <v>1480</v>
      </c>
      <c r="H421" s="66">
        <f>VLOOKUP(G421,'CP FACTORS'!$A$3:$B$38, 2, FALSE)</f>
        <v>4.6608050000000002E-4</v>
      </c>
      <c r="I421" s="526">
        <f>(1/F$433-1/F$435)*F$436*(1-F$437)*F439*24*F$442/(F444*3412)</f>
        <v>1.1191503727885916</v>
      </c>
      <c r="J421" s="526">
        <f>(1/$F$433-1/$F$435)*$F$436*(1-$F$437)*F447*24*$F$449/($F$450*1000)</f>
        <v>0.23681313862743308</v>
      </c>
      <c r="K421" s="261">
        <f t="shared" ref="K421:K425" si="60">ROUND(H421*F421,6)</f>
        <v>6.3400000000000001E-4</v>
      </c>
      <c r="L421" s="323">
        <f t="shared" si="52"/>
        <v>30</v>
      </c>
      <c r="M421" s="710">
        <f t="shared" si="53"/>
        <v>0.67966666666666664</v>
      </c>
      <c r="N421" s="323">
        <f t="shared" si="54"/>
        <v>1</v>
      </c>
      <c r="V421" s="342" t="str">
        <f t="shared" si="55"/>
        <v>kWh Annual Savings</v>
      </c>
      <c r="W421" s="84"/>
      <c r="X421" s="124"/>
      <c r="Y421" s="259">
        <v>1.42</v>
      </c>
      <c r="Z421" s="257">
        <v>1.42</v>
      </c>
      <c r="AA421" s="257">
        <v>1.42</v>
      </c>
      <c r="AB421" s="257">
        <v>1.42</v>
      </c>
      <c r="AC421" s="257">
        <v>1.42</v>
      </c>
      <c r="AD421" s="257">
        <v>1.42</v>
      </c>
      <c r="AE421" s="257">
        <v>1.42</v>
      </c>
      <c r="AF421" s="258">
        <f t="shared" si="56"/>
        <v>1.36</v>
      </c>
      <c r="AG421" s="342"/>
      <c r="AK421" s="344"/>
      <c r="DG421" s="642">
        <f t="shared" si="57"/>
        <v>3.7588926924570876</v>
      </c>
      <c r="DH421" s="1330" t="str">
        <f t="shared" si="58"/>
        <v>Building Shell RES 30 Year EUL</v>
      </c>
      <c r="DI421" s="1037">
        <f>(INDEX('Avoided Cost Benefits'!$B$4:$B$865,MATCH(DH421,'Avoided Cost Benefits'!$A$4:$A$865,0)))*F421</f>
        <v>2.5547940666400004</v>
      </c>
      <c r="DJ421" s="1955">
        <f t="shared" si="59"/>
        <v>0.67966666666666664</v>
      </c>
    </row>
    <row r="422" spans="2:114" x14ac:dyDescent="0.25">
      <c r="B422" s="1384">
        <f t="shared" si="50"/>
        <v>402202</v>
      </c>
      <c r="C422" s="332" t="s">
        <v>1620</v>
      </c>
      <c r="D422" s="537" t="s">
        <v>825</v>
      </c>
      <c r="E422" s="122" t="s">
        <v>1621</v>
      </c>
      <c r="F422" s="173">
        <f t="shared" si="51"/>
        <v>0.24</v>
      </c>
      <c r="G422" s="134" t="s">
        <v>1480</v>
      </c>
      <c r="H422" s="66">
        <f>VLOOKUP(G422,'CP FACTORS'!$A$3:$B$38, 2, FALSE)</f>
        <v>4.6608050000000002E-4</v>
      </c>
      <c r="I422" s="305">
        <f>(1/F$433-1/F$435)*F$436*(1-F$437)*F440*24*F$442/(F445*3412)</f>
        <v>0</v>
      </c>
      <c r="J422" s="526">
        <f>(1/$F$433-1/$F$435)*$F$436*(1-$F$437)*F448*24*$F$449/($F$450*1000)</f>
        <v>0.23681313862743308</v>
      </c>
      <c r="K422" s="261">
        <f t="shared" si="60"/>
        <v>1.12E-4</v>
      </c>
      <c r="L422" s="323">
        <f t="shared" si="52"/>
        <v>30</v>
      </c>
      <c r="M422" s="710">
        <f t="shared" si="53"/>
        <v>0.67966666666666664</v>
      </c>
      <c r="N422" s="323">
        <f t="shared" si="54"/>
        <v>1</v>
      </c>
      <c r="V422" s="342" t="str">
        <f t="shared" si="55"/>
        <v>kWh Annual Savings</v>
      </c>
      <c r="W422" s="84"/>
      <c r="X422" s="124"/>
      <c r="Y422" s="259">
        <v>0.23</v>
      </c>
      <c r="Z422" s="257">
        <v>0.23</v>
      </c>
      <c r="AA422" s="257">
        <v>0.23</v>
      </c>
      <c r="AB422" s="257">
        <v>0.23</v>
      </c>
      <c r="AC422" s="257">
        <v>0.23</v>
      </c>
      <c r="AD422" s="257">
        <v>0.23</v>
      </c>
      <c r="AE422" s="257">
        <v>0.23</v>
      </c>
      <c r="AF422" s="258">
        <f t="shared" si="56"/>
        <v>0.24</v>
      </c>
      <c r="AG422" s="342"/>
      <c r="AK422" s="344"/>
      <c r="DG422" s="642">
        <f t="shared" si="57"/>
        <v>0.66333400455125069</v>
      </c>
      <c r="DH422" s="1330" t="str">
        <f t="shared" si="58"/>
        <v>Building Shell RES 30 Year EUL</v>
      </c>
      <c r="DI422" s="1037">
        <f>(INDEX('Avoided Cost Benefits'!$B$4:$B$865,MATCH(DH422,'Avoided Cost Benefits'!$A$4:$A$865,0)))*F422</f>
        <v>0.45084601176</v>
      </c>
      <c r="DJ422" s="1955">
        <f t="shared" si="59"/>
        <v>0.67966666666666664</v>
      </c>
    </row>
    <row r="423" spans="2:114" x14ac:dyDescent="0.25">
      <c r="B423" s="1384">
        <f t="shared" si="50"/>
        <v>402203</v>
      </c>
      <c r="C423" s="332" t="s">
        <v>1622</v>
      </c>
      <c r="D423" s="537" t="s">
        <v>825</v>
      </c>
      <c r="E423" s="122" t="s">
        <v>1623</v>
      </c>
      <c r="F423" s="173">
        <f t="shared" si="51"/>
        <v>0.2</v>
      </c>
      <c r="G423" s="134" t="s">
        <v>1480</v>
      </c>
      <c r="H423" s="66">
        <f>VLOOKUP(G423,'CP FACTORS'!$A$3:$B$38, 2, FALSE)</f>
        <v>4.6608050000000002E-4</v>
      </c>
      <c r="I423" s="526">
        <f>(1/F$434-1/F$435)*F$436*(1-F$437)*F438*24*F$441/(F443*3412)</f>
        <v>0.18183496190449847</v>
      </c>
      <c r="J423" s="526">
        <f>(1/$F$434-1/$F$435)*$F$436*(1-$F$437)*F446*24*$F$449/($F$450*1000)</f>
        <v>1.9950740120601836E-2</v>
      </c>
      <c r="K423" s="261">
        <f t="shared" si="60"/>
        <v>9.2999999999999997E-5</v>
      </c>
      <c r="L423" s="323">
        <f t="shared" si="52"/>
        <v>30</v>
      </c>
      <c r="M423" s="710">
        <f t="shared" si="53"/>
        <v>0.67966666666666664</v>
      </c>
      <c r="N423" s="323">
        <f t="shared" si="54"/>
        <v>1</v>
      </c>
      <c r="V423" s="342" t="str">
        <f t="shared" si="55"/>
        <v>kWh Annual Savings</v>
      </c>
      <c r="W423" s="84"/>
      <c r="X423" s="124"/>
      <c r="Y423" s="259"/>
      <c r="Z423" s="662">
        <v>0.22</v>
      </c>
      <c r="AA423" s="18">
        <v>0.22</v>
      </c>
      <c r="AB423" s="18">
        <v>0.22</v>
      </c>
      <c r="AC423" s="18">
        <v>0.22</v>
      </c>
      <c r="AD423" s="18">
        <v>0.22</v>
      </c>
      <c r="AE423" s="18">
        <v>0.22</v>
      </c>
      <c r="AF423" s="258">
        <f t="shared" si="56"/>
        <v>0.2</v>
      </c>
      <c r="AG423" s="342"/>
      <c r="AK423" s="344"/>
      <c r="DG423" s="1025">
        <f t="shared" si="57"/>
        <v>0.5527783371260423</v>
      </c>
      <c r="DH423" s="1330" t="str">
        <f t="shared" si="58"/>
        <v>Building Shell RES 30 Year EUL</v>
      </c>
      <c r="DI423" s="1036">
        <f>(INDEX('Avoided Cost Benefits'!$B$4:$B$865,MATCH(DH423,'Avoided Cost Benefits'!$A$4:$A$865,0)))*F423</f>
        <v>0.37570500980000004</v>
      </c>
      <c r="DJ423" s="1955">
        <f t="shared" si="59"/>
        <v>0.67966666666666664</v>
      </c>
    </row>
    <row r="424" spans="2:114" x14ac:dyDescent="0.25">
      <c r="B424" s="1384">
        <f t="shared" si="50"/>
        <v>402204</v>
      </c>
      <c r="C424" s="332" t="s">
        <v>1624</v>
      </c>
      <c r="D424" s="537" t="s">
        <v>825</v>
      </c>
      <c r="E424" s="122" t="s">
        <v>1625</v>
      </c>
      <c r="F424" s="173">
        <f t="shared" si="51"/>
        <v>0.11</v>
      </c>
      <c r="G424" s="134" t="s">
        <v>1480</v>
      </c>
      <c r="H424" s="66">
        <f>VLOOKUP(G424,'CP FACTORS'!$A$3:$B$38, 2, FALSE)</f>
        <v>4.6608050000000002E-4</v>
      </c>
      <c r="I424" s="526">
        <f>(1/F$434-1/F$435)*F$436*(1-F$437)*F439*24*F$442/(F444*3412)</f>
        <v>9.4284795061591792E-2</v>
      </c>
      <c r="J424" s="526">
        <f>(1/$F$434-1/$F$435)*$F$436*(1-$F$437)*F447*24*$F$449/($F$450*1000)</f>
        <v>1.9950740120601836E-2</v>
      </c>
      <c r="K424" s="261">
        <f t="shared" si="60"/>
        <v>5.1E-5</v>
      </c>
      <c r="L424" s="323">
        <f t="shared" si="52"/>
        <v>30</v>
      </c>
      <c r="M424" s="710">
        <f t="shared" si="53"/>
        <v>0.67966666666666664</v>
      </c>
      <c r="N424" s="323">
        <f t="shared" si="54"/>
        <v>1</v>
      </c>
      <c r="V424" s="342" t="str">
        <f t="shared" si="55"/>
        <v>kWh Annual Savings</v>
      </c>
      <c r="W424" s="84"/>
      <c r="X424" s="124"/>
      <c r="Y424" s="259"/>
      <c r="Z424" s="662">
        <v>0.13</v>
      </c>
      <c r="AA424" s="18">
        <v>0.13</v>
      </c>
      <c r="AB424" s="18">
        <v>0.13</v>
      </c>
      <c r="AC424" s="18">
        <v>0.13</v>
      </c>
      <c r="AD424" s="18">
        <v>0.13</v>
      </c>
      <c r="AE424" s="18">
        <v>0.13</v>
      </c>
      <c r="AF424" s="258">
        <f t="shared" si="56"/>
        <v>0.11</v>
      </c>
      <c r="AG424" s="342"/>
      <c r="AK424" s="344"/>
      <c r="DG424" s="642">
        <f t="shared" si="57"/>
        <v>0.30402808541932325</v>
      </c>
      <c r="DH424" s="1330" t="str">
        <f t="shared" si="58"/>
        <v>Building Shell RES 30 Year EUL</v>
      </c>
      <c r="DI424" s="1037">
        <f>(INDEX('Avoided Cost Benefits'!$B$4:$B$865,MATCH(DH424,'Avoided Cost Benefits'!$A$4:$A$865,0)))*F424</f>
        <v>0.20663775539000001</v>
      </c>
      <c r="DJ424" s="1955">
        <f t="shared" si="59"/>
        <v>0.67966666666666664</v>
      </c>
    </row>
    <row r="425" spans="2:114" x14ac:dyDescent="0.25">
      <c r="B425" s="1384">
        <f t="shared" si="50"/>
        <v>402205</v>
      </c>
      <c r="C425" s="332" t="s">
        <v>1626</v>
      </c>
      <c r="D425" s="537" t="s">
        <v>825</v>
      </c>
      <c r="E425" s="122" t="s">
        <v>1627</v>
      </c>
      <c r="F425" s="173">
        <f>ROUND(I425+J425,2)</f>
        <v>0.02</v>
      </c>
      <c r="G425" s="134" t="s">
        <v>1480</v>
      </c>
      <c r="H425" s="66">
        <f>VLOOKUP(G425,'CP FACTORS'!$A$3:$B$38, 2, FALSE)</f>
        <v>4.6608050000000002E-4</v>
      </c>
      <c r="I425" s="526">
        <f>(1/F$434-1/F$435)*F$436*(1-F$437)*F440*24*F$442/(F445*3412)</f>
        <v>0</v>
      </c>
      <c r="J425" s="526">
        <f>(1/$F$434-1/$F$435)*$F$436*(1-$F$437)*F448*24*$F$449/($F$450*1000)</f>
        <v>1.9950740120601836E-2</v>
      </c>
      <c r="K425" s="261">
        <f t="shared" si="60"/>
        <v>9.0000000000000002E-6</v>
      </c>
      <c r="L425" s="323">
        <f t="shared" si="52"/>
        <v>30</v>
      </c>
      <c r="M425" s="710">
        <f t="shared" si="53"/>
        <v>0.67966666666666664</v>
      </c>
      <c r="N425" s="323">
        <f t="shared" si="54"/>
        <v>1</v>
      </c>
      <c r="V425" s="342" t="str">
        <f t="shared" si="55"/>
        <v>kWh Annual Savings</v>
      </c>
      <c r="W425" s="84"/>
      <c r="X425" s="124"/>
      <c r="Y425" s="259"/>
      <c r="Z425" s="662">
        <v>0.02</v>
      </c>
      <c r="AA425" s="18">
        <v>0.02</v>
      </c>
      <c r="AB425" s="18">
        <v>0.02</v>
      </c>
      <c r="AC425" s="18">
        <v>0.02</v>
      </c>
      <c r="AD425" s="18">
        <v>0.02</v>
      </c>
      <c r="AE425" s="18">
        <v>0.02</v>
      </c>
      <c r="AF425" s="258">
        <f t="shared" si="56"/>
        <v>0.02</v>
      </c>
      <c r="AG425" s="342"/>
      <c r="AK425" s="344"/>
      <c r="DG425" s="642">
        <f t="shared" si="57"/>
        <v>5.5277833712604224E-2</v>
      </c>
      <c r="DH425" s="1330" t="str">
        <f t="shared" si="58"/>
        <v>Building Shell RES 30 Year EUL</v>
      </c>
      <c r="DI425" s="1037">
        <f>(INDEX('Avoided Cost Benefits'!$B$4:$B$865,MATCH(DH425,'Avoided Cost Benefits'!$A$4:$A$865,0)))*F425</f>
        <v>3.7570500980000004E-2</v>
      </c>
      <c r="DJ425" s="1956">
        <f t="shared" si="59"/>
        <v>0.67966666666666664</v>
      </c>
    </row>
    <row r="426" spans="2:114" hidden="1" outlineLevel="1" x14ac:dyDescent="0.25">
      <c r="B426" s="561"/>
      <c r="D426" s="71" t="s">
        <v>94</v>
      </c>
      <c r="E426" s="127" t="s">
        <v>1628</v>
      </c>
      <c r="F426" s="529"/>
      <c r="AK426" s="344"/>
    </row>
    <row r="427" spans="2:114" hidden="1" outlineLevel="1" x14ac:dyDescent="0.25">
      <c r="B427" s="561"/>
      <c r="D427" s="71" t="s">
        <v>604</v>
      </c>
      <c r="E427" s="127" t="s">
        <v>1629</v>
      </c>
      <c r="F427" s="616"/>
      <c r="G427" s="309"/>
      <c r="AK427" s="344"/>
    </row>
    <row r="428" spans="2:114" hidden="1" outlineLevel="1" x14ac:dyDescent="0.25">
      <c r="B428" s="561"/>
      <c r="D428" s="71" t="s">
        <v>604</v>
      </c>
      <c r="E428" s="127" t="s">
        <v>1630</v>
      </c>
      <c r="F428" s="616"/>
      <c r="G428" s="309"/>
      <c r="AK428" s="344"/>
    </row>
    <row r="429" spans="2:114" hidden="1" outlineLevel="1" x14ac:dyDescent="0.25">
      <c r="B429" s="561"/>
      <c r="D429" s="71"/>
      <c r="E429" s="577" t="s">
        <v>607</v>
      </c>
      <c r="F429" s="616"/>
      <c r="G429" s="309"/>
      <c r="AK429" s="344"/>
    </row>
    <row r="430" spans="2:114" hidden="1" outlineLevel="1" x14ac:dyDescent="0.25">
      <c r="B430" s="561"/>
      <c r="D430" s="71"/>
      <c r="E430" s="577"/>
      <c r="F430" s="616"/>
      <c r="G430" s="309"/>
      <c r="AK430" s="344"/>
    </row>
    <row r="431" spans="2:114" hidden="1" outlineLevel="1" x14ac:dyDescent="0.25">
      <c r="B431" s="561"/>
      <c r="AK431" s="344"/>
    </row>
    <row r="432" spans="2:114" hidden="1" outlineLevel="1" x14ac:dyDescent="0.25">
      <c r="B432" s="561"/>
      <c r="D432" s="1373" t="s">
        <v>712</v>
      </c>
      <c r="E432" s="1373" t="s">
        <v>608</v>
      </c>
      <c r="F432" s="1300" t="s">
        <v>610</v>
      </c>
      <c r="G432" s="1300" t="s">
        <v>611</v>
      </c>
      <c r="H432" s="1300" t="s">
        <v>713</v>
      </c>
      <c r="V432" s="648" t="s">
        <v>52</v>
      </c>
      <c r="W432" s="649">
        <f>W$6</f>
        <v>43252</v>
      </c>
      <c r="X432" s="649">
        <f t="shared" ref="X432:AG432" si="61">X$6</f>
        <v>43465</v>
      </c>
      <c r="Y432" s="110">
        <f t="shared" si="61"/>
        <v>43800</v>
      </c>
      <c r="Z432" s="649">
        <f t="shared" si="61"/>
        <v>43862</v>
      </c>
      <c r="AA432" s="649">
        <f t="shared" si="61"/>
        <v>44013</v>
      </c>
      <c r="AB432" s="649">
        <f t="shared" si="61"/>
        <v>44166</v>
      </c>
      <c r="AC432" s="649">
        <f t="shared" si="61"/>
        <v>44531</v>
      </c>
      <c r="AD432" s="649">
        <f t="shared" si="61"/>
        <v>44774</v>
      </c>
      <c r="AE432" s="649">
        <f t="shared" si="61"/>
        <v>45139</v>
      </c>
      <c r="AF432" s="649">
        <f t="shared" si="61"/>
        <v>45672</v>
      </c>
      <c r="AG432" s="649" t="str">
        <f t="shared" si="61"/>
        <v>-</v>
      </c>
      <c r="AK432" s="344"/>
    </row>
    <row r="433" spans="2:37" ht="30" hidden="1" outlineLevel="1" x14ac:dyDescent="0.25">
      <c r="B433" s="561"/>
      <c r="D433" s="2111" t="s">
        <v>1583</v>
      </c>
      <c r="E433" s="122" t="s">
        <v>1631</v>
      </c>
      <c r="F433" s="1545">
        <v>3.53</v>
      </c>
      <c r="G433" s="1336" t="s">
        <v>1632</v>
      </c>
      <c r="H433" s="1359"/>
      <c r="V433" s="2264" t="str">
        <f>D433</f>
        <v>Rold</v>
      </c>
      <c r="W433" s="277">
        <v>3.96</v>
      </c>
      <c r="X433" s="277">
        <v>3.96</v>
      </c>
      <c r="Y433" s="277">
        <v>3.96</v>
      </c>
      <c r="Z433" s="277">
        <v>3.96</v>
      </c>
      <c r="AA433" s="296">
        <v>3.96</v>
      </c>
      <c r="AB433" s="296">
        <v>3.96</v>
      </c>
      <c r="AC433" s="296">
        <v>3.96</v>
      </c>
      <c r="AD433" s="296">
        <v>3.96</v>
      </c>
      <c r="AE433" s="296">
        <v>3.96</v>
      </c>
      <c r="AF433" s="258">
        <f t="shared" ref="AF433:AF452" si="62">IF(F433&lt;&gt;"",F433,"")</f>
        <v>3.53</v>
      </c>
      <c r="AG433" s="277"/>
      <c r="AK433" s="344"/>
    </row>
    <row r="434" spans="2:37" ht="30" hidden="1" outlineLevel="1" x14ac:dyDescent="0.25">
      <c r="B434" s="561"/>
      <c r="D434" s="2286"/>
      <c r="E434" s="122" t="s">
        <v>1633</v>
      </c>
      <c r="F434" s="1545">
        <f>F433+13</f>
        <v>16.53</v>
      </c>
      <c r="G434" s="1336" t="s">
        <v>1634</v>
      </c>
      <c r="H434" s="1359"/>
      <c r="V434" s="2267"/>
      <c r="W434" s="277"/>
      <c r="X434" s="277"/>
      <c r="Y434" s="275"/>
      <c r="Z434" s="275">
        <v>16.96</v>
      </c>
      <c r="AA434" s="296">
        <v>16.96</v>
      </c>
      <c r="AB434" s="296">
        <v>16.96</v>
      </c>
      <c r="AC434" s="296">
        <f>AC433+13</f>
        <v>16.96</v>
      </c>
      <c r="AD434" s="296">
        <f>AD433+13</f>
        <v>16.96</v>
      </c>
      <c r="AE434" s="296">
        <f>AE433+13</f>
        <v>16.96</v>
      </c>
      <c r="AF434" s="258">
        <f t="shared" si="62"/>
        <v>16.53</v>
      </c>
      <c r="AG434" s="277"/>
      <c r="AK434" s="344"/>
    </row>
    <row r="435" spans="2:37" ht="18" hidden="1" outlineLevel="1" x14ac:dyDescent="0.25">
      <c r="B435" s="561"/>
      <c r="D435" s="1320" t="s">
        <v>1635</v>
      </c>
      <c r="E435" s="122" t="s">
        <v>1636</v>
      </c>
      <c r="F435" s="1533">
        <v>25</v>
      </c>
      <c r="G435" s="1336"/>
      <c r="H435" s="1359"/>
      <c r="V435" s="1346" t="str">
        <f t="shared" ref="V435:V450" si="63">D435</f>
        <v>Radded</v>
      </c>
      <c r="W435" s="266">
        <v>25</v>
      </c>
      <c r="X435" s="266">
        <v>25</v>
      </c>
      <c r="Y435" s="266">
        <v>25</v>
      </c>
      <c r="Z435" s="266">
        <v>25</v>
      </c>
      <c r="AA435" s="430">
        <v>25</v>
      </c>
      <c r="AB435" s="430">
        <v>25</v>
      </c>
      <c r="AC435" s="430">
        <v>25</v>
      </c>
      <c r="AD435" s="430">
        <v>25</v>
      </c>
      <c r="AE435" s="430">
        <v>25</v>
      </c>
      <c r="AF435" s="258">
        <f t="shared" si="62"/>
        <v>25</v>
      </c>
      <c r="AG435" s="266"/>
      <c r="AK435" s="344"/>
    </row>
    <row r="436" spans="2:37" ht="45" hidden="1" outlineLevel="1" x14ac:dyDescent="0.25">
      <c r="D436" s="1321" t="s">
        <v>1637</v>
      </c>
      <c r="E436" s="122" t="s">
        <v>1636</v>
      </c>
      <c r="F436" s="1554">
        <v>1</v>
      </c>
      <c r="G436" s="1336"/>
      <c r="H436" s="1336" t="s">
        <v>1638</v>
      </c>
      <c r="V436" s="276" t="str">
        <f t="shared" si="63"/>
        <v>AFloor</v>
      </c>
      <c r="W436" s="266">
        <f>72*15</f>
        <v>1080</v>
      </c>
      <c r="X436" s="266">
        <v>1080</v>
      </c>
      <c r="Y436" s="180">
        <v>1</v>
      </c>
      <c r="Z436" s="266">
        <v>1</v>
      </c>
      <c r="AA436" s="430">
        <v>1</v>
      </c>
      <c r="AB436" s="430">
        <v>1</v>
      </c>
      <c r="AC436" s="430">
        <v>1</v>
      </c>
      <c r="AD436" s="430">
        <v>1</v>
      </c>
      <c r="AE436" s="430">
        <v>1</v>
      </c>
      <c r="AF436" s="258">
        <f t="shared" si="62"/>
        <v>1</v>
      </c>
      <c r="AG436" s="266"/>
      <c r="AK436" s="344"/>
    </row>
    <row r="437" spans="2:37" ht="105" hidden="1" outlineLevel="1" x14ac:dyDescent="0.25">
      <c r="D437" s="1321" t="s">
        <v>1639</v>
      </c>
      <c r="E437" s="122" t="s">
        <v>1636</v>
      </c>
      <c r="F437" s="1526">
        <v>0.12</v>
      </c>
      <c r="G437" s="1336" t="s">
        <v>1640</v>
      </c>
      <c r="H437" s="1359"/>
      <c r="J437" s="575"/>
      <c r="V437" s="276" t="str">
        <f t="shared" si="63"/>
        <v>Framing FactorFloor</v>
      </c>
      <c r="W437" s="274">
        <v>0.12</v>
      </c>
      <c r="X437" s="274">
        <v>0.12</v>
      </c>
      <c r="Y437" s="274">
        <v>0.12</v>
      </c>
      <c r="Z437" s="274">
        <v>0.12</v>
      </c>
      <c r="AA437" s="300">
        <v>0.12</v>
      </c>
      <c r="AB437" s="300">
        <v>0.12</v>
      </c>
      <c r="AC437" s="300">
        <v>0.12</v>
      </c>
      <c r="AD437" s="300">
        <v>0.12</v>
      </c>
      <c r="AE437" s="300">
        <v>0.12</v>
      </c>
      <c r="AF437" s="258">
        <f t="shared" si="62"/>
        <v>0.12</v>
      </c>
      <c r="AG437" s="274"/>
      <c r="AK437" s="344"/>
    </row>
    <row r="438" spans="2:37" hidden="1" outlineLevel="1" x14ac:dyDescent="0.25">
      <c r="D438" s="2111" t="s">
        <v>1595</v>
      </c>
      <c r="E438" s="122" t="str">
        <f>E420</f>
        <v>Floor Insulation R25 (R-3.96 base) MH electric furnace/baseboard and electric cooling</v>
      </c>
      <c r="F438" s="1522">
        <v>1911</v>
      </c>
      <c r="G438" s="2288" t="s">
        <v>747</v>
      </c>
      <c r="H438" s="2255" t="s">
        <v>1641</v>
      </c>
      <c r="V438" s="2264" t="str">
        <f t="shared" si="63"/>
        <v>HDD</v>
      </c>
      <c r="W438" s="266">
        <v>1911</v>
      </c>
      <c r="X438" s="266">
        <v>1911</v>
      </c>
      <c r="Y438" s="266">
        <v>1911</v>
      </c>
      <c r="Z438" s="288">
        <v>1911</v>
      </c>
      <c r="AA438" s="302">
        <v>1911</v>
      </c>
      <c r="AB438" s="302">
        <v>1911</v>
      </c>
      <c r="AC438" s="430">
        <v>1911</v>
      </c>
      <c r="AD438" s="430">
        <v>1911</v>
      </c>
      <c r="AE438" s="430">
        <v>1911</v>
      </c>
      <c r="AF438" s="258">
        <f t="shared" si="62"/>
        <v>1911</v>
      </c>
      <c r="AG438" s="266"/>
      <c r="AK438" s="344"/>
    </row>
    <row r="439" spans="2:37" hidden="1" outlineLevel="1" x14ac:dyDescent="0.25">
      <c r="D439" s="2112"/>
      <c r="E439" s="122" t="str">
        <f>E421</f>
        <v>Floor Insulation R25 (R-3.96 base) MH heat pump and electric cooling</v>
      </c>
      <c r="F439" s="1522">
        <f>F438</f>
        <v>1911</v>
      </c>
      <c r="G439" s="2289"/>
      <c r="H439" s="2257"/>
      <c r="V439" s="2265"/>
      <c r="W439" s="266"/>
      <c r="X439" s="266"/>
      <c r="Y439" s="287">
        <v>1911</v>
      </c>
      <c r="Z439" s="288">
        <v>1911</v>
      </c>
      <c r="AA439" s="302">
        <v>1911</v>
      </c>
      <c r="AB439" s="302">
        <v>1911</v>
      </c>
      <c r="AC439" s="430">
        <f>AC438</f>
        <v>1911</v>
      </c>
      <c r="AD439" s="430">
        <f>AD438</f>
        <v>1911</v>
      </c>
      <c r="AE439" s="430">
        <f>AE438</f>
        <v>1911</v>
      </c>
      <c r="AF439" s="258">
        <f t="shared" si="62"/>
        <v>1911</v>
      </c>
      <c r="AG439" s="266"/>
      <c r="AK439" s="344"/>
    </row>
    <row r="440" spans="2:37" hidden="1" outlineLevel="1" x14ac:dyDescent="0.25">
      <c r="D440" s="2126"/>
      <c r="E440" s="122" t="str">
        <f>E422</f>
        <v>Floor Insulation R25 (R-3.96 base) MH gas furnace/baseboard and electric cooling</v>
      </c>
      <c r="F440" s="1522">
        <v>0</v>
      </c>
      <c r="G440" s="1336"/>
      <c r="H440" s="1359"/>
      <c r="V440" s="2269"/>
      <c r="W440" s="266"/>
      <c r="X440" s="266"/>
      <c r="Y440" s="287">
        <v>0</v>
      </c>
      <c r="Z440" s="288">
        <v>0</v>
      </c>
      <c r="AA440" s="302">
        <v>0</v>
      </c>
      <c r="AB440" s="302">
        <v>0</v>
      </c>
      <c r="AC440" s="430">
        <v>0</v>
      </c>
      <c r="AD440" s="430">
        <v>0</v>
      </c>
      <c r="AE440" s="430">
        <v>0</v>
      </c>
      <c r="AF440" s="258">
        <f t="shared" si="62"/>
        <v>0</v>
      </c>
      <c r="AG440" s="266"/>
      <c r="AK440" s="344"/>
    </row>
    <row r="441" spans="2:37" ht="30" hidden="1" outlineLevel="1" x14ac:dyDescent="0.25">
      <c r="D441" s="1321" t="s">
        <v>1642</v>
      </c>
      <c r="E441" s="122" t="s">
        <v>1643</v>
      </c>
      <c r="F441" s="1526">
        <v>0.75</v>
      </c>
      <c r="G441" s="1336" t="s">
        <v>1644</v>
      </c>
      <c r="H441" s="1359"/>
      <c r="I441" s="576"/>
      <c r="V441" s="276" t="str">
        <f t="shared" si="63"/>
        <v>AdjFloorCool</v>
      </c>
      <c r="W441" s="274">
        <v>0.88</v>
      </c>
      <c r="X441" s="274">
        <v>0.88</v>
      </c>
      <c r="Y441" s="274">
        <v>0.88</v>
      </c>
      <c r="Z441" s="289">
        <v>0.88</v>
      </c>
      <c r="AA441" s="177">
        <v>0.88</v>
      </c>
      <c r="AB441" s="177">
        <v>0.88</v>
      </c>
      <c r="AC441" s="300">
        <v>0.88</v>
      </c>
      <c r="AD441" s="300">
        <v>0.88</v>
      </c>
      <c r="AE441" s="300">
        <v>0.88</v>
      </c>
      <c r="AF441" s="258">
        <f t="shared" si="62"/>
        <v>0.75</v>
      </c>
      <c r="AG441" s="274"/>
      <c r="AK441" s="344"/>
    </row>
    <row r="442" spans="2:37" ht="30" hidden="1" outlineLevel="1" x14ac:dyDescent="0.25">
      <c r="D442" s="1321" t="s">
        <v>1645</v>
      </c>
      <c r="E442" s="122" t="s">
        <v>1643</v>
      </c>
      <c r="F442" s="1526">
        <v>0.63</v>
      </c>
      <c r="G442" s="1336" t="s">
        <v>1646</v>
      </c>
      <c r="H442" s="1347"/>
      <c r="I442" s="576"/>
      <c r="V442" s="1346"/>
      <c r="W442" s="274"/>
      <c r="X442" s="274"/>
      <c r="Y442" s="274"/>
      <c r="Z442" s="289"/>
      <c r="AA442" s="177"/>
      <c r="AB442" s="177"/>
      <c r="AC442" s="300"/>
      <c r="AD442" s="300"/>
      <c r="AE442" s="300"/>
      <c r="AF442" s="258">
        <f t="shared" si="62"/>
        <v>0.63</v>
      </c>
      <c r="AG442" s="274"/>
      <c r="AK442" s="344"/>
    </row>
    <row r="443" spans="2:37" hidden="1" outlineLevel="1" x14ac:dyDescent="0.25">
      <c r="D443" s="2111" t="s">
        <v>1600</v>
      </c>
      <c r="E443" s="122" t="str">
        <f>E420</f>
        <v>Floor Insulation R25 (R-3.96 base) MH electric furnace/baseboard and electric cooling</v>
      </c>
      <c r="F443" s="1553">
        <v>1</v>
      </c>
      <c r="G443" s="1336"/>
      <c r="H443" s="2288" t="s">
        <v>717</v>
      </c>
      <c r="V443" s="2264" t="str">
        <f t="shared" si="63"/>
        <v>ƞheat</v>
      </c>
      <c r="W443" s="277">
        <v>1</v>
      </c>
      <c r="X443" s="277">
        <v>1</v>
      </c>
      <c r="Y443" s="277">
        <v>1</v>
      </c>
      <c r="Z443" s="290">
        <v>1</v>
      </c>
      <c r="AA443" s="384">
        <v>1</v>
      </c>
      <c r="AB443" s="384">
        <v>1</v>
      </c>
      <c r="AC443" s="296">
        <v>1</v>
      </c>
      <c r="AD443" s="296">
        <v>1</v>
      </c>
      <c r="AE443" s="296">
        <v>1</v>
      </c>
      <c r="AF443" s="258">
        <f t="shared" si="62"/>
        <v>1</v>
      </c>
      <c r="AG443" s="277"/>
      <c r="AK443" s="344"/>
    </row>
    <row r="444" spans="2:37" hidden="1" outlineLevel="1" x14ac:dyDescent="0.25">
      <c r="D444" s="2112"/>
      <c r="E444" s="122" t="str">
        <f>E421</f>
        <v>Floor Insulation R25 (R-3.96 base) MH heat pump and electric cooling</v>
      </c>
      <c r="F444" s="1553">
        <v>1.62</v>
      </c>
      <c r="G444" s="178"/>
      <c r="H444" s="2290"/>
      <c r="V444" s="2265"/>
      <c r="W444" s="277"/>
      <c r="X444" s="277"/>
      <c r="Y444" s="291">
        <v>1.8666666666666665</v>
      </c>
      <c r="Z444" s="290">
        <v>1.8666666666666665</v>
      </c>
      <c r="AA444" s="384">
        <v>1.8666666666666665</v>
      </c>
      <c r="AB444" s="384">
        <v>1.8666666666666665</v>
      </c>
      <c r="AC444" s="384">
        <f>AVERAGE(1.7,1.9,2)</f>
        <v>1.8666666666666665</v>
      </c>
      <c r="AD444" s="384">
        <f>AVERAGE(1.7,1.9,2)</f>
        <v>1.8666666666666665</v>
      </c>
      <c r="AE444" s="384">
        <f>AVERAGE(1.7,1.9,2)</f>
        <v>1.8666666666666665</v>
      </c>
      <c r="AF444" s="258">
        <f t="shared" si="62"/>
        <v>1.62</v>
      </c>
      <c r="AG444" s="277"/>
      <c r="AK444" s="344"/>
    </row>
    <row r="445" spans="2:37" hidden="1" outlineLevel="1" x14ac:dyDescent="0.25">
      <c r="D445" s="2126"/>
      <c r="E445" s="122" t="str">
        <f>E422</f>
        <v>Floor Insulation R25 (R-3.96 base) MH gas furnace/baseboard and electric cooling</v>
      </c>
      <c r="F445" s="1553">
        <v>1.0000000000000001E-17</v>
      </c>
      <c r="G445" s="1336"/>
      <c r="H445" s="2289"/>
      <c r="V445" s="2269"/>
      <c r="W445" s="277"/>
      <c r="X445" s="277"/>
      <c r="Y445" s="275">
        <v>1.0000000000000001E-17</v>
      </c>
      <c r="Z445" s="290">
        <v>1.0000000000000001E-17</v>
      </c>
      <c r="AA445" s="384">
        <v>1.0000000000000001E-17</v>
      </c>
      <c r="AB445" s="384">
        <v>1.0000000000000001E-17</v>
      </c>
      <c r="AC445" s="296">
        <v>1.0000000000000001E-17</v>
      </c>
      <c r="AD445" s="296">
        <v>1.0000000000000001E-17</v>
      </c>
      <c r="AE445" s="296">
        <v>1.0000000000000001E-17</v>
      </c>
      <c r="AF445" s="258">
        <f t="shared" si="62"/>
        <v>1.0000000000000001E-17</v>
      </c>
      <c r="AG445" s="277"/>
      <c r="AK445" s="344"/>
    </row>
    <row r="446" spans="2:37" hidden="1" outlineLevel="1" x14ac:dyDescent="0.25">
      <c r="D446" s="2111" t="s">
        <v>1603</v>
      </c>
      <c r="E446" s="122" t="str">
        <f>E420</f>
        <v>Floor Insulation R25 (R-3.96 base) MH electric furnace/baseboard and electric cooling</v>
      </c>
      <c r="F446" s="1522">
        <v>762</v>
      </c>
      <c r="G446" s="2255" t="s">
        <v>747</v>
      </c>
      <c r="H446" s="2255" t="s">
        <v>1647</v>
      </c>
      <c r="V446" s="2264" t="str">
        <f t="shared" si="63"/>
        <v>CDD</v>
      </c>
      <c r="W446" s="266">
        <v>762</v>
      </c>
      <c r="X446" s="266">
        <v>762</v>
      </c>
      <c r="Y446" s="266">
        <v>762</v>
      </c>
      <c r="Z446" s="288">
        <v>762</v>
      </c>
      <c r="AA446" s="302">
        <v>762</v>
      </c>
      <c r="AB446" s="302">
        <v>762</v>
      </c>
      <c r="AC446" s="430">
        <v>762</v>
      </c>
      <c r="AD446" s="430">
        <v>762</v>
      </c>
      <c r="AE446" s="430">
        <v>762</v>
      </c>
      <c r="AF446" s="258">
        <f t="shared" si="62"/>
        <v>762</v>
      </c>
      <c r="AG446" s="266"/>
      <c r="AK446" s="344"/>
    </row>
    <row r="447" spans="2:37" hidden="1" outlineLevel="1" x14ac:dyDescent="0.25">
      <c r="D447" s="2112"/>
      <c r="E447" s="122" t="str">
        <f>E421</f>
        <v>Floor Insulation R25 (R-3.96 base) MH heat pump and electric cooling</v>
      </c>
      <c r="F447" s="1522">
        <v>762</v>
      </c>
      <c r="G447" s="2256"/>
      <c r="H447" s="2256"/>
      <c r="V447" s="2265"/>
      <c r="W447" s="266"/>
      <c r="X447" s="266"/>
      <c r="Y447" s="287">
        <v>762</v>
      </c>
      <c r="Z447" s="288">
        <v>762</v>
      </c>
      <c r="AA447" s="302">
        <v>762</v>
      </c>
      <c r="AB447" s="302">
        <v>762</v>
      </c>
      <c r="AC447" s="430">
        <v>762</v>
      </c>
      <c r="AD447" s="430">
        <v>762</v>
      </c>
      <c r="AE447" s="430">
        <v>762</v>
      </c>
      <c r="AF447" s="258">
        <f t="shared" si="62"/>
        <v>762</v>
      </c>
      <c r="AG447" s="266"/>
      <c r="AK447" s="344"/>
    </row>
    <row r="448" spans="2:37" hidden="1" outlineLevel="1" x14ac:dyDescent="0.25">
      <c r="D448" s="2126"/>
      <c r="E448" s="122" t="str">
        <f>E422</f>
        <v>Floor Insulation R25 (R-3.96 base) MH gas furnace/baseboard and electric cooling</v>
      </c>
      <c r="F448" s="1522">
        <v>762</v>
      </c>
      <c r="G448" s="2257"/>
      <c r="H448" s="2257"/>
      <c r="V448" s="2269"/>
      <c r="W448" s="266"/>
      <c r="X448" s="266"/>
      <c r="Y448" s="287">
        <v>762</v>
      </c>
      <c r="Z448" s="288">
        <v>762</v>
      </c>
      <c r="AA448" s="302">
        <v>762</v>
      </c>
      <c r="AB448" s="302">
        <v>762</v>
      </c>
      <c r="AC448" s="430">
        <v>762</v>
      </c>
      <c r="AD448" s="430">
        <v>762</v>
      </c>
      <c r="AE448" s="430">
        <v>762</v>
      </c>
      <c r="AF448" s="258">
        <f t="shared" si="62"/>
        <v>762</v>
      </c>
      <c r="AG448" s="266"/>
      <c r="AK448" s="344"/>
    </row>
    <row r="449" spans="2:114" ht="30" hidden="1" outlineLevel="1" x14ac:dyDescent="0.25">
      <c r="D449" s="1321" t="s">
        <v>1605</v>
      </c>
      <c r="E449" s="122" t="s">
        <v>1636</v>
      </c>
      <c r="F449" s="1526">
        <v>0.75</v>
      </c>
      <c r="G449" s="1336" t="s">
        <v>1648</v>
      </c>
      <c r="H449" s="1359"/>
      <c r="V449" s="276" t="str">
        <f t="shared" si="63"/>
        <v>DUA</v>
      </c>
      <c r="W449" s="274">
        <v>0.75</v>
      </c>
      <c r="X449" s="274">
        <v>0.75</v>
      </c>
      <c r="Y449" s="292">
        <v>0.75</v>
      </c>
      <c r="Z449" s="274">
        <v>0.75</v>
      </c>
      <c r="AA449" s="300">
        <v>0.75</v>
      </c>
      <c r="AB449" s="300">
        <v>0.75</v>
      </c>
      <c r="AC449" s="141">
        <v>0.75</v>
      </c>
      <c r="AD449" s="141">
        <v>0.75</v>
      </c>
      <c r="AE449" s="141">
        <v>0.75</v>
      </c>
      <c r="AF449" s="258">
        <f t="shared" si="62"/>
        <v>0.75</v>
      </c>
      <c r="AG449" s="274"/>
      <c r="AK449" s="344"/>
    </row>
    <row r="450" spans="2:114" ht="75" hidden="1" outlineLevel="1" x14ac:dyDescent="0.25">
      <c r="D450" s="1321" t="s">
        <v>1611</v>
      </c>
      <c r="E450" s="122" t="s">
        <v>1636</v>
      </c>
      <c r="F450" s="1516">
        <v>12.4</v>
      </c>
      <c r="G450" s="1359"/>
      <c r="H450" s="1336" t="s">
        <v>717</v>
      </c>
      <c r="V450" s="276" t="str">
        <f t="shared" si="63"/>
        <v>ƞcool</v>
      </c>
      <c r="W450" s="266">
        <v>11</v>
      </c>
      <c r="X450" s="266">
        <v>11</v>
      </c>
      <c r="Y450" s="293">
        <v>11</v>
      </c>
      <c r="Z450" s="266">
        <v>11</v>
      </c>
      <c r="AA450" s="430">
        <v>11</v>
      </c>
      <c r="AB450" s="430">
        <v>11</v>
      </c>
      <c r="AC450" s="324">
        <v>11</v>
      </c>
      <c r="AD450" s="324">
        <v>11</v>
      </c>
      <c r="AE450" s="324">
        <v>11</v>
      </c>
      <c r="AF450" s="258">
        <f t="shared" si="62"/>
        <v>12.4</v>
      </c>
      <c r="AG450" s="266"/>
      <c r="AK450" s="344"/>
    </row>
    <row r="451" spans="2:114" ht="30" hidden="1" outlineLevel="1" x14ac:dyDescent="0.25">
      <c r="D451" s="1370" t="str">
        <f>L419</f>
        <v>EUL</v>
      </c>
      <c r="E451" s="1317" t="str">
        <f>E24</f>
        <v>Effective Useful Life</v>
      </c>
      <c r="F451" s="1524">
        <v>30</v>
      </c>
      <c r="G451" s="1336" t="s">
        <v>1649</v>
      </c>
      <c r="H451" s="1359"/>
      <c r="V451" s="294" t="str">
        <f>D451</f>
        <v>EUL</v>
      </c>
      <c r="W451" s="283">
        <v>25</v>
      </c>
      <c r="X451" s="283">
        <v>25</v>
      </c>
      <c r="Y451" s="281">
        <v>25</v>
      </c>
      <c r="Z451" s="266">
        <v>25</v>
      </c>
      <c r="AA451" s="430">
        <v>25</v>
      </c>
      <c r="AB451" s="430">
        <v>25</v>
      </c>
      <c r="AC451" s="326">
        <v>25</v>
      </c>
      <c r="AD451" s="326">
        <v>25</v>
      </c>
      <c r="AE451" s="326">
        <v>25</v>
      </c>
      <c r="AF451" s="258">
        <f t="shared" si="62"/>
        <v>30</v>
      </c>
      <c r="AG451" s="266"/>
      <c r="AK451" s="344"/>
    </row>
    <row r="452" spans="2:114" ht="45" hidden="1" outlineLevel="1" x14ac:dyDescent="0.25">
      <c r="D452" s="1370" t="str">
        <f>M419</f>
        <v>Inc. Cost</v>
      </c>
      <c r="E452" s="1317" t="e">
        <f>#REF!</f>
        <v>#REF!</v>
      </c>
      <c r="F452" s="1546">
        <f>734.04/1080</f>
        <v>0.67966666666666664</v>
      </c>
      <c r="G452" s="1336"/>
      <c r="H452" s="1336" t="s">
        <v>1638</v>
      </c>
      <c r="V452" s="294" t="str">
        <f>D452</f>
        <v>Inc. Cost</v>
      </c>
      <c r="W452" s="285">
        <v>734.04</v>
      </c>
      <c r="X452" s="285">
        <v>734.04</v>
      </c>
      <c r="Y452" s="161">
        <v>0.67966666666666664</v>
      </c>
      <c r="Z452" s="266">
        <v>0.67966666666666664</v>
      </c>
      <c r="AA452" s="430">
        <v>0.67966666666666664</v>
      </c>
      <c r="AB452" s="430">
        <v>0.67966666666666664</v>
      </c>
      <c r="AC452" s="710">
        <f>734.04/1080</f>
        <v>0.67966666666666664</v>
      </c>
      <c r="AD452" s="710">
        <f>734.04/1080</f>
        <v>0.67966666666666664</v>
      </c>
      <c r="AE452" s="710">
        <f>734.04/1080</f>
        <v>0.67966666666666664</v>
      </c>
      <c r="AF452" s="258">
        <f t="shared" si="62"/>
        <v>0.67966666666666664</v>
      </c>
      <c r="AG452" s="266"/>
      <c r="AK452" s="344"/>
    </row>
    <row r="453" spans="2:114" hidden="1" outlineLevel="1" x14ac:dyDescent="0.25">
      <c r="B453" s="561"/>
      <c r="Y453" s="527" t="s">
        <v>1517</v>
      </c>
      <c r="AK453" s="344"/>
    </row>
    <row r="454" spans="2:114" collapsed="1" x14ac:dyDescent="0.25">
      <c r="AK454" s="344"/>
    </row>
    <row r="455" spans="2:114" x14ac:dyDescent="0.25">
      <c r="B455" s="2134" t="s">
        <v>797</v>
      </c>
      <c r="C455" s="2135"/>
      <c r="D455" s="2135"/>
      <c r="E455" s="2135"/>
      <c r="F455" s="2135"/>
      <c r="G455" s="2135"/>
      <c r="H455" s="2135"/>
      <c r="I455" s="2082"/>
      <c r="J455" s="2082"/>
      <c r="K455" s="2082"/>
      <c r="L455" s="2082"/>
      <c r="M455" s="2082"/>
      <c r="N455" s="2082"/>
      <c r="O455" s="2082"/>
      <c r="P455" s="2082"/>
      <c r="Q455" s="2082"/>
      <c r="R455" s="2083"/>
      <c r="V455" s="2103" t="str">
        <f>B455</f>
        <v>Dirty Filter Alarm</v>
      </c>
      <c r="W455" s="2104"/>
      <c r="X455" s="2104"/>
      <c r="Y455" s="2104"/>
      <c r="Z455" s="2104"/>
      <c r="AA455" s="2104"/>
      <c r="AB455" s="2104"/>
      <c r="AC455" s="2106"/>
      <c r="AD455" s="2106"/>
      <c r="AE455" s="2106"/>
      <c r="AF455" s="2106"/>
      <c r="AG455" s="2106"/>
      <c r="AH455" s="2106"/>
      <c r="AI455" s="2107"/>
      <c r="AK455" s="344"/>
    </row>
    <row r="456" spans="2:114" x14ac:dyDescent="0.25">
      <c r="B456" s="561"/>
      <c r="D456" s="100"/>
      <c r="E456" s="565"/>
      <c r="F456" s="269"/>
      <c r="G456" s="269"/>
      <c r="H456" s="269"/>
      <c r="I456" s="269"/>
      <c r="J456" s="269"/>
      <c r="K456" s="269"/>
      <c r="L456" s="566"/>
      <c r="AK456" s="344"/>
    </row>
    <row r="457" spans="2:114" ht="30" x14ac:dyDescent="0.25">
      <c r="B457" s="561"/>
      <c r="C457" s="1300" t="s">
        <v>42</v>
      </c>
      <c r="D457" s="1300" t="s">
        <v>594</v>
      </c>
      <c r="E457" s="1300" t="s">
        <v>44</v>
      </c>
      <c r="F457" s="1300" t="s">
        <v>45</v>
      </c>
      <c r="G457" s="1300" t="s">
        <v>46</v>
      </c>
      <c r="H457" s="1300" t="s">
        <v>47</v>
      </c>
      <c r="I457" s="1300" t="s">
        <v>798</v>
      </c>
      <c r="J457" s="1300" t="s">
        <v>799</v>
      </c>
      <c r="K457" s="1300" t="s">
        <v>48</v>
      </c>
      <c r="L457" s="1312" t="s">
        <v>49</v>
      </c>
      <c r="M457" s="1300" t="s">
        <v>50</v>
      </c>
      <c r="N457" s="1300" t="s">
        <v>51</v>
      </c>
      <c r="V457" s="648" t="s">
        <v>52</v>
      </c>
      <c r="W457" s="649">
        <f>W$6</f>
        <v>43252</v>
      </c>
      <c r="X457" s="649">
        <f t="shared" ref="X457:AG457" si="64">X$6</f>
        <v>43465</v>
      </c>
      <c r="Y457" s="110">
        <f t="shared" si="64"/>
        <v>43800</v>
      </c>
      <c r="Z457" s="649">
        <f t="shared" si="64"/>
        <v>43862</v>
      </c>
      <c r="AA457" s="649">
        <v>44013</v>
      </c>
      <c r="AB457" s="649">
        <f t="shared" si="64"/>
        <v>44166</v>
      </c>
      <c r="AC457" s="649">
        <f t="shared" si="64"/>
        <v>44531</v>
      </c>
      <c r="AD457" s="649">
        <f t="shared" si="64"/>
        <v>44774</v>
      </c>
      <c r="AE457" s="649">
        <f t="shared" si="64"/>
        <v>45139</v>
      </c>
      <c r="AF457" s="649">
        <f t="shared" si="64"/>
        <v>45672</v>
      </c>
      <c r="AG457" s="649" t="str">
        <f t="shared" si="64"/>
        <v>-</v>
      </c>
      <c r="AK457" s="344"/>
      <c r="DG457" s="1018" t="str">
        <f>$DG$6</f>
        <v>TRC (2025)</v>
      </c>
      <c r="DH457" s="776" t="str">
        <f>$DH$6</f>
        <v>Benefit Lookup</v>
      </c>
      <c r="DI457" s="1034" t="str">
        <f>$DI$6</f>
        <v>Benefits (2025 $)</v>
      </c>
      <c r="DJ457" s="1060" t="str">
        <f>$DJ$6</f>
        <v>Incremental Cost (2025 $)</v>
      </c>
    </row>
    <row r="458" spans="2:114" x14ac:dyDescent="0.25">
      <c r="B458" s="1384">
        <f t="shared" ref="B458" si="65">VALUE(LEFT(C458,6))</f>
        <v>402250</v>
      </c>
      <c r="C458" s="134" t="s">
        <v>1650</v>
      </c>
      <c r="D458" s="537" t="s">
        <v>1651</v>
      </c>
      <c r="E458" s="122" t="s">
        <v>1652</v>
      </c>
      <c r="F458" s="173">
        <f>ROUND(I458+J458,2)</f>
        <v>68.45</v>
      </c>
      <c r="G458" s="134" t="s">
        <v>802</v>
      </c>
      <c r="H458" s="66">
        <f>VLOOKUP(G458,'CP FACTORS'!$A$3:$B$38, 2, FALSE)</f>
        <v>4.6608050000000002E-4</v>
      </c>
      <c r="I458" s="323">
        <f>F$469*F$470*F$471*F$472*F473*F474</f>
        <v>43.301719999999996</v>
      </c>
      <c r="J458" s="323">
        <f>F$475*F$470*F$476*F$472*F473*F474</f>
        <v>25.153205</v>
      </c>
      <c r="K458" s="261">
        <f>ROUND(H458*F458,6)</f>
        <v>3.1903000000000001E-2</v>
      </c>
      <c r="L458" s="323">
        <f>F478</f>
        <v>5</v>
      </c>
      <c r="M458" s="710">
        <f>F479</f>
        <v>5</v>
      </c>
      <c r="N458" s="134" t="s">
        <v>62</v>
      </c>
      <c r="R458" s="521"/>
      <c r="V458" s="342" t="str">
        <f>F457</f>
        <v>kWh Annual Savings</v>
      </c>
      <c r="W458" s="369">
        <v>168.50624999999999</v>
      </c>
      <c r="X458" s="257">
        <v>141.0499999999999</v>
      </c>
      <c r="Y458" s="192">
        <v>102.68</v>
      </c>
      <c r="Z458" s="173">
        <v>102.68</v>
      </c>
      <c r="AA458" s="173">
        <v>102.68</v>
      </c>
      <c r="AB458" s="173">
        <v>102.68</v>
      </c>
      <c r="AC458" s="173">
        <v>102.68</v>
      </c>
      <c r="AD458" s="173">
        <v>102.68</v>
      </c>
      <c r="AE458" s="173">
        <v>102.68</v>
      </c>
      <c r="AF458" s="258">
        <f>IF(F458&lt;&gt;"",F458,"")</f>
        <v>68.45</v>
      </c>
      <c r="AG458" s="342"/>
      <c r="AH458" s="115"/>
      <c r="AK458" s="344"/>
      <c r="DG458" s="1020">
        <f>(DI458)/(DJ458)</f>
        <v>7.2802575529565017</v>
      </c>
      <c r="DH458" s="1330" t="str">
        <f>CONCATENATE(G458," ",L458," Year EUL")</f>
        <v>HVAC RES 5 Year EUL</v>
      </c>
      <c r="DI458" s="969">
        <f>(INDEX('Avoided Cost Benefits'!$B$4:$B$865,MATCH(DH458,'Avoided Cost Benefits'!$A$4:$A$865,0)))*F458</f>
        <v>36.401287764782509</v>
      </c>
      <c r="DJ458" s="1954">
        <f>IFERROR(M458/((1+DiscountRate)^(CurrentYear-DiscountYear)),0)</f>
        <v>5</v>
      </c>
    </row>
    <row r="459" spans="2:114" hidden="1" outlineLevel="1" x14ac:dyDescent="0.25">
      <c r="B459" s="561"/>
      <c r="D459" s="71" t="s">
        <v>94</v>
      </c>
      <c r="E459" s="127" t="s">
        <v>803</v>
      </c>
      <c r="F459" s="529"/>
      <c r="V459" s="73"/>
      <c r="W459" s="73"/>
      <c r="X459" s="73"/>
      <c r="Y459" s="370"/>
      <c r="Z459" s="73"/>
      <c r="AA459" s="73"/>
      <c r="AB459" s="73"/>
      <c r="AC459" s="73"/>
      <c r="AD459" s="73"/>
      <c r="AE459" s="73"/>
      <c r="AF459" s="73"/>
      <c r="AG459" s="73"/>
      <c r="AK459" s="344"/>
    </row>
    <row r="460" spans="2:114" hidden="1" outlineLevel="1" x14ac:dyDescent="0.25">
      <c r="B460" s="561"/>
      <c r="D460" s="71" t="s">
        <v>604</v>
      </c>
      <c r="E460" s="127" t="s">
        <v>804</v>
      </c>
      <c r="F460" s="529"/>
      <c r="V460" s="73"/>
      <c r="W460" s="73"/>
      <c r="X460" s="73"/>
      <c r="Y460" s="370"/>
      <c r="Z460" s="73"/>
      <c r="AA460" s="73"/>
      <c r="AB460" s="73"/>
      <c r="AC460" s="73"/>
      <c r="AD460" s="73"/>
      <c r="AE460" s="73"/>
      <c r="AF460" s="73"/>
      <c r="AG460" s="73"/>
      <c r="AK460" s="344"/>
    </row>
    <row r="461" spans="2:114" hidden="1" outlineLevel="1" x14ac:dyDescent="0.25">
      <c r="B461" s="561"/>
      <c r="E461" s="127" t="s">
        <v>805</v>
      </c>
      <c r="F461" s="529"/>
      <c r="V461" s="73"/>
      <c r="W461" s="73"/>
      <c r="X461" s="73"/>
      <c r="Y461" s="370"/>
      <c r="Z461" s="73"/>
      <c r="AA461" s="73"/>
      <c r="AB461" s="73"/>
      <c r="AC461" s="73"/>
      <c r="AD461" s="73"/>
      <c r="AE461" s="73"/>
      <c r="AF461" s="73"/>
      <c r="AG461" s="73"/>
      <c r="AK461" s="344"/>
    </row>
    <row r="462" spans="2:114" hidden="1" outlineLevel="1" x14ac:dyDescent="0.25">
      <c r="B462" s="561"/>
      <c r="E462" s="127" t="s">
        <v>806</v>
      </c>
      <c r="F462" s="529"/>
      <c r="V462" s="73"/>
      <c r="W462" s="73"/>
      <c r="X462" s="73"/>
      <c r="Y462" s="370"/>
      <c r="Z462" s="73"/>
      <c r="AA462" s="73"/>
      <c r="AB462" s="73"/>
      <c r="AC462" s="73"/>
      <c r="AD462" s="73"/>
      <c r="AE462" s="73"/>
      <c r="AF462" s="73"/>
      <c r="AG462" s="73"/>
      <c r="AK462" s="344"/>
    </row>
    <row r="463" spans="2:114" hidden="1" outlineLevel="1" x14ac:dyDescent="0.25">
      <c r="B463" s="561"/>
      <c r="E463" s="127" t="s">
        <v>607</v>
      </c>
      <c r="F463" s="529"/>
      <c r="V463" s="73"/>
      <c r="W463" s="73"/>
      <c r="X463" s="73"/>
      <c r="Y463" s="370"/>
      <c r="Z463" s="73"/>
      <c r="AA463" s="73"/>
      <c r="AB463" s="73"/>
      <c r="AC463" s="73"/>
      <c r="AD463" s="73"/>
      <c r="AE463" s="73"/>
      <c r="AF463" s="73"/>
      <c r="AG463" s="73"/>
      <c r="AK463" s="344"/>
    </row>
    <row r="464" spans="2:114" hidden="1" outlineLevel="1" x14ac:dyDescent="0.25">
      <c r="B464" s="561"/>
      <c r="F464" s="529"/>
      <c r="V464" s="73"/>
      <c r="W464" s="73"/>
      <c r="X464" s="73"/>
      <c r="Y464" s="370"/>
      <c r="Z464" s="73"/>
      <c r="AA464" s="73"/>
      <c r="AB464" s="73"/>
      <c r="AC464" s="73"/>
      <c r="AD464" s="73"/>
      <c r="AE464" s="73"/>
      <c r="AF464" s="73"/>
      <c r="AG464" s="73"/>
      <c r="AK464" s="344"/>
    </row>
    <row r="465" spans="1:114" hidden="1" outlineLevel="1" x14ac:dyDescent="0.25">
      <c r="B465" s="561"/>
      <c r="F465" s="529"/>
      <c r="V465" s="73"/>
      <c r="W465" s="73"/>
      <c r="X465" s="73"/>
      <c r="Y465" s="370"/>
      <c r="Z465" s="73"/>
      <c r="AA465" s="73"/>
      <c r="AB465" s="73"/>
      <c r="AC465" s="73"/>
      <c r="AD465" s="73"/>
      <c r="AE465" s="73"/>
      <c r="AF465" s="73"/>
      <c r="AG465" s="73"/>
      <c r="AK465" s="344"/>
    </row>
    <row r="466" spans="1:114" hidden="1" outlineLevel="1" x14ac:dyDescent="0.25">
      <c r="B466" s="561"/>
      <c r="F466" s="529"/>
      <c r="V466" s="73"/>
      <c r="W466" s="73"/>
      <c r="X466" s="73"/>
      <c r="Y466" s="370"/>
      <c r="Z466" s="73"/>
      <c r="AA466" s="73"/>
      <c r="AB466" s="73"/>
      <c r="AC466" s="73"/>
      <c r="AD466" s="73"/>
      <c r="AE466" s="73"/>
      <c r="AF466" s="73"/>
      <c r="AG466" s="73"/>
      <c r="AK466" s="344"/>
    </row>
    <row r="467" spans="1:114" hidden="1" outlineLevel="1" x14ac:dyDescent="0.25">
      <c r="B467" s="561"/>
      <c r="V467" s="73"/>
      <c r="W467" s="73"/>
      <c r="X467" s="73"/>
      <c r="Y467" s="370"/>
      <c r="Z467" s="73"/>
      <c r="AA467" s="73"/>
      <c r="AB467" s="73"/>
      <c r="AC467" s="73"/>
      <c r="AD467" s="73"/>
      <c r="AE467" s="73"/>
      <c r="AF467" s="73"/>
      <c r="AG467" s="73"/>
      <c r="AK467" s="344"/>
    </row>
    <row r="468" spans="1:114" hidden="1" outlineLevel="1" x14ac:dyDescent="0.25">
      <c r="B468" s="561"/>
      <c r="D468" s="1373" t="s">
        <v>712</v>
      </c>
      <c r="E468" s="1373" t="s">
        <v>608</v>
      </c>
      <c r="F468" s="1300" t="s">
        <v>610</v>
      </c>
      <c r="G468" s="1300" t="s">
        <v>611</v>
      </c>
      <c r="H468" s="1300" t="s">
        <v>713</v>
      </c>
      <c r="V468" s="648" t="s">
        <v>52</v>
      </c>
      <c r="W468" s="649">
        <f>W$6</f>
        <v>43252</v>
      </c>
      <c r="X468" s="649">
        <f t="shared" ref="X468:AG468" si="66">X$6</f>
        <v>43465</v>
      </c>
      <c r="Y468" s="110">
        <f t="shared" si="66"/>
        <v>43800</v>
      </c>
      <c r="Z468" s="649">
        <f t="shared" si="66"/>
        <v>43862</v>
      </c>
      <c r="AA468" s="649">
        <f t="shared" si="66"/>
        <v>44013</v>
      </c>
      <c r="AB468" s="649">
        <f t="shared" si="66"/>
        <v>44166</v>
      </c>
      <c r="AC468" s="649">
        <f t="shared" si="66"/>
        <v>44531</v>
      </c>
      <c r="AD468" s="649">
        <f t="shared" si="66"/>
        <v>44774</v>
      </c>
      <c r="AE468" s="649">
        <f t="shared" si="66"/>
        <v>45139</v>
      </c>
      <c r="AF468" s="649">
        <f t="shared" si="66"/>
        <v>45672</v>
      </c>
      <c r="AG468" s="649" t="str">
        <f t="shared" si="66"/>
        <v>-</v>
      </c>
      <c r="AK468" s="344"/>
    </row>
    <row r="469" spans="1:114" ht="45" hidden="1" outlineLevel="1" x14ac:dyDescent="0.25">
      <c r="B469" s="561"/>
      <c r="D469" s="295" t="s">
        <v>807</v>
      </c>
      <c r="E469" s="1330" t="s">
        <v>1652</v>
      </c>
      <c r="F469" s="1513">
        <v>1</v>
      </c>
      <c r="G469" s="1296" t="s">
        <v>1653</v>
      </c>
      <c r="H469" s="178"/>
      <c r="V469" s="276" t="s">
        <v>807</v>
      </c>
      <c r="W469" s="292">
        <v>0.95</v>
      </c>
      <c r="X469" s="179">
        <v>1</v>
      </c>
      <c r="Y469" s="179">
        <v>1</v>
      </c>
      <c r="Z469" s="177">
        <v>1</v>
      </c>
      <c r="AA469" s="177">
        <v>1</v>
      </c>
      <c r="AB469" s="177">
        <v>1</v>
      </c>
      <c r="AC469" s="177">
        <v>1</v>
      </c>
      <c r="AD469" s="177">
        <v>1</v>
      </c>
      <c r="AE469" s="177">
        <v>1</v>
      </c>
      <c r="AF469" s="258">
        <f t="shared" ref="AF469:AF479" si="67">IF(F469&lt;&gt;"",F469,"")</f>
        <v>1</v>
      </c>
      <c r="AG469" s="274"/>
      <c r="AK469" s="344"/>
    </row>
    <row r="470" spans="1:114" ht="45" hidden="1" outlineLevel="1" x14ac:dyDescent="0.25">
      <c r="B470" s="561"/>
      <c r="D470" s="295" t="s">
        <v>48</v>
      </c>
      <c r="E470" s="1330" t="s">
        <v>1652</v>
      </c>
      <c r="F470" s="1523">
        <v>0.5</v>
      </c>
      <c r="G470" s="1296" t="s">
        <v>1654</v>
      </c>
      <c r="H470" s="178"/>
      <c r="V470" s="276" t="s">
        <v>48</v>
      </c>
      <c r="W470" s="297">
        <v>0.5</v>
      </c>
      <c r="X470" s="297">
        <v>0.5</v>
      </c>
      <c r="Y470" s="277">
        <v>0.5</v>
      </c>
      <c r="Z470" s="296">
        <v>0.5</v>
      </c>
      <c r="AA470" s="296">
        <v>0.5</v>
      </c>
      <c r="AB470" s="296">
        <v>0.5</v>
      </c>
      <c r="AC470" s="296">
        <v>0.5</v>
      </c>
      <c r="AD470" s="296">
        <v>0.5</v>
      </c>
      <c r="AE470" s="296">
        <v>0.5</v>
      </c>
      <c r="AF470" s="258">
        <f t="shared" si="67"/>
        <v>0.5</v>
      </c>
      <c r="AG470" s="277"/>
      <c r="AK470" s="344"/>
    </row>
    <row r="471" spans="1:114" ht="45" hidden="1" outlineLevel="1" x14ac:dyDescent="0.25">
      <c r="B471" s="561"/>
      <c r="D471" s="1348" t="s">
        <v>810</v>
      </c>
      <c r="E471" s="1330" t="s">
        <v>1652</v>
      </c>
      <c r="F471" s="1522">
        <v>1496</v>
      </c>
      <c r="G471" s="1296" t="s">
        <v>1654</v>
      </c>
      <c r="H471" s="178"/>
      <c r="V471" s="1346" t="s">
        <v>1655</v>
      </c>
      <c r="W471" s="293">
        <v>1496</v>
      </c>
      <c r="X471" s="287">
        <v>2009</v>
      </c>
      <c r="Y471" s="287">
        <v>1496</v>
      </c>
      <c r="Z471" s="430">
        <v>1496</v>
      </c>
      <c r="AA471" s="430">
        <v>1496</v>
      </c>
      <c r="AB471" s="430">
        <v>1496</v>
      </c>
      <c r="AC471" s="302">
        <v>1496</v>
      </c>
      <c r="AD471" s="302">
        <v>1496</v>
      </c>
      <c r="AE471" s="302">
        <v>1496</v>
      </c>
      <c r="AF471" s="258">
        <f t="shared" si="67"/>
        <v>1496</v>
      </c>
      <c r="AG471" s="266"/>
      <c r="AK471" s="344"/>
    </row>
    <row r="472" spans="1:114" ht="30" hidden="1" outlineLevel="1" x14ac:dyDescent="0.25">
      <c r="B472" s="561"/>
      <c r="D472" s="1330" t="s">
        <v>812</v>
      </c>
      <c r="E472" s="1330" t="s">
        <v>1652</v>
      </c>
      <c r="F472" s="1526">
        <v>0.1</v>
      </c>
      <c r="G472" s="1296" t="s">
        <v>813</v>
      </c>
      <c r="H472" s="178"/>
      <c r="V472" s="284" t="s">
        <v>812</v>
      </c>
      <c r="W472" s="292">
        <v>0.15</v>
      </c>
      <c r="X472" s="274">
        <v>0.15</v>
      </c>
      <c r="Y472" s="278">
        <v>0.15</v>
      </c>
      <c r="Z472" s="299">
        <v>0.15</v>
      </c>
      <c r="AA472" s="299">
        <v>0.15</v>
      </c>
      <c r="AB472" s="299">
        <v>0.15</v>
      </c>
      <c r="AC472" s="299">
        <v>0.15</v>
      </c>
      <c r="AD472" s="299">
        <v>0.15</v>
      </c>
      <c r="AE472" s="299">
        <v>0.15</v>
      </c>
      <c r="AF472" s="258">
        <f t="shared" si="67"/>
        <v>0.1</v>
      </c>
      <c r="AG472" s="274"/>
      <c r="AK472" s="344"/>
    </row>
    <row r="473" spans="1:114" hidden="1" outlineLevel="1" x14ac:dyDescent="0.25">
      <c r="B473" s="561"/>
      <c r="D473" s="1348" t="s">
        <v>814</v>
      </c>
      <c r="E473" s="1330" t="s">
        <v>1652</v>
      </c>
      <c r="F473" s="1526">
        <v>1</v>
      </c>
      <c r="G473" s="1296" t="s">
        <v>1511</v>
      </c>
      <c r="H473" s="178" t="s">
        <v>1656</v>
      </c>
      <c r="V473" s="1346" t="s">
        <v>814</v>
      </c>
      <c r="W473" s="292">
        <v>1</v>
      </c>
      <c r="X473" s="274">
        <v>1</v>
      </c>
      <c r="Y473" s="274">
        <v>1</v>
      </c>
      <c r="Z473" s="300">
        <v>1</v>
      </c>
      <c r="AA473" s="300">
        <v>1</v>
      </c>
      <c r="AB473" s="300">
        <v>1</v>
      </c>
      <c r="AC473" s="300">
        <v>1</v>
      </c>
      <c r="AD473" s="300">
        <v>1</v>
      </c>
      <c r="AE473" s="300">
        <v>1</v>
      </c>
      <c r="AF473" s="258">
        <f t="shared" si="67"/>
        <v>1</v>
      </c>
      <c r="AG473" s="274"/>
      <c r="AK473" s="344"/>
    </row>
    <row r="474" spans="1:114" ht="60" hidden="1" outlineLevel="1" x14ac:dyDescent="0.25">
      <c r="B474" s="561"/>
      <c r="D474" s="1348" t="s">
        <v>104</v>
      </c>
      <c r="E474" s="1330" t="s">
        <v>1652</v>
      </c>
      <c r="F474" s="1539">
        <v>0.57889999999999997</v>
      </c>
      <c r="G474" s="1296" t="s">
        <v>1657</v>
      </c>
      <c r="H474" s="1912"/>
      <c r="V474" s="1346" t="s">
        <v>104</v>
      </c>
      <c r="W474" s="292">
        <v>1</v>
      </c>
      <c r="X474" s="301">
        <v>0.58333333333333304</v>
      </c>
      <c r="Y474" s="301">
        <v>0.57889999999999997</v>
      </c>
      <c r="Z474" s="299">
        <v>0.57889999999999997</v>
      </c>
      <c r="AA474" s="299">
        <v>0.57889999999999997</v>
      </c>
      <c r="AB474" s="299">
        <v>0.57889999999999997</v>
      </c>
      <c r="AC474" s="299">
        <v>0.57889999999999997</v>
      </c>
      <c r="AD474" s="299">
        <v>0.57889999999999997</v>
      </c>
      <c r="AE474" s="299">
        <v>0.57889999999999997</v>
      </c>
      <c r="AF474" s="258">
        <f t="shared" si="67"/>
        <v>0.57889999999999997</v>
      </c>
      <c r="AG474" s="274"/>
      <c r="AK474" s="344"/>
    </row>
    <row r="475" spans="1:114" ht="45" hidden="1" outlineLevel="1" x14ac:dyDescent="0.25">
      <c r="B475" s="561"/>
      <c r="D475" s="295" t="s">
        <v>742</v>
      </c>
      <c r="E475" s="1330" t="s">
        <v>1652</v>
      </c>
      <c r="F475" s="1513">
        <v>1</v>
      </c>
      <c r="G475" s="1296" t="s">
        <v>1653</v>
      </c>
      <c r="H475" s="178"/>
      <c r="V475" s="276" t="s">
        <v>742</v>
      </c>
      <c r="W475" s="292">
        <v>0.95</v>
      </c>
      <c r="X475" s="179">
        <v>1</v>
      </c>
      <c r="Y475" s="179">
        <v>1</v>
      </c>
      <c r="Z475" s="177">
        <v>1</v>
      </c>
      <c r="AA475" s="177">
        <v>1</v>
      </c>
      <c r="AB475" s="177">
        <v>1</v>
      </c>
      <c r="AC475" s="177">
        <v>1</v>
      </c>
      <c r="AD475" s="177">
        <v>1</v>
      </c>
      <c r="AE475" s="177">
        <v>1</v>
      </c>
      <c r="AF475" s="258">
        <f t="shared" si="67"/>
        <v>1</v>
      </c>
      <c r="AG475" s="274"/>
      <c r="AK475" s="344"/>
    </row>
    <row r="476" spans="1:114" ht="45" hidden="1" outlineLevel="1" x14ac:dyDescent="0.25">
      <c r="B476" s="561"/>
      <c r="D476" s="1348" t="s">
        <v>816</v>
      </c>
      <c r="E476" s="1330" t="s">
        <v>1652</v>
      </c>
      <c r="F476" s="1538">
        <v>869</v>
      </c>
      <c r="G476" s="1296" t="s">
        <v>1654</v>
      </c>
      <c r="H476" s="178"/>
      <c r="V476" s="1346" t="s">
        <v>1658</v>
      </c>
      <c r="W476" s="266">
        <v>869</v>
      </c>
      <c r="X476" s="298">
        <v>1215</v>
      </c>
      <c r="Y476" s="298">
        <v>869</v>
      </c>
      <c r="Z476" s="302">
        <v>869</v>
      </c>
      <c r="AA476" s="302">
        <v>869</v>
      </c>
      <c r="AB476" s="302">
        <v>869</v>
      </c>
      <c r="AC476" s="302">
        <v>869</v>
      </c>
      <c r="AD476" s="302">
        <v>869</v>
      </c>
      <c r="AE476" s="302">
        <v>869</v>
      </c>
      <c r="AF476" s="258">
        <f t="shared" si="67"/>
        <v>869</v>
      </c>
      <c r="AG476" s="266"/>
      <c r="AK476" s="344"/>
    </row>
    <row r="477" spans="1:114" s="73" customFormat="1" ht="45" hidden="1" outlineLevel="1" x14ac:dyDescent="0.25">
      <c r="A477" s="270"/>
      <c r="B477" s="561"/>
      <c r="C477" s="527"/>
      <c r="D477" s="295" t="s">
        <v>820</v>
      </c>
      <c r="E477" s="1330" t="s">
        <v>821</v>
      </c>
      <c r="F477" s="1537" t="s">
        <v>822</v>
      </c>
      <c r="G477" s="1913" t="s">
        <v>1653</v>
      </c>
      <c r="H477" s="178"/>
      <c r="I477" s="270"/>
      <c r="J477" s="270"/>
      <c r="K477" s="270"/>
      <c r="L477" s="270"/>
      <c r="M477" s="588"/>
      <c r="N477" s="270"/>
      <c r="O477" s="270"/>
      <c r="P477" s="270"/>
      <c r="Q477" s="270"/>
      <c r="R477" s="50"/>
      <c r="S477" s="50"/>
      <c r="T477" s="50"/>
      <c r="U477" s="50"/>
      <c r="V477" s="276" t="str">
        <f>D477</f>
        <v>P</v>
      </c>
      <c r="W477" s="128" t="s">
        <v>822</v>
      </c>
      <c r="X477" s="128" t="s">
        <v>822</v>
      </c>
      <c r="Y477" s="128" t="s">
        <v>822</v>
      </c>
      <c r="Z477" s="128" t="s">
        <v>822</v>
      </c>
      <c r="AA477" s="128" t="s">
        <v>822</v>
      </c>
      <c r="AB477" s="128" t="s">
        <v>822</v>
      </c>
      <c r="AC477" s="128" t="s">
        <v>822</v>
      </c>
      <c r="AD477" s="128" t="s">
        <v>822</v>
      </c>
      <c r="AE477" s="128" t="s">
        <v>822</v>
      </c>
      <c r="AF477" s="258" t="str">
        <f t="shared" si="67"/>
        <v>None</v>
      </c>
      <c r="AG477" s="128"/>
      <c r="DG477" s="248"/>
      <c r="DH477" s="50"/>
      <c r="DI477" s="50"/>
      <c r="DJ477" s="1059"/>
    </row>
    <row r="478" spans="1:114" ht="60" hidden="1" outlineLevel="1" x14ac:dyDescent="0.25">
      <c r="D478" s="303" t="str">
        <f>D451</f>
        <v>EUL</v>
      </c>
      <c r="E478" s="303" t="str">
        <f>E451</f>
        <v>Effective Useful Life</v>
      </c>
      <c r="F478" s="1538">
        <v>5</v>
      </c>
      <c r="G478" s="1296" t="s">
        <v>1659</v>
      </c>
      <c r="H478" s="178"/>
      <c r="V478" s="276" t="str">
        <f>D478</f>
        <v>EUL</v>
      </c>
      <c r="W478" s="283">
        <v>14</v>
      </c>
      <c r="X478" s="283">
        <v>14</v>
      </c>
      <c r="Y478" s="283">
        <v>14</v>
      </c>
      <c r="Z478" s="304">
        <v>14</v>
      </c>
      <c r="AA478" s="304">
        <v>14</v>
      </c>
      <c r="AB478" s="304">
        <v>14</v>
      </c>
      <c r="AC478" s="304">
        <v>14</v>
      </c>
      <c r="AD478" s="304">
        <v>14</v>
      </c>
      <c r="AE478" s="304">
        <v>14</v>
      </c>
      <c r="AF478" s="258">
        <f t="shared" si="67"/>
        <v>5</v>
      </c>
      <c r="AG478" s="266"/>
      <c r="AK478" s="344"/>
    </row>
    <row r="479" spans="1:114" hidden="1" outlineLevel="1" x14ac:dyDescent="0.25">
      <c r="D479" s="303" t="str">
        <f>D452</f>
        <v>Inc. Cost</v>
      </c>
      <c r="E479" s="303" t="s">
        <v>682</v>
      </c>
      <c r="F479" s="1511">
        <v>5</v>
      </c>
      <c r="G479" s="1296"/>
      <c r="H479" s="178"/>
      <c r="V479" s="276" t="str">
        <f>D479</f>
        <v>Inc. Cost</v>
      </c>
      <c r="W479" s="285">
        <v>5</v>
      </c>
      <c r="X479" s="285">
        <v>5</v>
      </c>
      <c r="Y479" s="285">
        <v>5</v>
      </c>
      <c r="Z479" s="129">
        <v>5</v>
      </c>
      <c r="AA479" s="129">
        <v>5</v>
      </c>
      <c r="AB479" s="129">
        <v>5</v>
      </c>
      <c r="AC479" s="129">
        <v>5</v>
      </c>
      <c r="AD479" s="129">
        <v>5</v>
      </c>
      <c r="AE479" s="129">
        <v>5</v>
      </c>
      <c r="AF479" s="258">
        <f t="shared" si="67"/>
        <v>5</v>
      </c>
      <c r="AG479" s="266"/>
      <c r="AK479" s="344"/>
    </row>
    <row r="480" spans="1:114" hidden="1" outlineLevel="1" x14ac:dyDescent="0.25">
      <c r="D480" s="880"/>
      <c r="E480" s="880"/>
      <c r="F480" s="881"/>
      <c r="G480" s="583"/>
      <c r="H480" s="309"/>
      <c r="V480" s="882"/>
      <c r="W480" s="883"/>
      <c r="X480" s="883"/>
      <c r="Y480" s="883"/>
      <c r="Z480" s="881"/>
      <c r="AA480" s="881"/>
      <c r="AB480" s="881"/>
      <c r="AC480" s="881"/>
      <c r="AD480" s="884"/>
      <c r="AE480" s="884"/>
      <c r="AF480" s="884"/>
      <c r="AG480" s="884"/>
      <c r="AK480" s="344"/>
    </row>
    <row r="481" spans="2:114" collapsed="1" x14ac:dyDescent="0.25">
      <c r="AK481" s="344"/>
    </row>
    <row r="482" spans="2:114" x14ac:dyDescent="0.25">
      <c r="B482" s="2134" t="s">
        <v>1660</v>
      </c>
      <c r="C482" s="2135"/>
      <c r="D482" s="2135"/>
      <c r="E482" s="2135"/>
      <c r="F482" s="2135"/>
      <c r="G482" s="2135"/>
      <c r="H482" s="2135"/>
      <c r="I482" s="2082"/>
      <c r="J482" s="2082"/>
      <c r="K482" s="2082"/>
      <c r="L482" s="2082"/>
      <c r="M482" s="2082"/>
      <c r="N482" s="2082"/>
      <c r="O482" s="2082"/>
      <c r="P482" s="2082"/>
      <c r="Q482" s="2082"/>
      <c r="R482" s="2083"/>
      <c r="V482" s="2103" t="str">
        <f>B482</f>
        <v>Duct Insulation</v>
      </c>
      <c r="W482" s="2104"/>
      <c r="X482" s="2104"/>
      <c r="Y482" s="2104"/>
      <c r="Z482" s="2104"/>
      <c r="AA482" s="2104"/>
      <c r="AB482" s="2104"/>
      <c r="AC482" s="2106"/>
      <c r="AD482" s="2106"/>
      <c r="AE482" s="2106"/>
      <c r="AF482" s="2106"/>
      <c r="AG482" s="2106"/>
      <c r="AH482" s="2106"/>
      <c r="AI482" s="2107"/>
      <c r="AK482" s="344"/>
    </row>
    <row r="483" spans="2:114" ht="15" customHeight="1" x14ac:dyDescent="0.25">
      <c r="AK483" s="344"/>
    </row>
    <row r="484" spans="2:114" ht="45" x14ac:dyDescent="0.25">
      <c r="C484" s="1300" t="s">
        <v>42</v>
      </c>
      <c r="D484" s="1300" t="s">
        <v>594</v>
      </c>
      <c r="E484" s="1373" t="s">
        <v>44</v>
      </c>
      <c r="F484" s="1300" t="s">
        <v>1661</v>
      </c>
      <c r="G484" s="1300" t="s">
        <v>46</v>
      </c>
      <c r="H484" s="1300" t="s">
        <v>47</v>
      </c>
      <c r="I484" s="1300" t="s">
        <v>1662</v>
      </c>
      <c r="J484" s="1300" t="s">
        <v>1663</v>
      </c>
      <c r="K484" s="1300" t="s">
        <v>1664</v>
      </c>
      <c r="L484" s="1300" t="s">
        <v>48</v>
      </c>
      <c r="M484" s="1300" t="s">
        <v>49</v>
      </c>
      <c r="N484" s="1300" t="s">
        <v>1665</v>
      </c>
      <c r="O484" s="1300" t="s">
        <v>1666</v>
      </c>
      <c r="V484" s="648" t="s">
        <v>52</v>
      </c>
      <c r="W484" s="649">
        <f>W$6</f>
        <v>43252</v>
      </c>
      <c r="X484" s="649">
        <f t="shared" ref="X484:AG484" si="68">X$6</f>
        <v>43465</v>
      </c>
      <c r="Y484" s="110">
        <f t="shared" si="68"/>
        <v>43800</v>
      </c>
      <c r="Z484" s="649">
        <f t="shared" si="68"/>
        <v>43862</v>
      </c>
      <c r="AA484" s="649">
        <f t="shared" si="68"/>
        <v>44013</v>
      </c>
      <c r="AB484" s="649">
        <f t="shared" si="68"/>
        <v>44166</v>
      </c>
      <c r="AC484" s="649">
        <f t="shared" si="68"/>
        <v>44531</v>
      </c>
      <c r="AD484" s="649">
        <f t="shared" si="68"/>
        <v>44774</v>
      </c>
      <c r="AE484" s="649">
        <f t="shared" si="68"/>
        <v>45139</v>
      </c>
      <c r="AF484" s="649">
        <f t="shared" si="68"/>
        <v>45672</v>
      </c>
      <c r="AG484" s="649" t="str">
        <f t="shared" si="68"/>
        <v>-</v>
      </c>
      <c r="AK484" s="344"/>
      <c r="DG484" s="1018" t="str">
        <f>$DG$6</f>
        <v>TRC (2025)</v>
      </c>
      <c r="DH484" s="776" t="str">
        <f>$DH$6</f>
        <v>Benefit Lookup</v>
      </c>
      <c r="DI484" s="1034" t="str">
        <f>$DI$6</f>
        <v>Benefits (2025 $)</v>
      </c>
      <c r="DJ484" s="1060" t="str">
        <f>$DJ$6</f>
        <v>Incremental Cost (2025 $)</v>
      </c>
    </row>
    <row r="485" spans="2:114" ht="15" customHeight="1" x14ac:dyDescent="0.25">
      <c r="B485" s="1384">
        <f t="shared" ref="B485:B487" si="69">VALUE(LEFT(C485,6))</f>
        <v>402300</v>
      </c>
      <c r="C485" s="1331" t="s">
        <v>1667</v>
      </c>
      <c r="D485" s="537" t="s">
        <v>857</v>
      </c>
      <c r="E485" s="1330" t="s">
        <v>1668</v>
      </c>
      <c r="F485" s="305">
        <f>ROUND((I485+J485)*G510*G511*G512,2)</f>
        <v>22.8</v>
      </c>
      <c r="G485" s="1331" t="s">
        <v>802</v>
      </c>
      <c r="H485" s="66">
        <f>VLOOKUP(G485,'CP FACTORS'!$A$3:$B$38, 2, FALSE)</f>
        <v>4.6608050000000002E-4</v>
      </c>
      <c r="I485" s="128">
        <f>(1/G494-1/G495)*G496*G498*G499/(G500*G501)</f>
        <v>1.2754677419354841</v>
      </c>
      <c r="J485" s="128">
        <f>(1/G494-1/G495)*G496*G502*G503/(G504*G505)</f>
        <v>21.520140313599065</v>
      </c>
      <c r="K485" s="305">
        <v>0</v>
      </c>
      <c r="L485" s="1851">
        <f>ROUND(H485*F485,6)</f>
        <v>1.0626999999999999E-2</v>
      </c>
      <c r="M485" s="128">
        <f>$G$513</f>
        <v>20</v>
      </c>
      <c r="N485" s="129">
        <f>$G$514</f>
        <v>4.2205065958870298</v>
      </c>
      <c r="O485" s="128">
        <v>1</v>
      </c>
      <c r="V485" s="342" t="str">
        <f>$F$484</f>
        <v>kWh
Annual Savings</v>
      </c>
      <c r="W485" s="84">
        <v>1436.5606215435027</v>
      </c>
      <c r="X485" s="306">
        <v>1436.5606215435027</v>
      </c>
      <c r="Y485" s="307">
        <v>29.13</v>
      </c>
      <c r="Z485" s="712">
        <v>29.13</v>
      </c>
      <c r="AA485" s="712">
        <v>29.13</v>
      </c>
      <c r="AB485" s="712">
        <v>29.13</v>
      </c>
      <c r="AC485" s="712">
        <v>29.13</v>
      </c>
      <c r="AD485" s="712">
        <v>29.13</v>
      </c>
      <c r="AE485" s="712">
        <v>29.13</v>
      </c>
      <c r="AF485" s="258">
        <f>IF(F485&lt;&gt;"",F485,"")</f>
        <v>22.8</v>
      </c>
      <c r="AG485" s="342"/>
      <c r="AK485" s="344"/>
      <c r="DG485" s="1020">
        <f>(DI485)/(DJ485)</f>
        <v>8.2251191963232539</v>
      </c>
      <c r="DH485" s="1330" t="str">
        <f>CONCATENATE(G485," ",M485," Year EUL")</f>
        <v>HVAC RES 20 Year EUL</v>
      </c>
      <c r="DI485" s="969">
        <f>(INDEX('Avoided Cost Benefits'!$B$4:$B$865,MATCH(DH485,'Avoided Cost Benefits'!$A$4:$A$865,0)))*F485</f>
        <v>34.714169820039317</v>
      </c>
      <c r="DJ485" s="1957">
        <f>IFERROR(N485/((1+DiscountRate)^(CurrentYear-DiscountYear)),0)</f>
        <v>4.2205065958870298</v>
      </c>
    </row>
    <row r="486" spans="2:114" ht="15" customHeight="1" x14ac:dyDescent="0.25">
      <c r="B486" s="1384">
        <f t="shared" si="69"/>
        <v>402350</v>
      </c>
      <c r="C486" s="1331" t="s">
        <v>1669</v>
      </c>
      <c r="D486" s="537" t="s">
        <v>857</v>
      </c>
      <c r="E486" s="1330" t="s">
        <v>1670</v>
      </c>
      <c r="F486" s="305">
        <f>ROUND((I486+J486)*G510*G511*G512,2)</f>
        <v>22.8</v>
      </c>
      <c r="G486" s="1331" t="s">
        <v>802</v>
      </c>
      <c r="H486" s="66">
        <f>VLOOKUP(G486,'CP FACTORS'!$A$3:$B$38, 2, FALSE)</f>
        <v>4.6608050000000002E-4</v>
      </c>
      <c r="I486" s="128">
        <f>(1/G494-1/G495)*G497*G498*G499/(G500*G501)</f>
        <v>1.2754677419354841</v>
      </c>
      <c r="J486" s="128">
        <f>(1/G494-1/G495)*G497*G502*G503/(G504*G505)</f>
        <v>21.520140313599065</v>
      </c>
      <c r="K486" s="305">
        <v>0</v>
      </c>
      <c r="L486" s="1851">
        <f>ROUND(H486*F486,6)</f>
        <v>1.0626999999999999E-2</v>
      </c>
      <c r="M486" s="128">
        <f>$G$513</f>
        <v>20</v>
      </c>
      <c r="N486" s="129">
        <f>$G$514</f>
        <v>4.2205065958870298</v>
      </c>
      <c r="O486" s="128">
        <v>1</v>
      </c>
      <c r="V486" s="342" t="str">
        <f>$F$484</f>
        <v>kWh
Annual Savings</v>
      </c>
      <c r="W486" s="84">
        <v>1267.6448744421125</v>
      </c>
      <c r="X486" s="306">
        <v>1267.6448744421125</v>
      </c>
      <c r="Y486" s="307">
        <v>29.13</v>
      </c>
      <c r="Z486" s="712">
        <v>29.13</v>
      </c>
      <c r="AA486" s="712">
        <v>29.13</v>
      </c>
      <c r="AB486" s="712">
        <v>29.13</v>
      </c>
      <c r="AC486" s="712">
        <v>29.13</v>
      </c>
      <c r="AD486" s="712">
        <v>29.13</v>
      </c>
      <c r="AE486" s="712">
        <v>29.13</v>
      </c>
      <c r="AF486" s="258">
        <f>IF(F486&lt;&gt;"",F486,"")</f>
        <v>22.8</v>
      </c>
      <c r="AG486" s="342"/>
      <c r="AK486" s="344"/>
      <c r="DG486" s="1021">
        <f>(DI486)/(DJ486)</f>
        <v>8.2251191963232539</v>
      </c>
      <c r="DH486" s="653" t="str">
        <f>CONCATENATE(G486," ",M486," Year EUL")</f>
        <v>HVAC RES 20 Year EUL</v>
      </c>
      <c r="DI486" s="538">
        <f>(INDEX('Avoided Cost Benefits'!$B$4:$B$865,MATCH(DH486,'Avoided Cost Benefits'!$A$4:$A$865,0)))*F486</f>
        <v>34.714169820039317</v>
      </c>
      <c r="DJ486" s="1958">
        <f>IFERROR(N486/((1+DiscountRate)^(CurrentYear-DiscountYear)),0)</f>
        <v>4.2205065958870298</v>
      </c>
    </row>
    <row r="487" spans="2:114" x14ac:dyDescent="0.25">
      <c r="B487" s="1384">
        <f t="shared" si="69"/>
        <v>402400</v>
      </c>
      <c r="C487" s="1331" t="s">
        <v>1671</v>
      </c>
      <c r="D487" s="537" t="s">
        <v>857</v>
      </c>
      <c r="E487" s="1330" t="s">
        <v>1672</v>
      </c>
      <c r="F487" s="305">
        <f>ROUND((I487+J487)*G510*G511*G512,2)</f>
        <v>2.4900000000000002</v>
      </c>
      <c r="G487" s="1331" t="s">
        <v>802</v>
      </c>
      <c r="H487" s="66">
        <f>VLOOKUP(G487,'CP FACTORS'!$A$3:$B$38, 2, FALSE)</f>
        <v>4.6608050000000002E-4</v>
      </c>
      <c r="I487" s="128">
        <f>(1/G494-1/G495)*G496*G498*G499/(G500*G501)</f>
        <v>1.2754677419354841</v>
      </c>
      <c r="J487" s="128">
        <f>K487*G506*G507</f>
        <v>1.2178758270985914</v>
      </c>
      <c r="K487" s="305">
        <f>(1/G494-1/G495)*G496*G502*G503/(100000*G509)</f>
        <v>1.3237492957746479</v>
      </c>
      <c r="L487" s="1851">
        <f>ROUND(H487*F487,6)</f>
        <v>1.1609999999999999E-3</v>
      </c>
      <c r="M487" s="128">
        <f>$G$513</f>
        <v>20</v>
      </c>
      <c r="N487" s="129">
        <f>$G$514</f>
        <v>4.2205065958870298</v>
      </c>
      <c r="O487" s="128">
        <v>1</v>
      </c>
      <c r="V487" s="342" t="str">
        <f>$F$484</f>
        <v>kWh
Annual Savings</v>
      </c>
      <c r="W487" s="84">
        <v>114.3457559964678</v>
      </c>
      <c r="X487" s="306">
        <v>114.3457559964678</v>
      </c>
      <c r="Y487" s="307">
        <v>2.69</v>
      </c>
      <c r="Z487" s="712">
        <v>2.69</v>
      </c>
      <c r="AA487" s="712">
        <v>2.69</v>
      </c>
      <c r="AB487" s="712">
        <v>2.69</v>
      </c>
      <c r="AC487" s="712">
        <v>2.69</v>
      </c>
      <c r="AD487" s="712">
        <v>2.69</v>
      </c>
      <c r="AE487" s="712">
        <v>2.69</v>
      </c>
      <c r="AF487" s="258">
        <f>IF(F487&lt;&gt;"",F487,"")</f>
        <v>2.4900000000000002</v>
      </c>
      <c r="AG487" s="342"/>
      <c r="AK487" s="344"/>
      <c r="DG487" s="1022">
        <f>(DI487)/(DJ487)</f>
        <v>0.89826959644056592</v>
      </c>
      <c r="DH487" s="653" t="str">
        <f>CONCATENATE(G487," ",M487," Year EUL")</f>
        <v>HVAC RES 20 Year EUL</v>
      </c>
      <c r="DI487" s="1030">
        <f>(INDEX('Avoided Cost Benefits'!$B$4:$B$865,MATCH(DH487,'Avoided Cost Benefits'!$A$4:$A$865,0)))*F487</f>
        <v>3.7911527566621888</v>
      </c>
      <c r="DJ487" s="1959">
        <f>IFERROR(N487/((1+DiscountRate)^(CurrentYear-DiscountYear)),0)</f>
        <v>4.2205065958870298</v>
      </c>
    </row>
    <row r="488" spans="2:114" ht="15" hidden="1" customHeight="1" outlineLevel="1" x14ac:dyDescent="0.25">
      <c r="D488" s="270" t="s">
        <v>94</v>
      </c>
      <c r="E488" s="270" t="s">
        <v>1673</v>
      </c>
      <c r="I488" s="270" t="s">
        <v>1674</v>
      </c>
      <c r="Y488" s="527" t="s">
        <v>1517</v>
      </c>
      <c r="AK488" s="344"/>
    </row>
    <row r="489" spans="2:114" ht="15" hidden="1" customHeight="1" outlineLevel="1" x14ac:dyDescent="0.25">
      <c r="D489" s="270" t="s">
        <v>604</v>
      </c>
      <c r="E489" s="270" t="s">
        <v>1675</v>
      </c>
      <c r="AK489" s="344"/>
    </row>
    <row r="490" spans="2:114" ht="15" hidden="1" customHeight="1" outlineLevel="1" x14ac:dyDescent="0.25">
      <c r="D490" s="270" t="s">
        <v>604</v>
      </c>
      <c r="E490" s="270" t="s">
        <v>1676</v>
      </c>
      <c r="AK490" s="344"/>
    </row>
    <row r="491" spans="2:114" ht="27.75" hidden="1" customHeight="1" outlineLevel="1" x14ac:dyDescent="0.25">
      <c r="D491" s="270"/>
      <c r="E491" s="270" t="s">
        <v>607</v>
      </c>
      <c r="AK491" s="344"/>
    </row>
    <row r="492" spans="2:114" ht="15" hidden="1" customHeight="1" outlineLevel="1" x14ac:dyDescent="0.25">
      <c r="D492" s="270"/>
      <c r="E492" s="270"/>
      <c r="AK492" s="344"/>
    </row>
    <row r="493" spans="2:114" ht="15" hidden="1" customHeight="1" outlineLevel="1" x14ac:dyDescent="0.25">
      <c r="D493" s="1373" t="s">
        <v>712</v>
      </c>
      <c r="E493" s="1373" t="s">
        <v>608</v>
      </c>
      <c r="F493" s="1300" t="s">
        <v>609</v>
      </c>
      <c r="G493" s="1300" t="s">
        <v>610</v>
      </c>
      <c r="H493" s="2108" t="s">
        <v>611</v>
      </c>
      <c r="I493" s="2296"/>
      <c r="J493" s="2108" t="s">
        <v>612</v>
      </c>
      <c r="K493" s="2108"/>
      <c r="L493" s="2108"/>
      <c r="V493" s="648" t="s">
        <v>52</v>
      </c>
      <c r="W493" s="649">
        <f>W$6</f>
        <v>43252</v>
      </c>
      <c r="X493" s="649">
        <f t="shared" ref="X493:AG493" si="70">X$6</f>
        <v>43465</v>
      </c>
      <c r="Y493" s="110">
        <f t="shared" si="70"/>
        <v>43800</v>
      </c>
      <c r="Z493" s="649">
        <f t="shared" si="70"/>
        <v>43862</v>
      </c>
      <c r="AA493" s="649">
        <f t="shared" si="70"/>
        <v>44013</v>
      </c>
      <c r="AB493" s="649">
        <f t="shared" si="70"/>
        <v>44166</v>
      </c>
      <c r="AC493" s="649">
        <f t="shared" si="70"/>
        <v>44531</v>
      </c>
      <c r="AD493" s="649">
        <f t="shared" si="70"/>
        <v>44774</v>
      </c>
      <c r="AE493" s="649">
        <f t="shared" si="70"/>
        <v>45139</v>
      </c>
      <c r="AF493" s="649">
        <f t="shared" si="70"/>
        <v>45672</v>
      </c>
      <c r="AG493" s="649" t="str">
        <f t="shared" si="70"/>
        <v>-</v>
      </c>
      <c r="AK493" s="344"/>
    </row>
    <row r="494" spans="2:114" ht="58.5" hidden="1" customHeight="1" outlineLevel="1" x14ac:dyDescent="0.25">
      <c r="D494" s="1349" t="s">
        <v>1677</v>
      </c>
      <c r="E494" s="1341" t="s">
        <v>1678</v>
      </c>
      <c r="F494" s="578"/>
      <c r="G494" s="1547">
        <v>4</v>
      </c>
      <c r="H494" s="2237" t="s">
        <v>1679</v>
      </c>
      <c r="I494" s="2235"/>
      <c r="J494" s="2237"/>
      <c r="K494" s="2237"/>
      <c r="L494" s="2237"/>
      <c r="V494" s="282" t="str">
        <f>D494</f>
        <v>Rexisting</v>
      </c>
      <c r="W494" s="310">
        <v>4</v>
      </c>
      <c r="X494" s="310">
        <v>4</v>
      </c>
      <c r="Y494" s="310">
        <v>4</v>
      </c>
      <c r="Z494" s="579">
        <v>4</v>
      </c>
      <c r="AA494" s="579">
        <v>4</v>
      </c>
      <c r="AB494" s="579">
        <v>4</v>
      </c>
      <c r="AC494" s="579">
        <v>4</v>
      </c>
      <c r="AD494" s="579">
        <v>4</v>
      </c>
      <c r="AE494" s="579">
        <v>4</v>
      </c>
      <c r="AF494" s="258">
        <f t="shared" ref="AF494:AF514" si="71">IF(G494&lt;&gt;"",G494,"")</f>
        <v>4</v>
      </c>
      <c r="AG494" s="310"/>
      <c r="AK494" s="344"/>
    </row>
    <row r="495" spans="2:114" ht="60.75" hidden="1" customHeight="1" outlineLevel="1" x14ac:dyDescent="0.25">
      <c r="D495" s="1349" t="s">
        <v>1680</v>
      </c>
      <c r="E495" s="1341" t="s">
        <v>1681</v>
      </c>
      <c r="F495" s="578"/>
      <c r="G495" s="1547">
        <v>8</v>
      </c>
      <c r="H495" s="2237" t="s">
        <v>1682</v>
      </c>
      <c r="I495" s="2235"/>
      <c r="J495" s="2237"/>
      <c r="K495" s="2237"/>
      <c r="L495" s="2237"/>
      <c r="V495" s="282" t="str">
        <f t="shared" ref="V495:V512" si="72">D495</f>
        <v>Rnew</v>
      </c>
      <c r="W495" s="310">
        <v>8</v>
      </c>
      <c r="X495" s="310">
        <v>8</v>
      </c>
      <c r="Y495" s="310">
        <v>8</v>
      </c>
      <c r="Z495" s="579">
        <v>8</v>
      </c>
      <c r="AA495" s="579">
        <v>8</v>
      </c>
      <c r="AB495" s="579">
        <v>8</v>
      </c>
      <c r="AC495" s="579">
        <v>8</v>
      </c>
      <c r="AD495" s="579">
        <v>8</v>
      </c>
      <c r="AE495" s="579">
        <v>8</v>
      </c>
      <c r="AF495" s="258">
        <f t="shared" si="71"/>
        <v>8</v>
      </c>
      <c r="AG495" s="310"/>
      <c r="AK495" s="344"/>
    </row>
    <row r="496" spans="2:114" ht="28.5" hidden="1" customHeight="1" outlineLevel="1" x14ac:dyDescent="0.25">
      <c r="D496" s="2226" t="s">
        <v>1683</v>
      </c>
      <c r="E496" s="2233" t="s">
        <v>1684</v>
      </c>
      <c r="F496" s="1301" t="s">
        <v>1685</v>
      </c>
      <c r="G496" s="1548">
        <f>SQRT(F$60)*((12+30+12+30)/12)</f>
        <v>7</v>
      </c>
      <c r="H496" s="2258" t="s">
        <v>1686</v>
      </c>
      <c r="I496" s="2259"/>
      <c r="J496" s="2237"/>
      <c r="K496" s="2237"/>
      <c r="L496" s="2237"/>
      <c r="V496" s="303" t="str">
        <f>F496</f>
        <v xml:space="preserve">Area - Single Family </v>
      </c>
      <c r="W496" s="311">
        <f>SQRT(W$60)*((12+30+12+30)/12)</f>
        <v>260.69714229350501</v>
      </c>
      <c r="X496" s="311">
        <f>SQRT(X$60)*((12+30+12+30)/12)</f>
        <v>260.69714229350501</v>
      </c>
      <c r="Y496" s="311">
        <f>SQRT(Y$60)*((12+30+12+30)/12)</f>
        <v>7</v>
      </c>
      <c r="Z496" s="580">
        <f>SQRT(Z$60)*((12+30+12+30)/12)</f>
        <v>7</v>
      </c>
      <c r="AA496" s="580">
        <f>SQRT(AA$60)*((12+30+12+30)/12)</f>
        <v>7</v>
      </c>
      <c r="AB496" s="580">
        <v>7</v>
      </c>
      <c r="AC496" s="580">
        <v>7</v>
      </c>
      <c r="AD496" s="580">
        <v>7</v>
      </c>
      <c r="AE496" s="580">
        <v>7</v>
      </c>
      <c r="AF496" s="258">
        <f t="shared" si="71"/>
        <v>7</v>
      </c>
      <c r="AG496" s="311"/>
      <c r="AK496" s="344"/>
    </row>
    <row r="497" spans="4:37" ht="33" hidden="1" customHeight="1" outlineLevel="1" x14ac:dyDescent="0.25">
      <c r="D497" s="2227"/>
      <c r="E497" s="2238"/>
      <c r="F497" s="1301" t="s">
        <v>1687</v>
      </c>
      <c r="G497" s="1549">
        <f>SQRT(F$63)*((12+30+12+30)/12)</f>
        <v>7</v>
      </c>
      <c r="H497" s="2237" t="s">
        <v>1686</v>
      </c>
      <c r="I497" s="2237"/>
      <c r="J497" s="2236"/>
      <c r="K497" s="2237"/>
      <c r="L497" s="2237"/>
      <c r="V497" s="303" t="str">
        <f>F497</f>
        <v>Area - Mobile Home</v>
      </c>
      <c r="W497" s="312">
        <f>SQRT(W$63)*((12+30+12+30)/12)</f>
        <v>230.04347415216975</v>
      </c>
      <c r="X497" s="312">
        <f>SQRT(X$63)*((12+30+12+30)/12)</f>
        <v>230.04347415216975</v>
      </c>
      <c r="Y497" s="312">
        <f>SQRT(Y$63)*((12+30+12+30)/12)</f>
        <v>7</v>
      </c>
      <c r="Z497" s="581">
        <f>SQRT(Z$63)*((12+30+12+30)/12)</f>
        <v>7</v>
      </c>
      <c r="AA497" s="581">
        <f>SQRT(AA$63)*((12+30+12+30)/12)</f>
        <v>7</v>
      </c>
      <c r="AB497" s="581">
        <v>7</v>
      </c>
      <c r="AC497" s="581">
        <v>7</v>
      </c>
      <c r="AD497" s="581">
        <v>7</v>
      </c>
      <c r="AE497" s="581">
        <v>7</v>
      </c>
      <c r="AF497" s="258">
        <f t="shared" si="71"/>
        <v>7</v>
      </c>
      <c r="AG497" s="311"/>
      <c r="AK497" s="344"/>
    </row>
    <row r="498" spans="4:37" ht="30.75" hidden="1" customHeight="1" outlineLevel="1" x14ac:dyDescent="0.25">
      <c r="D498" s="1337" t="s">
        <v>1105</v>
      </c>
      <c r="E498" s="1301" t="s">
        <v>1688</v>
      </c>
      <c r="F498" s="1301"/>
      <c r="G498" s="1623">
        <v>869</v>
      </c>
      <c r="H498" s="2238" t="s">
        <v>1197</v>
      </c>
      <c r="I498" s="2249"/>
      <c r="J498" s="2250"/>
      <c r="K498" s="2250"/>
      <c r="L498" s="2250"/>
      <c r="M498" s="583"/>
      <c r="V498" s="282" t="str">
        <f t="shared" si="72"/>
        <v>EFLHcool</v>
      </c>
      <c r="W498" s="1424">
        <v>869</v>
      </c>
      <c r="X498" s="1424">
        <v>869</v>
      </c>
      <c r="Y498" s="1424">
        <v>869</v>
      </c>
      <c r="Z498" s="582">
        <v>869</v>
      </c>
      <c r="AA498" s="582">
        <v>869</v>
      </c>
      <c r="AB498" s="582">
        <v>869</v>
      </c>
      <c r="AC498" s="582">
        <v>869</v>
      </c>
      <c r="AD498" s="582">
        <v>869</v>
      </c>
      <c r="AE498" s="582">
        <v>869</v>
      </c>
      <c r="AF498" s="258">
        <f t="shared" si="71"/>
        <v>869</v>
      </c>
      <c r="AG498" s="1424"/>
      <c r="AK498" s="344"/>
    </row>
    <row r="499" spans="4:37" ht="30" hidden="1" outlineLevel="1" x14ac:dyDescent="0.25">
      <c r="D499" s="1337" t="s">
        <v>1689</v>
      </c>
      <c r="E499" s="1301" t="s">
        <v>1690</v>
      </c>
      <c r="F499" s="1301"/>
      <c r="G499" s="1622">
        <v>20.8</v>
      </c>
      <c r="H499" s="2294" t="s">
        <v>1691</v>
      </c>
      <c r="I499" s="2295"/>
      <c r="J499" s="2250"/>
      <c r="K499" s="2250"/>
      <c r="L499" s="2250"/>
      <c r="M499" s="583"/>
      <c r="V499" s="282" t="str">
        <f t="shared" si="72"/>
        <v>ΔTAVG, cooling</v>
      </c>
      <c r="W499" s="1424">
        <v>20.8</v>
      </c>
      <c r="X499" s="1424">
        <v>20.8</v>
      </c>
      <c r="Y499" s="1424">
        <v>20.8</v>
      </c>
      <c r="Z499" s="582">
        <v>20.8</v>
      </c>
      <c r="AA499" s="582">
        <v>20.8</v>
      </c>
      <c r="AB499" s="582">
        <v>20.8</v>
      </c>
      <c r="AC499" s="582">
        <v>20.8</v>
      </c>
      <c r="AD499" s="582">
        <v>20.8</v>
      </c>
      <c r="AE499" s="582">
        <v>20.8</v>
      </c>
      <c r="AF499" s="258">
        <f t="shared" si="71"/>
        <v>20.8</v>
      </c>
      <c r="AG499" s="1424"/>
      <c r="AK499" s="344"/>
    </row>
    <row r="500" spans="4:37" hidden="1" outlineLevel="1" x14ac:dyDescent="0.25">
      <c r="D500" s="1337">
        <v>1000</v>
      </c>
      <c r="E500" s="1301" t="s">
        <v>1470</v>
      </c>
      <c r="F500" s="1301"/>
      <c r="G500" s="1623">
        <v>1000</v>
      </c>
      <c r="H500" s="2138" t="s">
        <v>1472</v>
      </c>
      <c r="I500" s="2234"/>
      <c r="J500" s="2250"/>
      <c r="K500" s="2250"/>
      <c r="L500" s="2250"/>
      <c r="M500" s="583"/>
      <c r="V500" s="282">
        <f t="shared" si="72"/>
        <v>1000</v>
      </c>
      <c r="W500" s="1424">
        <v>1000</v>
      </c>
      <c r="X500" s="1424">
        <v>1000</v>
      </c>
      <c r="Y500" s="1424">
        <v>1000</v>
      </c>
      <c r="Z500" s="582">
        <v>1000</v>
      </c>
      <c r="AA500" s="582">
        <v>1000</v>
      </c>
      <c r="AB500" s="582">
        <v>1000</v>
      </c>
      <c r="AC500" s="582">
        <v>1000</v>
      </c>
      <c r="AD500" s="582">
        <v>1000</v>
      </c>
      <c r="AE500" s="582">
        <v>1000</v>
      </c>
      <c r="AF500" s="258">
        <f t="shared" si="71"/>
        <v>1000</v>
      </c>
      <c r="AG500" s="1424"/>
      <c r="AK500" s="344"/>
    </row>
    <row r="501" spans="4:37" hidden="1" outlineLevel="1" x14ac:dyDescent="0.25">
      <c r="D501" s="1337" t="s">
        <v>753</v>
      </c>
      <c r="E501" s="1301" t="s">
        <v>1692</v>
      </c>
      <c r="F501" s="1301"/>
      <c r="G501" s="1516">
        <v>12.4</v>
      </c>
      <c r="H501" s="2294"/>
      <c r="I501" s="2295"/>
      <c r="J501" s="2277" t="s">
        <v>1693</v>
      </c>
      <c r="K501" s="2277"/>
      <c r="L501" s="2277"/>
      <c r="M501" s="583"/>
      <c r="V501" s="282" t="str">
        <f t="shared" si="72"/>
        <v>SEER2</v>
      </c>
      <c r="W501" s="1424">
        <v>10</v>
      </c>
      <c r="X501" s="1424">
        <v>10</v>
      </c>
      <c r="Y501" s="1424">
        <v>10</v>
      </c>
      <c r="Z501" s="582">
        <v>10</v>
      </c>
      <c r="AA501" s="582">
        <v>10</v>
      </c>
      <c r="AB501" s="582">
        <v>10</v>
      </c>
      <c r="AC501" s="582">
        <v>10</v>
      </c>
      <c r="AD501" s="582">
        <v>10</v>
      </c>
      <c r="AE501" s="582">
        <v>10</v>
      </c>
      <c r="AF501" s="258">
        <f t="shared" si="71"/>
        <v>12.4</v>
      </c>
      <c r="AG501" s="1424"/>
      <c r="AK501" s="344"/>
    </row>
    <row r="502" spans="4:37" ht="15" hidden="1" customHeight="1" outlineLevel="1" x14ac:dyDescent="0.25">
      <c r="D502" s="1337" t="s">
        <v>1086</v>
      </c>
      <c r="E502" s="1301" t="s">
        <v>1147</v>
      </c>
      <c r="F502" s="1301"/>
      <c r="G502" s="1623">
        <v>1496</v>
      </c>
      <c r="H502" s="2238" t="s">
        <v>1197</v>
      </c>
      <c r="I502" s="2249"/>
      <c r="J502" s="2250"/>
      <c r="K502" s="2250"/>
      <c r="L502" s="2250"/>
      <c r="M502" s="583"/>
      <c r="V502" s="282" t="str">
        <f t="shared" si="72"/>
        <v>EFLHheat</v>
      </c>
      <c r="W502" s="1424">
        <v>2009</v>
      </c>
      <c r="X502" s="1424">
        <v>2009</v>
      </c>
      <c r="Y502" s="313">
        <v>1496</v>
      </c>
      <c r="Z502" s="582">
        <v>1496</v>
      </c>
      <c r="AA502" s="582">
        <v>1496</v>
      </c>
      <c r="AB502" s="582">
        <v>1496</v>
      </c>
      <c r="AC502" s="582">
        <v>1496</v>
      </c>
      <c r="AD502" s="582">
        <v>1496</v>
      </c>
      <c r="AE502" s="582">
        <v>1496</v>
      </c>
      <c r="AF502" s="258">
        <f t="shared" si="71"/>
        <v>1496</v>
      </c>
      <c r="AG502" s="1424"/>
      <c r="AK502" s="344"/>
    </row>
    <row r="503" spans="4:37" ht="30" hidden="1" outlineLevel="1" x14ac:dyDescent="0.25">
      <c r="D503" s="1337" t="s">
        <v>1694</v>
      </c>
      <c r="E503" s="1301" t="s">
        <v>1695</v>
      </c>
      <c r="F503" s="1301"/>
      <c r="G503" s="1622">
        <v>71.8</v>
      </c>
      <c r="H503" s="2294" t="s">
        <v>1691</v>
      </c>
      <c r="I503" s="2295"/>
      <c r="J503" s="2277" t="s">
        <v>1696</v>
      </c>
      <c r="K503" s="2277"/>
      <c r="L503" s="2277"/>
      <c r="M503" s="583"/>
      <c r="V503" s="282" t="str">
        <f t="shared" si="72"/>
        <v>ΔTAVG, heating</v>
      </c>
      <c r="W503" s="1424">
        <v>71.8</v>
      </c>
      <c r="X503" s="1424">
        <v>71.8</v>
      </c>
      <c r="Y503" s="1424">
        <v>71.8</v>
      </c>
      <c r="Z503" s="582">
        <v>71.8</v>
      </c>
      <c r="AA503" s="582">
        <v>71.8</v>
      </c>
      <c r="AB503" s="582">
        <v>71.8</v>
      </c>
      <c r="AC503" s="582">
        <v>71.8</v>
      </c>
      <c r="AD503" s="582">
        <v>71.8</v>
      </c>
      <c r="AE503" s="582">
        <v>71.8</v>
      </c>
      <c r="AF503" s="258">
        <f t="shared" si="71"/>
        <v>71.8</v>
      </c>
      <c r="AG503" s="1424"/>
      <c r="AK503" s="344"/>
    </row>
    <row r="504" spans="4:37" hidden="1" outlineLevel="1" x14ac:dyDescent="0.25">
      <c r="D504" s="1337">
        <v>3412</v>
      </c>
      <c r="E504" s="1301" t="s">
        <v>1697</v>
      </c>
      <c r="F504" s="1301"/>
      <c r="G504" s="1623">
        <v>3412</v>
      </c>
      <c r="H504" s="2291"/>
      <c r="I504" s="2292"/>
      <c r="J504" s="2293"/>
      <c r="K504" s="2293"/>
      <c r="L504" s="2293"/>
      <c r="M504" s="583"/>
      <c r="V504" s="282">
        <f t="shared" si="72"/>
        <v>3412</v>
      </c>
      <c r="W504" s="1424">
        <v>3412</v>
      </c>
      <c r="X504" s="1424">
        <v>3412</v>
      </c>
      <c r="Y504" s="1424">
        <v>3412</v>
      </c>
      <c r="Z504" s="582">
        <v>3412</v>
      </c>
      <c r="AA504" s="582">
        <v>3412</v>
      </c>
      <c r="AB504" s="582">
        <v>3412</v>
      </c>
      <c r="AC504" s="582">
        <v>3412</v>
      </c>
      <c r="AD504" s="582">
        <v>3412</v>
      </c>
      <c r="AE504" s="582">
        <v>3412</v>
      </c>
      <c r="AF504" s="258">
        <f t="shared" si="71"/>
        <v>3412</v>
      </c>
      <c r="AG504" s="1424"/>
      <c r="AK504" s="344"/>
    </row>
    <row r="505" spans="4:37" ht="75.75" hidden="1" customHeight="1" outlineLevel="1" x14ac:dyDescent="0.25">
      <c r="D505" s="1337" t="s">
        <v>1698</v>
      </c>
      <c r="E505" s="1301" t="s">
        <v>1699</v>
      </c>
      <c r="F505" s="1301"/>
      <c r="G505" s="1516">
        <v>1.28</v>
      </c>
      <c r="H505" s="2294" t="s">
        <v>1700</v>
      </c>
      <c r="I505" s="2295"/>
      <c r="J505" s="2277"/>
      <c r="K505" s="2277"/>
      <c r="L505" s="2277"/>
      <c r="M505" s="583"/>
      <c r="V505" s="282" t="str">
        <f t="shared" si="72"/>
        <v>COP</v>
      </c>
      <c r="W505" s="1418">
        <v>1</v>
      </c>
      <c r="X505" s="1418">
        <v>1</v>
      </c>
      <c r="Y505" s="1418">
        <v>1</v>
      </c>
      <c r="Z505" s="77">
        <v>1</v>
      </c>
      <c r="AA505" s="77">
        <v>1</v>
      </c>
      <c r="AB505" s="77">
        <v>1</v>
      </c>
      <c r="AC505" s="77">
        <v>1</v>
      </c>
      <c r="AD505" s="77">
        <v>1</v>
      </c>
      <c r="AE505" s="77">
        <v>1</v>
      </c>
      <c r="AF505" s="258">
        <f t="shared" si="71"/>
        <v>1.28</v>
      </c>
      <c r="AG505" s="1418"/>
      <c r="AK505" s="344"/>
    </row>
    <row r="506" spans="4:37" ht="89.1" hidden="1" customHeight="1" outlineLevel="1" x14ac:dyDescent="0.25">
      <c r="D506" s="1337" t="s">
        <v>1701</v>
      </c>
      <c r="E506" s="1301" t="s">
        <v>1702</v>
      </c>
      <c r="F506" s="1301"/>
      <c r="G506" s="1633">
        <v>3.1399999999999997E-2</v>
      </c>
      <c r="H506" s="2294" t="s">
        <v>1703</v>
      </c>
      <c r="I506" s="2295"/>
      <c r="J506" s="2277" t="s">
        <v>1696</v>
      </c>
      <c r="K506" s="2277"/>
      <c r="L506" s="2277"/>
      <c r="M506" s="583"/>
      <c r="V506" s="282" t="str">
        <f t="shared" si="72"/>
        <v>Fe</v>
      </c>
      <c r="W506" s="1439">
        <v>3.1399999999999997E-2</v>
      </c>
      <c r="X506" s="1439">
        <v>3.1399999999999997E-2</v>
      </c>
      <c r="Y506" s="1439">
        <v>3.1399999999999997E-2</v>
      </c>
      <c r="Z506" s="584">
        <v>3.1399999999999997E-2</v>
      </c>
      <c r="AA506" s="584">
        <v>3.1399999999999997E-2</v>
      </c>
      <c r="AB506" s="584">
        <v>3.1399999999999997E-2</v>
      </c>
      <c r="AC506" s="584">
        <v>3.1399999999999997E-2</v>
      </c>
      <c r="AD506" s="584">
        <v>3.1399999999999997E-2</v>
      </c>
      <c r="AE506" s="584">
        <v>3.1399999999999997E-2</v>
      </c>
      <c r="AF506" s="258">
        <f t="shared" si="71"/>
        <v>3.1399999999999997E-2</v>
      </c>
      <c r="AG506" s="1439"/>
      <c r="AK506" s="344"/>
    </row>
    <row r="507" spans="4:37" ht="29.45" hidden="1" customHeight="1" outlineLevel="1" x14ac:dyDescent="0.25">
      <c r="D507" s="1337">
        <v>29.3</v>
      </c>
      <c r="E507" s="1301" t="s">
        <v>1704</v>
      </c>
      <c r="F507" s="1301"/>
      <c r="G507" s="1622">
        <v>29.3</v>
      </c>
      <c r="H507" s="2294" t="s">
        <v>1705</v>
      </c>
      <c r="I507" s="2295"/>
      <c r="J507" s="2277" t="s">
        <v>1696</v>
      </c>
      <c r="K507" s="2277"/>
      <c r="L507" s="2277"/>
      <c r="M507" s="583"/>
      <c r="V507" s="282">
        <f t="shared" si="72"/>
        <v>29.3</v>
      </c>
      <c r="W507" s="1426">
        <v>29.3</v>
      </c>
      <c r="X507" s="1426">
        <v>29.3</v>
      </c>
      <c r="Y507" s="1426">
        <v>29.3</v>
      </c>
      <c r="Z507" s="1342">
        <v>29.3</v>
      </c>
      <c r="AA507" s="1342">
        <v>29.3</v>
      </c>
      <c r="AB507" s="1342">
        <v>29.3</v>
      </c>
      <c r="AC507" s="1342">
        <v>29.3</v>
      </c>
      <c r="AD507" s="1342">
        <v>29.3</v>
      </c>
      <c r="AE507" s="1342">
        <v>29.3</v>
      </c>
      <c r="AF507" s="258">
        <f t="shared" si="71"/>
        <v>29.3</v>
      </c>
      <c r="AG507" s="1426"/>
      <c r="AK507" s="344"/>
    </row>
    <row r="508" spans="4:37" ht="29.1" hidden="1" customHeight="1" outlineLevel="1" x14ac:dyDescent="0.25">
      <c r="D508" s="585">
        <v>100000</v>
      </c>
      <c r="E508" s="1301" t="s">
        <v>1706</v>
      </c>
      <c r="F508" s="1301"/>
      <c r="G508" s="1623">
        <v>100000</v>
      </c>
      <c r="H508" s="2294" t="s">
        <v>1707</v>
      </c>
      <c r="I508" s="2295"/>
      <c r="J508" s="2254" t="s">
        <v>1708</v>
      </c>
      <c r="K508" s="2254"/>
      <c r="L508" s="2254"/>
      <c r="M508" s="583"/>
      <c r="V508" s="282">
        <f t="shared" si="72"/>
        <v>100000</v>
      </c>
      <c r="W508" s="1424">
        <v>100000</v>
      </c>
      <c r="X508" s="1424">
        <v>100000</v>
      </c>
      <c r="Y508" s="1424">
        <v>100000</v>
      </c>
      <c r="Z508" s="582">
        <v>100000</v>
      </c>
      <c r="AA508" s="582">
        <v>100000</v>
      </c>
      <c r="AB508" s="582">
        <v>100000</v>
      </c>
      <c r="AC508" s="582">
        <v>100000</v>
      </c>
      <c r="AD508" s="582">
        <v>100000</v>
      </c>
      <c r="AE508" s="582">
        <v>100000</v>
      </c>
      <c r="AF508" s="258">
        <f t="shared" si="71"/>
        <v>100000</v>
      </c>
      <c r="AG508" s="1424"/>
      <c r="AK508" s="344"/>
    </row>
    <row r="509" spans="4:37" ht="33.75" hidden="1" customHeight="1" outlineLevel="1" x14ac:dyDescent="0.25">
      <c r="D509" s="586" t="s">
        <v>1709</v>
      </c>
      <c r="E509" s="1301" t="s">
        <v>1710</v>
      </c>
      <c r="F509" s="1301"/>
      <c r="G509" s="1914">
        <v>0.71</v>
      </c>
      <c r="H509" s="2237"/>
      <c r="I509" s="2235"/>
      <c r="J509" s="2254"/>
      <c r="K509" s="2254"/>
      <c r="L509" s="2254"/>
      <c r="M509" s="583"/>
      <c r="V509" s="282" t="str">
        <f t="shared" si="72"/>
        <v>Effheat</v>
      </c>
      <c r="W509" s="1440">
        <v>0.78</v>
      </c>
      <c r="X509" s="1440">
        <v>0.78</v>
      </c>
      <c r="Y509" s="1440">
        <v>0.78</v>
      </c>
      <c r="Z509" s="587">
        <v>0.78</v>
      </c>
      <c r="AA509" s="587">
        <v>0.78</v>
      </c>
      <c r="AB509" s="587">
        <v>0.78</v>
      </c>
      <c r="AC509" s="587">
        <v>0.78</v>
      </c>
      <c r="AD509" s="587">
        <v>0.78</v>
      </c>
      <c r="AE509" s="587">
        <v>0.78</v>
      </c>
      <c r="AF509" s="258">
        <f t="shared" si="71"/>
        <v>0.71</v>
      </c>
      <c r="AG509" s="1440"/>
      <c r="AK509" s="344"/>
    </row>
    <row r="510" spans="4:37" hidden="1" outlineLevel="1" x14ac:dyDescent="0.25">
      <c r="D510" s="1306" t="s">
        <v>836</v>
      </c>
      <c r="E510" s="1306" t="s">
        <v>1711</v>
      </c>
      <c r="F510" s="1306"/>
      <c r="G510" s="1550">
        <v>1</v>
      </c>
      <c r="H510" s="2297" t="s">
        <v>839</v>
      </c>
      <c r="I510" s="2298"/>
      <c r="J510" s="2277" t="s">
        <v>1712</v>
      </c>
      <c r="K510" s="2277"/>
      <c r="L510" s="2277"/>
      <c r="M510" s="583"/>
      <c r="V510" s="282" t="str">
        <f t="shared" si="72"/>
        <v>Electric Saturation</v>
      </c>
      <c r="W510" s="314">
        <v>1</v>
      </c>
      <c r="X510" s="314">
        <v>1</v>
      </c>
      <c r="Y510" s="314">
        <v>1</v>
      </c>
      <c r="Z510" s="353">
        <v>1</v>
      </c>
      <c r="AA510" s="353">
        <v>1</v>
      </c>
      <c r="AB510" s="353">
        <v>1</v>
      </c>
      <c r="AC510" s="353">
        <v>1</v>
      </c>
      <c r="AD510" s="353">
        <v>1</v>
      </c>
      <c r="AE510" s="353">
        <v>1</v>
      </c>
      <c r="AF510" s="258">
        <f t="shared" si="71"/>
        <v>1</v>
      </c>
      <c r="AG510" s="314"/>
      <c r="AK510" s="344"/>
    </row>
    <row r="511" spans="4:37" hidden="1" outlineLevel="1" x14ac:dyDescent="0.25">
      <c r="D511" s="1306" t="s">
        <v>814</v>
      </c>
      <c r="E511" s="1306" t="s">
        <v>786</v>
      </c>
      <c r="F511" s="1306"/>
      <c r="G511" s="1550">
        <v>1</v>
      </c>
      <c r="H511" s="2297" t="s">
        <v>839</v>
      </c>
      <c r="I511" s="2298"/>
      <c r="J511" s="2277" t="s">
        <v>1712</v>
      </c>
      <c r="K511" s="2277"/>
      <c r="L511" s="2277"/>
      <c r="M511" s="583"/>
      <c r="V511" s="282" t="str">
        <f t="shared" si="72"/>
        <v>Utility Adjustment</v>
      </c>
      <c r="W511" s="314">
        <v>1</v>
      </c>
      <c r="X511" s="314">
        <v>1</v>
      </c>
      <c r="Y511" s="314">
        <v>1</v>
      </c>
      <c r="Z511" s="353">
        <v>1</v>
      </c>
      <c r="AA511" s="353">
        <v>1</v>
      </c>
      <c r="AB511" s="353">
        <v>1</v>
      </c>
      <c r="AC511" s="353">
        <v>1</v>
      </c>
      <c r="AD511" s="353">
        <v>1</v>
      </c>
      <c r="AE511" s="353">
        <v>1</v>
      </c>
      <c r="AF511" s="258">
        <f t="shared" si="71"/>
        <v>1</v>
      </c>
      <c r="AG511" s="314"/>
      <c r="AK511" s="344"/>
    </row>
    <row r="512" spans="4:37" hidden="1" outlineLevel="1" x14ac:dyDescent="0.25">
      <c r="D512" s="1337" t="s">
        <v>104</v>
      </c>
      <c r="E512" s="1337" t="s">
        <v>1713</v>
      </c>
      <c r="F512" s="1368"/>
      <c r="G512" s="1551">
        <v>1</v>
      </c>
      <c r="H512" s="2237" t="s">
        <v>1714</v>
      </c>
      <c r="I512" s="2235"/>
      <c r="J512" s="2254" t="s">
        <v>1715</v>
      </c>
      <c r="K512" s="2254"/>
      <c r="L512" s="2254"/>
      <c r="M512" s="583"/>
      <c r="V512" s="282" t="str">
        <f t="shared" si="72"/>
        <v>ISR</v>
      </c>
      <c r="W512" s="315">
        <v>1</v>
      </c>
      <c r="X512" s="315">
        <v>1</v>
      </c>
      <c r="Y512" s="315">
        <v>1</v>
      </c>
      <c r="Z512" s="348">
        <v>1</v>
      </c>
      <c r="AA512" s="348">
        <v>1</v>
      </c>
      <c r="AB512" s="348">
        <v>1</v>
      </c>
      <c r="AC512" s="382">
        <v>1</v>
      </c>
      <c r="AD512" s="382">
        <v>1</v>
      </c>
      <c r="AE512" s="382">
        <v>1</v>
      </c>
      <c r="AF512" s="258">
        <f t="shared" si="71"/>
        <v>1</v>
      </c>
      <c r="AG512" s="315"/>
      <c r="AK512" s="344"/>
    </row>
    <row r="513" spans="2:114" ht="47.25" hidden="1" customHeight="1" outlineLevel="1" x14ac:dyDescent="0.25">
      <c r="D513" s="1370" t="str">
        <f>D478</f>
        <v>EUL</v>
      </c>
      <c r="E513" s="1370" t="str">
        <f>E478</f>
        <v>Effective Useful Life</v>
      </c>
      <c r="F513" s="326" t="s">
        <v>734</v>
      </c>
      <c r="G513" s="1509">
        <v>20</v>
      </c>
      <c r="H513" s="2297" t="s">
        <v>1716</v>
      </c>
      <c r="I513" s="2298"/>
      <c r="J513" s="2277"/>
      <c r="K513" s="2277"/>
      <c r="L513" s="2277"/>
      <c r="M513" s="583"/>
      <c r="V513" s="282" t="str">
        <f>D513</f>
        <v>EUL</v>
      </c>
      <c r="W513" s="316">
        <v>20</v>
      </c>
      <c r="X513" s="316">
        <v>20</v>
      </c>
      <c r="Y513" s="316">
        <v>20</v>
      </c>
      <c r="Z513" s="242">
        <v>20</v>
      </c>
      <c r="AA513" s="242">
        <v>20</v>
      </c>
      <c r="AB513" s="242">
        <v>20</v>
      </c>
      <c r="AC513" s="388">
        <v>20</v>
      </c>
      <c r="AD513" s="388">
        <v>20</v>
      </c>
      <c r="AE513" s="388">
        <v>20</v>
      </c>
      <c r="AF513" s="258">
        <f t="shared" si="71"/>
        <v>20</v>
      </c>
      <c r="AG513" s="316"/>
      <c r="AK513" s="344"/>
    </row>
    <row r="514" spans="2:114" hidden="1" outlineLevel="1" x14ac:dyDescent="0.25">
      <c r="D514" s="1370" t="str">
        <f>D479</f>
        <v>Inc. Cost</v>
      </c>
      <c r="E514" s="1370" t="str">
        <f>E479</f>
        <v>Incremental Cost</v>
      </c>
      <c r="F514" s="710" t="s">
        <v>734</v>
      </c>
      <c r="G514" s="1546">
        <f>138.7/SQRT(1080)</f>
        <v>4.2205065958870298</v>
      </c>
      <c r="H514" s="2237"/>
      <c r="I514" s="2235"/>
      <c r="J514" s="2254" t="s">
        <v>1717</v>
      </c>
      <c r="K514" s="2254"/>
      <c r="L514" s="2254"/>
      <c r="M514" s="583"/>
      <c r="V514" s="282" t="str">
        <f>D514</f>
        <v>Inc. Cost</v>
      </c>
      <c r="W514" s="285">
        <v>138.69999999999999</v>
      </c>
      <c r="X514" s="285">
        <v>138.69999999999999</v>
      </c>
      <c r="Y514" s="193">
        <f>138.7/SQRT(1080)</f>
        <v>4.2205065958870298</v>
      </c>
      <c r="Z514" s="129">
        <f>138.7/SQRT(1080)</f>
        <v>4.2205065958870298</v>
      </c>
      <c r="AA514" s="129">
        <f>138.7/SQRT(1080)</f>
        <v>4.2205065958870298</v>
      </c>
      <c r="AB514" s="129">
        <v>4.2205065958870298</v>
      </c>
      <c r="AC514" s="129">
        <v>4.2205065958870298</v>
      </c>
      <c r="AD514" s="129">
        <v>4.2205065958870298</v>
      </c>
      <c r="AE514" s="129">
        <v>4.2205065958870298</v>
      </c>
      <c r="AF514" s="258">
        <f t="shared" si="71"/>
        <v>4.2205065958870298</v>
      </c>
      <c r="AG514" s="285"/>
      <c r="AK514" s="344"/>
    </row>
    <row r="515" spans="2:114" hidden="1" outlineLevel="1" x14ac:dyDescent="0.25">
      <c r="D515" s="1335"/>
      <c r="E515" s="1335"/>
      <c r="F515" s="588"/>
      <c r="G515" s="588"/>
      <c r="H515" s="588"/>
      <c r="Y515" s="527" t="s">
        <v>1517</v>
      </c>
      <c r="AK515" s="344"/>
    </row>
    <row r="516" spans="2:114" collapsed="1" x14ac:dyDescent="0.25">
      <c r="D516" s="1335"/>
      <c r="E516" s="1335"/>
      <c r="F516" s="588"/>
      <c r="G516" s="588"/>
      <c r="H516" s="588"/>
      <c r="AK516" s="344"/>
    </row>
    <row r="517" spans="2:114" x14ac:dyDescent="0.25">
      <c r="B517" s="2134" t="s">
        <v>1718</v>
      </c>
      <c r="C517" s="2135"/>
      <c r="D517" s="2135"/>
      <c r="E517" s="2135"/>
      <c r="F517" s="2135"/>
      <c r="G517" s="2135"/>
      <c r="H517" s="2135"/>
      <c r="I517" s="2082"/>
      <c r="J517" s="2082"/>
      <c r="K517" s="2082"/>
      <c r="L517" s="2082"/>
      <c r="M517" s="2082"/>
      <c r="N517" s="2082"/>
      <c r="O517" s="2082"/>
      <c r="P517" s="2082"/>
      <c r="Q517" s="2082"/>
      <c r="R517" s="2083"/>
      <c r="V517" s="2103" t="str">
        <f>B517</f>
        <v>Duct Repair (Duct Sealing and Repair - Methodology 3)</v>
      </c>
      <c r="W517" s="2104"/>
      <c r="X517" s="2104"/>
      <c r="Y517" s="2104"/>
      <c r="Z517" s="2104"/>
      <c r="AA517" s="2104"/>
      <c r="AB517" s="2104"/>
      <c r="AC517" s="2106"/>
      <c r="AD517" s="2106"/>
      <c r="AE517" s="2106"/>
      <c r="AF517" s="2106"/>
      <c r="AG517" s="2106"/>
      <c r="AH517" s="2106"/>
      <c r="AI517" s="2107"/>
      <c r="AK517" s="344"/>
    </row>
    <row r="518" spans="2:114" ht="15" customHeight="1" x14ac:dyDescent="0.25">
      <c r="AK518" s="344"/>
    </row>
    <row r="519" spans="2:114" ht="45" x14ac:dyDescent="0.25">
      <c r="C519" s="1300" t="s">
        <v>42</v>
      </c>
      <c r="D519" s="1300" t="s">
        <v>594</v>
      </c>
      <c r="E519" s="1300" t="s">
        <v>44</v>
      </c>
      <c r="F519" s="1300" t="s">
        <v>1661</v>
      </c>
      <c r="G519" s="1300" t="s">
        <v>46</v>
      </c>
      <c r="H519" s="1300" t="s">
        <v>47</v>
      </c>
      <c r="I519" s="1300" t="s">
        <v>1662</v>
      </c>
      <c r="J519" s="1300" t="s">
        <v>1663</v>
      </c>
      <c r="K519" s="1300" t="s">
        <v>48</v>
      </c>
      <c r="L519" s="1300" t="s">
        <v>49</v>
      </c>
      <c r="M519" s="1300" t="s">
        <v>1665</v>
      </c>
      <c r="N519" s="1300" t="s">
        <v>1666</v>
      </c>
      <c r="V519" s="648" t="s">
        <v>52</v>
      </c>
      <c r="W519" s="649">
        <f>W$6</f>
        <v>43252</v>
      </c>
      <c r="X519" s="649">
        <f t="shared" ref="X519:AG519" si="73">X$6</f>
        <v>43465</v>
      </c>
      <c r="Y519" s="110">
        <f t="shared" si="73"/>
        <v>43800</v>
      </c>
      <c r="Z519" s="649">
        <f t="shared" si="73"/>
        <v>43862</v>
      </c>
      <c r="AA519" s="649">
        <f t="shared" si="73"/>
        <v>44013</v>
      </c>
      <c r="AB519" s="649">
        <f t="shared" si="73"/>
        <v>44166</v>
      </c>
      <c r="AC519" s="649">
        <f t="shared" si="73"/>
        <v>44531</v>
      </c>
      <c r="AD519" s="649">
        <f t="shared" si="73"/>
        <v>44774</v>
      </c>
      <c r="AE519" s="649">
        <f t="shared" si="73"/>
        <v>45139</v>
      </c>
      <c r="AF519" s="649">
        <f t="shared" si="73"/>
        <v>45672</v>
      </c>
      <c r="AG519" s="649" t="str">
        <f t="shared" si="73"/>
        <v>-</v>
      </c>
      <c r="AK519" s="344"/>
      <c r="DG519" s="1018" t="str">
        <f>$DG$6</f>
        <v>TRC (2025)</v>
      </c>
      <c r="DH519" s="776" t="str">
        <f>$DH$6</f>
        <v>Benefit Lookup</v>
      </c>
      <c r="DI519" s="1034" t="str">
        <f>$DI$6</f>
        <v>Benefits (2025 $)</v>
      </c>
      <c r="DJ519" s="1060" t="str">
        <f>$DJ$6</f>
        <v>Incremental Cost (2025 $)</v>
      </c>
    </row>
    <row r="520" spans="2:114" ht="15" customHeight="1" x14ac:dyDescent="0.25">
      <c r="B520" s="1384">
        <f t="shared" ref="B520:B525" si="74">VALUE(LEFT(C520,6))</f>
        <v>402450</v>
      </c>
      <c r="C520" s="134" t="s">
        <v>1719</v>
      </c>
      <c r="D520" s="537" t="s">
        <v>825</v>
      </c>
      <c r="E520" s="122" t="s">
        <v>1720</v>
      </c>
      <c r="F520" s="173">
        <f t="shared" ref="F520:F525" si="75">ROUND(I520+J520,2)</f>
        <v>4.92</v>
      </c>
      <c r="G520" s="134" t="s">
        <v>802</v>
      </c>
      <c r="H520" s="66">
        <f>VLOOKUP(G520,'CP FACTORS'!$A$3:$B$38, 2, FALSE)</f>
        <v>4.6608050000000002E-4</v>
      </c>
      <c r="I520" s="323">
        <f>$G$533*$G$536</f>
        <v>0.81</v>
      </c>
      <c r="J520" s="323">
        <f>$G$537*$G$536</f>
        <v>4.1100000000000003</v>
      </c>
      <c r="K520" s="261">
        <f t="shared" ref="K520:K525" si="76">ROUND(H520*F520,6)</f>
        <v>2.2929999999999999E-3</v>
      </c>
      <c r="L520" s="323">
        <f t="shared" ref="L520:L525" si="77">$G$548</f>
        <v>20</v>
      </c>
      <c r="M520" s="194">
        <f t="shared" ref="M520:M525" si="78">$G$549</f>
        <v>8.0376653213977498</v>
      </c>
      <c r="N520" s="323">
        <f t="shared" ref="N520:N525" si="79">$G$536</f>
        <v>1</v>
      </c>
      <c r="V520" s="342" t="str">
        <f t="shared" ref="V520:V525" si="80">$F$484</f>
        <v>kWh
Annual Savings</v>
      </c>
      <c r="W520" s="317">
        <v>183.23284858343499</v>
      </c>
      <c r="X520" s="256">
        <v>183.23284858343499</v>
      </c>
      <c r="Y520" s="259">
        <v>4.92</v>
      </c>
      <c r="Z520" s="257">
        <v>4.92</v>
      </c>
      <c r="AA520" s="257">
        <v>4.92</v>
      </c>
      <c r="AB520" s="400">
        <v>4.92</v>
      </c>
      <c r="AC520" s="173">
        <v>4.92</v>
      </c>
      <c r="AD520" s="173">
        <v>4.92</v>
      </c>
      <c r="AE520" s="173">
        <v>4.92</v>
      </c>
      <c r="AF520" s="258">
        <f t="shared" ref="AF520:AF525" si="81">IF(F520&lt;&gt;"",F520,"")</f>
        <v>4.92</v>
      </c>
      <c r="AG520" s="342"/>
      <c r="AK520" s="344"/>
      <c r="DG520" s="1020">
        <f t="shared" ref="DG520:DG525" si="82">(DI520)/(DJ520)</f>
        <v>0.93198113324130205</v>
      </c>
      <c r="DH520" s="1330" t="str">
        <f t="shared" ref="DH520:DH525" si="83">CONCATENATE(G520," ",L520," Year EUL")</f>
        <v>HVAC RES 20 Year EUL</v>
      </c>
      <c r="DI520" s="969">
        <f>(INDEX('Avoided Cost Benefits'!$B$4:$B$865,MATCH(DH520,'Avoided Cost Benefits'!$A$4:$A$865,0)))*F520</f>
        <v>7.4909524348505894</v>
      </c>
      <c r="DJ520" s="1954">
        <f t="shared" ref="DJ520:DJ525" si="84">IFERROR(M520/((1+DiscountRate)^(CurrentYear-DiscountYear)),0)</f>
        <v>8.0376653213977498</v>
      </c>
    </row>
    <row r="521" spans="2:114" ht="15" customHeight="1" x14ac:dyDescent="0.25">
      <c r="B521" s="1384">
        <f t="shared" si="74"/>
        <v>402451</v>
      </c>
      <c r="C521" s="134" t="s">
        <v>1721</v>
      </c>
      <c r="D521" s="537" t="s">
        <v>825</v>
      </c>
      <c r="E521" s="122" t="s">
        <v>1722</v>
      </c>
      <c r="F521" s="173">
        <f t="shared" si="75"/>
        <v>1</v>
      </c>
      <c r="G521" s="134" t="s">
        <v>802</v>
      </c>
      <c r="H521" s="66">
        <f>VLOOKUP(G521,'CP FACTORS'!$A$3:$B$38, 2, FALSE)</f>
        <v>4.6608050000000002E-4</v>
      </c>
      <c r="I521" s="323">
        <f>$G$533*$G$536</f>
        <v>0.81</v>
      </c>
      <c r="J521" s="323">
        <f>$G$540*$G$536*$G$543*$G$544</f>
        <v>0.19320419999999999</v>
      </c>
      <c r="K521" s="261">
        <f t="shared" si="76"/>
        <v>4.66E-4</v>
      </c>
      <c r="L521" s="323">
        <f t="shared" si="77"/>
        <v>20</v>
      </c>
      <c r="M521" s="194">
        <f t="shared" si="78"/>
        <v>8.0376653213977498</v>
      </c>
      <c r="N521" s="323">
        <f t="shared" si="79"/>
        <v>1</v>
      </c>
      <c r="V521" s="342" t="str">
        <f t="shared" si="80"/>
        <v>kWh
Annual Savings</v>
      </c>
      <c r="W521" s="317"/>
      <c r="X521" s="256"/>
      <c r="Y521" s="259">
        <v>1.02</v>
      </c>
      <c r="Z521" s="257">
        <v>1.02</v>
      </c>
      <c r="AA521" s="257">
        <v>1.02</v>
      </c>
      <c r="AB521" s="400">
        <v>1.02</v>
      </c>
      <c r="AC521" s="192">
        <v>1</v>
      </c>
      <c r="AD521" s="173">
        <v>1</v>
      </c>
      <c r="AE521" s="173">
        <v>1</v>
      </c>
      <c r="AF521" s="258">
        <f t="shared" si="81"/>
        <v>1</v>
      </c>
      <c r="AG521" s="342"/>
      <c r="AK521" s="344"/>
      <c r="DG521" s="1021">
        <f t="shared" si="82"/>
        <v>0.18942705960189066</v>
      </c>
      <c r="DH521" s="653" t="str">
        <f t="shared" si="83"/>
        <v>HVAC RES 20 Year EUL</v>
      </c>
      <c r="DI521" s="538">
        <f>(INDEX('Avoided Cost Benefits'!$B$4:$B$865,MATCH(DH521,'Avoided Cost Benefits'!$A$4:$A$865,0)))*F521</f>
        <v>1.5225513078964612</v>
      </c>
      <c r="DJ521" s="1955">
        <f t="shared" si="84"/>
        <v>8.0376653213977498</v>
      </c>
    </row>
    <row r="522" spans="2:114" ht="15" customHeight="1" x14ac:dyDescent="0.25">
      <c r="B522" s="1384">
        <f t="shared" si="74"/>
        <v>402452</v>
      </c>
      <c r="C522" s="134" t="s">
        <v>1723</v>
      </c>
      <c r="D522" s="537" t="s">
        <v>600</v>
      </c>
      <c r="E522" s="122" t="s">
        <v>1724</v>
      </c>
      <c r="F522" s="173">
        <f t="shared" si="75"/>
        <v>4.1100000000000003</v>
      </c>
      <c r="G522" s="134" t="s">
        <v>802</v>
      </c>
      <c r="H522" s="66">
        <f>VLOOKUP(G522,'CP FACTORS'!$A$3:$B$38, 2, FALSE)</f>
        <v>4.6608050000000002E-4</v>
      </c>
      <c r="I522" s="526">
        <f>$G$534*$G$536</f>
        <v>0.7</v>
      </c>
      <c r="J522" s="526">
        <f>$G$538*$G$536</f>
        <v>3.41</v>
      </c>
      <c r="K522" s="769">
        <f t="shared" si="76"/>
        <v>1.916E-3</v>
      </c>
      <c r="L522" s="323">
        <f t="shared" si="77"/>
        <v>20</v>
      </c>
      <c r="M522" s="710">
        <f t="shared" si="78"/>
        <v>8.0376653213977498</v>
      </c>
      <c r="N522" s="323">
        <f t="shared" si="79"/>
        <v>1</v>
      </c>
      <c r="V522" s="1307" t="str">
        <f t="shared" si="80"/>
        <v>kWh
Annual Savings</v>
      </c>
      <c r="W522" s="716"/>
      <c r="X522" s="717"/>
      <c r="Y522" s="259"/>
      <c r="Z522" s="259"/>
      <c r="AA522" s="259"/>
      <c r="AB522" s="112">
        <v>4.1100000000000003</v>
      </c>
      <c r="AC522" s="173">
        <v>4.1100000000000003</v>
      </c>
      <c r="AD522" s="173">
        <v>4.1100000000000003</v>
      </c>
      <c r="AE522" s="173">
        <v>4.1100000000000003</v>
      </c>
      <c r="AF522" s="258">
        <f t="shared" si="81"/>
        <v>4.1100000000000003</v>
      </c>
      <c r="AG522" s="342"/>
      <c r="AK522" s="344"/>
      <c r="DG522" s="1021">
        <f t="shared" si="82"/>
        <v>0.77854521496377072</v>
      </c>
      <c r="DH522" s="653" t="str">
        <f t="shared" si="83"/>
        <v>HVAC RES 20 Year EUL</v>
      </c>
      <c r="DI522" s="538">
        <f>(INDEX('Avoided Cost Benefits'!$B$4:$B$865,MATCH(DH522,'Avoided Cost Benefits'!$A$4:$A$865,0)))*F522</f>
        <v>6.257685875454456</v>
      </c>
      <c r="DJ522" s="1955">
        <f t="shared" si="84"/>
        <v>8.0376653213977498</v>
      </c>
    </row>
    <row r="523" spans="2:114" ht="15" customHeight="1" x14ac:dyDescent="0.25">
      <c r="B523" s="1384">
        <f t="shared" si="74"/>
        <v>402453</v>
      </c>
      <c r="C523" s="134" t="s">
        <v>1725</v>
      </c>
      <c r="D523" s="537" t="s">
        <v>600</v>
      </c>
      <c r="E523" s="122" t="s">
        <v>1726</v>
      </c>
      <c r="F523" s="173">
        <f t="shared" si="75"/>
        <v>0.87</v>
      </c>
      <c r="G523" s="134" t="s">
        <v>802</v>
      </c>
      <c r="H523" s="66">
        <f>VLOOKUP(G523,'CP FACTORS'!$A$3:$B$38, 2, FALSE)</f>
        <v>4.6608050000000002E-4</v>
      </c>
      <c r="I523" s="526">
        <f>$G$534*$G$536</f>
        <v>0.7</v>
      </c>
      <c r="J523" s="526">
        <f>$G$541*$G$536*$G$543*$G$544</f>
        <v>0.17480380000000001</v>
      </c>
      <c r="K523" s="769">
        <f t="shared" si="76"/>
        <v>4.0499999999999998E-4</v>
      </c>
      <c r="L523" s="323">
        <f t="shared" si="77"/>
        <v>20</v>
      </c>
      <c r="M523" s="710">
        <f t="shared" si="78"/>
        <v>8.0376653213977498</v>
      </c>
      <c r="N523" s="323">
        <f t="shared" si="79"/>
        <v>1</v>
      </c>
      <c r="V523" s="1307" t="str">
        <f t="shared" si="80"/>
        <v>kWh
Annual Savings</v>
      </c>
      <c r="W523" s="716"/>
      <c r="X523" s="717"/>
      <c r="Y523" s="259"/>
      <c r="Z523" s="259"/>
      <c r="AA523" s="259"/>
      <c r="AB523" s="112">
        <v>0.89</v>
      </c>
      <c r="AC523" s="192">
        <v>0.87</v>
      </c>
      <c r="AD523" s="173">
        <v>0.87</v>
      </c>
      <c r="AE523" s="173">
        <v>0.87</v>
      </c>
      <c r="AF523" s="258">
        <f t="shared" si="81"/>
        <v>0.87</v>
      </c>
      <c r="AG523" s="342"/>
      <c r="AK523" s="344"/>
      <c r="DG523" s="1021">
        <f t="shared" si="82"/>
        <v>0.16480154185364487</v>
      </c>
      <c r="DH523" s="653" t="str">
        <f t="shared" si="83"/>
        <v>HVAC RES 20 Year EUL</v>
      </c>
      <c r="DI523" s="538">
        <f>(INDEX('Avoided Cost Benefits'!$B$4:$B$865,MATCH(DH523,'Avoided Cost Benefits'!$A$4:$A$865,0)))*F523</f>
        <v>1.3246196378699213</v>
      </c>
      <c r="DJ523" s="1955">
        <f t="shared" si="84"/>
        <v>8.0376653213977498</v>
      </c>
    </row>
    <row r="524" spans="2:114" ht="15" customHeight="1" x14ac:dyDescent="0.25">
      <c r="B524" s="1384">
        <f t="shared" si="74"/>
        <v>402500</v>
      </c>
      <c r="C524" s="134" t="s">
        <v>1727</v>
      </c>
      <c r="D524" s="537" t="s">
        <v>825</v>
      </c>
      <c r="E524" s="122" t="s">
        <v>1728</v>
      </c>
      <c r="F524" s="173">
        <f t="shared" si="75"/>
        <v>6.01</v>
      </c>
      <c r="G524" s="134" t="s">
        <v>802</v>
      </c>
      <c r="H524" s="66">
        <f>VLOOKUP(G524,'CP FACTORS'!$A$3:$B$38, 2, FALSE)</f>
        <v>4.6608050000000002E-4</v>
      </c>
      <c r="I524" s="323">
        <f>G535*G536</f>
        <v>0.95</v>
      </c>
      <c r="J524" s="323">
        <f>$G$539*$G$536</f>
        <v>5.0599999999999996</v>
      </c>
      <c r="K524" s="261">
        <f t="shared" si="76"/>
        <v>2.8010000000000001E-3</v>
      </c>
      <c r="L524" s="323">
        <f t="shared" si="77"/>
        <v>20</v>
      </c>
      <c r="M524" s="194">
        <f t="shared" si="78"/>
        <v>8.0376653213977498</v>
      </c>
      <c r="N524" s="323">
        <f t="shared" si="79"/>
        <v>1</v>
      </c>
      <c r="V524" s="1307" t="str">
        <f t="shared" si="80"/>
        <v>kWh
Annual Savings</v>
      </c>
      <c r="W524" s="317">
        <v>218.61317503755345</v>
      </c>
      <c r="X524" s="256">
        <v>218.61317503755345</v>
      </c>
      <c r="Y524" s="259">
        <v>6.01</v>
      </c>
      <c r="Z524" s="257">
        <v>6.01</v>
      </c>
      <c r="AA524" s="257">
        <v>6.01</v>
      </c>
      <c r="AB524" s="400">
        <v>6.01</v>
      </c>
      <c r="AC524" s="173">
        <v>6.01</v>
      </c>
      <c r="AD524" s="173">
        <v>6.01</v>
      </c>
      <c r="AE524" s="173">
        <v>6.01</v>
      </c>
      <c r="AF524" s="258">
        <f t="shared" si="81"/>
        <v>6.01</v>
      </c>
      <c r="AG524" s="342"/>
      <c r="AK524" s="344"/>
      <c r="DG524" s="1021">
        <f t="shared" si="82"/>
        <v>1.1384566282073629</v>
      </c>
      <c r="DH524" s="653" t="str">
        <f t="shared" si="83"/>
        <v>HVAC RES 20 Year EUL</v>
      </c>
      <c r="DI524" s="538">
        <f>(INDEX('Avoided Cost Benefits'!$B$4:$B$865,MATCH(DH524,'Avoided Cost Benefits'!$A$4:$A$865,0)))*F524</f>
        <v>9.1505333604577324</v>
      </c>
      <c r="DJ524" s="1955">
        <f t="shared" si="84"/>
        <v>8.0376653213977498</v>
      </c>
    </row>
    <row r="525" spans="2:114" ht="15" customHeight="1" x14ac:dyDescent="0.25">
      <c r="B525" s="1384">
        <f t="shared" si="74"/>
        <v>402501</v>
      </c>
      <c r="C525" s="134" t="s">
        <v>1729</v>
      </c>
      <c r="D525" s="537" t="s">
        <v>825</v>
      </c>
      <c r="E525" s="122" t="s">
        <v>1730</v>
      </c>
      <c r="F525" s="173">
        <f t="shared" si="75"/>
        <v>1.19</v>
      </c>
      <c r="G525" s="134" t="s">
        <v>802</v>
      </c>
      <c r="H525" s="66">
        <f>VLOOKUP(G525,'CP FACTORS'!$A$3:$B$38, 2, FALSE)</f>
        <v>4.6608050000000002E-4</v>
      </c>
      <c r="I525" s="323">
        <f>$G$535*$G$536</f>
        <v>0.95</v>
      </c>
      <c r="J525" s="323">
        <f>$G$542*$G$536*$G$543*$G$544</f>
        <v>0.23920519999999998</v>
      </c>
      <c r="K525" s="261">
        <f t="shared" si="76"/>
        <v>5.5500000000000005E-4</v>
      </c>
      <c r="L525" s="323">
        <f t="shared" si="77"/>
        <v>20</v>
      </c>
      <c r="M525" s="194">
        <f t="shared" si="78"/>
        <v>8.0376653213977498</v>
      </c>
      <c r="N525" s="323">
        <f t="shared" si="79"/>
        <v>1</v>
      </c>
      <c r="V525" s="342" t="str">
        <f t="shared" si="80"/>
        <v>kWh
Annual Savings</v>
      </c>
      <c r="W525" s="317"/>
      <c r="X525" s="256"/>
      <c r="Y525" s="259">
        <v>1.21</v>
      </c>
      <c r="Z525" s="257">
        <v>1.21</v>
      </c>
      <c r="AA525" s="257">
        <v>1.21</v>
      </c>
      <c r="AB525" s="400">
        <v>1.21</v>
      </c>
      <c r="AC525" s="192">
        <v>1.19</v>
      </c>
      <c r="AD525" s="173">
        <v>1.19</v>
      </c>
      <c r="AE525" s="173">
        <v>1.19</v>
      </c>
      <c r="AF525" s="258">
        <f t="shared" si="81"/>
        <v>1.19</v>
      </c>
      <c r="AG525" s="342"/>
      <c r="AK525" s="344"/>
      <c r="DG525" s="1022">
        <f t="shared" si="82"/>
        <v>0.22541820092624987</v>
      </c>
      <c r="DH525" s="653" t="str">
        <f t="shared" si="83"/>
        <v>HVAC RES 20 Year EUL</v>
      </c>
      <c r="DI525" s="1030">
        <f>(INDEX('Avoided Cost Benefits'!$B$4:$B$865,MATCH(DH525,'Avoided Cost Benefits'!$A$4:$A$865,0)))*F525</f>
        <v>1.8118360563967888</v>
      </c>
      <c r="DJ525" s="1956">
        <f t="shared" si="84"/>
        <v>8.0376653213977498</v>
      </c>
    </row>
    <row r="526" spans="2:114" ht="15" hidden="1" customHeight="1" outlineLevel="1" x14ac:dyDescent="0.25">
      <c r="D526" s="74" t="s">
        <v>94</v>
      </c>
      <c r="E526" s="74" t="s">
        <v>1731</v>
      </c>
      <c r="I526" s="270" t="s">
        <v>1674</v>
      </c>
      <c r="Y526" s="527" t="s">
        <v>1517</v>
      </c>
      <c r="AK526" s="344"/>
      <c r="DJ526" s="1127"/>
    </row>
    <row r="527" spans="2:114" ht="15" hidden="1" customHeight="1" outlineLevel="1" x14ac:dyDescent="0.25">
      <c r="D527" s="74" t="s">
        <v>604</v>
      </c>
      <c r="E527" s="127" t="s">
        <v>1732</v>
      </c>
      <c r="F527" s="268"/>
      <c r="G527" s="268"/>
      <c r="AK527" s="344"/>
      <c r="DJ527" s="1127"/>
    </row>
    <row r="528" spans="2:114" ht="15" hidden="1" customHeight="1" outlineLevel="1" x14ac:dyDescent="0.25">
      <c r="D528" s="127" t="s">
        <v>1733</v>
      </c>
      <c r="E528" s="127" t="s">
        <v>1734</v>
      </c>
      <c r="F528" s="268"/>
      <c r="G528" s="268"/>
      <c r="AK528" s="344"/>
      <c r="DJ528" s="1127"/>
    </row>
    <row r="529" spans="4:114" hidden="1" outlineLevel="1" x14ac:dyDescent="0.25">
      <c r="E529" s="127" t="s">
        <v>1735</v>
      </c>
      <c r="F529" s="268"/>
      <c r="G529" s="268"/>
      <c r="AK529" s="344"/>
      <c r="DJ529" s="1127"/>
    </row>
    <row r="530" spans="4:114" ht="15" hidden="1" customHeight="1" outlineLevel="1" x14ac:dyDescent="0.25">
      <c r="E530" s="127" t="s">
        <v>1736</v>
      </c>
      <c r="F530" s="268"/>
      <c r="G530" s="268"/>
      <c r="AK530" s="344"/>
      <c r="DJ530" s="1127"/>
    </row>
    <row r="531" spans="4:114" ht="15" hidden="1" customHeight="1" outlineLevel="1" x14ac:dyDescent="0.25">
      <c r="AK531" s="344"/>
      <c r="DJ531" s="1127"/>
    </row>
    <row r="532" spans="4:114" ht="15" hidden="1" customHeight="1" outlineLevel="1" x14ac:dyDescent="0.25">
      <c r="D532" s="1373" t="s">
        <v>712</v>
      </c>
      <c r="E532" s="1373" t="s">
        <v>608</v>
      </c>
      <c r="F532" s="1300" t="s">
        <v>609</v>
      </c>
      <c r="G532" s="1300" t="s">
        <v>610</v>
      </c>
      <c r="H532" s="2108" t="s">
        <v>611</v>
      </c>
      <c r="I532" s="2108"/>
      <c r="J532" s="2108" t="s">
        <v>612</v>
      </c>
      <c r="K532" s="2108"/>
      <c r="L532" s="2108"/>
      <c r="V532" s="648" t="s">
        <v>52</v>
      </c>
      <c r="W532" s="649">
        <f>W$6</f>
        <v>43252</v>
      </c>
      <c r="X532" s="649">
        <f t="shared" ref="X532:AG532" si="85">X$6</f>
        <v>43465</v>
      </c>
      <c r="Y532" s="110">
        <f t="shared" si="85"/>
        <v>43800</v>
      </c>
      <c r="Z532" s="649">
        <f t="shared" si="85"/>
        <v>43862</v>
      </c>
      <c r="AA532" s="649">
        <f t="shared" si="85"/>
        <v>44013</v>
      </c>
      <c r="AB532" s="649">
        <f t="shared" si="85"/>
        <v>44166</v>
      </c>
      <c r="AC532" s="649">
        <f t="shared" si="85"/>
        <v>44531</v>
      </c>
      <c r="AD532" s="649">
        <f t="shared" si="85"/>
        <v>44774</v>
      </c>
      <c r="AE532" s="649">
        <f t="shared" si="85"/>
        <v>45139</v>
      </c>
      <c r="AF532" s="649">
        <f t="shared" si="85"/>
        <v>45672</v>
      </c>
      <c r="AG532" s="649" t="str">
        <f t="shared" si="85"/>
        <v>-</v>
      </c>
      <c r="AK532" s="344"/>
      <c r="DJ532" s="1127"/>
    </row>
    <row r="533" spans="4:114" hidden="1" outlineLevel="1" x14ac:dyDescent="0.25">
      <c r="D533" s="2226" t="s">
        <v>1737</v>
      </c>
      <c r="E533" s="2233" t="s">
        <v>1738</v>
      </c>
      <c r="F533" s="1359" t="s">
        <v>749</v>
      </c>
      <c r="G533" s="1516">
        <v>0.81</v>
      </c>
      <c r="H533" s="2119" t="s">
        <v>1739</v>
      </c>
      <c r="I533" s="2120"/>
      <c r="J533" s="2258" t="s">
        <v>1740</v>
      </c>
      <c r="K533" s="2259"/>
      <c r="L533" s="2302"/>
      <c r="V533" s="2299" t="str">
        <f>D533</f>
        <v>CoolSavingsPerUnit</v>
      </c>
      <c r="W533" s="318">
        <v>0.81</v>
      </c>
      <c r="X533" s="318">
        <v>0.81</v>
      </c>
      <c r="Y533" s="318">
        <v>0.81</v>
      </c>
      <c r="Z533" s="320">
        <v>0.81</v>
      </c>
      <c r="AA533" s="320">
        <v>0.81</v>
      </c>
      <c r="AB533" s="320">
        <v>0.81</v>
      </c>
      <c r="AC533" s="320">
        <v>0.81</v>
      </c>
      <c r="AD533" s="320">
        <v>0.81</v>
      </c>
      <c r="AE533" s="320">
        <v>0.81</v>
      </c>
      <c r="AF533" s="258">
        <f t="shared" ref="AF533:AF549" si="86">IF(G533&lt;&gt;"",G533,"")</f>
        <v>0.81</v>
      </c>
      <c r="AG533" s="310"/>
      <c r="AK533" s="344"/>
      <c r="DJ533" s="1127"/>
    </row>
    <row r="534" spans="4:114" hidden="1" outlineLevel="1" x14ac:dyDescent="0.25">
      <c r="D534" s="2310"/>
      <c r="E534" s="2260"/>
      <c r="F534" s="1336" t="s">
        <v>751</v>
      </c>
      <c r="G534" s="1516">
        <v>0.7</v>
      </c>
      <c r="H534" s="2121"/>
      <c r="I534" s="2122"/>
      <c r="J534" s="2303"/>
      <c r="K534" s="2304"/>
      <c r="L534" s="2305"/>
      <c r="V534" s="2300"/>
      <c r="W534" s="319">
        <v>0.7</v>
      </c>
      <c r="X534" s="319">
        <v>0.7</v>
      </c>
      <c r="Y534" s="319">
        <v>0.7</v>
      </c>
      <c r="Z534" s="589">
        <v>0.7</v>
      </c>
      <c r="AA534" s="589">
        <v>0.7</v>
      </c>
      <c r="AB534" s="589">
        <v>0.7</v>
      </c>
      <c r="AC534" s="589">
        <v>0.7</v>
      </c>
      <c r="AD534" s="589">
        <v>0.7</v>
      </c>
      <c r="AE534" s="589">
        <v>0.7</v>
      </c>
      <c r="AF534" s="258">
        <f t="shared" si="86"/>
        <v>0.7</v>
      </c>
      <c r="AG534" s="310"/>
      <c r="AK534" s="344"/>
      <c r="DJ534" s="1127"/>
    </row>
    <row r="535" spans="4:114" hidden="1" outlineLevel="1" x14ac:dyDescent="0.25">
      <c r="D535" s="2227"/>
      <c r="E535" s="2238"/>
      <c r="F535" s="1336" t="s">
        <v>1741</v>
      </c>
      <c r="G535" s="1516">
        <v>0.95</v>
      </c>
      <c r="H535" s="2123"/>
      <c r="I535" s="2124"/>
      <c r="J535" s="2306"/>
      <c r="K535" s="2307"/>
      <c r="L535" s="2308"/>
      <c r="V535" s="2301"/>
      <c r="W535" s="319"/>
      <c r="X535" s="319"/>
      <c r="Y535" s="319"/>
      <c r="Z535" s="589"/>
      <c r="AA535" s="714">
        <v>0.95</v>
      </c>
      <c r="AB535" s="589">
        <v>0.95</v>
      </c>
      <c r="AC535" s="589">
        <v>0.95</v>
      </c>
      <c r="AD535" s="589">
        <v>0.95</v>
      </c>
      <c r="AE535" s="589">
        <v>0.95</v>
      </c>
      <c r="AF535" s="258">
        <f t="shared" si="86"/>
        <v>0.95</v>
      </c>
      <c r="AG535" s="310"/>
      <c r="AK535" s="344"/>
      <c r="DJ535" s="1127"/>
    </row>
    <row r="536" spans="4:114" ht="18" hidden="1" outlineLevel="1" x14ac:dyDescent="0.25">
      <c r="D536" s="1349" t="s">
        <v>1742</v>
      </c>
      <c r="E536" s="1341" t="s">
        <v>1743</v>
      </c>
      <c r="F536" s="1359"/>
      <c r="G536" s="1504">
        <v>1</v>
      </c>
      <c r="H536" s="2309"/>
      <c r="I536" s="2309"/>
      <c r="J536" s="2254" t="s">
        <v>1717</v>
      </c>
      <c r="K536" s="2254"/>
      <c r="L536" s="2254"/>
      <c r="V536" s="1441" t="str">
        <f>D536</f>
        <v>DuctLength</v>
      </c>
      <c r="W536" s="310">
        <f>SQRT($F$60)</f>
        <v>1</v>
      </c>
      <c r="X536" s="310">
        <v>37.242448899072144</v>
      </c>
      <c r="Y536" s="310">
        <v>1</v>
      </c>
      <c r="Z536" s="579">
        <v>1</v>
      </c>
      <c r="AA536" s="579">
        <v>1</v>
      </c>
      <c r="AB536" s="579">
        <v>1</v>
      </c>
      <c r="AC536" s="579">
        <v>1</v>
      </c>
      <c r="AD536" s="579">
        <v>1</v>
      </c>
      <c r="AE536" s="579">
        <v>1</v>
      </c>
      <c r="AF536" s="258">
        <f t="shared" si="86"/>
        <v>1</v>
      </c>
      <c r="AG536" s="310"/>
      <c r="AK536" s="344"/>
      <c r="DJ536" s="1127"/>
    </row>
    <row r="537" spans="4:114" ht="30" hidden="1" customHeight="1" outlineLevel="1" x14ac:dyDescent="0.25">
      <c r="D537" s="2226" t="s">
        <v>1744</v>
      </c>
      <c r="E537" s="2233" t="s">
        <v>1745</v>
      </c>
      <c r="F537" s="1359" t="s">
        <v>1746</v>
      </c>
      <c r="G537" s="1516">
        <v>4.1100000000000003</v>
      </c>
      <c r="H537" s="2119" t="s">
        <v>1739</v>
      </c>
      <c r="I537" s="2120"/>
      <c r="J537" s="2117" t="s">
        <v>1747</v>
      </c>
      <c r="K537" s="2311"/>
      <c r="L537" s="2118"/>
      <c r="V537" s="2299" t="str">
        <f>D537</f>
        <v>HeatSavingsPerUnit</v>
      </c>
      <c r="W537" s="318">
        <v>4.1100000000000003</v>
      </c>
      <c r="X537" s="318">
        <v>4.1100000000000003</v>
      </c>
      <c r="Y537" s="318">
        <v>4.1100000000000003</v>
      </c>
      <c r="Z537" s="320">
        <v>4.1100000000000003</v>
      </c>
      <c r="AA537" s="320">
        <v>4.1100000000000003</v>
      </c>
      <c r="AB537" s="320">
        <v>4.1100000000000003</v>
      </c>
      <c r="AC537" s="320">
        <v>4.1100000000000003</v>
      </c>
      <c r="AD537" s="320">
        <v>4.1100000000000003</v>
      </c>
      <c r="AE537" s="320">
        <v>4.1100000000000003</v>
      </c>
      <c r="AF537" s="258">
        <f t="shared" si="86"/>
        <v>4.1100000000000003</v>
      </c>
      <c r="AG537" s="310"/>
      <c r="AK537" s="344"/>
      <c r="DJ537" s="1127"/>
    </row>
    <row r="538" spans="4:114" hidden="1" outlineLevel="1" x14ac:dyDescent="0.25">
      <c r="D538" s="2310"/>
      <c r="E538" s="2260"/>
      <c r="F538" s="1359" t="s">
        <v>1748</v>
      </c>
      <c r="G538" s="1516">
        <v>3.41</v>
      </c>
      <c r="H538" s="2121"/>
      <c r="I538" s="2122"/>
      <c r="J538" s="2312"/>
      <c r="K538" s="2313"/>
      <c r="L538" s="2314"/>
      <c r="V538" s="2300"/>
      <c r="W538" s="318">
        <v>3.41</v>
      </c>
      <c r="X538" s="318">
        <v>3.41</v>
      </c>
      <c r="Y538" s="318">
        <v>3.41</v>
      </c>
      <c r="Z538" s="320">
        <v>3.41</v>
      </c>
      <c r="AA538" s="320">
        <v>3.41</v>
      </c>
      <c r="AB538" s="320">
        <v>3.41</v>
      </c>
      <c r="AC538" s="320">
        <v>3.41</v>
      </c>
      <c r="AD538" s="320">
        <v>3.41</v>
      </c>
      <c r="AE538" s="320">
        <v>3.41</v>
      </c>
      <c r="AF538" s="258">
        <f t="shared" si="86"/>
        <v>3.41</v>
      </c>
      <c r="AG538" s="310"/>
      <c r="AK538" s="344"/>
      <c r="DJ538" s="1127"/>
    </row>
    <row r="539" spans="4:114" hidden="1" outlineLevel="1" x14ac:dyDescent="0.25">
      <c r="D539" s="2310"/>
      <c r="E539" s="2260"/>
      <c r="F539" s="1359" t="s">
        <v>1749</v>
      </c>
      <c r="G539" s="1516">
        <v>5.0599999999999996</v>
      </c>
      <c r="H539" s="2123"/>
      <c r="I539" s="2124"/>
      <c r="J539" s="2312"/>
      <c r="K539" s="2313"/>
      <c r="L539" s="2314"/>
      <c r="V539" s="2300"/>
      <c r="W539" s="318">
        <v>5.0599999999999996</v>
      </c>
      <c r="X539" s="318">
        <v>5.0599999999999996</v>
      </c>
      <c r="Y539" s="318">
        <v>5.0599999999999996</v>
      </c>
      <c r="Z539" s="320">
        <v>5.0599999999999996</v>
      </c>
      <c r="AA539" s="320">
        <v>5.0599999999999996</v>
      </c>
      <c r="AB539" s="320">
        <v>5.0599999999999996</v>
      </c>
      <c r="AC539" s="320">
        <v>5.0599999999999996</v>
      </c>
      <c r="AD539" s="320">
        <v>5.0599999999999996</v>
      </c>
      <c r="AE539" s="320">
        <v>5.0599999999999996</v>
      </c>
      <c r="AF539" s="258">
        <f t="shared" si="86"/>
        <v>5.0599999999999996</v>
      </c>
      <c r="AG539" s="310"/>
      <c r="AK539" s="344"/>
      <c r="DJ539" s="1127"/>
    </row>
    <row r="540" spans="4:114" ht="15" hidden="1" customHeight="1" outlineLevel="1" x14ac:dyDescent="0.25">
      <c r="D540" s="2226" t="s">
        <v>1744</v>
      </c>
      <c r="E540" s="2233" t="s">
        <v>1750</v>
      </c>
      <c r="F540" s="1359" t="s">
        <v>1751</v>
      </c>
      <c r="G540" s="1516">
        <v>0.21</v>
      </c>
      <c r="H540" s="2119" t="s">
        <v>1752</v>
      </c>
      <c r="I540" s="2120"/>
      <c r="J540" s="2117"/>
      <c r="K540" s="2311"/>
      <c r="L540" s="2118"/>
      <c r="V540" s="2300"/>
      <c r="W540" s="318">
        <v>0.21</v>
      </c>
      <c r="X540" s="318">
        <v>0.21</v>
      </c>
      <c r="Y540" s="318">
        <v>0.21</v>
      </c>
      <c r="Z540" s="320">
        <v>0.21</v>
      </c>
      <c r="AA540" s="320">
        <v>0.21</v>
      </c>
      <c r="AB540" s="320">
        <v>0.21</v>
      </c>
      <c r="AC540" s="320">
        <v>0.21</v>
      </c>
      <c r="AD540" s="320">
        <v>0.21</v>
      </c>
      <c r="AE540" s="320">
        <v>0.21</v>
      </c>
      <c r="AF540" s="258">
        <f t="shared" si="86"/>
        <v>0.21</v>
      </c>
      <c r="AG540" s="310"/>
      <c r="AK540" s="344"/>
      <c r="DJ540" s="1127"/>
    </row>
    <row r="541" spans="4:114" hidden="1" outlineLevel="1" x14ac:dyDescent="0.25">
      <c r="D541" s="2310"/>
      <c r="E541" s="2260"/>
      <c r="F541" s="1336" t="s">
        <v>1753</v>
      </c>
      <c r="G541" s="1516">
        <v>0.19</v>
      </c>
      <c r="H541" s="2121"/>
      <c r="I541" s="2122"/>
      <c r="J541" s="2312"/>
      <c r="K541" s="2313"/>
      <c r="L541" s="2314"/>
      <c r="V541" s="2300"/>
      <c r="W541" s="318">
        <v>0.19</v>
      </c>
      <c r="X541" s="318">
        <v>0.19</v>
      </c>
      <c r="Y541" s="318">
        <v>0.19</v>
      </c>
      <c r="Z541" s="320">
        <v>0.19</v>
      </c>
      <c r="AA541" s="320">
        <v>0.19</v>
      </c>
      <c r="AB541" s="320">
        <v>0.19</v>
      </c>
      <c r="AC541" s="320">
        <v>0.19</v>
      </c>
      <c r="AD541" s="320">
        <v>0.19</v>
      </c>
      <c r="AE541" s="320">
        <v>0.19</v>
      </c>
      <c r="AF541" s="258">
        <f t="shared" si="86"/>
        <v>0.19</v>
      </c>
      <c r="AG541" s="310"/>
      <c r="AK541" s="344"/>
      <c r="DJ541" s="1127"/>
    </row>
    <row r="542" spans="4:114" hidden="1" outlineLevel="1" x14ac:dyDescent="0.25">
      <c r="D542" s="2310"/>
      <c r="E542" s="2260"/>
      <c r="F542" s="1336" t="s">
        <v>1754</v>
      </c>
      <c r="G542" s="1516">
        <v>0.26</v>
      </c>
      <c r="H542" s="2123"/>
      <c r="I542" s="2124"/>
      <c r="J542" s="2312"/>
      <c r="K542" s="2313"/>
      <c r="L542" s="2314"/>
      <c r="V542" s="2301"/>
      <c r="W542" s="318"/>
      <c r="X542" s="318"/>
      <c r="Y542" s="318"/>
      <c r="Z542" s="320"/>
      <c r="AA542" s="715">
        <v>0.26</v>
      </c>
      <c r="AB542" s="320">
        <v>0.26</v>
      </c>
      <c r="AC542" s="320">
        <v>0.26</v>
      </c>
      <c r="AD542" s="320">
        <v>0.26</v>
      </c>
      <c r="AE542" s="320">
        <v>0.26</v>
      </c>
      <c r="AF542" s="258">
        <f t="shared" si="86"/>
        <v>0.26</v>
      </c>
      <c r="AG542" s="310"/>
      <c r="AK542" s="344"/>
      <c r="DJ542" s="1127"/>
    </row>
    <row r="543" spans="4:114" ht="48" hidden="1" customHeight="1" outlineLevel="1" x14ac:dyDescent="0.25">
      <c r="D543" s="1337" t="s">
        <v>1701</v>
      </c>
      <c r="E543" s="1301" t="s">
        <v>1702</v>
      </c>
      <c r="F543" s="1336"/>
      <c r="G543" s="1633">
        <v>3.1399999999999997E-2</v>
      </c>
      <c r="H543" s="2315" t="s">
        <v>1703</v>
      </c>
      <c r="I543" s="2316"/>
      <c r="J543" s="2277"/>
      <c r="K543" s="2277"/>
      <c r="L543" s="2277"/>
      <c r="V543" s="282" t="str">
        <f t="shared" ref="V543:V549" si="87">D543</f>
        <v>Fe</v>
      </c>
      <c r="W543" s="1439">
        <v>3.1399999999999997E-2</v>
      </c>
      <c r="X543" s="1439">
        <v>3.1399999999999997E-2</v>
      </c>
      <c r="Y543" s="1439">
        <v>3.1399999999999997E-2</v>
      </c>
      <c r="Z543" s="584">
        <v>3.1399999999999997E-2</v>
      </c>
      <c r="AA543" s="584">
        <v>3.1399999999999997E-2</v>
      </c>
      <c r="AB543" s="584">
        <v>3.1399999999999997E-2</v>
      </c>
      <c r="AC543" s="584">
        <v>3.1399999999999997E-2</v>
      </c>
      <c r="AD543" s="584">
        <v>3.1399999999999997E-2</v>
      </c>
      <c r="AE543" s="584">
        <v>3.1399999999999997E-2</v>
      </c>
      <c r="AF543" s="258">
        <f t="shared" si="86"/>
        <v>3.1399999999999997E-2</v>
      </c>
      <c r="AG543" s="310"/>
      <c r="AK543" s="344"/>
      <c r="DJ543" s="1127"/>
    </row>
    <row r="544" spans="4:114" ht="15" hidden="1" customHeight="1" outlineLevel="1" x14ac:dyDescent="0.25">
      <c r="D544" s="1337">
        <v>29.3</v>
      </c>
      <c r="E544" s="1301" t="s">
        <v>1704</v>
      </c>
      <c r="F544" s="1336"/>
      <c r="G544" s="1622">
        <v>29.3</v>
      </c>
      <c r="H544" s="2237" t="s">
        <v>1705</v>
      </c>
      <c r="I544" s="2237"/>
      <c r="J544" s="2277"/>
      <c r="K544" s="2277"/>
      <c r="L544" s="2277"/>
      <c r="V544" s="282">
        <f t="shared" si="87"/>
        <v>29.3</v>
      </c>
      <c r="W544" s="1426">
        <v>29.3</v>
      </c>
      <c r="X544" s="1426">
        <v>29.3</v>
      </c>
      <c r="Y544" s="1426">
        <v>29.3</v>
      </c>
      <c r="Z544" s="1342">
        <v>29.3</v>
      </c>
      <c r="AA544" s="1342">
        <v>29.3</v>
      </c>
      <c r="AB544" s="1342">
        <v>29.3</v>
      </c>
      <c r="AC544" s="1342">
        <v>29.3</v>
      </c>
      <c r="AD544" s="1342">
        <v>29.3</v>
      </c>
      <c r="AE544" s="1342">
        <v>29.3</v>
      </c>
      <c r="AF544" s="258">
        <f t="shared" si="86"/>
        <v>29.3</v>
      </c>
      <c r="AG544" s="310"/>
      <c r="AK544" s="344"/>
      <c r="DJ544" s="1127"/>
    </row>
    <row r="545" spans="2:114" ht="15" hidden="1" customHeight="1" outlineLevel="1" x14ac:dyDescent="0.25">
      <c r="D545" s="1306" t="s">
        <v>836</v>
      </c>
      <c r="E545" s="1306" t="s">
        <v>1711</v>
      </c>
      <c r="F545" s="1336"/>
      <c r="G545" s="1550">
        <v>1</v>
      </c>
      <c r="H545" s="2297" t="s">
        <v>839</v>
      </c>
      <c r="I545" s="2297"/>
      <c r="J545" s="2277"/>
      <c r="K545" s="2277"/>
      <c r="L545" s="2277"/>
      <c r="V545" s="282" t="str">
        <f t="shared" si="87"/>
        <v>Electric Saturation</v>
      </c>
      <c r="W545" s="314">
        <v>1</v>
      </c>
      <c r="X545" s="314">
        <v>1</v>
      </c>
      <c r="Y545" s="314">
        <v>1</v>
      </c>
      <c r="Z545" s="353">
        <v>1</v>
      </c>
      <c r="AA545" s="353">
        <v>1</v>
      </c>
      <c r="AB545" s="353">
        <v>1</v>
      </c>
      <c r="AC545" s="353">
        <v>1</v>
      </c>
      <c r="AD545" s="353">
        <v>1</v>
      </c>
      <c r="AE545" s="353">
        <v>1</v>
      </c>
      <c r="AF545" s="258">
        <f t="shared" si="86"/>
        <v>1</v>
      </c>
      <c r="AG545" s="310"/>
      <c r="AK545" s="344"/>
      <c r="DJ545" s="1127"/>
    </row>
    <row r="546" spans="2:114" ht="15" hidden="1" customHeight="1" outlineLevel="1" x14ac:dyDescent="0.25">
      <c r="D546" s="1306" t="s">
        <v>814</v>
      </c>
      <c r="E546" s="1306" t="s">
        <v>786</v>
      </c>
      <c r="F546" s="1336"/>
      <c r="G546" s="1550">
        <v>1</v>
      </c>
      <c r="H546" s="2297" t="s">
        <v>839</v>
      </c>
      <c r="I546" s="2297"/>
      <c r="J546" s="2277"/>
      <c r="K546" s="2277"/>
      <c r="L546" s="2277"/>
      <c r="V546" s="282" t="str">
        <f t="shared" si="87"/>
        <v>Utility Adjustment</v>
      </c>
      <c r="W546" s="314">
        <v>1</v>
      </c>
      <c r="X546" s="314">
        <v>1</v>
      </c>
      <c r="Y546" s="314">
        <v>1</v>
      </c>
      <c r="Z546" s="353">
        <v>1</v>
      </c>
      <c r="AA546" s="353">
        <v>1</v>
      </c>
      <c r="AB546" s="353">
        <v>1</v>
      </c>
      <c r="AC546" s="353">
        <v>1</v>
      </c>
      <c r="AD546" s="353">
        <v>1</v>
      </c>
      <c r="AE546" s="353">
        <v>1</v>
      </c>
      <c r="AF546" s="258">
        <f t="shared" si="86"/>
        <v>1</v>
      </c>
      <c r="AG546" s="310"/>
      <c r="AK546" s="344"/>
      <c r="DJ546" s="1127"/>
    </row>
    <row r="547" spans="2:114" ht="15" hidden="1" customHeight="1" outlineLevel="1" x14ac:dyDescent="0.25">
      <c r="D547" s="1337" t="s">
        <v>104</v>
      </c>
      <c r="E547" s="1337" t="s">
        <v>1713</v>
      </c>
      <c r="F547" s="1336"/>
      <c r="G547" s="1558">
        <v>1</v>
      </c>
      <c r="H547" s="2237" t="s">
        <v>1714</v>
      </c>
      <c r="I547" s="2237"/>
      <c r="J547" s="2254" t="s">
        <v>1715</v>
      </c>
      <c r="K547" s="2254"/>
      <c r="L547" s="2254"/>
      <c r="V547" s="282" t="str">
        <f t="shared" si="87"/>
        <v>ISR</v>
      </c>
      <c r="W547" s="315">
        <v>1</v>
      </c>
      <c r="X547" s="315">
        <v>1</v>
      </c>
      <c r="Y547" s="315">
        <v>1</v>
      </c>
      <c r="Z547" s="348">
        <v>1</v>
      </c>
      <c r="AA547" s="348">
        <v>1</v>
      </c>
      <c r="AB547" s="348">
        <v>1</v>
      </c>
      <c r="AC547" s="785">
        <v>1</v>
      </c>
      <c r="AD547" s="785">
        <v>1</v>
      </c>
      <c r="AE547" s="785">
        <v>1</v>
      </c>
      <c r="AF547" s="258">
        <f t="shared" si="86"/>
        <v>1</v>
      </c>
      <c r="AG547" s="310"/>
      <c r="AK547" s="344"/>
      <c r="DJ547" s="1127"/>
    </row>
    <row r="548" spans="2:114" ht="46.5" hidden="1" customHeight="1" outlineLevel="1" x14ac:dyDescent="0.25">
      <c r="D548" s="1370" t="str">
        <f>D513</f>
        <v>EUL</v>
      </c>
      <c r="E548" s="1370" t="str">
        <f>E513</f>
        <v>Effective Useful Life</v>
      </c>
      <c r="F548" s="326" t="s">
        <v>734</v>
      </c>
      <c r="G548" s="1509">
        <v>20</v>
      </c>
      <c r="H548" s="2297" t="s">
        <v>1716</v>
      </c>
      <c r="I548" s="2298"/>
      <c r="J548" s="2277"/>
      <c r="K548" s="2277"/>
      <c r="L548" s="2277"/>
      <c r="M548" s="583"/>
      <c r="V548" s="282" t="str">
        <f t="shared" si="87"/>
        <v>EUL</v>
      </c>
      <c r="W548" s="316">
        <v>20</v>
      </c>
      <c r="X548" s="316">
        <v>20</v>
      </c>
      <c r="Y548" s="316">
        <v>20</v>
      </c>
      <c r="Z548" s="242">
        <v>20</v>
      </c>
      <c r="AA548" s="242">
        <v>20</v>
      </c>
      <c r="AB548" s="242">
        <v>20</v>
      </c>
      <c r="AC548" s="388">
        <v>20</v>
      </c>
      <c r="AD548" s="388">
        <v>20</v>
      </c>
      <c r="AE548" s="388">
        <v>20</v>
      </c>
      <c r="AF548" s="258">
        <f t="shared" si="86"/>
        <v>20</v>
      </c>
      <c r="AG548" s="316"/>
      <c r="AK548" s="344"/>
      <c r="DJ548" s="1127"/>
    </row>
    <row r="549" spans="2:114" ht="15" hidden="1" customHeight="1" outlineLevel="1" x14ac:dyDescent="0.25">
      <c r="D549" s="1370" t="str">
        <f>D514</f>
        <v>Inc. Cost</v>
      </c>
      <c r="E549" s="1370" t="str">
        <f>E514</f>
        <v>Incremental Cost</v>
      </c>
      <c r="F549" s="710" t="s">
        <v>734</v>
      </c>
      <c r="G549" s="1546">
        <f>299.34234/SQRT(1387)</f>
        <v>8.0376653213977498</v>
      </c>
      <c r="H549" s="2237" t="s">
        <v>1755</v>
      </c>
      <c r="I549" s="2235"/>
      <c r="J549" s="2254" t="s">
        <v>1717</v>
      </c>
      <c r="K549" s="2254"/>
      <c r="L549" s="2254"/>
      <c r="M549" s="583"/>
      <c r="V549" s="282" t="str">
        <f t="shared" si="87"/>
        <v>Inc. Cost</v>
      </c>
      <c r="W549" s="285">
        <v>299.34233999999998</v>
      </c>
      <c r="X549" s="285">
        <v>299.34233999999998</v>
      </c>
      <c r="Y549" s="193">
        <v>8.0376653213977498</v>
      </c>
      <c r="Z549" s="129">
        <v>8.0376653213977498</v>
      </c>
      <c r="AA549" s="129">
        <v>8.0376653213977498</v>
      </c>
      <c r="AB549" s="129">
        <v>8.0376653213977498</v>
      </c>
      <c r="AC549" s="129">
        <v>8.0376653213977498</v>
      </c>
      <c r="AD549" s="129">
        <v>8.0376653213977498</v>
      </c>
      <c r="AE549" s="129">
        <v>8.0376653213977498</v>
      </c>
      <c r="AF549" s="258">
        <f t="shared" si="86"/>
        <v>8.0376653213977498</v>
      </c>
      <c r="AG549" s="285"/>
      <c r="AK549" s="344"/>
      <c r="DJ549" s="1127"/>
    </row>
    <row r="550" spans="2:114" hidden="1" outlineLevel="1" x14ac:dyDescent="0.25">
      <c r="D550" s="1335"/>
      <c r="E550" s="1335"/>
      <c r="G550" s="588"/>
      <c r="H550" s="588"/>
      <c r="I550" s="588"/>
      <c r="Y550" s="527" t="s">
        <v>1517</v>
      </c>
      <c r="AK550" s="344"/>
    </row>
    <row r="551" spans="2:114" collapsed="1" x14ac:dyDescent="0.25">
      <c r="D551" s="1335"/>
      <c r="E551" s="1335"/>
      <c r="F551" s="588"/>
      <c r="G551" s="588"/>
      <c r="H551" s="588"/>
      <c r="AK551" s="344"/>
    </row>
    <row r="552" spans="2:114" x14ac:dyDescent="0.25">
      <c r="B552" s="2134" t="s">
        <v>1756</v>
      </c>
      <c r="C552" s="2135"/>
      <c r="D552" s="2135"/>
      <c r="E552" s="2135"/>
      <c r="F552" s="2135"/>
      <c r="G552" s="2135"/>
      <c r="H552" s="2135"/>
      <c r="I552" s="2082"/>
      <c r="J552" s="2082"/>
      <c r="K552" s="2082"/>
      <c r="L552" s="2082"/>
      <c r="M552" s="2082"/>
      <c r="N552" s="2082"/>
      <c r="O552" s="2082"/>
      <c r="P552" s="2082"/>
      <c r="Q552" s="2082"/>
      <c r="R552" s="2083"/>
      <c r="V552" s="2103" t="str">
        <f>B552</f>
        <v>ECM/ Blower Motor</v>
      </c>
      <c r="W552" s="2104"/>
      <c r="X552" s="2104"/>
      <c r="Y552" s="2104"/>
      <c r="Z552" s="2104"/>
      <c r="AA552" s="2104"/>
      <c r="AB552" s="2104"/>
      <c r="AC552" s="2106"/>
      <c r="AD552" s="2106"/>
      <c r="AE552" s="2106"/>
      <c r="AF552" s="2106"/>
      <c r="AG552" s="2106"/>
      <c r="AH552" s="2106"/>
      <c r="AI552" s="2107"/>
      <c r="AK552" s="344"/>
    </row>
    <row r="553" spans="2:114" x14ac:dyDescent="0.25">
      <c r="B553" s="561"/>
      <c r="D553" s="565"/>
      <c r="E553" s="565"/>
      <c r="F553" s="269"/>
      <c r="G553" s="269"/>
      <c r="H553" s="269"/>
      <c r="I553" s="269"/>
      <c r="J553" s="269"/>
      <c r="K553" s="269"/>
      <c r="L553" s="566"/>
      <c r="AK553" s="344"/>
    </row>
    <row r="554" spans="2:114" ht="30" x14ac:dyDescent="0.25">
      <c r="B554" s="561"/>
      <c r="C554" s="1300" t="s">
        <v>42</v>
      </c>
      <c r="D554" s="1300" t="s">
        <v>594</v>
      </c>
      <c r="E554" s="1300" t="s">
        <v>44</v>
      </c>
      <c r="F554" s="1300" t="s">
        <v>45</v>
      </c>
      <c r="G554" s="1300" t="s">
        <v>46</v>
      </c>
      <c r="H554" s="1300" t="s">
        <v>47</v>
      </c>
      <c r="I554" s="1300" t="s">
        <v>798</v>
      </c>
      <c r="J554" s="1300" t="s">
        <v>799</v>
      </c>
      <c r="K554" s="1300" t="s">
        <v>1757</v>
      </c>
      <c r="L554" s="1300" t="s">
        <v>1758</v>
      </c>
      <c r="M554" s="1300" t="s">
        <v>48</v>
      </c>
      <c r="N554" s="1312" t="s">
        <v>49</v>
      </c>
      <c r="O554" s="1300" t="s">
        <v>50</v>
      </c>
      <c r="P554" s="1300" t="s">
        <v>51</v>
      </c>
      <c r="V554" s="648" t="s">
        <v>52</v>
      </c>
      <c r="W554" s="649">
        <f>W$6</f>
        <v>43252</v>
      </c>
      <c r="X554" s="649">
        <f t="shared" ref="X554:AG554" si="88">X$6</f>
        <v>43465</v>
      </c>
      <c r="Y554" s="110">
        <f t="shared" si="88"/>
        <v>43800</v>
      </c>
      <c r="Z554" s="649">
        <f t="shared" si="88"/>
        <v>43862</v>
      </c>
      <c r="AA554" s="649">
        <f t="shared" si="88"/>
        <v>44013</v>
      </c>
      <c r="AB554" s="649">
        <f t="shared" si="88"/>
        <v>44166</v>
      </c>
      <c r="AC554" s="649">
        <f t="shared" si="88"/>
        <v>44531</v>
      </c>
      <c r="AD554" s="649">
        <f t="shared" si="88"/>
        <v>44774</v>
      </c>
      <c r="AE554" s="649">
        <f t="shared" si="88"/>
        <v>45139</v>
      </c>
      <c r="AF554" s="649">
        <f t="shared" si="88"/>
        <v>45672</v>
      </c>
      <c r="AG554" s="649" t="str">
        <f t="shared" si="88"/>
        <v>-</v>
      </c>
      <c r="AK554" s="344"/>
      <c r="DG554" s="1018" t="str">
        <f>$DG$6</f>
        <v>TRC (2025)</v>
      </c>
      <c r="DH554" s="776" t="str">
        <f>$DH$6</f>
        <v>Benefit Lookup</v>
      </c>
      <c r="DI554" s="1034" t="str">
        <f>$DI$6</f>
        <v>Benefits (2025 $)</v>
      </c>
      <c r="DJ554" s="1060" t="str">
        <f>$DJ$6</f>
        <v>Incremental Cost (2025 $)</v>
      </c>
    </row>
    <row r="555" spans="2:114" x14ac:dyDescent="0.25">
      <c r="B555" s="1384">
        <f t="shared" ref="B555:B558" si="89">VALUE(LEFT(C555,6))</f>
        <v>402600</v>
      </c>
      <c r="C555" s="134" t="s">
        <v>1759</v>
      </c>
      <c r="D555" s="537" t="s">
        <v>825</v>
      </c>
      <c r="E555" s="174" t="s">
        <v>1760</v>
      </c>
      <c r="F555" s="590">
        <f t="shared" ref="F555:F558" si="90">ROUND(I555+J555+K555+L555,2)</f>
        <v>579.09</v>
      </c>
      <c r="G555" s="134" t="s">
        <v>802</v>
      </c>
      <c r="H555" s="66">
        <f>VLOOKUP(G555,'CP FACTORS'!$A$3:$B$38, 2, FALSE)</f>
        <v>4.6608050000000002E-4</v>
      </c>
      <c r="I555" s="323">
        <f>(1-G569)*$G$573*G$574/G$575*G587*$G$591</f>
        <v>264.14545423487061</v>
      </c>
      <c r="J555" s="323">
        <f>(1-G576)*$G$580*G$581/G$582*G587*$G$591</f>
        <v>28.219354838709684</v>
      </c>
      <c r="K555" s="323">
        <f>(25*G$581/G$582+2960*$G$585-$G$586)*G587*$G$591</f>
        <v>286.72123580720518</v>
      </c>
      <c r="L555" s="323">
        <v>0</v>
      </c>
      <c r="M555" s="261">
        <f t="shared" ref="M555:M558" si="91">ROUND(H555*F555,6)</f>
        <v>0.269903</v>
      </c>
      <c r="N555" s="591">
        <f>G592</f>
        <v>6</v>
      </c>
      <c r="O555" s="710">
        <f>G596</f>
        <v>262.5</v>
      </c>
      <c r="P555" s="134" t="s">
        <v>62</v>
      </c>
      <c r="R555" s="309"/>
      <c r="V555" s="342" t="str">
        <f t="shared" ref="V555:V558" si="92">$F$484</f>
        <v>kWh
Annual Savings</v>
      </c>
      <c r="W555" s="321">
        <v>794.49034774724942</v>
      </c>
      <c r="X555" s="124">
        <v>794.49034774724942</v>
      </c>
      <c r="Y555" s="322">
        <v>582</v>
      </c>
      <c r="Z555" s="713">
        <v>582</v>
      </c>
      <c r="AA555" s="713">
        <v>582</v>
      </c>
      <c r="AB555" s="713">
        <v>582</v>
      </c>
      <c r="AC555" s="590">
        <v>582</v>
      </c>
      <c r="AD555" s="590">
        <v>582</v>
      </c>
      <c r="AE555" s="590">
        <v>582</v>
      </c>
      <c r="AF555" s="258">
        <f t="shared" ref="AF555:AF558" si="93">IF(F555&lt;&gt;"",F555,"")</f>
        <v>579.09</v>
      </c>
      <c r="AG555" s="342"/>
      <c r="AK555" s="344"/>
      <c r="DG555" s="1021">
        <f>(DI555+DI556)/(DJ555+DJ556)</f>
        <v>1.3748154098071015</v>
      </c>
      <c r="DH555" s="174" t="str">
        <f t="shared" ref="DH555:DH558" si="94">CONCATENATE(G555," ",N555," Year EUL")</f>
        <v>HVAC RES 6 Year EUL</v>
      </c>
      <c r="DI555" s="538">
        <f>(INDEX('Avoided Cost Benefits'!$B$4:$B$865,MATCH(DH555,'Avoided Cost Benefits'!$A$4:$A$865,0)))*F555</f>
        <v>360.88904507436416</v>
      </c>
      <c r="DJ555" s="1948">
        <f t="shared" ref="DJ555:DJ558" si="95">IFERROR(O555/((1+DiscountRate)^(CurrentYear-DiscountYear)),0)</f>
        <v>262.5</v>
      </c>
    </row>
    <row r="556" spans="2:114" x14ac:dyDescent="0.25">
      <c r="B556" s="1384">
        <f t="shared" si="89"/>
        <v>402600</v>
      </c>
      <c r="C556" s="134" t="s">
        <v>1759</v>
      </c>
      <c r="D556" s="537" t="s">
        <v>825</v>
      </c>
      <c r="E556" s="653" t="s">
        <v>1761</v>
      </c>
      <c r="F556" s="590">
        <f t="shared" si="90"/>
        <v>0</v>
      </c>
      <c r="G556" s="1331" t="str">
        <f>'CP FACTORS'!$A$17</f>
        <v>HVAC RES ER2</v>
      </c>
      <c r="H556" s="66">
        <f>VLOOKUP(G556,'CP FACTORS'!$A$3:$B$38, 2, FALSE)</f>
        <v>4.6608050000000002E-4</v>
      </c>
      <c r="I556" s="323">
        <f>0</f>
        <v>0</v>
      </c>
      <c r="J556" s="323">
        <f>0</f>
        <v>0</v>
      </c>
      <c r="K556" s="323">
        <f>0</f>
        <v>0</v>
      </c>
      <c r="L556" s="323">
        <v>0</v>
      </c>
      <c r="M556" s="261">
        <f t="shared" si="91"/>
        <v>0</v>
      </c>
      <c r="N556" s="591">
        <f>G593</f>
        <v>0</v>
      </c>
      <c r="O556" s="710">
        <f>G597</f>
        <v>0</v>
      </c>
      <c r="P556" s="134" t="s">
        <v>62</v>
      </c>
      <c r="R556" s="309"/>
      <c r="V556" s="342" t="str">
        <f t="shared" si="92"/>
        <v>kWh
Annual Savings</v>
      </c>
      <c r="W556" s="321">
        <v>591.90332067911811</v>
      </c>
      <c r="X556" s="124">
        <v>591.90332067911811</v>
      </c>
      <c r="Y556" s="322">
        <v>582</v>
      </c>
      <c r="Z556" s="713">
        <v>582</v>
      </c>
      <c r="AA556" s="713">
        <v>582</v>
      </c>
      <c r="AB556" s="713">
        <v>582</v>
      </c>
      <c r="AC556" s="322">
        <v>0</v>
      </c>
      <c r="AD556" s="590">
        <v>0</v>
      </c>
      <c r="AE556" s="590">
        <v>0</v>
      </c>
      <c r="AF556" s="258">
        <f t="shared" si="93"/>
        <v>0</v>
      </c>
      <c r="AG556" s="342"/>
      <c r="AK556" s="344"/>
      <c r="DG556" s="1038"/>
      <c r="DH556" s="653" t="str">
        <f t="shared" si="94"/>
        <v>HVAC RES ER2 0 Year EUL</v>
      </c>
      <c r="DI556" s="970">
        <v>0</v>
      </c>
      <c r="DJ556" s="1949">
        <f t="shared" si="95"/>
        <v>0</v>
      </c>
    </row>
    <row r="557" spans="2:114" x14ac:dyDescent="0.25">
      <c r="B557" s="1384">
        <f t="shared" si="89"/>
        <v>402800</v>
      </c>
      <c r="C557" s="134" t="s">
        <v>1762</v>
      </c>
      <c r="D557" s="537" t="s">
        <v>600</v>
      </c>
      <c r="E557" s="174" t="s">
        <v>1763</v>
      </c>
      <c r="F557" s="590">
        <f t="shared" si="90"/>
        <v>579.09</v>
      </c>
      <c r="G557" s="1331" t="s">
        <v>802</v>
      </c>
      <c r="H557" s="66">
        <f>VLOOKUP(G557,'CP FACTORS'!$A$3:$B$38, 2, FALSE)</f>
        <v>4.6608050000000002E-4</v>
      </c>
      <c r="I557" s="323">
        <f>(1-G571)*$G$573*G$574/G$575*G589*$G$591</f>
        <v>264.14545423487061</v>
      </c>
      <c r="J557" s="323">
        <f>(1-G578)*$G$580*G$581/G$582*G589*$G$591</f>
        <v>28.219354838709684</v>
      </c>
      <c r="K557" s="323">
        <f>(25*G$581/G$582+2960*$G$585-$G$586)*G589*$G$591</f>
        <v>286.72123580720518</v>
      </c>
      <c r="L557" s="128">
        <v>0</v>
      </c>
      <c r="M557" s="261">
        <f t="shared" si="91"/>
        <v>0.269903</v>
      </c>
      <c r="N557" s="591">
        <f>G594</f>
        <v>6</v>
      </c>
      <c r="O557" s="710">
        <f>G598</f>
        <v>262.5</v>
      </c>
      <c r="P557" s="134" t="s">
        <v>62</v>
      </c>
      <c r="R557" s="309"/>
      <c r="V557" s="342" t="str">
        <f t="shared" si="92"/>
        <v>kWh
Annual Savings</v>
      </c>
      <c r="W557" s="321">
        <v>794.49034774724942</v>
      </c>
      <c r="X557" s="124">
        <v>794.49034774724942</v>
      </c>
      <c r="Y557" s="322">
        <v>582</v>
      </c>
      <c r="Z557" s="713">
        <v>582</v>
      </c>
      <c r="AA557" s="713">
        <v>582</v>
      </c>
      <c r="AB557" s="713">
        <v>582</v>
      </c>
      <c r="AC557" s="590">
        <v>582</v>
      </c>
      <c r="AD557" s="590">
        <v>582</v>
      </c>
      <c r="AE557" s="590">
        <v>582</v>
      </c>
      <c r="AF557" s="258">
        <f t="shared" si="93"/>
        <v>579.09</v>
      </c>
      <c r="AG557" s="342"/>
      <c r="AK557" s="344"/>
      <c r="DG557" s="1021">
        <f>(DI557+DI558)/(DJ557+DJ558)</f>
        <v>1.3748154098071015</v>
      </c>
      <c r="DH557" s="174" t="str">
        <f t="shared" si="94"/>
        <v>HVAC RES 6 Year EUL</v>
      </c>
      <c r="DI557" s="538">
        <f>(INDEX('Avoided Cost Benefits'!$B$4:$B$865,MATCH(DH557,'Avoided Cost Benefits'!$A$4:$A$865,0)))*F557</f>
        <v>360.88904507436416</v>
      </c>
      <c r="DJ557" s="1949">
        <f t="shared" si="95"/>
        <v>262.5</v>
      </c>
    </row>
    <row r="558" spans="2:114" x14ac:dyDescent="0.25">
      <c r="B558" s="1384">
        <f t="shared" si="89"/>
        <v>402800</v>
      </c>
      <c r="C558" s="134" t="s">
        <v>1762</v>
      </c>
      <c r="D558" s="537" t="s">
        <v>600</v>
      </c>
      <c r="E558" s="653" t="s">
        <v>1764</v>
      </c>
      <c r="F558" s="590">
        <f t="shared" si="90"/>
        <v>0</v>
      </c>
      <c r="G558" s="1331" t="str">
        <f>'CP FACTORS'!$A$17</f>
        <v>HVAC RES ER2</v>
      </c>
      <c r="H558" s="66">
        <f>VLOOKUP(G558,'CP FACTORS'!$A$3:$B$38, 2, FALSE)</f>
        <v>4.6608050000000002E-4</v>
      </c>
      <c r="I558" s="323">
        <f>0</f>
        <v>0</v>
      </c>
      <c r="J558" s="323">
        <f>0</f>
        <v>0</v>
      </c>
      <c r="K558" s="323">
        <f>0</f>
        <v>0</v>
      </c>
      <c r="L558" s="128">
        <v>0</v>
      </c>
      <c r="M558" s="261">
        <f t="shared" si="91"/>
        <v>0</v>
      </c>
      <c r="N558" s="591">
        <f>G595</f>
        <v>0</v>
      </c>
      <c r="O558" s="710">
        <f>G599</f>
        <v>0</v>
      </c>
      <c r="P558" s="134" t="s">
        <v>62</v>
      </c>
      <c r="R558" s="309"/>
      <c r="V558" s="342" t="str">
        <f t="shared" si="92"/>
        <v>kWh
Annual Savings</v>
      </c>
      <c r="W558" s="321">
        <v>591.90332067911811</v>
      </c>
      <c r="X558" s="124">
        <v>591.90332067911811</v>
      </c>
      <c r="Y558" s="322">
        <v>582</v>
      </c>
      <c r="Z558" s="713">
        <v>582</v>
      </c>
      <c r="AA558" s="713">
        <v>582</v>
      </c>
      <c r="AB558" s="713">
        <v>582</v>
      </c>
      <c r="AC558" s="322">
        <v>0</v>
      </c>
      <c r="AD558" s="590">
        <v>0</v>
      </c>
      <c r="AE558" s="590">
        <v>0</v>
      </c>
      <c r="AF558" s="258">
        <f t="shared" si="93"/>
        <v>0</v>
      </c>
      <c r="AG558" s="342"/>
      <c r="AK558" s="344"/>
      <c r="DG558" s="1038"/>
      <c r="DH558" s="653" t="str">
        <f t="shared" si="94"/>
        <v>HVAC RES ER2 0 Year EUL</v>
      </c>
      <c r="DI558" s="970">
        <v>0</v>
      </c>
      <c r="DJ558" s="1949">
        <f t="shared" si="95"/>
        <v>0</v>
      </c>
    </row>
    <row r="559" spans="2:114" x14ac:dyDescent="0.25">
      <c r="B559" s="561"/>
      <c r="C559" s="2311" t="s">
        <v>1765</v>
      </c>
      <c r="D559" s="2311"/>
      <c r="E559" s="2311"/>
      <c r="F559" s="2311"/>
      <c r="G559" s="2311"/>
      <c r="H559" s="2311"/>
      <c r="I559" s="2311"/>
      <c r="J559" s="2311"/>
      <c r="K559" s="2311"/>
      <c r="L559" s="2311"/>
      <c r="AK559" s="344"/>
    </row>
    <row r="560" spans="2:114" x14ac:dyDescent="0.25">
      <c r="B560" s="561"/>
      <c r="C560" s="2313"/>
      <c r="D560" s="2313"/>
      <c r="E560" s="2313"/>
      <c r="F560" s="2313"/>
      <c r="G560" s="2313"/>
      <c r="H560" s="2313"/>
      <c r="I560" s="2313"/>
      <c r="J560" s="2313"/>
      <c r="K560" s="2313"/>
      <c r="L560" s="2313"/>
      <c r="AK560" s="344"/>
    </row>
    <row r="561" spans="2:37" hidden="1" outlineLevel="1" x14ac:dyDescent="0.25">
      <c r="B561" s="561"/>
      <c r="C561" s="1335"/>
      <c r="D561" s="74" t="s">
        <v>94</v>
      </c>
      <c r="E561" s="1335" t="s">
        <v>911</v>
      </c>
      <c r="F561" s="1335"/>
      <c r="G561" s="1335"/>
      <c r="H561" s="1335"/>
      <c r="I561" s="1335"/>
      <c r="J561" s="1335"/>
      <c r="K561" s="1335"/>
      <c r="L561" s="1335"/>
      <c r="AK561" s="344"/>
    </row>
    <row r="562" spans="2:37" hidden="1" outlineLevel="1" x14ac:dyDescent="0.25">
      <c r="B562" s="561"/>
      <c r="D562" s="71" t="s">
        <v>604</v>
      </c>
      <c r="E562" s="127" t="s">
        <v>912</v>
      </c>
      <c r="F562" s="529"/>
      <c r="AK562" s="344"/>
    </row>
    <row r="563" spans="2:37" ht="18" hidden="1" customHeight="1" outlineLevel="1" x14ac:dyDescent="0.25">
      <c r="B563" s="561"/>
      <c r="E563" s="1442" t="s">
        <v>913</v>
      </c>
      <c r="AK563" s="344"/>
    </row>
    <row r="564" spans="2:37" ht="18" hidden="1" customHeight="1" outlineLevel="1" x14ac:dyDescent="0.25">
      <c r="B564" s="561"/>
      <c r="E564" s="1442" t="s">
        <v>914</v>
      </c>
      <c r="AK564" s="344"/>
    </row>
    <row r="565" spans="2:37" ht="18" hidden="1" customHeight="1" outlineLevel="1" x14ac:dyDescent="0.25">
      <c r="B565" s="561"/>
      <c r="E565" s="1442"/>
      <c r="AK565" s="344"/>
    </row>
    <row r="566" spans="2:37" ht="14.65" hidden="1" customHeight="1" outlineLevel="1" x14ac:dyDescent="0.25">
      <c r="B566" s="561"/>
      <c r="E566" s="1442" t="s">
        <v>607</v>
      </c>
      <c r="AK566" s="344"/>
    </row>
    <row r="567" spans="2:37" ht="14.65" hidden="1" customHeight="1" outlineLevel="1" x14ac:dyDescent="0.25">
      <c r="B567" s="561"/>
      <c r="E567" s="1442"/>
      <c r="AK567" s="344"/>
    </row>
    <row r="568" spans="2:37" hidden="1" outlineLevel="1" x14ac:dyDescent="0.25">
      <c r="B568" s="561"/>
      <c r="D568" s="1373" t="s">
        <v>712</v>
      </c>
      <c r="E568" s="1373" t="s">
        <v>608</v>
      </c>
      <c r="F568" s="1300" t="s">
        <v>609</v>
      </c>
      <c r="G568" s="1300" t="s">
        <v>610</v>
      </c>
      <c r="H568" s="1300" t="s">
        <v>611</v>
      </c>
      <c r="I568" s="1300" t="s">
        <v>713</v>
      </c>
      <c r="V568" s="648" t="s">
        <v>52</v>
      </c>
      <c r="W568" s="649">
        <f>W$6</f>
        <v>43252</v>
      </c>
      <c r="X568" s="649">
        <f t="shared" ref="X568:AG568" si="96">X$6</f>
        <v>43465</v>
      </c>
      <c r="Y568" s="110">
        <f t="shared" si="96"/>
        <v>43800</v>
      </c>
      <c r="Z568" s="649">
        <f t="shared" si="96"/>
        <v>43862</v>
      </c>
      <c r="AA568" s="649">
        <f t="shared" si="96"/>
        <v>44013</v>
      </c>
      <c r="AB568" s="649">
        <f t="shared" si="96"/>
        <v>44166</v>
      </c>
      <c r="AC568" s="649">
        <f t="shared" si="96"/>
        <v>44531</v>
      </c>
      <c r="AD568" s="649">
        <f t="shared" si="96"/>
        <v>44774</v>
      </c>
      <c r="AE568" s="649">
        <f t="shared" si="96"/>
        <v>45139</v>
      </c>
      <c r="AF568" s="649">
        <f t="shared" si="96"/>
        <v>45672</v>
      </c>
      <c r="AG568" s="649" t="str">
        <f t="shared" si="96"/>
        <v>-</v>
      </c>
      <c r="AK568" s="344"/>
    </row>
    <row r="569" spans="2:37" hidden="1" outlineLevel="1" x14ac:dyDescent="0.25">
      <c r="B569" s="561"/>
      <c r="D569" s="2109" t="s">
        <v>916</v>
      </c>
      <c r="E569" s="2109" t="s">
        <v>917</v>
      </c>
      <c r="F569" s="122" t="s">
        <v>1766</v>
      </c>
      <c r="G569" s="1515">
        <v>0.16336956521739129</v>
      </c>
      <c r="H569" s="2317" t="s">
        <v>1767</v>
      </c>
      <c r="I569" s="1359"/>
      <c r="V569" s="2109" t="s">
        <v>916</v>
      </c>
      <c r="W569" s="289">
        <v>0</v>
      </c>
      <c r="X569" s="292">
        <v>0</v>
      </c>
      <c r="Y569" s="141">
        <v>0.16336956521739129</v>
      </c>
      <c r="Z569" s="141">
        <v>0.16336956521739129</v>
      </c>
      <c r="AA569" s="141">
        <v>0.16336956521739129</v>
      </c>
      <c r="AB569" s="141">
        <v>0.16336956521739129</v>
      </c>
      <c r="AC569" s="141">
        <v>0.16336956521739129</v>
      </c>
      <c r="AD569" s="141">
        <v>0.16336956521739129</v>
      </c>
      <c r="AE569" s="141">
        <v>0.16336956521739129</v>
      </c>
      <c r="AF569" s="689">
        <f t="shared" ref="AF569:AF599" si="97">IF(G569&lt;&gt;"",G569,"")</f>
        <v>0.16336956521739129</v>
      </c>
      <c r="AG569" s="289"/>
      <c r="AK569" s="344"/>
    </row>
    <row r="570" spans="2:37" hidden="1" outlineLevel="1" x14ac:dyDescent="0.25">
      <c r="B570" s="561"/>
      <c r="D570" s="2110"/>
      <c r="E570" s="2110"/>
      <c r="F570" s="122" t="s">
        <v>1768</v>
      </c>
      <c r="G570" s="1515">
        <v>0.16336956521739129</v>
      </c>
      <c r="H570" s="2318"/>
      <c r="I570" s="1359"/>
      <c r="V570" s="2110"/>
      <c r="W570" s="289">
        <v>0.16</v>
      </c>
      <c r="X570" s="292">
        <v>0.16</v>
      </c>
      <c r="Y570" s="141">
        <v>0.16336956521739129</v>
      </c>
      <c r="Z570" s="141">
        <v>0.16336956521739129</v>
      </c>
      <c r="AA570" s="141">
        <v>0.16336956521739129</v>
      </c>
      <c r="AB570" s="141">
        <v>0.16336956521739129</v>
      </c>
      <c r="AC570" s="141">
        <v>0.16336956521739129</v>
      </c>
      <c r="AD570" s="141">
        <v>0.16336956521739129</v>
      </c>
      <c r="AE570" s="141">
        <v>0.16336956521739129</v>
      </c>
      <c r="AF570" s="689">
        <f t="shared" si="97"/>
        <v>0.16336956521739129</v>
      </c>
      <c r="AG570" s="289"/>
      <c r="AK570" s="344"/>
    </row>
    <row r="571" spans="2:37" hidden="1" outlineLevel="1" x14ac:dyDescent="0.25">
      <c r="B571" s="561"/>
      <c r="D571" s="2110"/>
      <c r="E571" s="2110"/>
      <c r="F571" s="122" t="s">
        <v>1769</v>
      </c>
      <c r="G571" s="1515">
        <v>0.16336956521739129</v>
      </c>
      <c r="H571" s="2318"/>
      <c r="I571" s="1359"/>
      <c r="V571" s="2110"/>
      <c r="W571" s="289">
        <v>0</v>
      </c>
      <c r="X571" s="292">
        <v>0</v>
      </c>
      <c r="Y571" s="141">
        <v>0.16336956521739129</v>
      </c>
      <c r="Z571" s="141">
        <v>0.16336956521739129</v>
      </c>
      <c r="AA571" s="141">
        <v>0.16336956521739129</v>
      </c>
      <c r="AB571" s="141">
        <v>0.16336956521739129</v>
      </c>
      <c r="AC571" s="141">
        <v>0.16336956521739129</v>
      </c>
      <c r="AD571" s="141">
        <v>0.16336956521739129</v>
      </c>
      <c r="AE571" s="141">
        <v>0.16336956521739129</v>
      </c>
      <c r="AF571" s="689">
        <f t="shared" si="97"/>
        <v>0.16336956521739129</v>
      </c>
      <c r="AG571" s="289"/>
      <c r="AK571" s="344"/>
    </row>
    <row r="572" spans="2:37" hidden="1" outlineLevel="1" x14ac:dyDescent="0.25">
      <c r="B572" s="561"/>
      <c r="D572" s="2125"/>
      <c r="E572" s="2125"/>
      <c r="F572" s="122" t="s">
        <v>1770</v>
      </c>
      <c r="G572" s="1521">
        <v>0.16336956521739129</v>
      </c>
      <c r="H572" s="2319"/>
      <c r="I572" s="1359"/>
      <c r="V572" s="2125"/>
      <c r="W572" s="289">
        <v>0.16</v>
      </c>
      <c r="X572" s="292">
        <v>0.16</v>
      </c>
      <c r="Y572" s="141">
        <v>0.16336956521739129</v>
      </c>
      <c r="Z572" s="141">
        <v>0.16336956521739129</v>
      </c>
      <c r="AA572" s="141">
        <v>0.16336956521739129</v>
      </c>
      <c r="AB572" s="141">
        <v>0.16336956521739129</v>
      </c>
      <c r="AC572" s="141">
        <v>0.16336956521739129</v>
      </c>
      <c r="AD572" s="141">
        <v>0.16336956521739129</v>
      </c>
      <c r="AE572" s="141">
        <v>0.16336956521739129</v>
      </c>
      <c r="AF572" s="689">
        <f t="shared" si="97"/>
        <v>0.16336956521739129</v>
      </c>
      <c r="AG572" s="289"/>
      <c r="AK572" s="344"/>
    </row>
    <row r="573" spans="2:37" ht="33.75" hidden="1" customHeight="1" outlineLevel="1" x14ac:dyDescent="0.25">
      <c r="B573" s="561"/>
      <c r="D573" s="1308" t="s">
        <v>919</v>
      </c>
      <c r="E573" s="1308" t="s">
        <v>920</v>
      </c>
      <c r="F573" s="122" t="s">
        <v>734</v>
      </c>
      <c r="G573" s="1522">
        <v>400</v>
      </c>
      <c r="H573" s="1336" t="s">
        <v>1771</v>
      </c>
      <c r="I573" s="1307"/>
      <c r="V573" s="1308" t="s">
        <v>919</v>
      </c>
      <c r="W573" s="289"/>
      <c r="X573" s="292"/>
      <c r="Y573" s="298">
        <v>400</v>
      </c>
      <c r="Z573" s="302">
        <v>400</v>
      </c>
      <c r="AA573" s="302">
        <v>400</v>
      </c>
      <c r="AB573" s="302">
        <v>400</v>
      </c>
      <c r="AC573" s="324">
        <v>400</v>
      </c>
      <c r="AD573" s="324">
        <v>400</v>
      </c>
      <c r="AE573" s="324">
        <v>400</v>
      </c>
      <c r="AF573" s="258">
        <f t="shared" si="97"/>
        <v>400</v>
      </c>
      <c r="AG573" s="289"/>
      <c r="AK573" s="344"/>
    </row>
    <row r="574" spans="2:37" ht="60" hidden="1" outlineLevel="1" x14ac:dyDescent="0.25">
      <c r="B574" s="561"/>
      <c r="D574" s="1350" t="s">
        <v>1772</v>
      </c>
      <c r="E574" s="1350" t="s">
        <v>923</v>
      </c>
      <c r="F574" s="122" t="s">
        <v>734</v>
      </c>
      <c r="G574" s="1522">
        <v>2009</v>
      </c>
      <c r="H574" s="1336" t="s">
        <v>924</v>
      </c>
      <c r="I574" s="1359"/>
      <c r="V574" s="1321" t="s">
        <v>922</v>
      </c>
      <c r="W574" s="288">
        <v>2009</v>
      </c>
      <c r="X574" s="293">
        <v>2009</v>
      </c>
      <c r="Y574" s="324">
        <v>2009</v>
      </c>
      <c r="Z574" s="324">
        <v>2009</v>
      </c>
      <c r="AA574" s="324">
        <v>2009</v>
      </c>
      <c r="AB574" s="324">
        <v>2009</v>
      </c>
      <c r="AC574" s="324">
        <v>2009</v>
      </c>
      <c r="AD574" s="324">
        <v>2009</v>
      </c>
      <c r="AE574" s="324">
        <v>2009</v>
      </c>
      <c r="AF574" s="258">
        <f t="shared" si="97"/>
        <v>2009</v>
      </c>
      <c r="AG574" s="288"/>
      <c r="AK574" s="344"/>
    </row>
    <row r="575" spans="2:37" ht="45" hidden="1" outlineLevel="1" x14ac:dyDescent="0.25">
      <c r="B575" s="561"/>
      <c r="D575" s="1350" t="s">
        <v>1773</v>
      </c>
      <c r="E575" s="1350" t="s">
        <v>926</v>
      </c>
      <c r="F575" s="122" t="s">
        <v>734</v>
      </c>
      <c r="G575" s="1523">
        <v>2545.25</v>
      </c>
      <c r="H575" s="1336" t="s">
        <v>927</v>
      </c>
      <c r="I575" s="1359"/>
      <c r="V575" s="1321" t="s">
        <v>925</v>
      </c>
      <c r="W575" s="290">
        <v>2545.25</v>
      </c>
      <c r="X575" s="297">
        <v>2545.25</v>
      </c>
      <c r="Y575" s="325">
        <v>2545.25</v>
      </c>
      <c r="Z575" s="325">
        <v>2545.25</v>
      </c>
      <c r="AA575" s="325">
        <v>2545.25</v>
      </c>
      <c r="AB575" s="325">
        <v>2545.25</v>
      </c>
      <c r="AC575" s="325">
        <v>2545.25</v>
      </c>
      <c r="AD575" s="325">
        <v>2545.25</v>
      </c>
      <c r="AE575" s="325">
        <v>2545.25</v>
      </c>
      <c r="AF575" s="258">
        <f t="shared" si="97"/>
        <v>2545.25</v>
      </c>
      <c r="AG575" s="290"/>
      <c r="AK575" s="344"/>
    </row>
    <row r="576" spans="2:37" ht="45" hidden="1" customHeight="1" outlineLevel="1" x14ac:dyDescent="0.25">
      <c r="B576" s="561"/>
      <c r="D576" s="2226" t="s">
        <v>928</v>
      </c>
      <c r="E576" s="2109" t="s">
        <v>929</v>
      </c>
      <c r="F576" s="122" t="str">
        <f>F569</f>
        <v>ECM Fan Early Replacement ER 1 (Full Cost) - SF</v>
      </c>
      <c r="G576" s="1526">
        <v>0.82</v>
      </c>
      <c r="H576" s="2226" t="s">
        <v>1774</v>
      </c>
      <c r="I576" s="1359"/>
      <c r="V576" s="2111" t="s">
        <v>928</v>
      </c>
      <c r="W576" s="289">
        <v>0</v>
      </c>
      <c r="X576" s="292">
        <v>0</v>
      </c>
      <c r="Y576" s="141">
        <v>0.80141304347826092</v>
      </c>
      <c r="Z576" s="141">
        <v>0.80141304347826092</v>
      </c>
      <c r="AA576" s="141">
        <v>0.80141304347826092</v>
      </c>
      <c r="AB576" s="141">
        <v>0.80141304347826092</v>
      </c>
      <c r="AC576" s="141">
        <v>0.80141304347826092</v>
      </c>
      <c r="AD576" s="141">
        <v>0.80141304347826092</v>
      </c>
      <c r="AE576" s="141">
        <v>0.80141304347826092</v>
      </c>
      <c r="AF576" s="258">
        <f t="shared" si="97"/>
        <v>0.82</v>
      </c>
      <c r="AG576" s="289"/>
      <c r="AK576" s="344"/>
    </row>
    <row r="577" spans="2:37" hidden="1" outlineLevel="1" x14ac:dyDescent="0.25">
      <c r="B577" s="561"/>
      <c r="D577" s="2310"/>
      <c r="E577" s="2110"/>
      <c r="F577" s="122" t="str">
        <f>F570</f>
        <v>ECM Fan Early Replacement ER 2 (Remaining Life) - SF</v>
      </c>
      <c r="G577" s="1526">
        <f t="shared" ref="G577:G579" si="98">G576</f>
        <v>0.82</v>
      </c>
      <c r="H577" s="2310"/>
      <c r="I577" s="1359"/>
      <c r="V577" s="2112"/>
      <c r="W577" s="289">
        <v>0.97</v>
      </c>
      <c r="X577" s="292">
        <v>0.97</v>
      </c>
      <c r="Y577" s="141">
        <v>0.80141304347826092</v>
      </c>
      <c r="Z577" s="141">
        <v>0.80141304347826092</v>
      </c>
      <c r="AA577" s="141">
        <v>0.80141304347826092</v>
      </c>
      <c r="AB577" s="141">
        <v>0.80141304347826092</v>
      </c>
      <c r="AC577" s="141">
        <v>0.80141304347826092</v>
      </c>
      <c r="AD577" s="141">
        <v>0.80141304347826092</v>
      </c>
      <c r="AE577" s="141">
        <v>0.80141304347826092</v>
      </c>
      <c r="AF577" s="258">
        <f t="shared" si="97"/>
        <v>0.82</v>
      </c>
      <c r="AG577" s="289"/>
      <c r="AK577" s="344"/>
    </row>
    <row r="578" spans="2:37" hidden="1" outlineLevel="1" x14ac:dyDescent="0.25">
      <c r="B578" s="561"/>
      <c r="D578" s="2310"/>
      <c r="E578" s="2110"/>
      <c r="F578" s="122" t="str">
        <f>F571</f>
        <v>ECM Fan Early Replacement ER 1 (Full Cost) - MF</v>
      </c>
      <c r="G578" s="1526">
        <f t="shared" si="98"/>
        <v>0.82</v>
      </c>
      <c r="H578" s="2310"/>
      <c r="I578" s="1359"/>
      <c r="V578" s="2112"/>
      <c r="W578" s="289">
        <v>0</v>
      </c>
      <c r="X578" s="292">
        <v>0</v>
      </c>
      <c r="Y578" s="141">
        <v>0.80141304347826092</v>
      </c>
      <c r="Z578" s="141">
        <v>0.80141304347826092</v>
      </c>
      <c r="AA578" s="141">
        <v>0.80141304347826092</v>
      </c>
      <c r="AB578" s="141">
        <v>0.80141304347826092</v>
      </c>
      <c r="AC578" s="141">
        <v>0.80141304347826092</v>
      </c>
      <c r="AD578" s="141">
        <v>0.80141304347826092</v>
      </c>
      <c r="AE578" s="141">
        <v>0.80141304347826092</v>
      </c>
      <c r="AF578" s="258">
        <f t="shared" si="97"/>
        <v>0.82</v>
      </c>
      <c r="AG578" s="289"/>
      <c r="AK578" s="344"/>
    </row>
    <row r="579" spans="2:37" hidden="1" outlineLevel="1" x14ac:dyDescent="0.25">
      <c r="B579" s="561"/>
      <c r="D579" s="2227"/>
      <c r="E579" s="2125"/>
      <c r="F579" s="122" t="str">
        <f>F572</f>
        <v>ECM Fan Early Replacement ER 2 (Remaining Life) - MF</v>
      </c>
      <c r="G579" s="1526">
        <f t="shared" si="98"/>
        <v>0.82</v>
      </c>
      <c r="H579" s="2227"/>
      <c r="I579" s="1359"/>
      <c r="V579" s="2126"/>
      <c r="W579" s="289">
        <v>0.97</v>
      </c>
      <c r="X579" s="292">
        <v>0.97</v>
      </c>
      <c r="Y579" s="141">
        <v>0.80141304347826092</v>
      </c>
      <c r="Z579" s="141">
        <v>0.80141304347826092</v>
      </c>
      <c r="AA579" s="141">
        <v>0.80141304347826092</v>
      </c>
      <c r="AB579" s="141">
        <v>0.80141304347826092</v>
      </c>
      <c r="AC579" s="141">
        <v>0.80141304347826092</v>
      </c>
      <c r="AD579" s="141">
        <v>0.80141304347826092</v>
      </c>
      <c r="AE579" s="141">
        <v>0.80141304347826092</v>
      </c>
      <c r="AF579" s="258">
        <f t="shared" si="97"/>
        <v>0.82</v>
      </c>
      <c r="AG579" s="289"/>
      <c r="AK579" s="344"/>
    </row>
    <row r="580" spans="2:37" ht="34.5" hidden="1" customHeight="1" outlineLevel="1" thickBot="1" x14ac:dyDescent="0.3">
      <c r="B580" s="561"/>
      <c r="D580" s="1308" t="s">
        <v>931</v>
      </c>
      <c r="E580" s="1329" t="s">
        <v>932</v>
      </c>
      <c r="F580" s="1330" t="s">
        <v>734</v>
      </c>
      <c r="G580" s="1524">
        <v>70</v>
      </c>
      <c r="H580" s="1336" t="s">
        <v>1771</v>
      </c>
      <c r="I580" s="1307"/>
      <c r="V580" s="1308" t="s">
        <v>931</v>
      </c>
      <c r="W580" s="289"/>
      <c r="X580" s="292"/>
      <c r="Y580" s="298">
        <v>70</v>
      </c>
      <c r="Z580" s="302">
        <v>70</v>
      </c>
      <c r="AA580" s="302">
        <v>70</v>
      </c>
      <c r="AB580" s="302">
        <v>70</v>
      </c>
      <c r="AC580" s="304">
        <v>70</v>
      </c>
      <c r="AD580" s="304">
        <v>70</v>
      </c>
      <c r="AE580" s="304">
        <v>70</v>
      </c>
      <c r="AF580" s="258">
        <f t="shared" si="97"/>
        <v>70</v>
      </c>
      <c r="AG580" s="289"/>
      <c r="AK580" s="344"/>
    </row>
    <row r="581" spans="2:37" ht="30.75" hidden="1" outlineLevel="1" thickBot="1" x14ac:dyDescent="0.3">
      <c r="B581" s="561"/>
      <c r="D581" s="1308" t="s">
        <v>1775</v>
      </c>
      <c r="E581" s="1350" t="s">
        <v>935</v>
      </c>
      <c r="F581" s="122" t="s">
        <v>734</v>
      </c>
      <c r="G581" s="1523">
        <v>1215</v>
      </c>
      <c r="H581" s="1915" t="s">
        <v>933</v>
      </c>
      <c r="I581" s="1359"/>
      <c r="V581" s="718" t="s">
        <v>934</v>
      </c>
      <c r="W581" s="290">
        <v>1215</v>
      </c>
      <c r="X581" s="297">
        <v>1215</v>
      </c>
      <c r="Y581" s="325">
        <v>1215</v>
      </c>
      <c r="Z581" s="325">
        <v>1215</v>
      </c>
      <c r="AA581" s="325">
        <v>1215</v>
      </c>
      <c r="AB581" s="325">
        <v>1215</v>
      </c>
      <c r="AC581" s="325">
        <v>1215</v>
      </c>
      <c r="AD581" s="325">
        <v>1215</v>
      </c>
      <c r="AE581" s="325">
        <v>1215</v>
      </c>
      <c r="AF581" s="258">
        <f t="shared" si="97"/>
        <v>1215</v>
      </c>
      <c r="AG581" s="290"/>
      <c r="AK581" s="344"/>
    </row>
    <row r="582" spans="2:37" ht="30.75" hidden="1" outlineLevel="1" thickBot="1" x14ac:dyDescent="0.3">
      <c r="B582" s="561"/>
      <c r="D582" s="1308" t="s">
        <v>1776</v>
      </c>
      <c r="E582" s="1350" t="s">
        <v>937</v>
      </c>
      <c r="F582" s="122" t="s">
        <v>734</v>
      </c>
      <c r="G582" s="1524">
        <v>542.5</v>
      </c>
      <c r="H582" s="1915" t="s">
        <v>933</v>
      </c>
      <c r="I582" s="1359"/>
      <c r="V582" s="718" t="s">
        <v>936</v>
      </c>
      <c r="W582" s="283">
        <v>542.5</v>
      </c>
      <c r="X582" s="281">
        <v>542.5</v>
      </c>
      <c r="Y582" s="326">
        <v>542.5</v>
      </c>
      <c r="Z582" s="326">
        <v>542.5</v>
      </c>
      <c r="AA582" s="326">
        <v>542.5</v>
      </c>
      <c r="AB582" s="326">
        <v>542.5</v>
      </c>
      <c r="AC582" s="326">
        <v>542.5</v>
      </c>
      <c r="AD582" s="326">
        <v>542.5</v>
      </c>
      <c r="AE582" s="326">
        <v>542.5</v>
      </c>
      <c r="AF582" s="258">
        <f t="shared" si="97"/>
        <v>542.5</v>
      </c>
      <c r="AG582" s="283"/>
      <c r="AK582" s="344"/>
    </row>
    <row r="583" spans="2:37" ht="30.75" hidden="1" customHeight="1" outlineLevel="1" thickBot="1" x14ac:dyDescent="0.3">
      <c r="B583" s="561"/>
      <c r="D583" s="1308" t="s">
        <v>938</v>
      </c>
      <c r="E583" s="1350" t="s">
        <v>939</v>
      </c>
      <c r="F583" s="1330" t="s">
        <v>734</v>
      </c>
      <c r="G583" s="1524">
        <v>25</v>
      </c>
      <c r="H583" s="1915" t="s">
        <v>933</v>
      </c>
      <c r="I583" s="1307"/>
      <c r="V583" s="1308" t="s">
        <v>938</v>
      </c>
      <c r="W583" s="283"/>
      <c r="X583" s="281"/>
      <c r="Y583" s="298">
        <v>25</v>
      </c>
      <c r="Z583" s="302">
        <v>25</v>
      </c>
      <c r="AA583" s="302">
        <v>25</v>
      </c>
      <c r="AB583" s="302">
        <v>25</v>
      </c>
      <c r="AC583" s="304">
        <v>25</v>
      </c>
      <c r="AD583" s="304">
        <v>25</v>
      </c>
      <c r="AE583" s="304">
        <v>25</v>
      </c>
      <c r="AF583" s="258">
        <f t="shared" si="97"/>
        <v>25</v>
      </c>
      <c r="AG583" s="283"/>
      <c r="AK583" s="344"/>
    </row>
    <row r="584" spans="2:37" ht="30" hidden="1" outlineLevel="1" x14ac:dyDescent="0.25">
      <c r="B584" s="561"/>
      <c r="D584" s="1308" t="s">
        <v>941</v>
      </c>
      <c r="E584" s="1350" t="s">
        <v>942</v>
      </c>
      <c r="F584" s="1330" t="s">
        <v>734</v>
      </c>
      <c r="G584" s="1524">
        <v>2960</v>
      </c>
      <c r="H584" s="1915" t="s">
        <v>933</v>
      </c>
      <c r="I584" s="1307"/>
      <c r="V584" s="1308" t="s">
        <v>941</v>
      </c>
      <c r="W584" s="283"/>
      <c r="X584" s="281"/>
      <c r="Y584" s="181">
        <v>2960</v>
      </c>
      <c r="Z584" s="304">
        <v>2960</v>
      </c>
      <c r="AA584" s="304">
        <v>2960</v>
      </c>
      <c r="AB584" s="304">
        <v>2960</v>
      </c>
      <c r="AC584" s="304">
        <v>2960</v>
      </c>
      <c r="AD584" s="304">
        <v>2960</v>
      </c>
      <c r="AE584" s="304">
        <v>2960</v>
      </c>
      <c r="AF584" s="258">
        <f t="shared" si="97"/>
        <v>2960</v>
      </c>
      <c r="AG584" s="283"/>
      <c r="AK584" s="344"/>
    </row>
    <row r="585" spans="2:37" ht="20.25" hidden="1" customHeight="1" outlineLevel="1" x14ac:dyDescent="0.25">
      <c r="B585" s="561"/>
      <c r="D585" s="1308" t="s">
        <v>943</v>
      </c>
      <c r="E585" s="1308" t="s">
        <v>944</v>
      </c>
      <c r="F585" s="1330" t="s">
        <v>945</v>
      </c>
      <c r="G585" s="1525">
        <v>8.8084612296306403E-2</v>
      </c>
      <c r="H585" s="1994" t="s">
        <v>946</v>
      </c>
      <c r="I585" s="1296"/>
      <c r="V585" s="1308" t="s">
        <v>943</v>
      </c>
      <c r="W585" s="283"/>
      <c r="X585" s="281"/>
      <c r="Y585" s="183">
        <v>8.8084612296306403E-2</v>
      </c>
      <c r="Z585" s="184">
        <v>8.8084612296306403E-2</v>
      </c>
      <c r="AA585" s="184">
        <v>8.8084612296306403E-2</v>
      </c>
      <c r="AB585" s="184">
        <v>8.8084612296306403E-2</v>
      </c>
      <c r="AC585" s="184">
        <v>8.8084612296306403E-2</v>
      </c>
      <c r="AD585" s="184">
        <v>8.8084612296306403E-2</v>
      </c>
      <c r="AE585" s="184">
        <v>8.8084612296306403E-2</v>
      </c>
      <c r="AF585" s="258">
        <f t="shared" si="97"/>
        <v>8.8084612296306403E-2</v>
      </c>
      <c r="AG585" s="283"/>
      <c r="AK585" s="344"/>
    </row>
    <row r="586" spans="2:37" ht="36.75" hidden="1" customHeight="1" outlineLevel="1" x14ac:dyDescent="0.25">
      <c r="B586" s="561"/>
      <c r="D586" s="1308" t="s">
        <v>948</v>
      </c>
      <c r="E586" s="1350" t="s">
        <v>949</v>
      </c>
      <c r="F586" s="1330" t="s">
        <v>734</v>
      </c>
      <c r="G586" s="1524">
        <v>30</v>
      </c>
      <c r="H586" s="1336" t="s">
        <v>933</v>
      </c>
      <c r="I586" s="1307"/>
      <c r="V586" s="1308" t="s">
        <v>948</v>
      </c>
      <c r="W586" s="289"/>
      <c r="X586" s="292"/>
      <c r="Y586" s="298">
        <v>30</v>
      </c>
      <c r="Z586" s="302">
        <v>30</v>
      </c>
      <c r="AA586" s="302">
        <v>30</v>
      </c>
      <c r="AB586" s="302">
        <v>30</v>
      </c>
      <c r="AC586" s="304">
        <v>30</v>
      </c>
      <c r="AD586" s="304">
        <v>30</v>
      </c>
      <c r="AE586" s="304">
        <v>30</v>
      </c>
      <c r="AF586" s="258">
        <f t="shared" si="97"/>
        <v>30</v>
      </c>
      <c r="AG586" s="289"/>
      <c r="AK586" s="344"/>
    </row>
    <row r="587" spans="2:37" hidden="1" outlineLevel="1" x14ac:dyDescent="0.25">
      <c r="B587" s="561"/>
      <c r="D587" s="2109" t="s">
        <v>722</v>
      </c>
      <c r="E587" s="2109" t="s">
        <v>1777</v>
      </c>
      <c r="F587" s="122" t="s">
        <v>1778</v>
      </c>
      <c r="G587" s="1526">
        <v>1</v>
      </c>
      <c r="H587" s="2320"/>
      <c r="I587" s="1359"/>
      <c r="V587" s="1369" t="s">
        <v>722</v>
      </c>
      <c r="W587" s="289">
        <v>1</v>
      </c>
      <c r="X587" s="292">
        <v>1</v>
      </c>
      <c r="Y587" s="141">
        <v>1</v>
      </c>
      <c r="Z587" s="141">
        <v>1</v>
      </c>
      <c r="AA587" s="141">
        <v>1</v>
      </c>
      <c r="AB587" s="141">
        <v>1</v>
      </c>
      <c r="AC587" s="141">
        <v>1</v>
      </c>
      <c r="AD587" s="141">
        <v>1</v>
      </c>
      <c r="AE587" s="141">
        <v>1</v>
      </c>
      <c r="AF587" s="258">
        <f t="shared" si="97"/>
        <v>1</v>
      </c>
      <c r="AG587" s="289"/>
      <c r="AK587" s="344"/>
    </row>
    <row r="588" spans="2:37" ht="15" hidden="1" customHeight="1" outlineLevel="1" x14ac:dyDescent="0.25">
      <c r="B588" s="561"/>
      <c r="D588" s="2110"/>
      <c r="E588" s="2110"/>
      <c r="F588" s="122" t="s">
        <v>1779</v>
      </c>
      <c r="G588" s="1526">
        <v>1</v>
      </c>
      <c r="H588" s="2321"/>
      <c r="I588" s="1359"/>
      <c r="R588" s="50"/>
      <c r="S588" s="50"/>
      <c r="V588" s="1369" t="s">
        <v>722</v>
      </c>
      <c r="W588" s="289">
        <v>1</v>
      </c>
      <c r="X588" s="292">
        <v>1</v>
      </c>
      <c r="Y588" s="141">
        <v>1</v>
      </c>
      <c r="Z588" s="141">
        <v>1</v>
      </c>
      <c r="AA588" s="141">
        <v>1</v>
      </c>
      <c r="AB588" s="141">
        <v>1</v>
      </c>
      <c r="AC588" s="141">
        <v>1</v>
      </c>
      <c r="AD588" s="141">
        <v>1</v>
      </c>
      <c r="AE588" s="141">
        <v>1</v>
      </c>
      <c r="AF588" s="258">
        <f t="shared" si="97"/>
        <v>1</v>
      </c>
      <c r="AG588" s="289"/>
      <c r="AK588" s="344"/>
    </row>
    <row r="589" spans="2:37" hidden="1" outlineLevel="1" x14ac:dyDescent="0.25">
      <c r="B589" s="561"/>
      <c r="D589" s="2110"/>
      <c r="E589" s="2110"/>
      <c r="F589" s="122" t="s">
        <v>1780</v>
      </c>
      <c r="G589" s="1526">
        <v>1</v>
      </c>
      <c r="H589" s="2321"/>
      <c r="I589" s="1359"/>
      <c r="Q589" s="50"/>
      <c r="S589" s="50"/>
      <c r="V589" s="1369" t="s">
        <v>722</v>
      </c>
      <c r="W589" s="289">
        <v>1</v>
      </c>
      <c r="X589" s="292">
        <v>1</v>
      </c>
      <c r="Y589" s="141">
        <v>1</v>
      </c>
      <c r="Z589" s="141">
        <v>1</v>
      </c>
      <c r="AA589" s="141">
        <v>1</v>
      </c>
      <c r="AB589" s="141">
        <v>1</v>
      </c>
      <c r="AC589" s="141">
        <v>1</v>
      </c>
      <c r="AD589" s="141">
        <v>1</v>
      </c>
      <c r="AE589" s="141">
        <v>1</v>
      </c>
      <c r="AF589" s="258">
        <f t="shared" si="97"/>
        <v>1</v>
      </c>
      <c r="AG589" s="289"/>
      <c r="AK589" s="344"/>
    </row>
    <row r="590" spans="2:37" hidden="1" outlineLevel="1" x14ac:dyDescent="0.25">
      <c r="B590" s="561"/>
      <c r="D590" s="2125"/>
      <c r="E590" s="2125"/>
      <c r="F590" s="122" t="s">
        <v>1781</v>
      </c>
      <c r="G590" s="1526">
        <v>1</v>
      </c>
      <c r="H590" s="2322"/>
      <c r="I590" s="1359"/>
      <c r="M590" s="50"/>
      <c r="N590" s="50"/>
      <c r="O590" s="50"/>
      <c r="Q590" s="50"/>
      <c r="R590" s="50"/>
      <c r="S590" s="50"/>
      <c r="V590" s="1369" t="s">
        <v>722</v>
      </c>
      <c r="W590" s="289">
        <v>1</v>
      </c>
      <c r="X590" s="292">
        <v>1</v>
      </c>
      <c r="Y590" s="141">
        <v>1</v>
      </c>
      <c r="Z590" s="141">
        <v>1</v>
      </c>
      <c r="AA590" s="141">
        <v>1</v>
      </c>
      <c r="AB590" s="141">
        <v>1</v>
      </c>
      <c r="AC590" s="141">
        <v>1</v>
      </c>
      <c r="AD590" s="141">
        <v>1</v>
      </c>
      <c r="AE590" s="141">
        <v>1</v>
      </c>
      <c r="AF590" s="258">
        <f t="shared" si="97"/>
        <v>1</v>
      </c>
      <c r="AG590" s="289"/>
      <c r="AK590" s="344"/>
    </row>
    <row r="591" spans="2:37" ht="45" hidden="1" outlineLevel="1" x14ac:dyDescent="0.25">
      <c r="B591" s="561"/>
      <c r="D591" s="1357" t="s">
        <v>104</v>
      </c>
      <c r="E591" s="1357" t="s">
        <v>951</v>
      </c>
      <c r="F591" s="122" t="s">
        <v>734</v>
      </c>
      <c r="G591" s="1514">
        <v>1</v>
      </c>
      <c r="H591" s="1336" t="s">
        <v>952</v>
      </c>
      <c r="I591" s="1359"/>
      <c r="M591" s="50"/>
      <c r="N591" s="50"/>
      <c r="O591" s="50"/>
      <c r="Q591" s="50"/>
      <c r="R591" s="50"/>
      <c r="S591" s="50"/>
      <c r="V591" s="1350" t="s">
        <v>104</v>
      </c>
      <c r="W591" s="289"/>
      <c r="X591" s="292"/>
      <c r="Y591" s="141"/>
      <c r="Z591" s="141"/>
      <c r="AA591" s="141"/>
      <c r="AB591" s="142">
        <v>1</v>
      </c>
      <c r="AC591" s="141">
        <v>1</v>
      </c>
      <c r="AD591" s="141">
        <v>1</v>
      </c>
      <c r="AE591" s="141">
        <v>1</v>
      </c>
      <c r="AF591" s="258">
        <f t="shared" si="97"/>
        <v>1</v>
      </c>
      <c r="AG591" s="289"/>
      <c r="AK591" s="344"/>
    </row>
    <row r="592" spans="2:37" hidden="1" outlineLevel="1" x14ac:dyDescent="0.25">
      <c r="B592" s="561"/>
      <c r="D592" s="2323" t="str">
        <f>D548</f>
        <v>EUL</v>
      </c>
      <c r="E592" s="2323" t="s">
        <v>953</v>
      </c>
      <c r="F592" s="122" t="s">
        <v>1778</v>
      </c>
      <c r="G592" s="1528">
        <v>6</v>
      </c>
      <c r="H592" s="2226" t="s">
        <v>1782</v>
      </c>
      <c r="I592" s="1359"/>
      <c r="M592" s="50"/>
      <c r="N592" s="50"/>
      <c r="O592" s="50"/>
      <c r="Q592" s="50"/>
      <c r="R592" s="50"/>
      <c r="S592" s="50"/>
      <c r="V592" s="2323" t="str">
        <f>V548</f>
        <v>EUL</v>
      </c>
      <c r="W592" s="328">
        <v>6</v>
      </c>
      <c r="X592" s="329">
        <v>6</v>
      </c>
      <c r="Y592" s="327">
        <v>6</v>
      </c>
      <c r="Z592" s="327">
        <v>6</v>
      </c>
      <c r="AA592" s="327">
        <v>6</v>
      </c>
      <c r="AB592" s="327">
        <v>6</v>
      </c>
      <c r="AC592" s="327">
        <v>6</v>
      </c>
      <c r="AD592" s="327">
        <v>6</v>
      </c>
      <c r="AE592" s="327">
        <v>6</v>
      </c>
      <c r="AF592" s="258">
        <f t="shared" si="97"/>
        <v>6</v>
      </c>
      <c r="AG592" s="328"/>
      <c r="AK592" s="344"/>
    </row>
    <row r="593" spans="1:114" ht="15" hidden="1" customHeight="1" outlineLevel="1" x14ac:dyDescent="0.25">
      <c r="B593" s="561"/>
      <c r="D593" s="2324"/>
      <c r="E593" s="2324"/>
      <c r="F593" s="122" t="s">
        <v>1779</v>
      </c>
      <c r="G593" s="1528">
        <v>0</v>
      </c>
      <c r="H593" s="2310"/>
      <c r="I593" s="1359"/>
      <c r="M593" s="50"/>
      <c r="N593" s="50"/>
      <c r="O593" s="50"/>
      <c r="Q593" s="50"/>
      <c r="R593" s="50"/>
      <c r="S593" s="50"/>
      <c r="V593" s="2324"/>
      <c r="W593" s="328">
        <v>12</v>
      </c>
      <c r="X593" s="329">
        <v>12</v>
      </c>
      <c r="Y593" s="327">
        <v>12</v>
      </c>
      <c r="Z593" s="327">
        <v>12</v>
      </c>
      <c r="AA593" s="327">
        <v>12</v>
      </c>
      <c r="AB593" s="327">
        <v>12</v>
      </c>
      <c r="AC593" s="879">
        <v>0</v>
      </c>
      <c r="AD593" s="327">
        <v>0</v>
      </c>
      <c r="AE593" s="327">
        <v>0</v>
      </c>
      <c r="AF593" s="258">
        <f t="shared" si="97"/>
        <v>0</v>
      </c>
      <c r="AG593" s="328"/>
      <c r="AK593" s="344"/>
    </row>
    <row r="594" spans="1:114" ht="15" hidden="1" customHeight="1" outlineLevel="1" x14ac:dyDescent="0.25">
      <c r="B594" s="561"/>
      <c r="D594" s="2324"/>
      <c r="E594" s="2324"/>
      <c r="F594" s="122" t="s">
        <v>1780</v>
      </c>
      <c r="G594" s="1528">
        <v>6</v>
      </c>
      <c r="H594" s="2310"/>
      <c r="I594" s="1359"/>
      <c r="M594" s="50"/>
      <c r="N594" s="50"/>
      <c r="O594" s="50"/>
      <c r="Q594" s="50"/>
      <c r="R594" s="50"/>
      <c r="S594" s="50"/>
      <c r="V594" s="2324"/>
      <c r="W594" s="328">
        <v>6</v>
      </c>
      <c r="X594" s="329">
        <v>6</v>
      </c>
      <c r="Y594" s="327">
        <v>6</v>
      </c>
      <c r="Z594" s="327">
        <v>6</v>
      </c>
      <c r="AA594" s="327">
        <v>6</v>
      </c>
      <c r="AB594" s="327">
        <v>6</v>
      </c>
      <c r="AC594" s="327">
        <v>6</v>
      </c>
      <c r="AD594" s="327">
        <v>6</v>
      </c>
      <c r="AE594" s="327">
        <v>6</v>
      </c>
      <c r="AF594" s="258">
        <f t="shared" si="97"/>
        <v>6</v>
      </c>
      <c r="AG594" s="328"/>
      <c r="AK594" s="344"/>
    </row>
    <row r="595" spans="1:114" hidden="1" outlineLevel="1" x14ac:dyDescent="0.25">
      <c r="B595" s="561"/>
      <c r="D595" s="2325"/>
      <c r="E595" s="2325"/>
      <c r="F595" s="122" t="s">
        <v>1781</v>
      </c>
      <c r="G595" s="1528">
        <v>0</v>
      </c>
      <c r="H595" s="2227"/>
      <c r="I595" s="1359"/>
      <c r="M595" s="50"/>
      <c r="N595" s="50"/>
      <c r="O595" s="50"/>
      <c r="Q595" s="50"/>
      <c r="R595" s="50"/>
      <c r="S595" s="50"/>
      <c r="V595" s="2325"/>
      <c r="W595" s="328">
        <v>12</v>
      </c>
      <c r="X595" s="329">
        <v>12</v>
      </c>
      <c r="Y595" s="327">
        <v>12</v>
      </c>
      <c r="Z595" s="327">
        <v>12</v>
      </c>
      <c r="AA595" s="327">
        <v>12</v>
      </c>
      <c r="AB595" s="327">
        <v>12</v>
      </c>
      <c r="AC595" s="879">
        <v>0</v>
      </c>
      <c r="AD595" s="327">
        <v>0</v>
      </c>
      <c r="AE595" s="327">
        <v>0</v>
      </c>
      <c r="AF595" s="258">
        <f t="shared" si="97"/>
        <v>0</v>
      </c>
      <c r="AG595" s="328"/>
      <c r="AK595" s="344"/>
    </row>
    <row r="596" spans="1:114" ht="30" hidden="1" outlineLevel="1" x14ac:dyDescent="0.25">
      <c r="B596" s="561"/>
      <c r="D596" s="2323" t="str">
        <f>D549</f>
        <v>Inc. Cost</v>
      </c>
      <c r="E596" s="2323" t="s">
        <v>682</v>
      </c>
      <c r="F596" s="122" t="s">
        <v>1778</v>
      </c>
      <c r="G596" s="1543">
        <f>0.25*0+0.75*350</f>
        <v>262.5</v>
      </c>
      <c r="H596" s="1296" t="s">
        <v>1782</v>
      </c>
      <c r="I596" s="1359"/>
      <c r="M596" s="50"/>
      <c r="N596" s="50"/>
      <c r="O596" s="50"/>
      <c r="Q596" s="50"/>
      <c r="R596" s="50"/>
      <c r="S596" s="50"/>
      <c r="V596" s="2326" t="str">
        <f>V549</f>
        <v>Inc. Cost</v>
      </c>
      <c r="W596" s="285">
        <v>475</v>
      </c>
      <c r="X596" s="262">
        <v>475</v>
      </c>
      <c r="Y596" s="710">
        <f>'HVAC Deemed Table'!Q57</f>
        <v>0</v>
      </c>
      <c r="Z596" s="710">
        <f>'HVAC Deemed Table'!R57</f>
        <v>0</v>
      </c>
      <c r="AA596" s="710">
        <f>'HVAC Deemed Table'!S57</f>
        <v>0</v>
      </c>
      <c r="AB596" s="710">
        <v>0</v>
      </c>
      <c r="AC596" s="710">
        <v>475</v>
      </c>
      <c r="AD596" s="710">
        <v>475</v>
      </c>
      <c r="AE596" s="710">
        <v>475</v>
      </c>
      <c r="AF596" s="258">
        <f t="shared" si="97"/>
        <v>262.5</v>
      </c>
      <c r="AG596" s="285"/>
      <c r="AK596" s="344"/>
    </row>
    <row r="597" spans="1:114" hidden="1" outlineLevel="1" x14ac:dyDescent="0.25">
      <c r="B597" s="561"/>
      <c r="D597" s="2324"/>
      <c r="E597" s="2324"/>
      <c r="F597" s="122" t="s">
        <v>1779</v>
      </c>
      <c r="G597" s="1529"/>
      <c r="H597" s="1359"/>
      <c r="I597" s="1359"/>
      <c r="M597" s="50"/>
      <c r="N597" s="50"/>
      <c r="O597" s="50"/>
      <c r="V597" s="2327"/>
      <c r="W597" s="285"/>
      <c r="X597" s="262"/>
      <c r="Y597" s="710"/>
      <c r="Z597" s="710"/>
      <c r="AA597" s="710"/>
      <c r="AB597" s="710"/>
      <c r="AC597" s="710"/>
      <c r="AD597" s="710"/>
      <c r="AE597" s="710"/>
      <c r="AF597" s="258" t="str">
        <f t="shared" si="97"/>
        <v/>
      </c>
      <c r="AG597" s="285"/>
      <c r="AK597" s="344"/>
    </row>
    <row r="598" spans="1:114" ht="30" hidden="1" outlineLevel="1" x14ac:dyDescent="0.25">
      <c r="B598" s="561"/>
      <c r="D598" s="2324"/>
      <c r="E598" s="2324"/>
      <c r="F598" s="122" t="s">
        <v>1780</v>
      </c>
      <c r="G598" s="1543">
        <f>0.25*0+0.75*350</f>
        <v>262.5</v>
      </c>
      <c r="H598" s="1296" t="s">
        <v>1782</v>
      </c>
      <c r="I598" s="1359"/>
      <c r="V598" s="2327"/>
      <c r="W598" s="285">
        <v>475</v>
      </c>
      <c r="X598" s="262">
        <v>475</v>
      </c>
      <c r="Y598" s="710">
        <f>'HVAC Deemed Table'!Q57</f>
        <v>0</v>
      </c>
      <c r="Z598" s="710">
        <f>'HVAC Deemed Table'!R57</f>
        <v>0</v>
      </c>
      <c r="AA598" s="710">
        <f>'HVAC Deemed Table'!S57</f>
        <v>0</v>
      </c>
      <c r="AB598" s="710">
        <v>0</v>
      </c>
      <c r="AC598" s="710">
        <v>475</v>
      </c>
      <c r="AD598" s="710">
        <v>475</v>
      </c>
      <c r="AE598" s="710">
        <v>475</v>
      </c>
      <c r="AF598" s="258">
        <f t="shared" si="97"/>
        <v>262.5</v>
      </c>
      <c r="AG598" s="285"/>
      <c r="AK598" s="344"/>
    </row>
    <row r="599" spans="1:114" hidden="1" outlineLevel="1" x14ac:dyDescent="0.25">
      <c r="B599" s="561"/>
      <c r="D599" s="2325"/>
      <c r="E599" s="2325"/>
      <c r="F599" s="122" t="s">
        <v>1781</v>
      </c>
      <c r="G599" s="1529"/>
      <c r="H599" s="1359"/>
      <c r="I599" s="1359"/>
      <c r="V599" s="2328"/>
      <c r="W599" s="285"/>
      <c r="X599" s="262"/>
      <c r="Y599" s="710"/>
      <c r="Z599" s="710"/>
      <c r="AA599" s="710"/>
      <c r="AB599" s="710"/>
      <c r="AC599" s="710"/>
      <c r="AD599" s="710"/>
      <c r="AE599" s="710"/>
      <c r="AF599" s="258" t="str">
        <f t="shared" si="97"/>
        <v/>
      </c>
      <c r="AG599" s="285"/>
      <c r="AK599" s="344"/>
    </row>
    <row r="600" spans="1:114" hidden="1" outlineLevel="1" x14ac:dyDescent="0.25">
      <c r="AK600" s="344"/>
    </row>
    <row r="601" spans="1:114" collapsed="1" x14ac:dyDescent="0.25">
      <c r="AK601" s="344"/>
    </row>
    <row r="602" spans="1:114" s="50" customFormat="1" x14ac:dyDescent="0.25">
      <c r="A602" s="270"/>
      <c r="B602" s="2134" t="s">
        <v>1783</v>
      </c>
      <c r="C602" s="2135"/>
      <c r="D602" s="2135"/>
      <c r="E602" s="2135"/>
      <c r="F602" s="2135"/>
      <c r="G602" s="2135"/>
      <c r="H602" s="2135"/>
      <c r="I602" s="2082"/>
      <c r="J602" s="2082"/>
      <c r="K602" s="2082"/>
      <c r="L602" s="2082"/>
      <c r="M602" s="2082"/>
      <c r="N602" s="2082"/>
      <c r="O602" s="2082"/>
      <c r="P602" s="2082"/>
      <c r="Q602" s="2082"/>
      <c r="R602" s="2083"/>
      <c r="V602" s="2103" t="str">
        <f>B602</f>
        <v>Heat Pump (HP) Tune-up</v>
      </c>
      <c r="W602" s="2104"/>
      <c r="X602" s="2104"/>
      <c r="Y602" s="2104"/>
      <c r="Z602" s="2104"/>
      <c r="AA602" s="2104"/>
      <c r="AB602" s="2104"/>
      <c r="AC602" s="2106"/>
      <c r="AD602" s="2106"/>
      <c r="AE602" s="2106"/>
      <c r="AF602" s="2106"/>
      <c r="AG602" s="2106"/>
      <c r="AH602" s="2106"/>
      <c r="AI602" s="2107"/>
      <c r="AK602" s="344"/>
      <c r="DG602" s="248"/>
      <c r="DJ602" s="1059"/>
    </row>
    <row r="603" spans="1:114" s="6" customFormat="1" x14ac:dyDescent="0.25">
      <c r="A603" s="270"/>
      <c r="B603" s="64"/>
      <c r="C603" s="62"/>
      <c r="D603" s="100"/>
      <c r="E603" s="63"/>
      <c r="F603" s="64"/>
      <c r="G603" s="64"/>
      <c r="H603" s="64"/>
      <c r="I603" s="64"/>
      <c r="J603" s="64"/>
      <c r="K603" s="64"/>
      <c r="L603" s="64"/>
      <c r="M603" s="64"/>
      <c r="N603" s="64"/>
      <c r="O603" s="64"/>
      <c r="P603" s="64"/>
      <c r="Q603" s="64"/>
      <c r="R603" s="64"/>
      <c r="S603" s="64"/>
      <c r="T603" s="64"/>
      <c r="U603" s="64"/>
      <c r="V603" s="260"/>
      <c r="W603" s="260"/>
      <c r="X603" s="260"/>
      <c r="Y603" s="271"/>
      <c r="Z603" s="260"/>
      <c r="AA603" s="260"/>
      <c r="AB603" s="260"/>
      <c r="AC603" s="260"/>
      <c r="AD603" s="260"/>
      <c r="AE603" s="260"/>
      <c r="AF603" s="260"/>
      <c r="AG603" s="260"/>
      <c r="AH603" s="260"/>
      <c r="AI603" s="260"/>
      <c r="AK603" s="344"/>
      <c r="DG603" s="1017"/>
      <c r="DH603" s="64"/>
      <c r="DI603" s="64"/>
      <c r="DJ603" s="1059"/>
    </row>
    <row r="604" spans="1:114" s="330" customFormat="1" ht="48.75" customHeight="1" x14ac:dyDescent="0.25">
      <c r="A604" s="270"/>
      <c r="B604" s="593"/>
      <c r="C604" s="1300" t="s">
        <v>42</v>
      </c>
      <c r="D604" s="1300" t="s">
        <v>594</v>
      </c>
      <c r="E604" s="1300" t="s">
        <v>44</v>
      </c>
      <c r="F604" s="1300" t="s">
        <v>45</v>
      </c>
      <c r="G604" s="1300" t="s">
        <v>46</v>
      </c>
      <c r="H604" s="1300" t="s">
        <v>47</v>
      </c>
      <c r="I604" s="1300" t="s">
        <v>48</v>
      </c>
      <c r="J604" s="1312" t="s">
        <v>49</v>
      </c>
      <c r="K604" s="1300" t="s">
        <v>50</v>
      </c>
      <c r="L604" s="1300" t="s">
        <v>51</v>
      </c>
      <c r="M604" s="270"/>
      <c r="N604" s="270"/>
      <c r="O604" s="270"/>
      <c r="P604" s="270"/>
      <c r="Q604" s="270"/>
      <c r="R604" s="270"/>
      <c r="S604" s="593"/>
      <c r="T604" s="593"/>
      <c r="U604" s="593"/>
      <c r="V604" s="648" t="s">
        <v>52</v>
      </c>
      <c r="W604" s="649">
        <f>W$6</f>
        <v>43252</v>
      </c>
      <c r="X604" s="649">
        <f t="shared" ref="X604:AG604" si="99">X$6</f>
        <v>43465</v>
      </c>
      <c r="Y604" s="110">
        <f t="shared" si="99"/>
        <v>43800</v>
      </c>
      <c r="Z604" s="649">
        <f t="shared" si="99"/>
        <v>43862</v>
      </c>
      <c r="AA604" s="649">
        <f t="shared" si="99"/>
        <v>44013</v>
      </c>
      <c r="AB604" s="649">
        <f t="shared" si="99"/>
        <v>44166</v>
      </c>
      <c r="AC604" s="649">
        <f t="shared" si="99"/>
        <v>44531</v>
      </c>
      <c r="AD604" s="649">
        <f t="shared" si="99"/>
        <v>44774</v>
      </c>
      <c r="AE604" s="649">
        <f t="shared" si="99"/>
        <v>45139</v>
      </c>
      <c r="AF604" s="649">
        <f t="shared" si="99"/>
        <v>45672</v>
      </c>
      <c r="AG604" s="649" t="str">
        <f t="shared" si="99"/>
        <v>-</v>
      </c>
      <c r="AH604" s="260"/>
      <c r="AI604" s="260"/>
      <c r="AK604" s="344"/>
      <c r="DG604" s="1018" t="str">
        <f>$DG$6</f>
        <v>TRC (2025)</v>
      </c>
      <c r="DH604" s="776" t="str">
        <f>$DH$6</f>
        <v>Benefit Lookup</v>
      </c>
      <c r="DI604" s="1034" t="str">
        <f>$DI$6</f>
        <v>Benefits (2025 $)</v>
      </c>
      <c r="DJ604" s="1126" t="str">
        <f>$DJ$6</f>
        <v>Incremental Cost (2025 $)</v>
      </c>
    </row>
    <row r="605" spans="1:114" s="330" customFormat="1" x14ac:dyDescent="0.25">
      <c r="A605" s="270"/>
      <c r="B605" s="1384">
        <f t="shared" ref="B605:B606" si="100">VALUE(LEFT(C605,6))</f>
        <v>403311</v>
      </c>
      <c r="C605" s="332" t="s">
        <v>1784</v>
      </c>
      <c r="D605" s="537" t="s">
        <v>600</v>
      </c>
      <c r="E605" s="174" t="s">
        <v>1785</v>
      </c>
      <c r="F605" s="558">
        <f>ROUND((G614*G613*(1/G$615-1/G$616)/G$617),2)</f>
        <v>226.6</v>
      </c>
      <c r="G605" s="537" t="s">
        <v>688</v>
      </c>
      <c r="H605" s="66">
        <f>VLOOKUP(G605,'CP FACTORS'!$A$3:$B$38, 2, FALSE)</f>
        <v>9.4741810000000004E-4</v>
      </c>
      <c r="I605" s="536">
        <f t="shared" ref="I605:I606" si="101">ROUND(F605*H605,6)</f>
        <v>0.21468499999999999</v>
      </c>
      <c r="J605" s="331">
        <f>$G$623</f>
        <v>2</v>
      </c>
      <c r="K605" s="710">
        <f>G$624</f>
        <v>185</v>
      </c>
      <c r="L605" s="332" t="s">
        <v>62</v>
      </c>
      <c r="M605" s="270"/>
      <c r="N605" s="270"/>
      <c r="O605" s="270"/>
      <c r="P605" s="270"/>
      <c r="Q605" s="270"/>
      <c r="R605" s="270"/>
      <c r="S605" s="593"/>
      <c r="T605" s="593"/>
      <c r="U605" s="593"/>
      <c r="V605" s="342" t="str">
        <f t="shared" ref="V605:V606" si="102">$F$484</f>
        <v>kWh
Annual Savings</v>
      </c>
      <c r="W605" s="1423"/>
      <c r="X605" s="813"/>
      <c r="Y605" s="814"/>
      <c r="Z605" s="815"/>
      <c r="AA605" s="815"/>
      <c r="AB605" s="815"/>
      <c r="AC605" s="558">
        <f t="shared" ref="AC605:AC606" si="103">F605</f>
        <v>226.6</v>
      </c>
      <c r="AD605" s="558">
        <v>226.6</v>
      </c>
      <c r="AE605" s="558">
        <v>226.6</v>
      </c>
      <c r="AF605" s="258">
        <f t="shared" ref="AF605:AF606" si="104">IF(F605&lt;&gt;"",F605,"")</f>
        <v>226.6</v>
      </c>
      <c r="AG605" s="342"/>
      <c r="AH605" s="260"/>
      <c r="AI605" s="260"/>
      <c r="AK605" s="344"/>
      <c r="DG605" s="1021">
        <f>(DI605+DI606)/(DJ605+DJ606)</f>
        <v>0.87355825926354935</v>
      </c>
      <c r="DH605" s="126" t="str">
        <f t="shared" ref="DH605:DH606" si="105">CONCATENATE(G605," ",J605," Year EUL")</f>
        <v>Cooling RES 2 Year EUL</v>
      </c>
      <c r="DI605" s="538">
        <f>(INDEX('Avoided Cost Benefits'!$B$4:$B$865,MATCH(DH605,'Avoided Cost Benefits'!$A$4:$A$865,0)))*F605</f>
        <v>84.72884106868878</v>
      </c>
      <c r="DJ605" s="1952">
        <f t="shared" ref="DJ605:DJ606" si="106">IFERROR(K605/((1+DiscountRate)^(CurrentYear-DiscountYear)),0)</f>
        <v>185</v>
      </c>
    </row>
    <row r="606" spans="1:114" s="330" customFormat="1" x14ac:dyDescent="0.25">
      <c r="A606" s="270"/>
      <c r="B606" s="1384">
        <f t="shared" si="100"/>
        <v>403311</v>
      </c>
      <c r="C606" s="332" t="s">
        <v>1784</v>
      </c>
      <c r="D606" s="537" t="s">
        <v>600</v>
      </c>
      <c r="E606" s="1330" t="s">
        <v>1785</v>
      </c>
      <c r="F606" s="558">
        <f>ROUND((G620*G618*(1/G$621-1/G$622)/G$617),2)</f>
        <v>726.8</v>
      </c>
      <c r="G606" s="537" t="s">
        <v>689</v>
      </c>
      <c r="H606" s="66">
        <f>VLOOKUP(G606,'CP FACTORS'!$A$3:$B$38, 2, FALSE)</f>
        <v>0</v>
      </c>
      <c r="I606" s="536">
        <f t="shared" si="101"/>
        <v>0</v>
      </c>
      <c r="J606" s="331">
        <f>$G$623</f>
        <v>2</v>
      </c>
      <c r="K606" s="710">
        <v>0</v>
      </c>
      <c r="L606" s="332" t="s">
        <v>62</v>
      </c>
      <c r="M606" s="270"/>
      <c r="N606" s="270"/>
      <c r="O606" s="270"/>
      <c r="P606" s="270"/>
      <c r="Q606" s="270"/>
      <c r="R606" s="270"/>
      <c r="S606" s="593"/>
      <c r="T606" s="593"/>
      <c r="U606" s="593"/>
      <c r="V606" s="342" t="str">
        <f t="shared" si="102"/>
        <v>kWh
Annual Savings</v>
      </c>
      <c r="W606" s="1423"/>
      <c r="X606" s="813"/>
      <c r="Y606" s="814"/>
      <c r="Z606" s="815"/>
      <c r="AA606" s="815"/>
      <c r="AB606" s="815"/>
      <c r="AC606" s="558">
        <f t="shared" si="103"/>
        <v>726.8</v>
      </c>
      <c r="AD606" s="558">
        <v>726.8</v>
      </c>
      <c r="AE606" s="558">
        <v>726.8</v>
      </c>
      <c r="AF606" s="258">
        <f t="shared" si="104"/>
        <v>726.8</v>
      </c>
      <c r="AG606" s="342"/>
      <c r="AH606" s="260"/>
      <c r="AI606" s="260"/>
      <c r="AK606" s="344"/>
      <c r="DG606" s="1039"/>
      <c r="DH606" s="893" t="str">
        <f t="shared" si="105"/>
        <v>Heating RES 2 Year EUL</v>
      </c>
      <c r="DI606" s="538">
        <f>(INDEX('Avoided Cost Benefits'!$B$4:$B$865,MATCH(DH606,'Avoided Cost Benefits'!$A$4:$A$865,0)))*F606</f>
        <v>76.879436895067826</v>
      </c>
      <c r="DJ606" s="1952">
        <f t="shared" si="106"/>
        <v>0</v>
      </c>
    </row>
    <row r="607" spans="1:114" s="330" customFormat="1" hidden="1" outlineLevel="1" x14ac:dyDescent="0.25">
      <c r="A607" s="270"/>
      <c r="B607" s="593"/>
      <c r="C607" s="70"/>
      <c r="D607" s="1379" t="s">
        <v>94</v>
      </c>
      <c r="E607" s="1379" t="s">
        <v>1452</v>
      </c>
      <c r="F607" s="1010"/>
      <c r="G607" s="827"/>
      <c r="H607" s="827"/>
      <c r="I607" s="1011"/>
      <c r="J607" s="1012"/>
      <c r="K607" s="632"/>
      <c r="L607" s="70"/>
      <c r="M607" s="270"/>
      <c r="N607" s="270"/>
      <c r="O607" s="270"/>
      <c r="P607" s="270"/>
      <c r="Q607" s="270"/>
      <c r="R607" s="270"/>
      <c r="S607" s="593"/>
      <c r="T607" s="593"/>
      <c r="U607" s="593"/>
      <c r="V607" s="73"/>
      <c r="W607" s="73"/>
      <c r="X607" s="73"/>
      <c r="Y607" s="73"/>
      <c r="Z607" s="73"/>
      <c r="AA607" s="73"/>
      <c r="AB607" s="73"/>
      <c r="AC607" s="73"/>
      <c r="AD607" s="73"/>
      <c r="AE607" s="73"/>
      <c r="AF607" s="73"/>
      <c r="AG607" s="73"/>
      <c r="AH607" s="260"/>
      <c r="AI607" s="260"/>
      <c r="AK607" s="344"/>
      <c r="DG607" s="593"/>
      <c r="DH607" s="127"/>
      <c r="DI607" s="538"/>
      <c r="DJ607" s="1128"/>
    </row>
    <row r="608" spans="1:114" s="330" customFormat="1" hidden="1" outlineLevel="1" x14ac:dyDescent="0.25">
      <c r="A608" s="270"/>
      <c r="B608" s="593"/>
      <c r="C608" s="70"/>
      <c r="D608" s="1564" t="s">
        <v>604</v>
      </c>
      <c r="E608" s="1564" t="s">
        <v>1453</v>
      </c>
      <c r="F608" s="1010"/>
      <c r="G608" s="827"/>
      <c r="H608" s="827"/>
      <c r="I608" s="1011"/>
      <c r="J608" s="1012"/>
      <c r="K608" s="632"/>
      <c r="L608" s="70"/>
      <c r="M608" s="270"/>
      <c r="N608" s="270"/>
      <c r="O608" s="270"/>
      <c r="P608" s="270"/>
      <c r="Q608" s="270"/>
      <c r="R608" s="270"/>
      <c r="S608" s="593"/>
      <c r="T608" s="593"/>
      <c r="U608" s="593"/>
      <c r="V608" s="73"/>
      <c r="W608" s="73"/>
      <c r="X608" s="73"/>
      <c r="Y608" s="73"/>
      <c r="Z608" s="73"/>
      <c r="AA608" s="73"/>
      <c r="AB608" s="73"/>
      <c r="AC608" s="73"/>
      <c r="AD608" s="73"/>
      <c r="AE608" s="73"/>
      <c r="AF608" s="73"/>
      <c r="AG608" s="73"/>
      <c r="AH608" s="260"/>
      <c r="AI608" s="260"/>
      <c r="AK608" s="344"/>
      <c r="DG608" s="593"/>
      <c r="DH608" s="127"/>
      <c r="DI608" s="538"/>
      <c r="DJ608" s="1128"/>
    </row>
    <row r="609" spans="1:114" s="6" customFormat="1" hidden="1" outlineLevel="1" x14ac:dyDescent="0.25">
      <c r="A609" s="270"/>
      <c r="B609" s="64"/>
      <c r="C609" s="62"/>
      <c r="D609" s="1379"/>
      <c r="E609" s="1564" t="s">
        <v>1454</v>
      </c>
      <c r="F609" s="69"/>
      <c r="G609" s="64"/>
      <c r="H609" s="64"/>
      <c r="I609" s="64"/>
      <c r="J609" s="309"/>
      <c r="K609" s="64"/>
      <c r="L609" s="64"/>
      <c r="M609" s="64"/>
      <c r="N609" s="270"/>
      <c r="O609" s="270"/>
      <c r="P609" s="270"/>
      <c r="Q609" s="270"/>
      <c r="R609" s="270"/>
      <c r="S609" s="593"/>
      <c r="T609" s="593"/>
      <c r="U609" s="593"/>
      <c r="V609" s="73"/>
      <c r="Y609" s="1429"/>
      <c r="AK609" s="344"/>
      <c r="DG609" s="1017"/>
      <c r="DH609" s="64"/>
      <c r="DI609" s="64"/>
      <c r="DJ609" s="1059"/>
    </row>
    <row r="610" spans="1:114" s="6" customFormat="1" hidden="1" outlineLevel="1" x14ac:dyDescent="0.25">
      <c r="A610" s="270"/>
      <c r="B610" s="64"/>
      <c r="C610" s="62"/>
      <c r="D610" s="1379"/>
      <c r="E610" s="1379" t="s">
        <v>709</v>
      </c>
      <c r="F610" s="559"/>
      <c r="G610" s="64"/>
      <c r="H610" s="64"/>
      <c r="I610" s="64"/>
      <c r="J610" s="64"/>
      <c r="K610" s="64"/>
      <c r="L610" s="64"/>
      <c r="M610" s="64"/>
      <c r="N610" s="270"/>
      <c r="O610" s="270"/>
      <c r="P610" s="270"/>
      <c r="Q610" s="270"/>
      <c r="R610" s="270"/>
      <c r="S610" s="593"/>
      <c r="T610" s="593"/>
      <c r="U610" s="593"/>
      <c r="V610" s="73"/>
      <c r="Y610" s="1429"/>
      <c r="AK610" s="344"/>
      <c r="DG610" s="1017"/>
      <c r="DH610" s="64"/>
      <c r="DI610" s="64"/>
      <c r="DJ610" s="1059"/>
    </row>
    <row r="611" spans="1:114" s="6" customFormat="1" hidden="1" outlineLevel="1" x14ac:dyDescent="0.25">
      <c r="A611" s="270"/>
      <c r="B611" s="64"/>
      <c r="C611" s="62"/>
      <c r="D611" s="1379"/>
      <c r="E611" s="1379"/>
      <c r="F611" s="559"/>
      <c r="G611" s="64"/>
      <c r="H611" s="64"/>
      <c r="I611" s="64"/>
      <c r="J611" s="64"/>
      <c r="K611" s="64"/>
      <c r="L611" s="64"/>
      <c r="M611" s="64"/>
      <c r="N611" s="270"/>
      <c r="O611" s="270"/>
      <c r="P611" s="270"/>
      <c r="Q611" s="270"/>
      <c r="R611" s="270"/>
      <c r="S611" s="593"/>
      <c r="T611" s="593"/>
      <c r="U611" s="593"/>
      <c r="V611" s="73"/>
      <c r="Y611" s="1429"/>
      <c r="AK611" s="344"/>
      <c r="DG611" s="1017"/>
      <c r="DH611" s="64"/>
      <c r="DI611" s="64"/>
      <c r="DJ611" s="1059"/>
    </row>
    <row r="612" spans="1:114" s="8" customFormat="1" ht="15" hidden="1" customHeight="1" outlineLevel="1" x14ac:dyDescent="0.25">
      <c r="A612" s="270"/>
      <c r="B612" s="116"/>
      <c r="C612" s="62"/>
      <c r="D612" s="1373" t="s">
        <v>712</v>
      </c>
      <c r="E612" s="1373" t="s">
        <v>608</v>
      </c>
      <c r="F612" s="1373" t="s">
        <v>609</v>
      </c>
      <c r="G612" s="1311" t="s">
        <v>610</v>
      </c>
      <c r="H612" s="2108" t="s">
        <v>611</v>
      </c>
      <c r="I612" s="2108"/>
      <c r="J612" s="2296" t="s">
        <v>612</v>
      </c>
      <c r="K612" s="2329"/>
      <c r="L612" s="2329"/>
      <c r="M612" s="2330"/>
      <c r="N612" s="64"/>
      <c r="O612" s="64"/>
      <c r="P612" s="64"/>
      <c r="Q612" s="64"/>
      <c r="R612" s="116"/>
      <c r="S612" s="116"/>
      <c r="T612" s="116"/>
      <c r="U612" s="116"/>
      <c r="V612" s="648" t="s">
        <v>52</v>
      </c>
      <c r="W612" s="649">
        <f>W$6</f>
        <v>43252</v>
      </c>
      <c r="X612" s="649">
        <f t="shared" ref="X612:AG612" si="107">X$6</f>
        <v>43465</v>
      </c>
      <c r="Y612" s="110">
        <f t="shared" si="107"/>
        <v>43800</v>
      </c>
      <c r="Z612" s="649">
        <f t="shared" si="107"/>
        <v>43862</v>
      </c>
      <c r="AA612" s="649">
        <f t="shared" si="107"/>
        <v>44013</v>
      </c>
      <c r="AB612" s="649">
        <f t="shared" si="107"/>
        <v>44166</v>
      </c>
      <c r="AC612" s="649">
        <f t="shared" si="107"/>
        <v>44531</v>
      </c>
      <c r="AD612" s="649">
        <f t="shared" si="107"/>
        <v>44774</v>
      </c>
      <c r="AE612" s="649">
        <f t="shared" si="107"/>
        <v>45139</v>
      </c>
      <c r="AF612" s="649">
        <f t="shared" si="107"/>
        <v>45672</v>
      </c>
      <c r="AG612" s="649" t="str">
        <f t="shared" si="107"/>
        <v>-</v>
      </c>
      <c r="AK612" s="344"/>
      <c r="DG612" s="1023"/>
      <c r="DH612" s="116"/>
      <c r="DI612" s="116"/>
      <c r="DJ612" s="1116"/>
    </row>
    <row r="613" spans="1:114" s="6" customFormat="1" ht="18" hidden="1" outlineLevel="1" x14ac:dyDescent="0.25">
      <c r="A613" s="270"/>
      <c r="B613" s="64"/>
      <c r="C613" s="62"/>
      <c r="D613" s="1341" t="s">
        <v>1455</v>
      </c>
      <c r="E613" s="1341" t="s">
        <v>1161</v>
      </c>
      <c r="F613" s="336" t="s">
        <v>751</v>
      </c>
      <c r="G613" s="1623">
        <v>869</v>
      </c>
      <c r="H613" s="2280" t="s">
        <v>1786</v>
      </c>
      <c r="I613" s="2282"/>
      <c r="J613" s="2331"/>
      <c r="K613" s="2332"/>
      <c r="L613" s="2332"/>
      <c r="M613" s="2333"/>
      <c r="N613" s="64"/>
      <c r="O613" s="64"/>
      <c r="P613" s="64"/>
      <c r="Q613" s="64"/>
      <c r="R613" s="64"/>
      <c r="S613" s="64"/>
      <c r="T613" s="64"/>
      <c r="U613" s="64"/>
      <c r="V613" s="1425" t="s">
        <v>1787</v>
      </c>
      <c r="W613" s="334">
        <v>869</v>
      </c>
      <c r="X613" s="79">
        <v>869</v>
      </c>
      <c r="Y613" s="79">
        <v>869</v>
      </c>
      <c r="Z613" s="79">
        <v>869</v>
      </c>
      <c r="AA613" s="79">
        <v>869</v>
      </c>
      <c r="AB613" s="79">
        <v>869</v>
      </c>
      <c r="AC613" s="826">
        <f>G613</f>
        <v>869</v>
      </c>
      <c r="AD613" s="333">
        <v>869</v>
      </c>
      <c r="AE613" s="333">
        <v>869</v>
      </c>
      <c r="AF613" s="258">
        <f t="shared" ref="AF613:AF624" si="108">IF(G613&lt;&gt;"",G613,"")</f>
        <v>869</v>
      </c>
      <c r="AG613" s="1424"/>
      <c r="AK613" s="344"/>
      <c r="DG613" s="1017"/>
      <c r="DH613" s="64"/>
      <c r="DI613" s="64"/>
      <c r="DJ613" s="1059"/>
    </row>
    <row r="614" spans="1:114" s="6" customFormat="1" ht="30" hidden="1" customHeight="1" outlineLevel="1" x14ac:dyDescent="0.25">
      <c r="A614" s="270"/>
      <c r="B614" s="64"/>
      <c r="C614" s="62"/>
      <c r="D614" s="1983" t="s">
        <v>1457</v>
      </c>
      <c r="E614" s="1983" t="s">
        <v>1368</v>
      </c>
      <c r="F614" s="336" t="s">
        <v>751</v>
      </c>
      <c r="G614" s="1574">
        <v>22537.991266375546</v>
      </c>
      <c r="H614" s="2228" t="s">
        <v>1653</v>
      </c>
      <c r="I614" s="2229"/>
      <c r="J614" s="2334"/>
      <c r="K614" s="2335"/>
      <c r="L614" s="2335"/>
      <c r="M614" s="2336"/>
      <c r="N614" s="64"/>
      <c r="O614" s="64"/>
      <c r="P614" s="64"/>
      <c r="Q614" s="64"/>
      <c r="R614" s="64"/>
      <c r="S614" s="64"/>
      <c r="T614" s="64"/>
      <c r="U614" s="64"/>
      <c r="V614" s="1425"/>
      <c r="W614" s="334" t="e">
        <f>#REF!*0.65</f>
        <v>#REF!</v>
      </c>
      <c r="X614" s="79">
        <v>24515.58139534884</v>
      </c>
      <c r="Y614" s="335">
        <v>22537.991266375546</v>
      </c>
      <c r="Z614" s="79">
        <v>22537.991266375546</v>
      </c>
      <c r="AA614" s="79">
        <v>22537.991266375546</v>
      </c>
      <c r="AB614" s="79">
        <v>22537.991266375546</v>
      </c>
      <c r="AC614" s="826">
        <f t="shared" ref="AC614:AC623" si="109">G614</f>
        <v>22537.991266375546</v>
      </c>
      <c r="AD614" s="333">
        <v>22537.991266375546</v>
      </c>
      <c r="AE614" s="333">
        <v>22537.991266375546</v>
      </c>
      <c r="AF614" s="258">
        <f t="shared" si="108"/>
        <v>22537.991266375546</v>
      </c>
      <c r="AG614" s="1424"/>
      <c r="AK614" s="344"/>
      <c r="DG614" s="1017"/>
      <c r="DH614" s="64"/>
      <c r="DI614" s="64"/>
      <c r="DJ614" s="1059"/>
    </row>
    <row r="615" spans="1:114" s="6" customFormat="1" ht="54" hidden="1" customHeight="1" outlineLevel="1" x14ac:dyDescent="0.25">
      <c r="A615" s="270"/>
      <c r="B615" s="64"/>
      <c r="C615" s="62"/>
      <c r="D615" s="1983" t="s">
        <v>1460</v>
      </c>
      <c r="E615" s="1983" t="s">
        <v>1461</v>
      </c>
      <c r="F615" s="336" t="s">
        <v>1464</v>
      </c>
      <c r="G615" s="1516">
        <v>11.9</v>
      </c>
      <c r="H615" s="2228" t="s">
        <v>1788</v>
      </c>
      <c r="I615" s="2229"/>
      <c r="J615" s="2228"/>
      <c r="K615" s="2276"/>
      <c r="L615" s="2276"/>
      <c r="M615" s="2229"/>
      <c r="N615" s="64"/>
      <c r="O615" s="64"/>
      <c r="P615" s="64"/>
      <c r="Q615" s="64"/>
      <c r="R615" s="64"/>
      <c r="S615" s="64"/>
      <c r="T615" s="64"/>
      <c r="U615" s="64"/>
      <c r="V615" s="1976"/>
      <c r="W615" s="815"/>
      <c r="X615" s="815"/>
      <c r="Y615" s="815"/>
      <c r="Z615" s="815"/>
      <c r="AA615" s="815"/>
      <c r="AB615" s="815"/>
      <c r="AC615" s="331">
        <f t="shared" si="109"/>
        <v>11.9</v>
      </c>
      <c r="AD615" s="1310">
        <v>11.9</v>
      </c>
      <c r="AE615" s="1310">
        <v>11.9</v>
      </c>
      <c r="AF615" s="258">
        <f t="shared" si="108"/>
        <v>11.9</v>
      </c>
      <c r="AG615" s="1426"/>
      <c r="AK615" s="344"/>
      <c r="DG615" s="1017"/>
      <c r="DH615" s="64"/>
      <c r="DI615" s="64"/>
      <c r="DJ615" s="1059"/>
    </row>
    <row r="616" spans="1:114" s="6" customFormat="1" ht="29.25" hidden="1" customHeight="1" outlineLevel="1" x14ac:dyDescent="0.25">
      <c r="A616" s="270"/>
      <c r="B616" s="64"/>
      <c r="C616" s="62"/>
      <c r="D616" s="1983" t="s">
        <v>1465</v>
      </c>
      <c r="E616" s="1983" t="s">
        <v>1466</v>
      </c>
      <c r="F616" s="336" t="s">
        <v>1464</v>
      </c>
      <c r="G616" s="1516">
        <v>13.8</v>
      </c>
      <c r="H616" s="2228" t="s">
        <v>1469</v>
      </c>
      <c r="I616" s="2229"/>
      <c r="J616" s="2228"/>
      <c r="K616" s="2276"/>
      <c r="L616" s="2276"/>
      <c r="M616" s="2229"/>
      <c r="N616" s="64"/>
      <c r="O616" s="64"/>
      <c r="P616" s="831"/>
      <c r="Q616" s="64"/>
      <c r="R616" s="64"/>
      <c r="S616" s="64"/>
      <c r="T616" s="64"/>
      <c r="U616" s="64"/>
      <c r="V616" s="1425"/>
      <c r="W616" s="815"/>
      <c r="X616" s="815"/>
      <c r="Y616" s="815"/>
      <c r="Z616" s="815"/>
      <c r="AA616" s="815"/>
      <c r="AB616" s="815"/>
      <c r="AC616" s="331">
        <f t="shared" si="109"/>
        <v>13.8</v>
      </c>
      <c r="AD616" s="1310">
        <v>13.8</v>
      </c>
      <c r="AE616" s="1310">
        <v>13.8</v>
      </c>
      <c r="AF616" s="258">
        <f t="shared" si="108"/>
        <v>13.8</v>
      </c>
      <c r="AG616" s="1426"/>
      <c r="AK616" s="344"/>
      <c r="DG616" s="1017"/>
      <c r="DH616" s="64"/>
      <c r="DI616" s="64"/>
      <c r="DJ616" s="1059"/>
    </row>
    <row r="617" spans="1:114" s="6" customFormat="1" hidden="1" outlineLevel="1" x14ac:dyDescent="0.25">
      <c r="A617" s="270"/>
      <c r="B617" s="64"/>
      <c r="C617" s="62"/>
      <c r="D617" s="337">
        <v>1000</v>
      </c>
      <c r="E617" s="338" t="s">
        <v>1470</v>
      </c>
      <c r="F617" s="336" t="s">
        <v>1789</v>
      </c>
      <c r="G617" s="1623">
        <v>1000</v>
      </c>
      <c r="H617" s="2138" t="s">
        <v>1472</v>
      </c>
      <c r="I617" s="2138"/>
      <c r="J617" s="2268"/>
      <c r="K617" s="2268"/>
      <c r="L617" s="2268"/>
      <c r="M617" s="2268"/>
      <c r="N617" s="64"/>
      <c r="O617" s="64"/>
      <c r="P617" s="64"/>
      <c r="Q617" s="64"/>
      <c r="R617" s="64"/>
      <c r="S617" s="64"/>
      <c r="T617" s="64"/>
      <c r="U617" s="64"/>
      <c r="V617" s="1434">
        <v>1000</v>
      </c>
      <c r="W617" s="334">
        <v>1000</v>
      </c>
      <c r="X617" s="79">
        <v>1000</v>
      </c>
      <c r="Y617" s="1444">
        <v>1000</v>
      </c>
      <c r="Z617" s="79">
        <v>1000</v>
      </c>
      <c r="AA617" s="79">
        <v>1000</v>
      </c>
      <c r="AB617" s="79">
        <v>1000</v>
      </c>
      <c r="AC617" s="826">
        <f t="shared" si="109"/>
        <v>1000</v>
      </c>
      <c r="AD617" s="333">
        <v>1000</v>
      </c>
      <c r="AE617" s="333">
        <v>1000</v>
      </c>
      <c r="AF617" s="258">
        <f t="shared" si="108"/>
        <v>1000</v>
      </c>
      <c r="AG617" s="1424"/>
      <c r="AK617" s="344"/>
      <c r="DG617" s="1017"/>
      <c r="DH617" s="64"/>
      <c r="DI617" s="64"/>
      <c r="DJ617" s="1059"/>
    </row>
    <row r="618" spans="1:114" s="6" customFormat="1" ht="28.5" hidden="1" customHeight="1" outlineLevel="1" x14ac:dyDescent="0.25">
      <c r="A618" s="270"/>
      <c r="B618" s="64"/>
      <c r="C618" s="62"/>
      <c r="D618" s="2233" t="s">
        <v>1790</v>
      </c>
      <c r="E618" s="2233" t="s">
        <v>1147</v>
      </c>
      <c r="F618" s="336" t="s">
        <v>745</v>
      </c>
      <c r="G618" s="1623">
        <v>1496</v>
      </c>
      <c r="H618" s="2091" t="s">
        <v>1786</v>
      </c>
      <c r="I618" s="2091"/>
      <c r="J618" s="2268"/>
      <c r="K618" s="2268"/>
      <c r="L618" s="2268"/>
      <c r="M618" s="2268"/>
      <c r="N618" s="64"/>
      <c r="O618" s="64"/>
      <c r="P618" s="64"/>
      <c r="Q618" s="64"/>
      <c r="R618" s="64"/>
      <c r="S618" s="64"/>
      <c r="T618" s="64"/>
      <c r="U618" s="64"/>
      <c r="V618" s="2340" t="s">
        <v>1791</v>
      </c>
      <c r="W618" s="334">
        <v>2009</v>
      </c>
      <c r="X618" s="334">
        <v>2009</v>
      </c>
      <c r="Y618" s="339">
        <v>1496</v>
      </c>
      <c r="Z618" s="334">
        <v>1496</v>
      </c>
      <c r="AA618" s="334">
        <v>1496</v>
      </c>
      <c r="AB618" s="334">
        <v>1496</v>
      </c>
      <c r="AC618" s="826">
        <f t="shared" si="109"/>
        <v>1496</v>
      </c>
      <c r="AD618" s="333">
        <v>1496</v>
      </c>
      <c r="AE618" s="333">
        <v>1496</v>
      </c>
      <c r="AF618" s="258">
        <f t="shared" si="108"/>
        <v>1496</v>
      </c>
      <c r="AG618" s="1424"/>
      <c r="AK618" s="344"/>
      <c r="DG618" s="1017"/>
      <c r="DH618" s="64"/>
      <c r="DI618" s="64"/>
      <c r="DJ618" s="1059"/>
    </row>
    <row r="619" spans="1:114" s="6" customFormat="1" ht="29.25" hidden="1" customHeight="1" outlineLevel="1" x14ac:dyDescent="0.25">
      <c r="A619" s="270"/>
      <c r="B619" s="64"/>
      <c r="C619" s="62"/>
      <c r="D619" s="2225"/>
      <c r="E619" s="2225"/>
      <c r="F619" s="336" t="s">
        <v>1792</v>
      </c>
      <c r="G619" s="1623">
        <v>510</v>
      </c>
      <c r="H619" s="2228" t="s">
        <v>1786</v>
      </c>
      <c r="I619" s="2229"/>
      <c r="J619" s="2268"/>
      <c r="K619" s="2268"/>
      <c r="L619" s="2268"/>
      <c r="M619" s="2268"/>
      <c r="N619" s="64"/>
      <c r="O619" s="64"/>
      <c r="P619" s="64"/>
      <c r="Q619" s="64"/>
      <c r="R619" s="64"/>
      <c r="S619" s="64"/>
      <c r="T619" s="64"/>
      <c r="U619" s="64"/>
      <c r="V619" s="2341"/>
      <c r="W619" s="334"/>
      <c r="X619" s="334"/>
      <c r="Y619" s="339">
        <v>510</v>
      </c>
      <c r="Z619" s="334">
        <v>510</v>
      </c>
      <c r="AA619" s="334">
        <v>510</v>
      </c>
      <c r="AB619" s="334">
        <v>510</v>
      </c>
      <c r="AC619" s="826">
        <f t="shared" si="109"/>
        <v>510</v>
      </c>
      <c r="AD619" s="333">
        <v>510</v>
      </c>
      <c r="AE619" s="333">
        <v>510</v>
      </c>
      <c r="AF619" s="258">
        <f t="shared" si="108"/>
        <v>510</v>
      </c>
      <c r="AG619" s="1424"/>
      <c r="AK619" s="344"/>
      <c r="DG619" s="1017"/>
      <c r="DH619" s="64"/>
      <c r="DI619" s="64"/>
      <c r="DJ619" s="1059"/>
    </row>
    <row r="620" spans="1:114" s="73" customFormat="1" ht="33.75" hidden="1" customHeight="1" outlineLevel="1" x14ac:dyDescent="0.25">
      <c r="A620" s="270"/>
      <c r="B620" s="50"/>
      <c r="C620" s="49"/>
      <c r="D620" s="1983" t="s">
        <v>1793</v>
      </c>
      <c r="E620" s="1983" t="s">
        <v>1144</v>
      </c>
      <c r="F620" s="336" t="s">
        <v>751</v>
      </c>
      <c r="G620" s="1574">
        <v>22537.991266375546</v>
      </c>
      <c r="H620" s="2228" t="s">
        <v>1653</v>
      </c>
      <c r="I620" s="2229"/>
      <c r="J620" s="2268"/>
      <c r="K620" s="2268"/>
      <c r="L620" s="2268"/>
      <c r="M620" s="2268"/>
      <c r="N620" s="50"/>
      <c r="O620" s="50"/>
      <c r="P620" s="50"/>
      <c r="Q620" s="64"/>
      <c r="R620" s="50"/>
      <c r="S620" s="50"/>
      <c r="T620" s="50"/>
      <c r="U620" s="50"/>
      <c r="V620" s="1425"/>
      <c r="W620" s="334">
        <v>24515.58139534884</v>
      </c>
      <c r="X620" s="79">
        <v>24515.58139534884</v>
      </c>
      <c r="Y620" s="335">
        <v>22537.991266375546</v>
      </c>
      <c r="Z620" s="79">
        <v>22537.991266375546</v>
      </c>
      <c r="AA620" s="79">
        <v>22537.991266375546</v>
      </c>
      <c r="AB620" s="79">
        <v>22537.991266375546</v>
      </c>
      <c r="AC620" s="826">
        <f t="shared" si="109"/>
        <v>22537.991266375546</v>
      </c>
      <c r="AD620" s="333">
        <v>22537.991266375546</v>
      </c>
      <c r="AE620" s="333">
        <v>22537.991266375546</v>
      </c>
      <c r="AF620" s="258">
        <f t="shared" si="108"/>
        <v>22537.991266375546</v>
      </c>
      <c r="AG620" s="1424"/>
      <c r="AK620" s="344"/>
      <c r="DG620" s="248"/>
      <c r="DH620" s="50"/>
      <c r="DI620" s="50"/>
      <c r="DJ620" s="1059"/>
    </row>
    <row r="621" spans="1:114" s="73" customFormat="1" ht="81.95" hidden="1" customHeight="1" outlineLevel="1" x14ac:dyDescent="0.25">
      <c r="A621" s="270"/>
      <c r="B621" s="50"/>
      <c r="C621" s="49"/>
      <c r="D621" s="1983" t="s">
        <v>1794</v>
      </c>
      <c r="E621" s="1986" t="s">
        <v>1795</v>
      </c>
      <c r="F621" s="1817" t="s">
        <v>1464</v>
      </c>
      <c r="G621" s="1516">
        <v>6.3</v>
      </c>
      <c r="H621" s="2228" t="s">
        <v>1796</v>
      </c>
      <c r="I621" s="2229"/>
      <c r="J621" s="2334"/>
      <c r="K621" s="2338"/>
      <c r="L621" s="2338"/>
      <c r="M621" s="2339"/>
      <c r="N621" s="50"/>
      <c r="O621" s="64"/>
      <c r="P621" s="64"/>
      <c r="Q621" s="50"/>
      <c r="R621" s="50"/>
      <c r="S621" s="50"/>
      <c r="T621" s="50"/>
      <c r="U621" s="50"/>
      <c r="V621" s="1976"/>
      <c r="W621" s="815"/>
      <c r="X621" s="815"/>
      <c r="Y621" s="815"/>
      <c r="Z621" s="815"/>
      <c r="AA621" s="815"/>
      <c r="AB621" s="815"/>
      <c r="AC621" s="558">
        <f t="shared" si="109"/>
        <v>6.3</v>
      </c>
      <c r="AD621" s="340">
        <v>6.3</v>
      </c>
      <c r="AE621" s="340">
        <v>6.3</v>
      </c>
      <c r="AF621" s="258">
        <f t="shared" si="108"/>
        <v>6.3</v>
      </c>
      <c r="AG621" s="1418"/>
      <c r="AK621" s="344"/>
      <c r="DG621" s="248"/>
      <c r="DH621" s="50"/>
      <c r="DI621" s="50"/>
      <c r="DJ621" s="1059"/>
    </row>
    <row r="622" spans="1:114" s="73" customFormat="1" ht="33.75" hidden="1" customHeight="1" outlineLevel="1" x14ac:dyDescent="0.25">
      <c r="A622" s="270"/>
      <c r="B622" s="50"/>
      <c r="C622" s="49"/>
      <c r="D622" s="1983" t="s">
        <v>1797</v>
      </c>
      <c r="E622" s="1986" t="s">
        <v>1798</v>
      </c>
      <c r="F622" s="336" t="s">
        <v>1464</v>
      </c>
      <c r="G622" s="1516">
        <v>7.29</v>
      </c>
      <c r="H622" s="2228" t="s">
        <v>1469</v>
      </c>
      <c r="I622" s="2229"/>
      <c r="J622" s="2337"/>
      <c r="K622" s="2337"/>
      <c r="L622" s="2337"/>
      <c r="M622" s="2337"/>
      <c r="N622" s="50"/>
      <c r="O622" s="64"/>
      <c r="P622" s="831"/>
      <c r="Q622" s="50"/>
      <c r="R622" s="832"/>
      <c r="S622" s="50"/>
      <c r="T622" s="50"/>
      <c r="U622" s="50"/>
      <c r="V622" s="1425"/>
      <c r="W622" s="815"/>
      <c r="X622" s="815"/>
      <c r="Y622" s="815"/>
      <c r="Z622" s="815"/>
      <c r="AA622" s="815"/>
      <c r="AB622" s="815"/>
      <c r="AC622" s="558">
        <f t="shared" si="109"/>
        <v>7.29</v>
      </c>
      <c r="AD622" s="340">
        <v>7.29</v>
      </c>
      <c r="AE622" s="340">
        <v>7.29</v>
      </c>
      <c r="AF622" s="258">
        <f t="shared" si="108"/>
        <v>7.29</v>
      </c>
      <c r="AG622" s="1418"/>
      <c r="AK622" s="344"/>
      <c r="DG622" s="248"/>
      <c r="DH622" s="50"/>
      <c r="DI622" s="50"/>
      <c r="DJ622" s="1059"/>
    </row>
    <row r="623" spans="1:114" s="73" customFormat="1" ht="33.75" hidden="1" customHeight="1" outlineLevel="1" x14ac:dyDescent="0.25">
      <c r="A623" s="270"/>
      <c r="B623" s="50"/>
      <c r="C623" s="49"/>
      <c r="D623" s="1341" t="s">
        <v>49</v>
      </c>
      <c r="E623" s="1353" t="str">
        <f>E548</f>
        <v>Effective Useful Life</v>
      </c>
      <c r="F623" s="336" t="s">
        <v>734</v>
      </c>
      <c r="G623" s="1623">
        <v>2</v>
      </c>
      <c r="H623" s="2091" t="s">
        <v>1799</v>
      </c>
      <c r="I623" s="2091"/>
      <c r="J623" s="2091"/>
      <c r="K623" s="2091"/>
      <c r="L623" s="2091"/>
      <c r="M623" s="2091"/>
      <c r="N623" s="50"/>
      <c r="O623" s="50"/>
      <c r="P623" s="50"/>
      <c r="Q623" s="50"/>
      <c r="R623" s="50"/>
      <c r="S623" s="50"/>
      <c r="T623" s="50"/>
      <c r="U623" s="50"/>
      <c r="V623" s="1425" t="str">
        <f>D623</f>
        <v>EUL</v>
      </c>
      <c r="W623" s="341">
        <v>2</v>
      </c>
      <c r="X623" s="75">
        <v>2</v>
      </c>
      <c r="Y623" s="1417">
        <v>2</v>
      </c>
      <c r="Z623" s="75">
        <v>2</v>
      </c>
      <c r="AA623" s="75">
        <v>2</v>
      </c>
      <c r="AB623" s="75">
        <v>2</v>
      </c>
      <c r="AC623" s="558">
        <f t="shared" si="109"/>
        <v>2</v>
      </c>
      <c r="AD623" s="340">
        <v>2</v>
      </c>
      <c r="AE623" s="340">
        <v>2</v>
      </c>
      <c r="AF623" s="258">
        <f t="shared" si="108"/>
        <v>2</v>
      </c>
      <c r="AG623" s="1418"/>
      <c r="AK623" s="344"/>
      <c r="DG623" s="248"/>
      <c r="DH623" s="50"/>
      <c r="DI623" s="50"/>
      <c r="DJ623" s="1059"/>
    </row>
    <row r="624" spans="1:114" s="6" customFormat="1" hidden="1" outlineLevel="1" x14ac:dyDescent="0.25">
      <c r="A624" s="270"/>
      <c r="B624" s="64"/>
      <c r="C624" s="62"/>
      <c r="D624" s="1807" t="s">
        <v>50</v>
      </c>
      <c r="E624" s="1807" t="s">
        <v>682</v>
      </c>
      <c r="F624" s="336" t="s">
        <v>1464</v>
      </c>
      <c r="G624" s="1511">
        <v>185</v>
      </c>
      <c r="H624" s="2091" t="s">
        <v>1475</v>
      </c>
      <c r="I624" s="2091"/>
      <c r="J624" s="2091"/>
      <c r="K624" s="2091"/>
      <c r="L624" s="2091"/>
      <c r="M624" s="2091"/>
      <c r="N624" s="64"/>
      <c r="O624" s="64"/>
      <c r="P624" s="64"/>
      <c r="Q624" s="64"/>
      <c r="R624" s="64"/>
      <c r="S624" s="64"/>
      <c r="T624" s="64"/>
      <c r="U624" s="64"/>
      <c r="V624" s="1425"/>
      <c r="W624" s="815"/>
      <c r="X624" s="815"/>
      <c r="Y624" s="815"/>
      <c r="Z624" s="815"/>
      <c r="AA624" s="815"/>
      <c r="AB624" s="815"/>
      <c r="AC624" s="942">
        <v>185</v>
      </c>
      <c r="AD624" s="825">
        <v>185</v>
      </c>
      <c r="AE624" s="825">
        <v>185</v>
      </c>
      <c r="AF624" s="258">
        <f t="shared" si="108"/>
        <v>185</v>
      </c>
      <c r="AG624" s="1426"/>
      <c r="AK624" s="344"/>
      <c r="DG624" s="1017"/>
      <c r="DH624" s="64"/>
      <c r="DI624" s="64"/>
      <c r="DJ624" s="1059"/>
    </row>
    <row r="625" spans="2:114" ht="15" hidden="1" customHeight="1" outlineLevel="1" x14ac:dyDescent="0.25">
      <c r="B625" s="561"/>
      <c r="AK625" s="344"/>
    </row>
    <row r="626" spans="2:114" collapsed="1" x14ac:dyDescent="0.25">
      <c r="B626" s="561"/>
      <c r="AK626" s="344"/>
    </row>
    <row r="627" spans="2:114" ht="15" customHeight="1" x14ac:dyDescent="0.25">
      <c r="B627" s="2134" t="s">
        <v>1800</v>
      </c>
      <c r="C627" s="2135"/>
      <c r="D627" s="2135"/>
      <c r="E627" s="2135"/>
      <c r="F627" s="2135"/>
      <c r="G627" s="2135"/>
      <c r="H627" s="2135"/>
      <c r="I627" s="2082"/>
      <c r="J627" s="2082"/>
      <c r="K627" s="2082"/>
      <c r="L627" s="2082"/>
      <c r="M627" s="2082"/>
      <c r="N627" s="2082"/>
      <c r="O627" s="2082"/>
      <c r="P627" s="2082"/>
      <c r="Q627" s="2082"/>
      <c r="R627" s="2083"/>
      <c r="V627" s="2103" t="str">
        <f>B627</f>
        <v>Low Flow Faucet Aerators (Bathroom)</v>
      </c>
      <c r="W627" s="2104"/>
      <c r="X627" s="2104"/>
      <c r="Y627" s="2104"/>
      <c r="Z627" s="2104"/>
      <c r="AA627" s="2104"/>
      <c r="AB627" s="2104"/>
      <c r="AC627" s="2074"/>
      <c r="AD627" s="2074"/>
      <c r="AE627" s="2074"/>
      <c r="AF627" s="2074"/>
      <c r="AG627" s="2074"/>
      <c r="AH627" s="2074"/>
      <c r="AI627" s="2075"/>
      <c r="AK627" s="344"/>
    </row>
    <row r="628" spans="2:114" ht="15" customHeight="1" x14ac:dyDescent="0.25">
      <c r="B628" s="561"/>
      <c r="D628" s="565"/>
      <c r="E628" s="565"/>
      <c r="F628" s="269"/>
      <c r="G628" s="269"/>
      <c r="H628" s="269"/>
      <c r="I628" s="269"/>
      <c r="J628" s="269"/>
      <c r="K628" s="269"/>
      <c r="L628" s="566"/>
      <c r="AK628" s="344"/>
    </row>
    <row r="629" spans="2:114" ht="30" x14ac:dyDescent="0.25">
      <c r="B629" s="561"/>
      <c r="C629" s="1300" t="s">
        <v>42</v>
      </c>
      <c r="D629" s="1300" t="s">
        <v>594</v>
      </c>
      <c r="E629" s="1300" t="s">
        <v>44</v>
      </c>
      <c r="F629" s="1300" t="s">
        <v>1661</v>
      </c>
      <c r="G629" s="1300" t="s">
        <v>46</v>
      </c>
      <c r="H629" s="1300" t="s">
        <v>47</v>
      </c>
      <c r="I629" s="1300" t="s">
        <v>1801</v>
      </c>
      <c r="J629" s="1300" t="s">
        <v>48</v>
      </c>
      <c r="K629" s="1300" t="s">
        <v>49</v>
      </c>
      <c r="L629" s="1300" t="s">
        <v>50</v>
      </c>
      <c r="M629" s="1300" t="s">
        <v>51</v>
      </c>
      <c r="V629" s="648" t="s">
        <v>52</v>
      </c>
      <c r="W629" s="649">
        <f>W$6</f>
        <v>43252</v>
      </c>
      <c r="X629" s="649">
        <f t="shared" ref="X629:AG629" si="110">X$6</f>
        <v>43465</v>
      </c>
      <c r="Y629" s="110">
        <f t="shared" si="110"/>
        <v>43800</v>
      </c>
      <c r="Z629" s="649">
        <f t="shared" si="110"/>
        <v>43862</v>
      </c>
      <c r="AA629" s="649">
        <f t="shared" si="110"/>
        <v>44013</v>
      </c>
      <c r="AB629" s="649">
        <f t="shared" si="110"/>
        <v>44166</v>
      </c>
      <c r="AC629" s="649">
        <f t="shared" si="110"/>
        <v>44531</v>
      </c>
      <c r="AD629" s="649">
        <f t="shared" si="110"/>
        <v>44774</v>
      </c>
      <c r="AE629" s="649">
        <f t="shared" si="110"/>
        <v>45139</v>
      </c>
      <c r="AF629" s="649">
        <f t="shared" si="110"/>
        <v>45672</v>
      </c>
      <c r="AG629" s="649" t="str">
        <f t="shared" si="110"/>
        <v>-</v>
      </c>
      <c r="AK629" s="344"/>
      <c r="DG629" s="1018" t="str">
        <f>$DG$6</f>
        <v>TRC (2025)</v>
      </c>
      <c r="DH629" s="776" t="str">
        <f>$DH$6</f>
        <v>Benefit Lookup</v>
      </c>
      <c r="DI629" s="1034" t="str">
        <f>$DI$6</f>
        <v>Benefits (2025 $)</v>
      </c>
      <c r="DJ629" s="1060" t="str">
        <f>$DJ$6</f>
        <v>Incremental Cost (2025 $)</v>
      </c>
    </row>
    <row r="630" spans="2:114" x14ac:dyDescent="0.25">
      <c r="B630" s="1384">
        <f t="shared" ref="B630:B631" si="111">VALUE(LEFT(C630,6))</f>
        <v>403400</v>
      </c>
      <c r="C630" s="134" t="s">
        <v>1802</v>
      </c>
      <c r="D630" s="1331" t="s">
        <v>600</v>
      </c>
      <c r="E630" s="1330" t="s">
        <v>1803</v>
      </c>
      <c r="F630" s="1803">
        <f>ROUND(G642*(G643*G644-G645*G646)*G647*G648*G649/G650*I630*G658*G657,2)</f>
        <v>40.619999999999997</v>
      </c>
      <c r="G630" s="134" t="s">
        <v>1804</v>
      </c>
      <c r="H630" s="132">
        <f>VLOOKUP(G630,'CP FACTORS'!$A$3:$B$38, 2, FALSE)</f>
        <v>8.8731800000000003E-5</v>
      </c>
      <c r="I630" s="153">
        <f>$G$651*$G$652*($G$653-$G$654)/($G$655*$G$656)</f>
        <v>5.3810082063305988E-2</v>
      </c>
      <c r="J630" s="1888">
        <f>ROUND(F630*H630,6)</f>
        <v>3.604E-3</v>
      </c>
      <c r="K630" s="323">
        <f>$G$659</f>
        <v>10</v>
      </c>
      <c r="L630" s="710">
        <f>$G$660</f>
        <v>11.33</v>
      </c>
      <c r="M630" s="134" t="s">
        <v>62</v>
      </c>
      <c r="R630" s="521"/>
      <c r="V630" s="342" t="e">
        <f>#REF!</f>
        <v>#REF!</v>
      </c>
      <c r="W630" s="328">
        <v>37.942887422527377</v>
      </c>
      <c r="X630" s="345">
        <v>40.786805206808886</v>
      </c>
      <c r="Y630" s="125">
        <v>35.130000000000003</v>
      </c>
      <c r="Z630" s="694">
        <v>35.130000000000003</v>
      </c>
      <c r="AA630" s="694">
        <v>35.130000000000003</v>
      </c>
      <c r="AB630" s="662">
        <v>35.17</v>
      </c>
      <c r="AC630" s="378">
        <v>35.17</v>
      </c>
      <c r="AD630" s="378">
        <v>35.17</v>
      </c>
      <c r="AE630" s="378">
        <v>35.17</v>
      </c>
      <c r="AF630" s="258">
        <f>IF(F630&lt;&gt;"",F630,"")</f>
        <v>40.619999999999997</v>
      </c>
      <c r="AG630" s="342"/>
      <c r="AH630" s="115"/>
      <c r="AK630" s="344"/>
      <c r="DG630" s="1021">
        <f>(DI630)/(DJ630)</f>
        <v>1.7613767269049343</v>
      </c>
      <c r="DH630" s="653" t="str">
        <f>CONCATENATE(G630," ",K630," Year EUL")</f>
        <v>Water heating RES 10 Year EUL</v>
      </c>
      <c r="DI630" s="538">
        <f>(INDEX('Avoided Cost Benefits'!$B$4:$B$865,MATCH(DH630,'Avoided Cost Benefits'!$A$4:$A$865,0)))*F630</f>
        <v>19.956398315832907</v>
      </c>
      <c r="DJ630" s="1960">
        <f>IFERROR(L630/((1+DiscountRate)^(CurrentYear-DiscountYear)),0)</f>
        <v>11.33</v>
      </c>
    </row>
    <row r="631" spans="2:114" x14ac:dyDescent="0.25">
      <c r="B631" s="1384">
        <f t="shared" si="111"/>
        <v>403450</v>
      </c>
      <c r="C631" s="134" t="s">
        <v>1805</v>
      </c>
      <c r="D631" s="1331" t="s">
        <v>686</v>
      </c>
      <c r="E631" s="1330" t="s">
        <v>1806</v>
      </c>
      <c r="F631" s="154">
        <f>ROUND(G642*(G643*G644-G645*G646)*G647*G648*G649/G650*I631*G658*G657,2)</f>
        <v>40.619999999999997</v>
      </c>
      <c r="G631" s="134" t="s">
        <v>1804</v>
      </c>
      <c r="H631" s="132">
        <f>VLOOKUP(G631,'CP FACTORS'!$A$3:$B$38, 2, FALSE)</f>
        <v>8.8731800000000003E-5</v>
      </c>
      <c r="I631" s="153">
        <f>$G$651*$G$652*($G$653-$G$654)/($G$655*$G$656)</f>
        <v>5.3810082063305988E-2</v>
      </c>
      <c r="J631" s="1888">
        <f>ROUND(F631*H631,6)</f>
        <v>3.604E-3</v>
      </c>
      <c r="K631" s="323">
        <f>$G$659</f>
        <v>10</v>
      </c>
      <c r="L631" s="710">
        <f>$G$660</f>
        <v>11.33</v>
      </c>
      <c r="M631" s="134" t="s">
        <v>62</v>
      </c>
      <c r="R631" s="521"/>
      <c r="V631" s="342" t="e">
        <f>V630</f>
        <v>#REF!</v>
      </c>
      <c r="W631" s="328">
        <v>37.942887422527377</v>
      </c>
      <c r="X631" s="343">
        <v>40.786805206808886</v>
      </c>
      <c r="Y631" s="125">
        <v>35.130000000000003</v>
      </c>
      <c r="Z631" s="694">
        <v>35.130000000000003</v>
      </c>
      <c r="AA631" s="694">
        <v>35.130000000000003</v>
      </c>
      <c r="AB631" s="662">
        <v>35.17</v>
      </c>
      <c r="AC631" s="378">
        <v>35.17</v>
      </c>
      <c r="AD631" s="378">
        <v>35.17</v>
      </c>
      <c r="AE631" s="378">
        <v>35.17</v>
      </c>
      <c r="AF631" s="258">
        <f>IF(F631&lt;&gt;"",F631,"")</f>
        <v>40.619999999999997</v>
      </c>
      <c r="AG631" s="342"/>
      <c r="AH631" s="115"/>
      <c r="AK631" s="344"/>
      <c r="DG631" s="1022">
        <f>(DI631)/(DJ631)</f>
        <v>1.7613767269049343</v>
      </c>
      <c r="DH631" s="653" t="str">
        <f>CONCATENATE(G631," ",K631," Year EUL")</f>
        <v>Water heating RES 10 Year EUL</v>
      </c>
      <c r="DI631" s="1030">
        <f>(INDEX('Avoided Cost Benefits'!$B$4:$B$865,MATCH(DH631,'Avoided Cost Benefits'!$A$4:$A$865,0)))*F631</f>
        <v>19.956398315832907</v>
      </c>
      <c r="DJ631" s="1961">
        <f>IFERROR(L631/((1+DiscountRate)^(CurrentYear-DiscountYear)),0)</f>
        <v>11.33</v>
      </c>
    </row>
    <row r="632" spans="2:114" hidden="1" outlineLevel="1" x14ac:dyDescent="0.25">
      <c r="B632" s="561"/>
      <c r="D632" s="71" t="s">
        <v>94</v>
      </c>
      <c r="E632" s="270" t="s">
        <v>1807</v>
      </c>
      <c r="F632" s="944"/>
      <c r="G632" s="268"/>
      <c r="H632" s="604"/>
      <c r="I632" s="373"/>
      <c r="J632" s="373"/>
      <c r="K632" s="373"/>
      <c r="V632" s="73"/>
      <c r="W632" s="73"/>
      <c r="X632" s="73"/>
      <c r="Y632" s="370"/>
      <c r="Z632" s="73"/>
      <c r="AA632" s="73"/>
      <c r="AB632" s="73"/>
      <c r="AC632" s="73"/>
      <c r="AD632" s="73"/>
      <c r="AE632" s="73"/>
      <c r="AF632" s="73"/>
      <c r="AG632" s="73"/>
      <c r="AH632" s="115"/>
      <c r="AK632" s="344"/>
    </row>
    <row r="633" spans="2:114" hidden="1" outlineLevel="1" x14ac:dyDescent="0.25">
      <c r="B633" s="561"/>
      <c r="D633" s="74" t="s">
        <v>604</v>
      </c>
      <c r="E633" s="50" t="s">
        <v>1808</v>
      </c>
      <c r="F633" s="944"/>
      <c r="G633" s="268"/>
      <c r="H633" s="604"/>
      <c r="V633" s="73"/>
      <c r="W633" s="73"/>
      <c r="X633" s="73"/>
      <c r="Y633" s="370"/>
      <c r="Z633" s="73"/>
      <c r="AA633" s="73"/>
      <c r="AB633" s="73"/>
      <c r="AC633" s="73"/>
      <c r="AD633" s="73"/>
      <c r="AE633" s="73"/>
      <c r="AF633" s="73"/>
      <c r="AG633" s="73"/>
      <c r="AK633" s="344"/>
    </row>
    <row r="634" spans="2:114" hidden="1" outlineLevel="1" x14ac:dyDescent="0.25">
      <c r="B634" s="561"/>
      <c r="D634" s="270"/>
      <c r="E634" s="50" t="s">
        <v>1809</v>
      </c>
      <c r="F634" s="944"/>
      <c r="H634" s="268"/>
      <c r="V634" s="73"/>
      <c r="W634" s="73"/>
      <c r="X634" s="73"/>
      <c r="Y634" s="370"/>
      <c r="Z634" s="73"/>
      <c r="AA634" s="73"/>
      <c r="AB634" s="73"/>
      <c r="AC634" s="73"/>
      <c r="AD634" s="73"/>
      <c r="AE634" s="73"/>
      <c r="AF634" s="73"/>
      <c r="AG634" s="73"/>
      <c r="AK634" s="344"/>
    </row>
    <row r="635" spans="2:114" hidden="1" outlineLevel="1" x14ac:dyDescent="0.25">
      <c r="B635" s="561"/>
      <c r="C635" s="74"/>
      <c r="D635" s="74"/>
      <c r="E635" s="74" t="s">
        <v>607</v>
      </c>
      <c r="F635" s="74"/>
      <c r="G635" s="74"/>
      <c r="H635" s="74"/>
      <c r="V635" s="73"/>
      <c r="W635" s="73"/>
      <c r="X635" s="73"/>
      <c r="Y635" s="370"/>
      <c r="Z635" s="73"/>
      <c r="AA635" s="73"/>
      <c r="AB635" s="73"/>
      <c r="AC635" s="73"/>
      <c r="AD635" s="73"/>
      <c r="AE635" s="73"/>
      <c r="AF635" s="73"/>
      <c r="AG635" s="73"/>
      <c r="AK635" s="344"/>
    </row>
    <row r="636" spans="2:114" hidden="1" outlineLevel="1" x14ac:dyDescent="0.25">
      <c r="B636" s="561"/>
      <c r="C636" s="74"/>
      <c r="D636" s="74"/>
      <c r="E636" s="74" t="s">
        <v>1810</v>
      </c>
      <c r="F636" s="74"/>
      <c r="G636" s="74"/>
      <c r="H636" s="74"/>
      <c r="V636" s="73"/>
      <c r="W636" s="73"/>
      <c r="X636" s="73"/>
      <c r="Y636" s="370"/>
      <c r="Z636" s="73"/>
      <c r="AA636" s="73"/>
      <c r="AB636" s="73"/>
      <c r="AC636" s="73"/>
      <c r="AD636" s="73"/>
      <c r="AE636" s="73"/>
      <c r="AF636" s="73"/>
      <c r="AG636" s="73"/>
      <c r="AK636" s="344"/>
    </row>
    <row r="637" spans="2:114" hidden="1" outlineLevel="1" x14ac:dyDescent="0.25">
      <c r="B637" s="561"/>
      <c r="C637" s="74"/>
      <c r="D637" s="74"/>
      <c r="E637" s="74"/>
      <c r="F637" s="74"/>
      <c r="G637" s="74"/>
      <c r="H637" s="74"/>
      <c r="V637" s="73"/>
      <c r="W637" s="73"/>
      <c r="X637" s="73"/>
      <c r="Y637" s="370"/>
      <c r="Z637" s="73"/>
      <c r="AA637" s="73"/>
      <c r="AB637" s="73"/>
      <c r="AC637" s="73"/>
      <c r="AD637" s="73"/>
      <c r="AE637" s="73"/>
      <c r="AF637" s="73"/>
      <c r="AG637" s="73"/>
      <c r="AK637" s="344"/>
    </row>
    <row r="638" spans="2:114" hidden="1" outlineLevel="1" x14ac:dyDescent="0.25">
      <c r="B638" s="561"/>
      <c r="C638" s="74"/>
      <c r="D638" s="74"/>
      <c r="E638" s="74"/>
      <c r="F638" s="74"/>
      <c r="G638" s="74"/>
      <c r="H638" s="74"/>
      <c r="V638" s="73"/>
      <c r="W638" s="73"/>
      <c r="X638" s="73"/>
      <c r="Y638" s="370"/>
      <c r="Z638" s="73"/>
      <c r="AA638" s="73"/>
      <c r="AB638" s="73"/>
      <c r="AC638" s="73"/>
      <c r="AD638" s="73"/>
      <c r="AE638" s="73"/>
      <c r="AF638" s="73"/>
      <c r="AG638" s="73"/>
      <c r="AK638" s="344"/>
    </row>
    <row r="639" spans="2:114" ht="15" hidden="1" customHeight="1" outlineLevel="1" x14ac:dyDescent="0.25">
      <c r="B639" s="561"/>
      <c r="C639" s="74"/>
      <c r="D639" s="74"/>
      <c r="E639" s="74"/>
      <c r="F639" s="74"/>
      <c r="G639" s="74"/>
      <c r="H639" s="74"/>
      <c r="V639" s="73"/>
      <c r="W639" s="73"/>
      <c r="X639" s="73"/>
      <c r="Y639" s="370"/>
      <c r="Z639" s="73"/>
      <c r="AA639" s="73"/>
      <c r="AB639" s="73"/>
      <c r="AC639" s="73"/>
      <c r="AD639" s="73"/>
      <c r="AE639" s="73"/>
      <c r="AF639" s="73"/>
      <c r="AG639" s="73"/>
      <c r="AK639" s="344"/>
    </row>
    <row r="640" spans="2:114" hidden="1" outlineLevel="1" x14ac:dyDescent="0.25">
      <c r="B640" s="561"/>
      <c r="C640" s="74"/>
      <c r="D640" s="74"/>
      <c r="E640" s="74"/>
      <c r="F640" s="74"/>
      <c r="G640" s="74"/>
      <c r="H640" s="74"/>
      <c r="V640" s="73"/>
      <c r="W640" s="73"/>
      <c r="X640" s="73"/>
      <c r="Y640" s="370"/>
      <c r="Z640" s="73"/>
      <c r="AA640" s="73"/>
      <c r="AB640" s="73"/>
      <c r="AC640" s="73"/>
      <c r="AD640" s="73"/>
      <c r="AE640" s="73"/>
      <c r="AF640" s="73"/>
      <c r="AG640" s="73"/>
      <c r="AK640" s="344"/>
    </row>
    <row r="641" spans="2:37" ht="45.75" hidden="1" customHeight="1" outlineLevel="1" x14ac:dyDescent="0.25">
      <c r="B641" s="561"/>
      <c r="D641" s="1373" t="s">
        <v>712</v>
      </c>
      <c r="E641" s="1373" t="s">
        <v>608</v>
      </c>
      <c r="F641" s="1300" t="s">
        <v>1811</v>
      </c>
      <c r="G641" s="1311" t="s">
        <v>610</v>
      </c>
      <c r="H641" s="2108" t="s">
        <v>611</v>
      </c>
      <c r="I641" s="2108"/>
      <c r="J641" s="2342" t="s">
        <v>612</v>
      </c>
      <c r="K641" s="2343"/>
      <c r="L641" s="2344"/>
      <c r="V641" s="648" t="s">
        <v>52</v>
      </c>
      <c r="W641" s="649">
        <f>W$6</f>
        <v>43252</v>
      </c>
      <c r="X641" s="649">
        <f t="shared" ref="X641:AG641" si="112">X$6</f>
        <v>43465</v>
      </c>
      <c r="Y641" s="110">
        <f t="shared" si="112"/>
        <v>43800</v>
      </c>
      <c r="Z641" s="649">
        <f t="shared" si="112"/>
        <v>43862</v>
      </c>
      <c r="AA641" s="649">
        <f t="shared" si="112"/>
        <v>44013</v>
      </c>
      <c r="AB641" s="649">
        <f t="shared" si="112"/>
        <v>44166</v>
      </c>
      <c r="AC641" s="649">
        <f t="shared" si="112"/>
        <v>44531</v>
      </c>
      <c r="AD641" s="649">
        <f t="shared" si="112"/>
        <v>44774</v>
      </c>
      <c r="AE641" s="649">
        <f t="shared" si="112"/>
        <v>45139</v>
      </c>
      <c r="AF641" s="649">
        <f t="shared" si="112"/>
        <v>45672</v>
      </c>
      <c r="AG641" s="649" t="str">
        <f t="shared" si="112"/>
        <v>-</v>
      </c>
      <c r="AK641" s="344"/>
    </row>
    <row r="642" spans="2:37" ht="15" hidden="1" customHeight="1" outlineLevel="1" x14ac:dyDescent="0.25">
      <c r="B642" s="561"/>
      <c r="D642" s="1306" t="s">
        <v>1812</v>
      </c>
      <c r="E642" s="1306" t="s">
        <v>1813</v>
      </c>
      <c r="F642" s="1306"/>
      <c r="G642" s="1550">
        <v>1</v>
      </c>
      <c r="H642" s="2298" t="s">
        <v>839</v>
      </c>
      <c r="I642" s="2345"/>
      <c r="J642" s="2346"/>
      <c r="K642" s="2347"/>
      <c r="L642" s="2347"/>
      <c r="V642" s="1356" t="s">
        <v>1812</v>
      </c>
      <c r="W642" s="314">
        <v>1</v>
      </c>
      <c r="X642" s="314">
        <v>1</v>
      </c>
      <c r="Y642" s="314">
        <v>1</v>
      </c>
      <c r="Z642" s="353">
        <v>1</v>
      </c>
      <c r="AA642" s="353">
        <v>1</v>
      </c>
      <c r="AB642" s="353">
        <v>1</v>
      </c>
      <c r="AC642" s="353">
        <v>1</v>
      </c>
      <c r="AD642" s="353">
        <v>1</v>
      </c>
      <c r="AE642" s="353">
        <v>1</v>
      </c>
      <c r="AF642" s="258">
        <f t="shared" ref="AF642:AF660" si="113">IF(G642&lt;&gt;"",G642,"")</f>
        <v>1</v>
      </c>
      <c r="AG642" s="342"/>
      <c r="AK642" s="344"/>
    </row>
    <row r="643" spans="2:37" ht="30.4" hidden="1" customHeight="1" outlineLevel="1" x14ac:dyDescent="0.25">
      <c r="B643" s="561"/>
      <c r="D643" s="1306" t="s">
        <v>1814</v>
      </c>
      <c r="E643" s="1306" t="s">
        <v>1815</v>
      </c>
      <c r="F643" s="1306"/>
      <c r="G643" s="1505">
        <v>2.2000000000000002</v>
      </c>
      <c r="H643" s="2234" t="s">
        <v>1816</v>
      </c>
      <c r="I643" s="2153"/>
      <c r="J643" s="2348"/>
      <c r="K643" s="2349"/>
      <c r="L643" s="2350"/>
      <c r="V643" s="1356" t="s">
        <v>1814</v>
      </c>
      <c r="W643" s="346">
        <v>2.2000000000000002</v>
      </c>
      <c r="X643" s="387">
        <v>2.2000000000000002</v>
      </c>
      <c r="Y643" s="387">
        <v>2.2000000000000002</v>
      </c>
      <c r="Z643" s="44">
        <v>2.2000000000000002</v>
      </c>
      <c r="AA643" s="44">
        <v>2.2000000000000002</v>
      </c>
      <c r="AB643" s="44">
        <v>2.2000000000000002</v>
      </c>
      <c r="AC643" s="44">
        <v>2.2000000000000002</v>
      </c>
      <c r="AD643" s="44">
        <v>2.2000000000000002</v>
      </c>
      <c r="AE643" s="44">
        <v>2.2000000000000002</v>
      </c>
      <c r="AF643" s="258">
        <f t="shared" si="113"/>
        <v>2.2000000000000002</v>
      </c>
      <c r="AG643" s="342"/>
      <c r="AK643" s="344"/>
    </row>
    <row r="644" spans="2:37" ht="30" hidden="1" customHeight="1" outlineLevel="1" x14ac:dyDescent="0.25">
      <c r="B644" s="561"/>
      <c r="D644" s="1306" t="s">
        <v>1817</v>
      </c>
      <c r="E644" s="1337" t="s">
        <v>1818</v>
      </c>
      <c r="F644" s="1306"/>
      <c r="G644" s="1509">
        <v>3.7</v>
      </c>
      <c r="H644" s="2235" t="s">
        <v>1819</v>
      </c>
      <c r="I644" s="2236"/>
      <c r="J644" s="2348"/>
      <c r="K644" s="2349"/>
      <c r="L644" s="2350"/>
      <c r="V644" s="1356" t="s">
        <v>1817</v>
      </c>
      <c r="W644" s="315">
        <v>3.7</v>
      </c>
      <c r="X644" s="315">
        <v>3.7</v>
      </c>
      <c r="Y644" s="315">
        <v>3.7</v>
      </c>
      <c r="Z644" s="348">
        <v>3.7</v>
      </c>
      <c r="AA644" s="348">
        <v>3.7</v>
      </c>
      <c r="AB644" s="348">
        <v>3.7</v>
      </c>
      <c r="AC644" s="722">
        <v>3.7</v>
      </c>
      <c r="AD644" s="722">
        <v>3.7</v>
      </c>
      <c r="AE644" s="722">
        <v>3.7</v>
      </c>
      <c r="AF644" s="258">
        <f t="shared" si="113"/>
        <v>3.7</v>
      </c>
      <c r="AG644" s="342"/>
      <c r="AK644" s="344"/>
    </row>
    <row r="645" spans="2:37" ht="30" hidden="1" customHeight="1" outlineLevel="1" x14ac:dyDescent="0.25">
      <c r="B645" s="561"/>
      <c r="D645" s="1306" t="s">
        <v>1820</v>
      </c>
      <c r="E645" s="1306" t="s">
        <v>1821</v>
      </c>
      <c r="F645" s="1306"/>
      <c r="G645" s="1516">
        <v>1.5</v>
      </c>
      <c r="H645" s="2234" t="s">
        <v>1822</v>
      </c>
      <c r="I645" s="2153"/>
      <c r="J645" s="2348"/>
      <c r="K645" s="2349"/>
      <c r="L645" s="2350"/>
      <c r="V645" s="1356" t="s">
        <v>1820</v>
      </c>
      <c r="W645" s="346">
        <v>1.5</v>
      </c>
      <c r="X645" s="387">
        <v>1.5</v>
      </c>
      <c r="Y645" s="387">
        <v>1.5</v>
      </c>
      <c r="Z645" s="44">
        <v>1.5</v>
      </c>
      <c r="AA645" s="44">
        <v>1.5</v>
      </c>
      <c r="AB645" s="44">
        <v>1.5</v>
      </c>
      <c r="AC645" s="44">
        <v>1.5</v>
      </c>
      <c r="AD645" s="44">
        <v>1.5</v>
      </c>
      <c r="AE645" s="44">
        <v>1.5</v>
      </c>
      <c r="AF645" s="258">
        <f t="shared" si="113"/>
        <v>1.5</v>
      </c>
      <c r="AG645" s="1437"/>
      <c r="AK645" s="344"/>
    </row>
    <row r="646" spans="2:37" ht="53.25" hidden="1" customHeight="1" outlineLevel="1" x14ac:dyDescent="0.25">
      <c r="B646" s="561"/>
      <c r="D646" s="1306" t="s">
        <v>1823</v>
      </c>
      <c r="E646" s="1337" t="s">
        <v>1818</v>
      </c>
      <c r="F646" s="1306"/>
      <c r="G646" s="1634">
        <v>3.7</v>
      </c>
      <c r="H646" s="2235" t="s">
        <v>1819</v>
      </c>
      <c r="I646" s="2236"/>
      <c r="J646" s="2348"/>
      <c r="K646" s="2349"/>
      <c r="L646" s="2350"/>
      <c r="V646" s="1356" t="s">
        <v>1823</v>
      </c>
      <c r="W646" s="721">
        <v>3.7</v>
      </c>
      <c r="X646" s="721">
        <v>3.7</v>
      </c>
      <c r="Y646" s="1446">
        <v>3.7</v>
      </c>
      <c r="Z646" s="323">
        <v>3.7</v>
      </c>
      <c r="AA646" s="323">
        <v>3.7</v>
      </c>
      <c r="AB646" s="323">
        <v>3.7</v>
      </c>
      <c r="AC646" s="323">
        <v>3.7</v>
      </c>
      <c r="AD646" s="323">
        <v>3.7</v>
      </c>
      <c r="AE646" s="323">
        <v>3.7</v>
      </c>
      <c r="AF646" s="258">
        <f t="shared" si="113"/>
        <v>3.7</v>
      </c>
      <c r="AG646" s="1437"/>
      <c r="AK646" s="344"/>
    </row>
    <row r="647" spans="2:37" ht="45" hidden="1" customHeight="1" outlineLevel="1" x14ac:dyDescent="0.25">
      <c r="B647" s="561"/>
      <c r="D647" s="1306" t="s">
        <v>624</v>
      </c>
      <c r="E647" s="1337" t="s">
        <v>1824</v>
      </c>
      <c r="F647" s="1306"/>
      <c r="G647" s="1635">
        <v>1.5644946808510638</v>
      </c>
      <c r="H647" s="2235" t="s">
        <v>1825</v>
      </c>
      <c r="I647" s="2236"/>
      <c r="J647" s="2348"/>
      <c r="K647" s="2349"/>
      <c r="L647" s="2350"/>
      <c r="V647" s="1356" t="s">
        <v>624</v>
      </c>
      <c r="W647" s="315">
        <v>2.0699999999999998</v>
      </c>
      <c r="X647" s="347">
        <v>1.6639999999999999</v>
      </c>
      <c r="Y647" s="267">
        <v>1.5644946808510638</v>
      </c>
      <c r="Z647" s="564">
        <v>1.5644946808510638</v>
      </c>
      <c r="AA647" s="564">
        <v>1.5644946808510638</v>
      </c>
      <c r="AB647" s="564">
        <v>1.5644946808510638</v>
      </c>
      <c r="AC647" s="564">
        <v>1.5644946808510638</v>
      </c>
      <c r="AD647" s="564">
        <v>1.5644946808510638</v>
      </c>
      <c r="AE647" s="564">
        <v>1.5644946808510638</v>
      </c>
      <c r="AF647" s="258">
        <f t="shared" si="113"/>
        <v>1.5644946808510638</v>
      </c>
      <c r="AG647" s="1437"/>
      <c r="AK647" s="344"/>
    </row>
    <row r="648" spans="2:37" ht="30.75" hidden="1" customHeight="1" outlineLevel="1" x14ac:dyDescent="0.25">
      <c r="B648" s="561"/>
      <c r="D648" s="1314" t="s">
        <v>1826</v>
      </c>
      <c r="E648" s="1306" t="s">
        <v>1827</v>
      </c>
      <c r="F648" s="1306"/>
      <c r="G648" s="1508">
        <v>1</v>
      </c>
      <c r="H648" s="2234" t="s">
        <v>1653</v>
      </c>
      <c r="I648" s="2153"/>
      <c r="J648" s="2351"/>
      <c r="K648" s="2352"/>
      <c r="L648" s="2353"/>
      <c r="V648" s="371" t="s">
        <v>1826</v>
      </c>
      <c r="W648" s="315">
        <v>0.75</v>
      </c>
      <c r="X648" s="347">
        <v>1</v>
      </c>
      <c r="Y648" s="349">
        <v>1</v>
      </c>
      <c r="Z648" s="375">
        <v>1</v>
      </c>
      <c r="AA648" s="375">
        <v>1</v>
      </c>
      <c r="AB648" s="348">
        <v>1</v>
      </c>
      <c r="AC648" s="348">
        <v>1</v>
      </c>
      <c r="AD648" s="348">
        <v>1</v>
      </c>
      <c r="AE648" s="348">
        <v>1</v>
      </c>
      <c r="AF648" s="258">
        <f t="shared" si="113"/>
        <v>1</v>
      </c>
      <c r="AG648" s="1437"/>
      <c r="AK648" s="344"/>
    </row>
    <row r="649" spans="2:37" ht="15" hidden="1" customHeight="1" outlineLevel="1" x14ac:dyDescent="0.25">
      <c r="B649" s="561"/>
      <c r="D649" s="1314">
        <v>365.25</v>
      </c>
      <c r="E649" s="1337" t="s">
        <v>1828</v>
      </c>
      <c r="F649" s="1306"/>
      <c r="G649" s="1636">
        <v>365.25</v>
      </c>
      <c r="H649" s="2234" t="s">
        <v>1829</v>
      </c>
      <c r="I649" s="2153"/>
      <c r="J649" s="2348"/>
      <c r="K649" s="2349"/>
      <c r="L649" s="2350"/>
      <c r="V649" s="371">
        <v>365.25</v>
      </c>
      <c r="W649" s="315">
        <v>365</v>
      </c>
      <c r="X649" s="315">
        <v>365</v>
      </c>
      <c r="Y649" s="1447">
        <v>365</v>
      </c>
      <c r="Z649" s="1331">
        <v>365</v>
      </c>
      <c r="AA649" s="1331">
        <v>365</v>
      </c>
      <c r="AB649" s="1448">
        <v>365.25</v>
      </c>
      <c r="AC649" s="134">
        <v>365.25</v>
      </c>
      <c r="AD649" s="134">
        <v>365.25</v>
      </c>
      <c r="AE649" s="134">
        <v>365.25</v>
      </c>
      <c r="AF649" s="258">
        <f t="shared" si="113"/>
        <v>365.25</v>
      </c>
      <c r="AG649" s="1437"/>
      <c r="AK649" s="344"/>
    </row>
    <row r="650" spans="2:37" ht="28.9" hidden="1" customHeight="1" outlineLevel="1" x14ac:dyDescent="0.25">
      <c r="B650" s="561"/>
      <c r="D650" s="1314" t="s">
        <v>1830</v>
      </c>
      <c r="E650" s="1337" t="s">
        <v>1831</v>
      </c>
      <c r="F650" s="1306"/>
      <c r="G650" s="1635">
        <v>1.8624708624708626</v>
      </c>
      <c r="H650" s="2234" t="s">
        <v>1832</v>
      </c>
      <c r="I650" s="2153"/>
      <c r="J650" s="2348"/>
      <c r="K650" s="2349"/>
      <c r="L650" s="2350"/>
      <c r="V650" s="371" t="s">
        <v>1830</v>
      </c>
      <c r="W650" s="315">
        <v>1.76</v>
      </c>
      <c r="X650" s="347">
        <v>1.7961826857532379</v>
      </c>
      <c r="Y650" s="267">
        <v>1.8624708624708626</v>
      </c>
      <c r="Z650" s="564">
        <v>1.8624708624708626</v>
      </c>
      <c r="AA650" s="564">
        <v>1.8624708624708626</v>
      </c>
      <c r="AB650" s="564">
        <v>1.8624708624708626</v>
      </c>
      <c r="AC650" s="564">
        <v>1.8624708624708626</v>
      </c>
      <c r="AD650" s="564">
        <v>1.8624708624708626</v>
      </c>
      <c r="AE650" s="564">
        <v>1.8624708624708626</v>
      </c>
      <c r="AF650" s="258">
        <f t="shared" si="113"/>
        <v>1.8624708624708626</v>
      </c>
      <c r="AG650" s="1437"/>
      <c r="AK650" s="344"/>
    </row>
    <row r="651" spans="2:37" ht="15" hidden="1" customHeight="1" outlineLevel="1" x14ac:dyDescent="0.25">
      <c r="B651" s="561"/>
      <c r="D651" s="1314">
        <v>8.33</v>
      </c>
      <c r="E651" s="1337" t="s">
        <v>1833</v>
      </c>
      <c r="F651" s="1306"/>
      <c r="G651" s="1508">
        <v>8.33</v>
      </c>
      <c r="H651" s="2298" t="s">
        <v>1834</v>
      </c>
      <c r="I651" s="2345"/>
      <c r="J651" s="2348"/>
      <c r="K651" s="2349"/>
      <c r="L651" s="2350"/>
      <c r="V651" s="371">
        <v>8.33</v>
      </c>
      <c r="W651" s="315">
        <v>8.33</v>
      </c>
      <c r="X651" s="315">
        <v>8.33</v>
      </c>
      <c r="Y651" s="315">
        <v>8.33</v>
      </c>
      <c r="Z651" s="348">
        <v>8.33</v>
      </c>
      <c r="AA651" s="348">
        <v>8.33</v>
      </c>
      <c r="AB651" s="348">
        <v>8.33</v>
      </c>
      <c r="AC651" s="348">
        <v>8.33</v>
      </c>
      <c r="AD651" s="348">
        <v>8.33</v>
      </c>
      <c r="AE651" s="348">
        <v>8.33</v>
      </c>
      <c r="AF651" s="258">
        <f t="shared" si="113"/>
        <v>8.33</v>
      </c>
      <c r="AG651" s="1437"/>
      <c r="AK651" s="344"/>
    </row>
    <row r="652" spans="2:37" ht="15" hidden="1" customHeight="1" outlineLevel="1" x14ac:dyDescent="0.25">
      <c r="B652" s="561"/>
      <c r="D652" s="1314">
        <v>1</v>
      </c>
      <c r="E652" s="1350" t="s">
        <v>1835</v>
      </c>
      <c r="F652" s="1306"/>
      <c r="G652" s="1508">
        <v>1</v>
      </c>
      <c r="H652" s="2234" t="s">
        <v>1836</v>
      </c>
      <c r="I652" s="2153"/>
      <c r="J652" s="2348"/>
      <c r="K652" s="2349"/>
      <c r="L652" s="2350"/>
      <c r="V652" s="371">
        <v>1</v>
      </c>
      <c r="W652" s="315">
        <v>1</v>
      </c>
      <c r="X652" s="315">
        <v>1</v>
      </c>
      <c r="Y652" s="315">
        <v>1</v>
      </c>
      <c r="Z652" s="348">
        <v>1</v>
      </c>
      <c r="AA652" s="348">
        <v>1</v>
      </c>
      <c r="AB652" s="348">
        <v>1</v>
      </c>
      <c r="AC652" s="348">
        <v>1</v>
      </c>
      <c r="AD652" s="348">
        <v>1</v>
      </c>
      <c r="AE652" s="348">
        <v>1</v>
      </c>
      <c r="AF652" s="258">
        <f t="shared" si="113"/>
        <v>1</v>
      </c>
      <c r="AG652" s="1437"/>
      <c r="AK652" s="344"/>
    </row>
    <row r="653" spans="2:37" ht="55.9" hidden="1" customHeight="1" outlineLevel="1" x14ac:dyDescent="0.25">
      <c r="B653" s="561"/>
      <c r="D653" s="1306" t="s">
        <v>1837</v>
      </c>
      <c r="E653" s="1337" t="s">
        <v>1838</v>
      </c>
      <c r="F653" s="1306"/>
      <c r="G653" s="1508">
        <v>80</v>
      </c>
      <c r="H653" s="2235" t="s">
        <v>1839</v>
      </c>
      <c r="I653" s="2236"/>
      <c r="J653" s="2348"/>
      <c r="K653" s="2349"/>
      <c r="L653" s="2350"/>
      <c r="V653" s="1356" t="s">
        <v>1837</v>
      </c>
      <c r="W653" s="315">
        <v>80</v>
      </c>
      <c r="X653" s="315">
        <v>80</v>
      </c>
      <c r="Y653" s="315">
        <v>80</v>
      </c>
      <c r="Z653" s="348">
        <v>80</v>
      </c>
      <c r="AA653" s="348">
        <v>80</v>
      </c>
      <c r="AB653" s="348">
        <v>80</v>
      </c>
      <c r="AC653" s="348">
        <v>80</v>
      </c>
      <c r="AD653" s="348">
        <v>80</v>
      </c>
      <c r="AE653" s="348">
        <v>80</v>
      </c>
      <c r="AF653" s="258">
        <f t="shared" si="113"/>
        <v>80</v>
      </c>
      <c r="AG653" s="1437"/>
      <c r="AK653" s="344"/>
    </row>
    <row r="654" spans="2:37" ht="60" hidden="1" customHeight="1" outlineLevel="1" x14ac:dyDescent="0.25">
      <c r="B654" s="561"/>
      <c r="D654" s="1306" t="s">
        <v>1840</v>
      </c>
      <c r="E654" s="1337" t="s">
        <v>1841</v>
      </c>
      <c r="F654" s="1306"/>
      <c r="G654" s="1622">
        <v>58.4</v>
      </c>
      <c r="H654" s="2092" t="s">
        <v>638</v>
      </c>
      <c r="I654" s="2092"/>
      <c r="J654" s="2348"/>
      <c r="K654" s="2349"/>
      <c r="L654" s="2350"/>
      <c r="V654" s="1356" t="s">
        <v>1840</v>
      </c>
      <c r="W654" s="315">
        <v>61.3</v>
      </c>
      <c r="X654" s="315">
        <v>61.3</v>
      </c>
      <c r="Y654" s="315">
        <v>61.3</v>
      </c>
      <c r="Z654" s="348">
        <v>61.3</v>
      </c>
      <c r="AA654" s="348">
        <v>61.3</v>
      </c>
      <c r="AB654" s="348">
        <v>61.3</v>
      </c>
      <c r="AC654" s="348">
        <v>61.3</v>
      </c>
      <c r="AD654" s="348">
        <v>61.3</v>
      </c>
      <c r="AE654" s="348">
        <v>61.3</v>
      </c>
      <c r="AF654" s="258">
        <f t="shared" si="113"/>
        <v>58.4</v>
      </c>
      <c r="AG654" s="1437"/>
      <c r="AK654" s="344"/>
    </row>
    <row r="655" spans="2:37" ht="30" hidden="1" customHeight="1" outlineLevel="1" x14ac:dyDescent="0.25">
      <c r="B655" s="561"/>
      <c r="D655" s="1306" t="s">
        <v>1842</v>
      </c>
      <c r="E655" s="1337" t="s">
        <v>1843</v>
      </c>
      <c r="F655" s="1306"/>
      <c r="G655" s="1508">
        <v>0.98</v>
      </c>
      <c r="H655" s="2235" t="s">
        <v>1844</v>
      </c>
      <c r="I655" s="2236"/>
      <c r="J655" s="2348"/>
      <c r="K655" s="2349"/>
      <c r="L655" s="2350"/>
      <c r="V655" s="1356" t="s">
        <v>1842</v>
      </c>
      <c r="W655" s="315">
        <v>0.98</v>
      </c>
      <c r="X655" s="315">
        <v>0.98</v>
      </c>
      <c r="Y655" s="315">
        <v>0.98</v>
      </c>
      <c r="Z655" s="348">
        <v>0.98</v>
      </c>
      <c r="AA655" s="348">
        <v>0.98</v>
      </c>
      <c r="AB655" s="348">
        <v>0.98</v>
      </c>
      <c r="AC655" s="348">
        <v>0.98</v>
      </c>
      <c r="AD655" s="348">
        <v>0.98</v>
      </c>
      <c r="AE655" s="348">
        <v>0.98</v>
      </c>
      <c r="AF655" s="258">
        <f t="shared" si="113"/>
        <v>0.98</v>
      </c>
      <c r="AG655" s="1437"/>
      <c r="AK655" s="344"/>
    </row>
    <row r="656" spans="2:37" ht="15" hidden="1" customHeight="1" outlineLevel="1" x14ac:dyDescent="0.25">
      <c r="B656" s="561"/>
      <c r="D656" s="1306">
        <v>3412</v>
      </c>
      <c r="E656" s="1337">
        <v>3412</v>
      </c>
      <c r="F656" s="1306"/>
      <c r="G656" s="1508">
        <v>3412</v>
      </c>
      <c r="H656" s="2298" t="s">
        <v>642</v>
      </c>
      <c r="I656" s="2345"/>
      <c r="J656" s="2348"/>
      <c r="K656" s="2349"/>
      <c r="L656" s="2350"/>
      <c r="V656" s="1356">
        <v>3412</v>
      </c>
      <c r="W656" s="315">
        <v>3413</v>
      </c>
      <c r="X656" s="315">
        <v>3413</v>
      </c>
      <c r="Y656" s="315">
        <v>3413</v>
      </c>
      <c r="Z656" s="348">
        <v>3413</v>
      </c>
      <c r="AA656" s="348">
        <v>3413</v>
      </c>
      <c r="AB656" s="347">
        <v>3412</v>
      </c>
      <c r="AC656" s="348">
        <v>3412</v>
      </c>
      <c r="AD656" s="348">
        <v>3412</v>
      </c>
      <c r="AE656" s="348">
        <v>3412</v>
      </c>
      <c r="AF656" s="258">
        <f t="shared" si="113"/>
        <v>3412</v>
      </c>
      <c r="AG656" s="1437"/>
      <c r="AK656" s="344"/>
    </row>
    <row r="657" spans="2:114" ht="15" hidden="1" customHeight="1" outlineLevel="1" x14ac:dyDescent="0.25">
      <c r="B657" s="561"/>
      <c r="D657" s="1306" t="s">
        <v>814</v>
      </c>
      <c r="E657" s="1306" t="s">
        <v>786</v>
      </c>
      <c r="F657" s="1306"/>
      <c r="G657" s="1515">
        <v>1</v>
      </c>
      <c r="H657" s="2298" t="s">
        <v>839</v>
      </c>
      <c r="I657" s="2345"/>
      <c r="J657" s="2348"/>
      <c r="K657" s="2349"/>
      <c r="L657" s="2349"/>
      <c r="V657" s="1356" t="s">
        <v>814</v>
      </c>
      <c r="W657" s="350">
        <v>1</v>
      </c>
      <c r="X657" s="350">
        <v>1</v>
      </c>
      <c r="Y657" s="350">
        <v>1</v>
      </c>
      <c r="Z657" s="594">
        <v>1</v>
      </c>
      <c r="AA657" s="594">
        <v>1</v>
      </c>
      <c r="AB657" s="594">
        <v>1</v>
      </c>
      <c r="AC657" s="594">
        <v>1</v>
      </c>
      <c r="AD657" s="594">
        <v>1</v>
      </c>
      <c r="AE657" s="594">
        <v>1</v>
      </c>
      <c r="AF657" s="258">
        <f t="shared" si="113"/>
        <v>1</v>
      </c>
      <c r="AG657" s="1437"/>
      <c r="AK657" s="344"/>
    </row>
    <row r="658" spans="2:114" ht="30.4" hidden="1" customHeight="1" outlineLevel="1" x14ac:dyDescent="0.25">
      <c r="B658" s="561"/>
      <c r="D658" s="1313" t="s">
        <v>104</v>
      </c>
      <c r="E658" s="1368" t="s">
        <v>1713</v>
      </c>
      <c r="F658" s="1306" t="s">
        <v>1845</v>
      </c>
      <c r="G658" s="1539">
        <v>0.95</v>
      </c>
      <c r="H658" s="2234" t="s">
        <v>1832</v>
      </c>
      <c r="I658" s="2153"/>
      <c r="J658" s="2354"/>
      <c r="K658" s="2355"/>
      <c r="L658" s="2356"/>
      <c r="V658" s="1356"/>
      <c r="W658" s="314">
        <v>0.97699999999999998</v>
      </c>
      <c r="X658" s="158">
        <v>1</v>
      </c>
      <c r="Y658" s="1389">
        <v>0.95</v>
      </c>
      <c r="Z658" s="300">
        <v>0.95</v>
      </c>
      <c r="AA658" s="300">
        <v>0.95</v>
      </c>
      <c r="AB658" s="300">
        <v>0.95</v>
      </c>
      <c r="AC658" s="300">
        <v>0.95</v>
      </c>
      <c r="AD658" s="300">
        <v>0.95</v>
      </c>
      <c r="AE658" s="300">
        <v>0.95</v>
      </c>
      <c r="AF658" s="258">
        <f t="shared" si="113"/>
        <v>0.95</v>
      </c>
      <c r="AG658" s="1437"/>
      <c r="AK658" s="344"/>
    </row>
    <row r="659" spans="2:114" ht="31.15" hidden="1" customHeight="1" outlineLevel="1" x14ac:dyDescent="0.25">
      <c r="B659" s="561"/>
      <c r="D659" s="1352" t="str">
        <f>D623</f>
        <v>EUL</v>
      </c>
      <c r="E659" s="1352" t="str">
        <f>E623</f>
        <v>Effective Useful Life</v>
      </c>
      <c r="F659" s="1306" t="s">
        <v>734</v>
      </c>
      <c r="G659" s="1538">
        <v>10</v>
      </c>
      <c r="H659" s="2235" t="s">
        <v>1846</v>
      </c>
      <c r="I659" s="2236"/>
      <c r="J659" s="2354"/>
      <c r="K659" s="2355"/>
      <c r="L659" s="2356"/>
      <c r="V659" s="1449" t="str">
        <f>D659</f>
        <v>EUL</v>
      </c>
      <c r="W659" s="315">
        <v>10</v>
      </c>
      <c r="X659" s="315">
        <v>10</v>
      </c>
      <c r="Y659" s="315">
        <v>11</v>
      </c>
      <c r="Z659" s="348">
        <v>11</v>
      </c>
      <c r="AA659" s="348">
        <v>11</v>
      </c>
      <c r="AB659" s="348">
        <v>11</v>
      </c>
      <c r="AC659" s="348">
        <v>11</v>
      </c>
      <c r="AD659" s="348">
        <v>11</v>
      </c>
      <c r="AE659" s="348">
        <v>11</v>
      </c>
      <c r="AF659" s="258">
        <f t="shared" si="113"/>
        <v>10</v>
      </c>
      <c r="AG659" s="1437"/>
      <c r="AK659" s="344"/>
    </row>
    <row r="660" spans="2:114" ht="15" hidden="1" customHeight="1" outlineLevel="1" x14ac:dyDescent="0.25">
      <c r="B660" s="561"/>
      <c r="D660" s="1984" t="s">
        <v>50</v>
      </c>
      <c r="E660" s="1984" t="s">
        <v>682</v>
      </c>
      <c r="F660" s="1306" t="s">
        <v>1845</v>
      </c>
      <c r="G660" s="1561">
        <v>11.33</v>
      </c>
      <c r="H660" s="2235" t="s">
        <v>1847</v>
      </c>
      <c r="I660" s="2236"/>
      <c r="J660" s="2357"/>
      <c r="K660" s="2358"/>
      <c r="L660" s="2359"/>
      <c r="V660" s="1356"/>
      <c r="W660" s="315">
        <v>11.33</v>
      </c>
      <c r="X660" s="315">
        <v>11.33</v>
      </c>
      <c r="Y660" s="315">
        <v>11.33</v>
      </c>
      <c r="Z660" s="348">
        <v>11.33</v>
      </c>
      <c r="AA660" s="348">
        <v>11.33</v>
      </c>
      <c r="AB660" s="719">
        <v>11.33</v>
      </c>
      <c r="AC660" s="719">
        <v>11.33</v>
      </c>
      <c r="AD660" s="719">
        <v>11.33</v>
      </c>
      <c r="AE660" s="719">
        <v>11.33</v>
      </c>
      <c r="AF660" s="258">
        <f t="shared" si="113"/>
        <v>11.33</v>
      </c>
      <c r="AG660" s="1437"/>
      <c r="AK660" s="344"/>
    </row>
    <row r="661" spans="2:114" ht="15" hidden="1" customHeight="1" outlineLevel="1" x14ac:dyDescent="0.25">
      <c r="B661" s="561"/>
      <c r="C661" s="1333"/>
      <c r="AK661" s="344"/>
    </row>
    <row r="662" spans="2:114" ht="15" customHeight="1" collapsed="1" x14ac:dyDescent="0.25">
      <c r="B662" s="561"/>
      <c r="AK662" s="344"/>
    </row>
    <row r="663" spans="2:114" ht="15" customHeight="1" x14ac:dyDescent="0.25">
      <c r="B663" s="2134" t="s">
        <v>1848</v>
      </c>
      <c r="C663" s="2135"/>
      <c r="D663" s="2135"/>
      <c r="E663" s="2135"/>
      <c r="F663" s="2135"/>
      <c r="G663" s="2135"/>
      <c r="H663" s="2135"/>
      <c r="I663" s="2082"/>
      <c r="J663" s="2082"/>
      <c r="K663" s="2082"/>
      <c r="L663" s="2082"/>
      <c r="M663" s="2082"/>
      <c r="N663" s="2082"/>
      <c r="O663" s="2082"/>
      <c r="P663" s="2082"/>
      <c r="Q663" s="2082"/>
      <c r="R663" s="2083"/>
      <c r="V663" s="2103" t="str">
        <f>B663</f>
        <v>Low Flow Faucet Aerators (Kitchen)</v>
      </c>
      <c r="W663" s="2104"/>
      <c r="X663" s="2104"/>
      <c r="Y663" s="2104"/>
      <c r="Z663" s="2104"/>
      <c r="AA663" s="2104"/>
      <c r="AB663" s="2104"/>
      <c r="AC663" s="2074"/>
      <c r="AD663" s="2074"/>
      <c r="AE663" s="2074"/>
      <c r="AF663" s="2074"/>
      <c r="AG663" s="2074"/>
      <c r="AH663" s="2074"/>
      <c r="AI663" s="2075"/>
      <c r="AK663" s="344"/>
    </row>
    <row r="664" spans="2:114" ht="15" customHeight="1" x14ac:dyDescent="0.25">
      <c r="B664" s="561"/>
      <c r="D664" s="565"/>
      <c r="E664" s="565"/>
      <c r="F664" s="269"/>
      <c r="G664" s="269"/>
      <c r="H664" s="269"/>
      <c r="I664" s="269"/>
      <c r="J664" s="269"/>
      <c r="K664" s="269"/>
      <c r="L664" s="566"/>
      <c r="AK664" s="344"/>
    </row>
    <row r="665" spans="2:114" ht="30" x14ac:dyDescent="0.25">
      <c r="B665" s="561"/>
      <c r="C665" s="1300" t="s">
        <v>42</v>
      </c>
      <c r="D665" s="1300" t="s">
        <v>594</v>
      </c>
      <c r="E665" s="1300" t="s">
        <v>44</v>
      </c>
      <c r="F665" s="1300" t="s">
        <v>1661</v>
      </c>
      <c r="G665" s="1300" t="s">
        <v>46</v>
      </c>
      <c r="H665" s="1300" t="s">
        <v>47</v>
      </c>
      <c r="I665" s="1300" t="s">
        <v>1801</v>
      </c>
      <c r="J665" s="1300" t="s">
        <v>48</v>
      </c>
      <c r="K665" s="1300" t="s">
        <v>49</v>
      </c>
      <c r="L665" s="1300" t="s">
        <v>50</v>
      </c>
      <c r="M665" s="1300" t="s">
        <v>51</v>
      </c>
      <c r="V665" s="165" t="s">
        <v>52</v>
      </c>
      <c r="W665" s="166">
        <f>W$6</f>
        <v>43252</v>
      </c>
      <c r="X665" s="166">
        <f t="shared" ref="X665:AG665" si="114">X$6</f>
        <v>43465</v>
      </c>
      <c r="Y665" s="741">
        <f t="shared" si="114"/>
        <v>43800</v>
      </c>
      <c r="Z665" s="166">
        <f t="shared" si="114"/>
        <v>43862</v>
      </c>
      <c r="AA665" s="166">
        <f t="shared" si="114"/>
        <v>44013</v>
      </c>
      <c r="AB665" s="166">
        <f t="shared" si="114"/>
        <v>44166</v>
      </c>
      <c r="AC665" s="649">
        <f t="shared" si="114"/>
        <v>44531</v>
      </c>
      <c r="AD665" s="649">
        <f t="shared" si="114"/>
        <v>44774</v>
      </c>
      <c r="AE665" s="649">
        <f t="shared" si="114"/>
        <v>45139</v>
      </c>
      <c r="AF665" s="649">
        <f t="shared" si="114"/>
        <v>45672</v>
      </c>
      <c r="AG665" s="649" t="str">
        <f t="shared" si="114"/>
        <v>-</v>
      </c>
      <c r="AK665" s="344"/>
      <c r="DG665" s="1018" t="str">
        <f>$DG$6</f>
        <v>TRC (2025)</v>
      </c>
      <c r="DH665" s="776" t="str">
        <f>$DH$6</f>
        <v>Benefit Lookup</v>
      </c>
      <c r="DI665" s="1034" t="str">
        <f>$DI$6</f>
        <v>Benefits (2025 $)</v>
      </c>
      <c r="DJ665" s="1060" t="str">
        <f>$DJ$6</f>
        <v>Incremental Cost (2025 $)</v>
      </c>
    </row>
    <row r="666" spans="2:114" x14ac:dyDescent="0.25">
      <c r="B666" s="1384">
        <f t="shared" ref="B666:B667" si="115">VALUE(LEFT(C666,6))</f>
        <v>403480</v>
      </c>
      <c r="C666" s="18" t="s">
        <v>1849</v>
      </c>
      <c r="D666" s="1331" t="s">
        <v>600</v>
      </c>
      <c r="E666" s="770" t="s">
        <v>1850</v>
      </c>
      <c r="F666" s="154">
        <f>ROUND(G677*(G678*G679-G680*G681)*G682*G683*G684/G685*I666*G693*G692,2)</f>
        <v>121.19</v>
      </c>
      <c r="G666" s="1375" t="s">
        <v>602</v>
      </c>
      <c r="H666" s="66">
        <f>VLOOKUP(G666,'CP FACTORS'!$A$3:$B$38, 2, FALSE)</f>
        <v>8.8731800000000003E-5</v>
      </c>
      <c r="I666" s="153">
        <f>G686*G687*(G688-G689)/(G690*G691)</f>
        <v>8.6195779601406813E-2</v>
      </c>
      <c r="J666" s="43">
        <f>ROUND(F666*H666,6)</f>
        <v>1.0753E-2</v>
      </c>
      <c r="K666" s="44">
        <f>$G$694</f>
        <v>10</v>
      </c>
      <c r="L666" s="428">
        <f>$G$695</f>
        <v>11.33</v>
      </c>
      <c r="M666" s="332" t="s">
        <v>62</v>
      </c>
      <c r="R666" s="521"/>
      <c r="V666" s="1307" t="e">
        <f>#REF!</f>
        <v>#REF!</v>
      </c>
      <c r="W666" s="85"/>
      <c r="X666" s="726"/>
      <c r="Y666" s="125"/>
      <c r="Z666" s="125"/>
      <c r="AA666" s="125"/>
      <c r="AB666" s="662">
        <v>111.03</v>
      </c>
      <c r="AC666" s="154">
        <v>111.03</v>
      </c>
      <c r="AD666" s="154">
        <v>111.03</v>
      </c>
      <c r="AE666" s="154">
        <v>111.03</v>
      </c>
      <c r="AF666" s="258">
        <f>IF(F666&lt;&gt;"",F666,"")</f>
        <v>121.19</v>
      </c>
      <c r="AG666" s="342"/>
      <c r="AH666" s="115"/>
      <c r="AK666" s="344"/>
      <c r="DG666" s="1021">
        <f>(DI666)/(DJ666)</f>
        <v>5.2550774380504439</v>
      </c>
      <c r="DH666" s="653" t="str">
        <f>CONCATENATE(G666," ",K666," Year EUL")</f>
        <v>Water Heating RES 10 Year EUL</v>
      </c>
      <c r="DI666" s="538">
        <f>(INDEX('Avoided Cost Benefits'!$B$4:$B$865,MATCH(DH666,'Avoided Cost Benefits'!$A$4:$A$865,0)))*F666</f>
        <v>59.540027373111528</v>
      </c>
      <c r="DJ666" s="1960">
        <f>IFERROR(L666/((1+DiscountRate)^(CurrentYear-DiscountYear)),0)</f>
        <v>11.33</v>
      </c>
    </row>
    <row r="667" spans="2:114" x14ac:dyDescent="0.25">
      <c r="B667" s="1384">
        <f t="shared" si="115"/>
        <v>403481</v>
      </c>
      <c r="C667" s="18" t="s">
        <v>1851</v>
      </c>
      <c r="D667" s="1331" t="s">
        <v>686</v>
      </c>
      <c r="E667" s="770" t="s">
        <v>1852</v>
      </c>
      <c r="F667" s="154">
        <f>ROUND(G677*(G678*G679-G680*G681)*G682*G683*G684/G685*I667*G693*G692,2)</f>
        <v>121.19</v>
      </c>
      <c r="G667" s="1375" t="s">
        <v>602</v>
      </c>
      <c r="H667" s="66">
        <f>VLOOKUP(G667,'CP FACTORS'!$A$3:$B$38, 2, FALSE)</f>
        <v>8.8731800000000003E-5</v>
      </c>
      <c r="I667" s="153">
        <f>G686*G687*(G688-G689)/(G690*G691)</f>
        <v>8.6195779601406813E-2</v>
      </c>
      <c r="J667" s="43">
        <f>ROUND(F667*H667,6)</f>
        <v>1.0753E-2</v>
      </c>
      <c r="K667" s="44">
        <f>$G$694</f>
        <v>10</v>
      </c>
      <c r="L667" s="428">
        <f>$G$695</f>
        <v>11.33</v>
      </c>
      <c r="M667" s="332" t="s">
        <v>62</v>
      </c>
      <c r="R667" s="521"/>
      <c r="V667" s="1307" t="e">
        <f>V666</f>
        <v>#REF!</v>
      </c>
      <c r="W667" s="85"/>
      <c r="X667" s="725"/>
      <c r="Y667" s="125"/>
      <c r="Z667" s="125"/>
      <c r="AA667" s="125"/>
      <c r="AB667" s="662">
        <v>111.03</v>
      </c>
      <c r="AC667" s="154">
        <v>111.03</v>
      </c>
      <c r="AD667" s="154">
        <v>111.03</v>
      </c>
      <c r="AE667" s="154">
        <v>111.03</v>
      </c>
      <c r="AF667" s="258">
        <f>IF(F667&lt;&gt;"",F667,"")</f>
        <v>121.19</v>
      </c>
      <c r="AG667" s="342"/>
      <c r="AH667" s="115"/>
      <c r="AK667" s="344"/>
      <c r="DG667" s="1022">
        <f>(DI667)/(DJ667)</f>
        <v>5.2550774380504439</v>
      </c>
      <c r="DH667" s="653" t="str">
        <f>CONCATENATE(G667," ",K667," Year EUL")</f>
        <v>Water Heating RES 10 Year EUL</v>
      </c>
      <c r="DI667" s="1030">
        <f>(INDEX('Avoided Cost Benefits'!$B$4:$B$865,MATCH(DH667,'Avoided Cost Benefits'!$A$4:$A$865,0)))*F667</f>
        <v>59.540027373111528</v>
      </c>
      <c r="DJ667" s="1961">
        <f>IFERROR(L667/((1+DiscountRate)^(CurrentYear-DiscountYear)),0)</f>
        <v>11.33</v>
      </c>
    </row>
    <row r="668" spans="2:114" hidden="1" outlineLevel="1" x14ac:dyDescent="0.25">
      <c r="B668" s="561"/>
      <c r="D668" s="71" t="s">
        <v>94</v>
      </c>
      <c r="E668" s="270" t="s">
        <v>1807</v>
      </c>
      <c r="F668" s="944"/>
      <c r="G668" s="268"/>
      <c r="H668" s="604"/>
      <c r="I668" s="373"/>
      <c r="J668" s="373"/>
      <c r="K668" s="373"/>
      <c r="V668" s="50"/>
      <c r="W668" s="73"/>
      <c r="X668" s="73"/>
      <c r="Y668" s="370"/>
      <c r="Z668" s="73"/>
      <c r="AA668" s="73"/>
      <c r="AB668" s="73"/>
      <c r="AC668" s="73"/>
      <c r="AD668" s="73"/>
      <c r="AE668" s="73"/>
      <c r="AF668" s="73"/>
      <c r="AG668" s="73"/>
      <c r="AH668" s="115"/>
      <c r="AK668" s="344"/>
    </row>
    <row r="669" spans="2:114" hidden="1" outlineLevel="1" x14ac:dyDescent="0.25">
      <c r="B669" s="561"/>
      <c r="D669" s="74" t="s">
        <v>604</v>
      </c>
      <c r="E669" s="50" t="s">
        <v>1808</v>
      </c>
      <c r="F669" s="944"/>
      <c r="G669" s="268"/>
      <c r="H669" s="604"/>
      <c r="V669" s="50"/>
      <c r="W669" s="73"/>
      <c r="X669" s="73"/>
      <c r="Y669" s="370"/>
      <c r="Z669" s="73"/>
      <c r="AA669" s="73"/>
      <c r="AB669" s="73"/>
      <c r="AC669" s="73"/>
      <c r="AD669" s="73"/>
      <c r="AE669" s="73"/>
      <c r="AF669" s="73"/>
      <c r="AG669" s="73"/>
      <c r="AK669" s="344"/>
    </row>
    <row r="670" spans="2:114" hidden="1" outlineLevel="1" x14ac:dyDescent="0.25">
      <c r="B670" s="561"/>
      <c r="D670" s="270"/>
      <c r="E670" s="50" t="s">
        <v>1809</v>
      </c>
      <c r="F670" s="944"/>
      <c r="H670" s="268"/>
      <c r="V670" s="50"/>
      <c r="W670" s="73"/>
      <c r="X670" s="73"/>
      <c r="Y670" s="370"/>
      <c r="Z670" s="73"/>
      <c r="AA670" s="73"/>
      <c r="AB670" s="73"/>
      <c r="AC670" s="73"/>
      <c r="AD670" s="73"/>
      <c r="AE670" s="73"/>
      <c r="AF670" s="73"/>
      <c r="AG670" s="73"/>
      <c r="AK670" s="344"/>
    </row>
    <row r="671" spans="2:114" hidden="1" outlineLevel="1" x14ac:dyDescent="0.25">
      <c r="B671" s="561"/>
      <c r="E671" s="50" t="s">
        <v>607</v>
      </c>
      <c r="F671" s="1445"/>
      <c r="G671" s="1445"/>
      <c r="V671" s="50"/>
      <c r="W671" s="73"/>
      <c r="X671" s="73"/>
      <c r="Y671" s="370"/>
      <c r="Z671" s="73"/>
      <c r="AA671" s="73"/>
      <c r="AB671" s="73"/>
      <c r="AC671" s="73"/>
      <c r="AD671" s="73"/>
      <c r="AE671" s="73"/>
      <c r="AF671" s="73"/>
      <c r="AG671" s="73"/>
      <c r="AK671" s="344"/>
    </row>
    <row r="672" spans="2:114" hidden="1" outlineLevel="1" x14ac:dyDescent="0.25">
      <c r="B672" s="561"/>
      <c r="E672" s="50" t="s">
        <v>1810</v>
      </c>
      <c r="F672" s="601"/>
      <c r="G672" s="601"/>
      <c r="V672" s="50"/>
      <c r="W672" s="73"/>
      <c r="X672" s="73"/>
      <c r="Y672" s="370"/>
      <c r="Z672" s="73"/>
      <c r="AA672" s="73"/>
      <c r="AB672" s="73"/>
      <c r="AC672" s="73"/>
      <c r="AD672" s="73"/>
      <c r="AE672" s="73"/>
      <c r="AF672" s="73"/>
      <c r="AG672" s="73"/>
      <c r="AK672" s="344"/>
    </row>
    <row r="673" spans="2:37" hidden="1" outlineLevel="1" x14ac:dyDescent="0.25">
      <c r="B673" s="561"/>
      <c r="E673" s="600"/>
      <c r="F673" s="601"/>
      <c r="G673" s="601"/>
      <c r="V673" s="50"/>
      <c r="W673" s="73"/>
      <c r="X673" s="73"/>
      <c r="Y673" s="370"/>
      <c r="Z673" s="73"/>
      <c r="AA673" s="73"/>
      <c r="AB673" s="73"/>
      <c r="AC673" s="73"/>
      <c r="AD673" s="73"/>
      <c r="AE673" s="73"/>
      <c r="AF673" s="73"/>
      <c r="AG673" s="73"/>
      <c r="AK673" s="344"/>
    </row>
    <row r="674" spans="2:37" ht="15" hidden="1" customHeight="1" outlineLevel="1" x14ac:dyDescent="0.25">
      <c r="B674" s="561"/>
      <c r="E674" s="600"/>
      <c r="F674" s="601"/>
      <c r="G674" s="601"/>
      <c r="V674" s="50"/>
      <c r="W674" s="73"/>
      <c r="X674" s="73"/>
      <c r="Y674" s="370"/>
      <c r="Z674" s="73"/>
      <c r="AA674" s="73"/>
      <c r="AB674" s="73"/>
      <c r="AC674" s="73"/>
      <c r="AD674" s="73"/>
      <c r="AE674" s="73"/>
      <c r="AF674" s="73"/>
      <c r="AG674" s="73"/>
      <c r="AK674" s="344"/>
    </row>
    <row r="675" spans="2:37" hidden="1" outlineLevel="1" x14ac:dyDescent="0.25">
      <c r="B675" s="561"/>
      <c r="V675" s="50"/>
      <c r="W675" s="73"/>
      <c r="X675" s="73"/>
      <c r="Y675" s="370"/>
      <c r="Z675" s="73"/>
      <c r="AA675" s="73"/>
      <c r="AB675" s="73"/>
      <c r="AC675" s="73"/>
      <c r="AD675" s="73"/>
      <c r="AE675" s="73"/>
      <c r="AF675" s="73"/>
      <c r="AG675" s="73"/>
      <c r="AK675" s="344"/>
    </row>
    <row r="676" spans="2:37" hidden="1" outlineLevel="1" x14ac:dyDescent="0.25">
      <c r="B676" s="561"/>
      <c r="D676" s="1373" t="s">
        <v>712</v>
      </c>
      <c r="E676" s="1373" t="s">
        <v>608</v>
      </c>
      <c r="F676" s="1300" t="s">
        <v>1811</v>
      </c>
      <c r="G676" s="1311" t="s">
        <v>610</v>
      </c>
      <c r="H676" s="2108" t="s">
        <v>611</v>
      </c>
      <c r="I676" s="2108"/>
      <c r="J676" s="2342" t="s">
        <v>612</v>
      </c>
      <c r="K676" s="2343"/>
      <c r="L676" s="2344"/>
      <c r="V676" s="165" t="s">
        <v>52</v>
      </c>
      <c r="W676" s="166">
        <f>W$6</f>
        <v>43252</v>
      </c>
      <c r="X676" s="166">
        <f t="shared" ref="X676:AG676" si="116">X$6</f>
        <v>43465</v>
      </c>
      <c r="Y676" s="741">
        <f t="shared" si="116"/>
        <v>43800</v>
      </c>
      <c r="Z676" s="166">
        <f t="shared" si="116"/>
        <v>43862</v>
      </c>
      <c r="AA676" s="166">
        <f t="shared" si="116"/>
        <v>44013</v>
      </c>
      <c r="AB676" s="166">
        <f t="shared" si="116"/>
        <v>44166</v>
      </c>
      <c r="AC676" s="166">
        <f t="shared" si="116"/>
        <v>44531</v>
      </c>
      <c r="AD676" s="166">
        <f t="shared" si="116"/>
        <v>44774</v>
      </c>
      <c r="AE676" s="166">
        <f t="shared" si="116"/>
        <v>45139</v>
      </c>
      <c r="AF676" s="166">
        <f t="shared" si="116"/>
        <v>45672</v>
      </c>
      <c r="AG676" s="166" t="str">
        <f t="shared" si="116"/>
        <v>-</v>
      </c>
      <c r="AK676" s="344"/>
    </row>
    <row r="677" spans="2:37" ht="15" hidden="1" customHeight="1" outlineLevel="1" x14ac:dyDescent="0.25">
      <c r="B677" s="561"/>
      <c r="D677" s="1306" t="s">
        <v>1812</v>
      </c>
      <c r="E677" s="1306" t="s">
        <v>1813</v>
      </c>
      <c r="F677" s="1306"/>
      <c r="G677" s="1550">
        <v>1</v>
      </c>
      <c r="H677" s="2298" t="s">
        <v>839</v>
      </c>
      <c r="I677" s="2345"/>
      <c r="J677" s="2346"/>
      <c r="K677" s="2347"/>
      <c r="L677" s="2347"/>
      <c r="V677" s="1306" t="s">
        <v>1812</v>
      </c>
      <c r="W677" s="158"/>
      <c r="X677" s="158"/>
      <c r="Y677" s="158"/>
      <c r="Z677" s="158"/>
      <c r="AA677" s="158"/>
      <c r="AB677" s="158">
        <v>1</v>
      </c>
      <c r="AC677" s="353">
        <v>1</v>
      </c>
      <c r="AD677" s="353">
        <v>1</v>
      </c>
      <c r="AE677" s="353">
        <v>1</v>
      </c>
      <c r="AF677" s="258">
        <f t="shared" ref="AF677:AF695" si="117">IF(G677&lt;&gt;"",G677,"")</f>
        <v>1</v>
      </c>
      <c r="AG677" s="342"/>
      <c r="AK677" s="344"/>
    </row>
    <row r="678" spans="2:37" ht="27" hidden="1" customHeight="1" outlineLevel="1" x14ac:dyDescent="0.25">
      <c r="B678" s="561"/>
      <c r="D678" s="1306" t="s">
        <v>1814</v>
      </c>
      <c r="E678" s="1306" t="s">
        <v>1815</v>
      </c>
      <c r="F678" s="1306"/>
      <c r="G678" s="1505">
        <v>2.2000000000000002</v>
      </c>
      <c r="H678" s="2234" t="s">
        <v>1816</v>
      </c>
      <c r="I678" s="2153"/>
      <c r="J678" s="2348"/>
      <c r="K678" s="2349"/>
      <c r="L678" s="2350"/>
      <c r="V678" s="1306" t="s">
        <v>1814</v>
      </c>
      <c r="W678" s="101"/>
      <c r="X678" s="724"/>
      <c r="Y678" s="724"/>
      <c r="Z678" s="724"/>
      <c r="AA678" s="724"/>
      <c r="AB678" s="48">
        <v>2.2000000000000002</v>
      </c>
      <c r="AC678" s="44">
        <v>2.2000000000000002</v>
      </c>
      <c r="AD678" s="44">
        <v>2.2000000000000002</v>
      </c>
      <c r="AE678" s="44">
        <v>2.2000000000000002</v>
      </c>
      <c r="AF678" s="258">
        <f t="shared" si="117"/>
        <v>2.2000000000000002</v>
      </c>
      <c r="AG678" s="342"/>
      <c r="AK678" s="344"/>
    </row>
    <row r="679" spans="2:37" ht="30" hidden="1" customHeight="1" outlineLevel="1" x14ac:dyDescent="0.25">
      <c r="B679" s="561"/>
      <c r="D679" s="1306" t="s">
        <v>1817</v>
      </c>
      <c r="E679" s="1337" t="s">
        <v>1818</v>
      </c>
      <c r="F679" s="1306"/>
      <c r="G679" s="1509">
        <v>3.7</v>
      </c>
      <c r="H679" s="2235" t="s">
        <v>1819</v>
      </c>
      <c r="I679" s="2236"/>
      <c r="J679" s="2348"/>
      <c r="K679" s="2349"/>
      <c r="L679" s="2350"/>
      <c r="V679" s="1306" t="s">
        <v>1817</v>
      </c>
      <c r="W679" s="347"/>
      <c r="X679" s="347"/>
      <c r="Y679" s="347"/>
      <c r="Z679" s="347"/>
      <c r="AA679" s="347"/>
      <c r="AB679" s="723">
        <v>3.7</v>
      </c>
      <c r="AC679" s="722">
        <v>3.7</v>
      </c>
      <c r="AD679" s="722">
        <v>3.7</v>
      </c>
      <c r="AE679" s="722">
        <v>3.7</v>
      </c>
      <c r="AF679" s="258">
        <f t="shared" si="117"/>
        <v>3.7</v>
      </c>
      <c r="AG679" s="342"/>
      <c r="AK679" s="344"/>
    </row>
    <row r="680" spans="2:37" ht="30" hidden="1" customHeight="1" outlineLevel="1" x14ac:dyDescent="0.25">
      <c r="B680" s="561"/>
      <c r="D680" s="1306" t="s">
        <v>1820</v>
      </c>
      <c r="E680" s="1306" t="s">
        <v>1821</v>
      </c>
      <c r="F680" s="1306"/>
      <c r="G680" s="1516">
        <v>1.5</v>
      </c>
      <c r="H680" s="2234" t="s">
        <v>1822</v>
      </c>
      <c r="I680" s="2153"/>
      <c r="J680" s="2348"/>
      <c r="K680" s="2349"/>
      <c r="L680" s="2350"/>
      <c r="V680" s="1306" t="s">
        <v>1820</v>
      </c>
      <c r="W680" s="101"/>
      <c r="X680" s="355"/>
      <c r="Y680" s="355"/>
      <c r="Z680" s="355"/>
      <c r="AA680" s="355"/>
      <c r="AB680" s="48">
        <v>1.5</v>
      </c>
      <c r="AC680" s="44">
        <v>1.5</v>
      </c>
      <c r="AD680" s="44">
        <v>1.5</v>
      </c>
      <c r="AE680" s="44">
        <v>1.5</v>
      </c>
      <c r="AF680" s="258">
        <f t="shared" si="117"/>
        <v>1.5</v>
      </c>
      <c r="AG680" s="1437"/>
      <c r="AK680" s="344"/>
    </row>
    <row r="681" spans="2:37" ht="30" hidden="1" customHeight="1" outlineLevel="1" x14ac:dyDescent="0.25">
      <c r="B681" s="561"/>
      <c r="D681" s="1306" t="s">
        <v>1823</v>
      </c>
      <c r="E681" s="1337" t="s">
        <v>1818</v>
      </c>
      <c r="F681" s="1306"/>
      <c r="G681" s="1634">
        <v>3.7</v>
      </c>
      <c r="H681" s="2235" t="s">
        <v>1819</v>
      </c>
      <c r="I681" s="2236"/>
      <c r="J681" s="2348"/>
      <c r="K681" s="2349"/>
      <c r="L681" s="2350"/>
      <c r="V681" s="1306" t="s">
        <v>1823</v>
      </c>
      <c r="W681" s="347"/>
      <c r="X681" s="347"/>
      <c r="Y681" s="1448"/>
      <c r="Z681" s="1448"/>
      <c r="AA681" s="1448"/>
      <c r="AB681" s="1386">
        <v>3.7</v>
      </c>
      <c r="AC681" s="323">
        <v>3.7</v>
      </c>
      <c r="AD681" s="323">
        <v>3.7</v>
      </c>
      <c r="AE681" s="323">
        <v>3.7</v>
      </c>
      <c r="AF681" s="258">
        <f t="shared" si="117"/>
        <v>3.7</v>
      </c>
      <c r="AG681" s="1437"/>
      <c r="AK681" s="344"/>
    </row>
    <row r="682" spans="2:37" ht="45" hidden="1" customHeight="1" outlineLevel="1" x14ac:dyDescent="0.25">
      <c r="B682" s="561"/>
      <c r="D682" s="1306" t="s">
        <v>624</v>
      </c>
      <c r="E682" s="1337" t="s">
        <v>1824</v>
      </c>
      <c r="F682" s="1306"/>
      <c r="G682" s="1635">
        <v>1.5644946808510638</v>
      </c>
      <c r="H682" s="2235" t="s">
        <v>1825</v>
      </c>
      <c r="I682" s="2236"/>
      <c r="J682" s="2348"/>
      <c r="K682" s="2349"/>
      <c r="L682" s="2350"/>
      <c r="V682" s="1306" t="s">
        <v>624</v>
      </c>
      <c r="W682" s="347"/>
      <c r="X682" s="347"/>
      <c r="Y682" s="267"/>
      <c r="Z682" s="267"/>
      <c r="AA682" s="267"/>
      <c r="AB682" s="267">
        <v>1.5644946808510638</v>
      </c>
      <c r="AC682" s="564">
        <v>1.5644946808510638</v>
      </c>
      <c r="AD682" s="564">
        <v>1.5644946808510638</v>
      </c>
      <c r="AE682" s="564">
        <v>1.5644946808510638</v>
      </c>
      <c r="AF682" s="258">
        <f t="shared" si="117"/>
        <v>1.5644946808510638</v>
      </c>
      <c r="AG682" s="1437"/>
      <c r="AK682" s="344"/>
    </row>
    <row r="683" spans="2:37" ht="29.25" hidden="1" customHeight="1" outlineLevel="1" x14ac:dyDescent="0.25">
      <c r="B683" s="561"/>
      <c r="D683" s="1314" t="s">
        <v>1826</v>
      </c>
      <c r="E683" s="1306" t="s">
        <v>1827</v>
      </c>
      <c r="F683" s="1306"/>
      <c r="G683" s="1508">
        <v>1</v>
      </c>
      <c r="H683" s="2234" t="s">
        <v>1653</v>
      </c>
      <c r="I683" s="2153"/>
      <c r="J683" s="2351"/>
      <c r="K683" s="2352"/>
      <c r="L683" s="2353"/>
      <c r="V683" s="1314" t="s">
        <v>1826</v>
      </c>
      <c r="W683" s="347"/>
      <c r="X683" s="347"/>
      <c r="Y683" s="349"/>
      <c r="Z683" s="349"/>
      <c r="AA683" s="349"/>
      <c r="AB683" s="347">
        <v>1</v>
      </c>
      <c r="AC683" s="348">
        <v>1</v>
      </c>
      <c r="AD683" s="348">
        <v>1</v>
      </c>
      <c r="AE683" s="348">
        <v>1</v>
      </c>
      <c r="AF683" s="258">
        <f t="shared" si="117"/>
        <v>1</v>
      </c>
      <c r="AG683" s="1437"/>
      <c r="AK683" s="344"/>
    </row>
    <row r="684" spans="2:37" ht="15" hidden="1" customHeight="1" outlineLevel="1" x14ac:dyDescent="0.25">
      <c r="B684" s="561"/>
      <c r="D684" s="1314">
        <v>365.25</v>
      </c>
      <c r="E684" s="1337" t="s">
        <v>1828</v>
      </c>
      <c r="F684" s="1306"/>
      <c r="G684" s="1636">
        <v>365.25</v>
      </c>
      <c r="H684" s="2234" t="s">
        <v>1829</v>
      </c>
      <c r="I684" s="2153"/>
      <c r="J684" s="2348"/>
      <c r="K684" s="2349"/>
      <c r="L684" s="2350"/>
      <c r="V684" s="1314">
        <v>365.25</v>
      </c>
      <c r="W684" s="347"/>
      <c r="X684" s="347"/>
      <c r="Y684" s="1450"/>
      <c r="Z684" s="1450"/>
      <c r="AA684" s="1450"/>
      <c r="AB684" s="1448">
        <v>365.25</v>
      </c>
      <c r="AC684" s="134">
        <v>365.25</v>
      </c>
      <c r="AD684" s="134">
        <v>365.25</v>
      </c>
      <c r="AE684" s="134">
        <v>365.25</v>
      </c>
      <c r="AF684" s="258">
        <f t="shared" si="117"/>
        <v>365.25</v>
      </c>
      <c r="AG684" s="1437"/>
      <c r="AK684" s="344"/>
    </row>
    <row r="685" spans="2:37" ht="30" hidden="1" customHeight="1" outlineLevel="1" x14ac:dyDescent="0.25">
      <c r="B685" s="561"/>
      <c r="D685" s="1314" t="s">
        <v>1830</v>
      </c>
      <c r="E685" s="1337" t="s">
        <v>1831</v>
      </c>
      <c r="F685" s="1306"/>
      <c r="G685" s="1635">
        <v>1</v>
      </c>
      <c r="H685" s="2138" t="s">
        <v>1853</v>
      </c>
      <c r="I685" s="2138"/>
      <c r="J685" s="2348"/>
      <c r="K685" s="2349"/>
      <c r="L685" s="2350"/>
      <c r="V685" s="1314" t="s">
        <v>1830</v>
      </c>
      <c r="W685" s="347"/>
      <c r="X685" s="347"/>
      <c r="Y685" s="267"/>
      <c r="Z685" s="267"/>
      <c r="AA685" s="267"/>
      <c r="AB685" s="1386">
        <v>1</v>
      </c>
      <c r="AC685" s="323">
        <v>1</v>
      </c>
      <c r="AD685" s="323">
        <v>1</v>
      </c>
      <c r="AE685" s="323">
        <v>1</v>
      </c>
      <c r="AF685" s="258">
        <f t="shared" si="117"/>
        <v>1</v>
      </c>
      <c r="AG685" s="1437"/>
      <c r="AK685" s="344"/>
    </row>
    <row r="686" spans="2:37" ht="15" hidden="1" customHeight="1" outlineLevel="1" x14ac:dyDescent="0.25">
      <c r="B686" s="561"/>
      <c r="D686" s="1314">
        <v>8.33</v>
      </c>
      <c r="E686" s="1337" t="s">
        <v>1833</v>
      </c>
      <c r="F686" s="1306"/>
      <c r="G686" s="1508">
        <v>8.33</v>
      </c>
      <c r="H686" s="2298" t="s">
        <v>1834</v>
      </c>
      <c r="I686" s="2345"/>
      <c r="J686" s="2348"/>
      <c r="K686" s="2349"/>
      <c r="L686" s="2350"/>
      <c r="V686" s="1314">
        <v>8.33</v>
      </c>
      <c r="W686" s="347"/>
      <c r="X686" s="347"/>
      <c r="Y686" s="347"/>
      <c r="Z686" s="347"/>
      <c r="AA686" s="347"/>
      <c r="AB686" s="347">
        <v>8.33</v>
      </c>
      <c r="AC686" s="348">
        <v>8.33</v>
      </c>
      <c r="AD686" s="348">
        <v>8.33</v>
      </c>
      <c r="AE686" s="348">
        <v>8.33</v>
      </c>
      <c r="AF686" s="258">
        <f t="shared" si="117"/>
        <v>8.33</v>
      </c>
      <c r="AG686" s="1437"/>
      <c r="AK686" s="344"/>
    </row>
    <row r="687" spans="2:37" ht="15" hidden="1" customHeight="1" outlineLevel="1" x14ac:dyDescent="0.25">
      <c r="B687" s="561"/>
      <c r="D687" s="1314">
        <v>1</v>
      </c>
      <c r="E687" s="1350" t="s">
        <v>1835</v>
      </c>
      <c r="F687" s="1306"/>
      <c r="G687" s="1508">
        <v>1</v>
      </c>
      <c r="H687" s="2234" t="s">
        <v>1836</v>
      </c>
      <c r="I687" s="2153"/>
      <c r="J687" s="2348"/>
      <c r="K687" s="2349"/>
      <c r="L687" s="2350"/>
      <c r="V687" s="1314">
        <v>1</v>
      </c>
      <c r="W687" s="347"/>
      <c r="X687" s="347"/>
      <c r="Y687" s="347"/>
      <c r="Z687" s="347"/>
      <c r="AA687" s="347"/>
      <c r="AB687" s="347">
        <v>1</v>
      </c>
      <c r="AC687" s="348">
        <v>1</v>
      </c>
      <c r="AD687" s="348">
        <v>1</v>
      </c>
      <c r="AE687" s="348">
        <v>1</v>
      </c>
      <c r="AF687" s="258">
        <f t="shared" si="117"/>
        <v>1</v>
      </c>
      <c r="AG687" s="1437"/>
      <c r="AK687" s="344"/>
    </row>
    <row r="688" spans="2:37" ht="47.25" hidden="1" customHeight="1" outlineLevel="1" x14ac:dyDescent="0.25">
      <c r="B688" s="561"/>
      <c r="D688" s="1306" t="s">
        <v>1837</v>
      </c>
      <c r="E688" s="1337" t="s">
        <v>1838</v>
      </c>
      <c r="F688" s="1306"/>
      <c r="G688" s="1508">
        <v>93</v>
      </c>
      <c r="H688" s="2237" t="s">
        <v>1854</v>
      </c>
      <c r="I688" s="2237"/>
      <c r="J688" s="2348"/>
      <c r="K688" s="2349"/>
      <c r="L688" s="2350"/>
      <c r="V688" s="1306" t="s">
        <v>1837</v>
      </c>
      <c r="W688" s="347"/>
      <c r="X688" s="347"/>
      <c r="Y688" s="347"/>
      <c r="Z688" s="347"/>
      <c r="AA688" s="347"/>
      <c r="AB688" s="351">
        <v>93</v>
      </c>
      <c r="AC688" s="382">
        <v>93</v>
      </c>
      <c r="AD688" s="382">
        <v>93</v>
      </c>
      <c r="AE688" s="382">
        <v>93</v>
      </c>
      <c r="AF688" s="258">
        <f t="shared" si="117"/>
        <v>93</v>
      </c>
      <c r="AG688" s="1437"/>
      <c r="AK688" s="344"/>
    </row>
    <row r="689" spans="2:114" ht="60" hidden="1" customHeight="1" outlineLevel="1" x14ac:dyDescent="0.25">
      <c r="B689" s="561"/>
      <c r="D689" s="1306" t="s">
        <v>1840</v>
      </c>
      <c r="E689" s="1337" t="s">
        <v>1841</v>
      </c>
      <c r="F689" s="1306"/>
      <c r="G689" s="1622">
        <v>58.4</v>
      </c>
      <c r="H689" s="2092" t="s">
        <v>638</v>
      </c>
      <c r="I689" s="2092"/>
      <c r="J689" s="2348"/>
      <c r="K689" s="2349"/>
      <c r="L689" s="2350"/>
      <c r="V689" s="1306" t="s">
        <v>1840</v>
      </c>
      <c r="W689" s="347"/>
      <c r="X689" s="347"/>
      <c r="Y689" s="347"/>
      <c r="Z689" s="347"/>
      <c r="AA689" s="347"/>
      <c r="AB689" s="351">
        <v>61.3</v>
      </c>
      <c r="AC689" s="382">
        <v>61.3</v>
      </c>
      <c r="AD689" s="382">
        <v>61.3</v>
      </c>
      <c r="AE689" s="382">
        <v>61.3</v>
      </c>
      <c r="AF689" s="258">
        <f t="shared" si="117"/>
        <v>58.4</v>
      </c>
      <c r="AG689" s="1437"/>
      <c r="AK689" s="344"/>
    </row>
    <row r="690" spans="2:114" ht="47.25" hidden="1" customHeight="1" outlineLevel="1" x14ac:dyDescent="0.25">
      <c r="B690" s="561"/>
      <c r="D690" s="1306" t="s">
        <v>1842</v>
      </c>
      <c r="E690" s="1337" t="s">
        <v>1843</v>
      </c>
      <c r="F690" s="1306"/>
      <c r="G690" s="1508">
        <v>0.98</v>
      </c>
      <c r="H690" s="2235" t="s">
        <v>1844</v>
      </c>
      <c r="I690" s="2236"/>
      <c r="J690" s="2348"/>
      <c r="K690" s="2349"/>
      <c r="L690" s="2350"/>
      <c r="V690" s="1306" t="s">
        <v>1842</v>
      </c>
      <c r="W690" s="347"/>
      <c r="X690" s="347"/>
      <c r="Y690" s="347"/>
      <c r="Z690" s="347"/>
      <c r="AA690" s="347"/>
      <c r="AB690" s="347">
        <v>0.98</v>
      </c>
      <c r="AC690" s="348">
        <v>0.98</v>
      </c>
      <c r="AD690" s="348">
        <v>0.98</v>
      </c>
      <c r="AE690" s="348">
        <v>0.98</v>
      </c>
      <c r="AF690" s="258">
        <f t="shared" si="117"/>
        <v>0.98</v>
      </c>
      <c r="AG690" s="1437"/>
      <c r="AK690" s="344"/>
    </row>
    <row r="691" spans="2:114" ht="15" hidden="1" customHeight="1" outlineLevel="1" x14ac:dyDescent="0.25">
      <c r="B691" s="561"/>
      <c r="D691" s="1306">
        <v>3412</v>
      </c>
      <c r="E691" s="1337">
        <v>3412</v>
      </c>
      <c r="F691" s="1306"/>
      <c r="G691" s="1508">
        <v>3412</v>
      </c>
      <c r="H691" s="2298" t="s">
        <v>642</v>
      </c>
      <c r="I691" s="2345"/>
      <c r="J691" s="2360"/>
      <c r="K691" s="2361"/>
      <c r="L691" s="2362"/>
      <c r="V691" s="1306">
        <v>3412</v>
      </c>
      <c r="W691" s="347"/>
      <c r="X691" s="347"/>
      <c r="Y691" s="347"/>
      <c r="Z691" s="347"/>
      <c r="AA691" s="347"/>
      <c r="AB691" s="347">
        <v>3412</v>
      </c>
      <c r="AC691" s="348">
        <v>3412</v>
      </c>
      <c r="AD691" s="348">
        <v>3412</v>
      </c>
      <c r="AE691" s="348">
        <v>3412</v>
      </c>
      <c r="AF691" s="258">
        <f t="shared" si="117"/>
        <v>3412</v>
      </c>
      <c r="AG691" s="1437"/>
      <c r="AK691" s="344"/>
    </row>
    <row r="692" spans="2:114" ht="15" hidden="1" customHeight="1" outlineLevel="1" x14ac:dyDescent="0.25">
      <c r="B692" s="561"/>
      <c r="D692" s="1306" t="s">
        <v>814</v>
      </c>
      <c r="E692" s="1306" t="s">
        <v>786</v>
      </c>
      <c r="F692" s="1306"/>
      <c r="G692" s="1515">
        <v>1</v>
      </c>
      <c r="H692" s="2298" t="s">
        <v>839</v>
      </c>
      <c r="I692" s="2363"/>
      <c r="J692" s="2364"/>
      <c r="K692" s="2364"/>
      <c r="L692" s="2364"/>
      <c r="V692" s="1306" t="s">
        <v>814</v>
      </c>
      <c r="W692" s="674"/>
      <c r="X692" s="674"/>
      <c r="Y692" s="674"/>
      <c r="Z692" s="674"/>
      <c r="AA692" s="674"/>
      <c r="AB692" s="674">
        <v>1</v>
      </c>
      <c r="AC692" s="594">
        <v>1</v>
      </c>
      <c r="AD692" s="594">
        <v>1</v>
      </c>
      <c r="AE692" s="594">
        <v>1</v>
      </c>
      <c r="AF692" s="258">
        <f t="shared" si="117"/>
        <v>1</v>
      </c>
      <c r="AG692" s="1437"/>
      <c r="AK692" s="344"/>
    </row>
    <row r="693" spans="2:114" ht="29.65" hidden="1" customHeight="1" outlineLevel="1" x14ac:dyDescent="0.25">
      <c r="B693" s="561"/>
      <c r="D693" s="1313" t="s">
        <v>104</v>
      </c>
      <c r="E693" s="1368" t="s">
        <v>1713</v>
      </c>
      <c r="F693" s="1306" t="s">
        <v>1845</v>
      </c>
      <c r="G693" s="1539">
        <v>0.95</v>
      </c>
      <c r="H693" s="2234" t="s">
        <v>1832</v>
      </c>
      <c r="I693" s="2153"/>
      <c r="J693" s="2354"/>
      <c r="K693" s="2355"/>
      <c r="L693" s="2356"/>
      <c r="V693" s="1306"/>
      <c r="W693" s="158"/>
      <c r="X693" s="158"/>
      <c r="Y693" s="1389"/>
      <c r="Z693" s="1389"/>
      <c r="AA693" s="1389"/>
      <c r="AB693" s="1389">
        <v>0.95</v>
      </c>
      <c r="AC693" s="300">
        <v>0.95</v>
      </c>
      <c r="AD693" s="300">
        <v>0.95</v>
      </c>
      <c r="AE693" s="300">
        <v>0.95</v>
      </c>
      <c r="AF693" s="258">
        <f t="shared" si="117"/>
        <v>0.95</v>
      </c>
      <c r="AG693" s="1437"/>
      <c r="AK693" s="344"/>
    </row>
    <row r="694" spans="2:114" ht="33.75" hidden="1" customHeight="1" outlineLevel="1" x14ac:dyDescent="0.25">
      <c r="B694" s="561"/>
      <c r="D694" s="1352" t="s">
        <v>49</v>
      </c>
      <c r="E694" s="1352" t="s">
        <v>1855</v>
      </c>
      <c r="F694" s="1306" t="s">
        <v>734</v>
      </c>
      <c r="G694" s="1538">
        <v>10</v>
      </c>
      <c r="H694" s="2235" t="s">
        <v>1846</v>
      </c>
      <c r="I694" s="2236"/>
      <c r="J694" s="2354"/>
      <c r="K694" s="2355"/>
      <c r="L694" s="2356"/>
      <c r="V694" s="1338" t="str">
        <f>D694</f>
        <v>EUL</v>
      </c>
      <c r="W694" s="347"/>
      <c r="X694" s="347"/>
      <c r="Y694" s="347"/>
      <c r="Z694" s="347"/>
      <c r="AA694" s="347"/>
      <c r="AB694" s="347">
        <v>11</v>
      </c>
      <c r="AC694" s="348">
        <v>11</v>
      </c>
      <c r="AD694" s="348">
        <v>11</v>
      </c>
      <c r="AE694" s="348">
        <v>11</v>
      </c>
      <c r="AF694" s="258">
        <f t="shared" si="117"/>
        <v>10</v>
      </c>
      <c r="AG694" s="1437"/>
      <c r="AK694" s="344"/>
    </row>
    <row r="695" spans="2:114" ht="15" hidden="1" customHeight="1" outlineLevel="1" x14ac:dyDescent="0.25">
      <c r="B695" s="561"/>
      <c r="D695" s="1984" t="s">
        <v>50</v>
      </c>
      <c r="E695" s="1984" t="s">
        <v>682</v>
      </c>
      <c r="F695" s="1306" t="s">
        <v>1845</v>
      </c>
      <c r="G695" s="1561">
        <v>11.33</v>
      </c>
      <c r="H695" s="2235" t="s">
        <v>1856</v>
      </c>
      <c r="I695" s="2236"/>
      <c r="J695" s="2354"/>
      <c r="K695" s="2355"/>
      <c r="L695" s="2356"/>
      <c r="V695" s="1306"/>
      <c r="W695" s="347"/>
      <c r="X695" s="347"/>
      <c r="Y695" s="347"/>
      <c r="Z695" s="347"/>
      <c r="AA695" s="347"/>
      <c r="AB695" s="720">
        <v>11.33</v>
      </c>
      <c r="AC695" s="719">
        <v>11.33</v>
      </c>
      <c r="AD695" s="719">
        <v>11.33</v>
      </c>
      <c r="AE695" s="719">
        <v>11.33</v>
      </c>
      <c r="AF695" s="258">
        <f t="shared" si="117"/>
        <v>11.33</v>
      </c>
      <c r="AG695" s="1437"/>
      <c r="AK695" s="344"/>
    </row>
    <row r="696" spans="2:114" ht="15" hidden="1" customHeight="1" outlineLevel="1" x14ac:dyDescent="0.25">
      <c r="B696" s="561"/>
      <c r="C696" s="1333"/>
      <c r="AK696" s="344"/>
    </row>
    <row r="697" spans="2:114" ht="15" customHeight="1" collapsed="1" x14ac:dyDescent="0.25">
      <c r="B697" s="561"/>
      <c r="AK697" s="344"/>
    </row>
    <row r="698" spans="2:114" x14ac:dyDescent="0.25">
      <c r="B698" s="2134" t="s">
        <v>1857</v>
      </c>
      <c r="C698" s="2135"/>
      <c r="D698" s="2135"/>
      <c r="E698" s="2135"/>
      <c r="F698" s="2135"/>
      <c r="G698" s="2135"/>
      <c r="H698" s="2135"/>
      <c r="I698" s="2082"/>
      <c r="J698" s="2082"/>
      <c r="K698" s="2082"/>
      <c r="L698" s="2082"/>
      <c r="M698" s="2082"/>
      <c r="N698" s="2082"/>
      <c r="O698" s="2082"/>
      <c r="P698" s="2082"/>
      <c r="Q698" s="2082"/>
      <c r="R698" s="2083"/>
      <c r="V698" s="2103" t="str">
        <f>B698</f>
        <v xml:space="preserve">Low Flow Showerheads </v>
      </c>
      <c r="W698" s="2104"/>
      <c r="X698" s="2104"/>
      <c r="Y698" s="2104"/>
      <c r="Z698" s="2104"/>
      <c r="AA698" s="2104"/>
      <c r="AB698" s="2104"/>
      <c r="AC698" s="2106"/>
      <c r="AD698" s="2106"/>
      <c r="AE698" s="2106"/>
      <c r="AF698" s="2106"/>
      <c r="AG698" s="2106"/>
      <c r="AH698" s="2106"/>
      <c r="AI698" s="2107"/>
      <c r="AK698" s="344"/>
    </row>
    <row r="699" spans="2:114" x14ac:dyDescent="0.25">
      <c r="B699" s="1451"/>
      <c r="C699" s="1452"/>
      <c r="D699" s="565"/>
      <c r="E699" s="565"/>
      <c r="F699" s="269"/>
      <c r="G699" s="269"/>
      <c r="H699" s="269"/>
      <c r="I699" s="269"/>
      <c r="J699" s="269"/>
      <c r="K699" s="269"/>
      <c r="L699" s="566"/>
      <c r="AK699" s="344"/>
    </row>
    <row r="700" spans="2:114" ht="49.5" customHeight="1" x14ac:dyDescent="0.25">
      <c r="B700" s="561"/>
      <c r="C700" s="1300" t="s">
        <v>42</v>
      </c>
      <c r="D700" s="1300" t="s">
        <v>594</v>
      </c>
      <c r="E700" s="1300" t="s">
        <v>44</v>
      </c>
      <c r="F700" s="1300" t="s">
        <v>1661</v>
      </c>
      <c r="G700" s="1300" t="s">
        <v>46</v>
      </c>
      <c r="H700" s="1300" t="s">
        <v>47</v>
      </c>
      <c r="I700" s="1300" t="s">
        <v>1801</v>
      </c>
      <c r="J700" s="1300" t="s">
        <v>48</v>
      </c>
      <c r="K700" s="1300" t="s">
        <v>49</v>
      </c>
      <c r="L700" s="1300" t="s">
        <v>50</v>
      </c>
      <c r="M700" s="1300" t="s">
        <v>51</v>
      </c>
      <c r="V700" s="648" t="s">
        <v>52</v>
      </c>
      <c r="W700" s="649">
        <f>W$6</f>
        <v>43252</v>
      </c>
      <c r="X700" s="649">
        <f t="shared" ref="X700:AG700" si="118">X$6</f>
        <v>43465</v>
      </c>
      <c r="Y700" s="110">
        <f t="shared" si="118"/>
        <v>43800</v>
      </c>
      <c r="Z700" s="649">
        <f t="shared" si="118"/>
        <v>43862</v>
      </c>
      <c r="AA700" s="649">
        <f t="shared" si="118"/>
        <v>44013</v>
      </c>
      <c r="AB700" s="649">
        <f t="shared" si="118"/>
        <v>44166</v>
      </c>
      <c r="AC700" s="649">
        <f t="shared" si="118"/>
        <v>44531</v>
      </c>
      <c r="AD700" s="649">
        <f t="shared" si="118"/>
        <v>44774</v>
      </c>
      <c r="AE700" s="649">
        <f t="shared" si="118"/>
        <v>45139</v>
      </c>
      <c r="AF700" s="649">
        <f t="shared" si="118"/>
        <v>45672</v>
      </c>
      <c r="AG700" s="649" t="str">
        <f t="shared" si="118"/>
        <v>-</v>
      </c>
      <c r="AK700" s="344"/>
      <c r="DG700" s="1018" t="str">
        <f>$DG$6</f>
        <v>TRC (2025)</v>
      </c>
      <c r="DH700" s="776" t="str">
        <f>$DH$6</f>
        <v>Benefit Lookup</v>
      </c>
      <c r="DI700" s="1034" t="str">
        <f>$DI$6</f>
        <v>Benefits (2025 $)</v>
      </c>
      <c r="DJ700" s="1060" t="str">
        <f>$DJ$6</f>
        <v>Incremental Cost (2025 $)</v>
      </c>
    </row>
    <row r="701" spans="2:114" x14ac:dyDescent="0.25">
      <c r="B701" s="1384">
        <f t="shared" ref="B701:B704" si="119">VALUE(LEFT(C701,6))</f>
        <v>403550</v>
      </c>
      <c r="C701" s="134" t="s">
        <v>1858</v>
      </c>
      <c r="D701" s="1331" t="s">
        <v>600</v>
      </c>
      <c r="E701" s="122" t="s">
        <v>1859</v>
      </c>
      <c r="F701" s="382">
        <f>ROUND($G$714*($G$715*$G$716-$G$717*$G$718)*$G$720*$G$721*$G$722/$G$724*$I$701*$G$733*$G$731,2)</f>
        <v>248.01</v>
      </c>
      <c r="G701" s="134" t="s">
        <v>1804</v>
      </c>
      <c r="H701" s="132">
        <f>VLOOKUP(G701,'CP FACTORS'!$A$3:$B$38, 2, FALSE)</f>
        <v>8.8731800000000003E-5</v>
      </c>
      <c r="I701" s="563">
        <f>$G$725*$G$726*($G$727-$G$728)/($G$729*$G$730)</f>
        <v>0.1160902696365768</v>
      </c>
      <c r="J701" s="1888">
        <f>ROUND(F701*H701,6)</f>
        <v>2.2006000000000001E-2</v>
      </c>
      <c r="K701" s="44">
        <f>$G$734</f>
        <v>10</v>
      </c>
      <c r="L701" s="710">
        <f>G735</f>
        <v>15.33</v>
      </c>
      <c r="M701" s="134" t="s">
        <v>62</v>
      </c>
      <c r="R701" s="87"/>
      <c r="V701" s="342" t="e">
        <f>#REF!</f>
        <v>#REF!</v>
      </c>
      <c r="W701" s="369">
        <v>219.7507887809823</v>
      </c>
      <c r="X701" s="256">
        <v>396.76737192257565</v>
      </c>
      <c r="Y701" s="163">
        <v>232.42</v>
      </c>
      <c r="Z701" s="20">
        <v>232.42</v>
      </c>
      <c r="AA701" s="20">
        <v>232.42</v>
      </c>
      <c r="AB701" s="20">
        <v>232.42</v>
      </c>
      <c r="AC701" s="351">
        <v>232.51</v>
      </c>
      <c r="AD701" s="351">
        <v>232.58</v>
      </c>
      <c r="AE701" s="382">
        <v>232.58</v>
      </c>
      <c r="AF701" s="258">
        <f>IF(F701&lt;&gt;"",F701,"")</f>
        <v>248.01</v>
      </c>
      <c r="AG701" s="342"/>
      <c r="AH701" s="115"/>
      <c r="AK701" s="344"/>
      <c r="DG701" s="1021">
        <f>(DI701)/(DJ701)</f>
        <v>7.9482090646346917</v>
      </c>
      <c r="DH701" s="653" t="str">
        <f>CONCATENATE(G701," ",K701," Year EUL")</f>
        <v>Water heating RES 10 Year EUL</v>
      </c>
      <c r="DI701" s="538">
        <f>(INDEX('Avoided Cost Benefits'!$B$4:$B$865,MATCH(DH701,'Avoided Cost Benefits'!$A$4:$A$865,0)))*F701</f>
        <v>121.84604496084982</v>
      </c>
      <c r="DJ701" s="1960">
        <f>IFERROR(L701/((1+DiscountRate)^(CurrentYear-DiscountYear)),0)</f>
        <v>15.33</v>
      </c>
    </row>
    <row r="702" spans="2:114" x14ac:dyDescent="0.25">
      <c r="B702" s="1384">
        <f t="shared" si="119"/>
        <v>403551</v>
      </c>
      <c r="C702" s="134" t="s">
        <v>1860</v>
      </c>
      <c r="D702" s="1331" t="s">
        <v>600</v>
      </c>
      <c r="E702" s="122" t="s">
        <v>1861</v>
      </c>
      <c r="F702" s="382">
        <f>ROUND($G$714*($G$715*$G$716-$G$717*$G$718)*$G$720*$G$721*$G$722/$G$724*$I$702*$G$733*$G$731,2)</f>
        <v>248.01</v>
      </c>
      <c r="G702" s="134" t="s">
        <v>1804</v>
      </c>
      <c r="H702" s="132">
        <f>VLOOKUP(G702,'CP FACTORS'!$A$3:$B$38, 2, FALSE)</f>
        <v>8.8731800000000003E-5</v>
      </c>
      <c r="I702" s="563">
        <f>$G$725*$G$726*($G$727-$G$728)/($G$729*$G$730)</f>
        <v>0.1160902696365768</v>
      </c>
      <c r="J702" s="1888">
        <f>ROUND(F702*H702,6)</f>
        <v>2.2006000000000001E-2</v>
      </c>
      <c r="K702" s="44">
        <f>$G$734</f>
        <v>10</v>
      </c>
      <c r="L702" s="710">
        <f>G737</f>
        <v>23.35</v>
      </c>
      <c r="M702" s="134" t="s">
        <v>62</v>
      </c>
      <c r="R702" s="87"/>
      <c r="V702" s="342" t="e">
        <f>V701</f>
        <v>#REF!</v>
      </c>
      <c r="W702" s="369"/>
      <c r="X702" s="256"/>
      <c r="Y702" s="163">
        <v>232.42</v>
      </c>
      <c r="Z702" s="20">
        <v>232.42</v>
      </c>
      <c r="AA702" s="20">
        <v>232.42</v>
      </c>
      <c r="AB702" s="20">
        <v>232.42</v>
      </c>
      <c r="AC702" s="351">
        <v>232.51</v>
      </c>
      <c r="AD702" s="351">
        <v>232.58</v>
      </c>
      <c r="AE702" s="382">
        <v>232.58</v>
      </c>
      <c r="AF702" s="258">
        <f>IF(F702&lt;&gt;"",F702,"")</f>
        <v>248.01</v>
      </c>
      <c r="AG702" s="342"/>
      <c r="AH702" s="115"/>
      <c r="AK702" s="344"/>
      <c r="DG702" s="1021">
        <f>(DI702)/(DJ702)</f>
        <v>5.2182460368672299</v>
      </c>
      <c r="DH702" s="653" t="str">
        <f>CONCATENATE(G702," ",K702," Year EUL")</f>
        <v>Water heating RES 10 Year EUL</v>
      </c>
      <c r="DI702" s="538">
        <f>(INDEX('Avoided Cost Benefits'!$B$4:$B$865,MATCH(DH702,'Avoided Cost Benefits'!$A$4:$A$865,0)))*F702</f>
        <v>121.84604496084982</v>
      </c>
      <c r="DJ702" s="1960">
        <f>IFERROR(L702/((1+DiscountRate)^(CurrentYear-DiscountYear)),0)</f>
        <v>23.35</v>
      </c>
    </row>
    <row r="703" spans="2:114" x14ac:dyDescent="0.25">
      <c r="B703" s="1384">
        <f t="shared" si="119"/>
        <v>403600</v>
      </c>
      <c r="C703" s="134" t="s">
        <v>1862</v>
      </c>
      <c r="D703" s="1331" t="s">
        <v>686</v>
      </c>
      <c r="E703" s="122" t="s">
        <v>1863</v>
      </c>
      <c r="F703" s="382">
        <f>ROUND($G$714*($G$715*$G$716-$G$717*$G$718)*$G$719*$G$721*$G$722/$G$723*$I$703*$G$732*$G$731,2)</f>
        <v>207.7</v>
      </c>
      <c r="G703" s="134" t="s">
        <v>1804</v>
      </c>
      <c r="H703" s="132">
        <f>VLOOKUP(G703,'CP FACTORS'!$A$3:$B$38, 2, FALSE)</f>
        <v>8.8731800000000003E-5</v>
      </c>
      <c r="I703" s="563">
        <f>$G$725*$G$726*($G$727-$G$728)/($G$729*$G$730)</f>
        <v>0.1160902696365768</v>
      </c>
      <c r="J703" s="1888">
        <f>ROUND(F703*H703,6)</f>
        <v>1.8429999999999998E-2</v>
      </c>
      <c r="K703" s="44">
        <f>$G$734</f>
        <v>10</v>
      </c>
      <c r="L703" s="710">
        <f>G735</f>
        <v>15.33</v>
      </c>
      <c r="M703" s="134" t="s">
        <v>62</v>
      </c>
      <c r="R703" s="87"/>
      <c r="V703" s="342" t="e">
        <f>V702</f>
        <v>#REF!</v>
      </c>
      <c r="W703" s="369">
        <v>193.57333532775112</v>
      </c>
      <c r="X703" s="256">
        <v>277.23460772356242</v>
      </c>
      <c r="Y703" s="163">
        <v>199.61</v>
      </c>
      <c r="Z703" s="20">
        <v>199.61</v>
      </c>
      <c r="AA703" s="20">
        <v>199.61</v>
      </c>
      <c r="AB703" s="20">
        <v>199.61</v>
      </c>
      <c r="AC703" s="351">
        <v>194.72</v>
      </c>
      <c r="AD703" s="351">
        <v>194.77</v>
      </c>
      <c r="AE703" s="382">
        <v>194.77</v>
      </c>
      <c r="AF703" s="258">
        <f>IF(F703&lt;&gt;"",F703,"")</f>
        <v>207.7</v>
      </c>
      <c r="AG703" s="342"/>
      <c r="AH703" s="115"/>
      <c r="AK703" s="344"/>
      <c r="DG703" s="1021">
        <f>(DI703)/(DJ703)</f>
        <v>6.6563566901521121</v>
      </c>
      <c r="DH703" s="653" t="str">
        <f>CONCATENATE(G703," ",K703," Year EUL")</f>
        <v>Water heating RES 10 Year EUL</v>
      </c>
      <c r="DI703" s="538">
        <f>(INDEX('Avoided Cost Benefits'!$B$4:$B$865,MATCH(DH703,'Avoided Cost Benefits'!$A$4:$A$865,0)))*F703</f>
        <v>102.04194806003188</v>
      </c>
      <c r="DJ703" s="1960">
        <f>IFERROR(L703/((1+DiscountRate)^(CurrentYear-DiscountYear)),0)</f>
        <v>15.33</v>
      </c>
    </row>
    <row r="704" spans="2:114" x14ac:dyDescent="0.25">
      <c r="B704" s="1384">
        <f t="shared" si="119"/>
        <v>403601</v>
      </c>
      <c r="C704" s="134" t="s">
        <v>1864</v>
      </c>
      <c r="D704" s="1331" t="s">
        <v>825</v>
      </c>
      <c r="E704" s="122" t="s">
        <v>1865</v>
      </c>
      <c r="F704" s="382">
        <f>ROUND($G$714*($G$715*$G$716-$G$717*$G$718)*$G$719*$G$721*$G$722/$G$723*$I$704*$G$732*$G$731,2)</f>
        <v>207.7</v>
      </c>
      <c r="G704" s="134" t="s">
        <v>1804</v>
      </c>
      <c r="H704" s="132">
        <f>VLOOKUP(G704,'CP FACTORS'!$A$3:$B$38, 2, FALSE)</f>
        <v>8.8731800000000003E-5</v>
      </c>
      <c r="I704" s="563">
        <f>$G$725*$G$726*($G$727-$G$728)/($G$729*$G$730)</f>
        <v>0.1160902696365768</v>
      </c>
      <c r="J704" s="1888">
        <f>ROUND(F704*H704,6)</f>
        <v>1.8429999999999998E-2</v>
      </c>
      <c r="K704" s="44">
        <f>$G$734</f>
        <v>10</v>
      </c>
      <c r="L704" s="710">
        <f>G736</f>
        <v>23.35</v>
      </c>
      <c r="M704" s="134" t="s">
        <v>62</v>
      </c>
      <c r="R704" s="87"/>
      <c r="V704" s="342" t="e">
        <f>V703</f>
        <v>#REF!</v>
      </c>
      <c r="W704" s="369"/>
      <c r="X704" s="256"/>
      <c r="Y704" s="163">
        <v>199.61</v>
      </c>
      <c r="Z704" s="20">
        <v>199.61</v>
      </c>
      <c r="AA704" s="20">
        <v>199.61</v>
      </c>
      <c r="AB704" s="20">
        <v>199.61</v>
      </c>
      <c r="AC704" s="351">
        <v>194.72</v>
      </c>
      <c r="AD704" s="351">
        <v>194.77</v>
      </c>
      <c r="AE704" s="382">
        <v>194.77</v>
      </c>
      <c r="AF704" s="258">
        <f>IF(F704&lt;&gt;"",F704,"")</f>
        <v>207.7</v>
      </c>
      <c r="AG704" s="342"/>
      <c r="AH704" s="115"/>
      <c r="AK704" s="344"/>
      <c r="DG704" s="1022">
        <f>(DI704)/(DJ704)</f>
        <v>4.3701048419713864</v>
      </c>
      <c r="DH704" s="653" t="str">
        <f>CONCATENATE(G704," ",K704," Year EUL")</f>
        <v>Water heating RES 10 Year EUL</v>
      </c>
      <c r="DI704" s="1030">
        <f>(INDEX('Avoided Cost Benefits'!$B$4:$B$865,MATCH(DH704,'Avoided Cost Benefits'!$A$4:$A$865,0)))*F704</f>
        <v>102.04194806003188</v>
      </c>
      <c r="DJ704" s="1961">
        <f>IFERROR(L704/((1+DiscountRate)^(CurrentYear-DiscountYear)),0)</f>
        <v>23.35</v>
      </c>
    </row>
    <row r="705" spans="2:37" hidden="1" outlineLevel="1" x14ac:dyDescent="0.25">
      <c r="B705" s="561"/>
      <c r="D705" s="71" t="s">
        <v>94</v>
      </c>
      <c r="E705" s="270" t="s">
        <v>1866</v>
      </c>
      <c r="F705" s="605"/>
      <c r="G705" s="268"/>
      <c r="H705" s="604"/>
      <c r="I705" s="373"/>
      <c r="J705" s="373"/>
      <c r="K705" s="373"/>
      <c r="V705" s="73"/>
      <c r="W705" s="73"/>
      <c r="X705" s="73"/>
      <c r="Y705" s="370"/>
      <c r="Z705" s="73"/>
      <c r="AA705" s="73"/>
      <c r="AB705" s="73"/>
      <c r="AC705" s="73"/>
      <c r="AD705" s="73"/>
      <c r="AE705" s="73"/>
      <c r="AF705" s="73"/>
      <c r="AG705" s="73"/>
      <c r="AK705" s="344"/>
    </row>
    <row r="706" spans="2:37" hidden="1" outlineLevel="1" x14ac:dyDescent="0.25">
      <c r="B706" s="561"/>
      <c r="D706" s="74" t="s">
        <v>604</v>
      </c>
      <c r="E706" s="50" t="s">
        <v>1867</v>
      </c>
      <c r="F706" s="605"/>
      <c r="G706" s="268"/>
      <c r="H706" s="604"/>
      <c r="I706" s="373"/>
      <c r="J706" s="373"/>
      <c r="K706" s="373"/>
      <c r="V706" s="73"/>
      <c r="W706" s="73"/>
      <c r="X706" s="73"/>
      <c r="Y706" s="370"/>
      <c r="Z706" s="73"/>
      <c r="AA706" s="73"/>
      <c r="AB706" s="73"/>
      <c r="AC706" s="73"/>
      <c r="AD706" s="73"/>
      <c r="AE706" s="73"/>
      <c r="AF706" s="73"/>
      <c r="AG706" s="73"/>
      <c r="AK706" s="344"/>
    </row>
    <row r="707" spans="2:37" hidden="1" outlineLevel="1" x14ac:dyDescent="0.25">
      <c r="B707" s="561"/>
      <c r="D707" s="270"/>
      <c r="E707" s="50" t="s">
        <v>1868</v>
      </c>
      <c r="V707" s="73"/>
      <c r="W707" s="73"/>
      <c r="X707" s="73"/>
      <c r="Y707" s="370"/>
      <c r="Z707" s="73"/>
      <c r="AA707" s="73"/>
      <c r="AB707" s="73"/>
      <c r="AC707" s="73"/>
      <c r="AD707" s="73"/>
      <c r="AE707" s="73"/>
      <c r="AF707" s="73"/>
      <c r="AG707" s="73"/>
      <c r="AK707" s="344"/>
    </row>
    <row r="708" spans="2:37" hidden="1" outlineLevel="1" x14ac:dyDescent="0.25">
      <c r="B708" s="561"/>
      <c r="E708" s="50" t="s">
        <v>607</v>
      </c>
      <c r="V708" s="73"/>
      <c r="W708" s="73"/>
      <c r="X708" s="73"/>
      <c r="Y708" s="370"/>
      <c r="Z708" s="73"/>
      <c r="AA708" s="73"/>
      <c r="AB708" s="73"/>
      <c r="AC708" s="73"/>
      <c r="AD708" s="73"/>
      <c r="AE708" s="73"/>
      <c r="AF708" s="73"/>
      <c r="AG708" s="73"/>
      <c r="AK708" s="344"/>
    </row>
    <row r="709" spans="2:37" hidden="1" outlineLevel="1" x14ac:dyDescent="0.25">
      <c r="B709" s="561"/>
      <c r="E709" s="50" t="s">
        <v>1869</v>
      </c>
      <c r="V709" s="73"/>
      <c r="W709" s="73"/>
      <c r="X709" s="73"/>
      <c r="Y709" s="370"/>
      <c r="Z709" s="73"/>
      <c r="AA709" s="73"/>
      <c r="AB709" s="73"/>
      <c r="AC709" s="73"/>
      <c r="AD709" s="73"/>
      <c r="AE709" s="73"/>
      <c r="AF709" s="73"/>
      <c r="AG709" s="73"/>
      <c r="AK709" s="344"/>
    </row>
    <row r="710" spans="2:37" hidden="1" outlineLevel="1" x14ac:dyDescent="0.25">
      <c r="B710" s="561"/>
      <c r="V710" s="73"/>
      <c r="W710" s="73"/>
      <c r="X710" s="73"/>
      <c r="Y710" s="370"/>
      <c r="Z710" s="73"/>
      <c r="AA710" s="73"/>
      <c r="AB710" s="73"/>
      <c r="AC710" s="73"/>
      <c r="AD710" s="73"/>
      <c r="AE710" s="73"/>
      <c r="AF710" s="73"/>
      <c r="AG710" s="73"/>
      <c r="AK710" s="344"/>
    </row>
    <row r="711" spans="2:37" ht="15" hidden="1" customHeight="1" outlineLevel="1" x14ac:dyDescent="0.25">
      <c r="B711" s="561"/>
      <c r="D711" s="1380"/>
      <c r="V711" s="73"/>
      <c r="W711" s="73"/>
      <c r="X711" s="73"/>
      <c r="Y711" s="370"/>
      <c r="Z711" s="73"/>
      <c r="AA711" s="73"/>
      <c r="AB711" s="73"/>
      <c r="AC711" s="73"/>
      <c r="AD711" s="73"/>
      <c r="AE711" s="73"/>
      <c r="AF711" s="73"/>
      <c r="AG711" s="73"/>
      <c r="AK711" s="344"/>
    </row>
    <row r="712" spans="2:37" ht="15" hidden="1" customHeight="1" outlineLevel="1" x14ac:dyDescent="0.25">
      <c r="V712" s="73"/>
      <c r="W712" s="73"/>
      <c r="X712" s="73"/>
      <c r="Y712" s="370"/>
      <c r="Z712" s="73"/>
      <c r="AA712" s="73"/>
      <c r="AB712" s="73"/>
      <c r="AC712" s="73"/>
      <c r="AD712" s="73"/>
      <c r="AE712" s="73"/>
      <c r="AF712" s="73"/>
      <c r="AG712" s="73"/>
      <c r="AK712" s="344"/>
    </row>
    <row r="713" spans="2:37" ht="15" hidden="1" customHeight="1" outlineLevel="1" x14ac:dyDescent="0.25">
      <c r="D713" s="1373" t="s">
        <v>712</v>
      </c>
      <c r="E713" s="1373" t="s">
        <v>608</v>
      </c>
      <c r="F713" s="1300" t="s">
        <v>1811</v>
      </c>
      <c r="G713" s="1300" t="s">
        <v>610</v>
      </c>
      <c r="H713" s="2108" t="s">
        <v>611</v>
      </c>
      <c r="I713" s="2108"/>
      <c r="J713" s="2108" t="s">
        <v>612</v>
      </c>
      <c r="K713" s="2108"/>
      <c r="L713" s="2108"/>
      <c r="V713" s="648" t="s">
        <v>52</v>
      </c>
      <c r="W713" s="649">
        <f>W$6</f>
        <v>43252</v>
      </c>
      <c r="X713" s="649">
        <f t="shared" ref="X713:AG713" si="120">X$6</f>
        <v>43465</v>
      </c>
      <c r="Y713" s="110">
        <f t="shared" si="120"/>
        <v>43800</v>
      </c>
      <c r="Z713" s="649">
        <f t="shared" si="120"/>
        <v>43862</v>
      </c>
      <c r="AA713" s="649">
        <f t="shared" si="120"/>
        <v>44013</v>
      </c>
      <c r="AB713" s="649">
        <f t="shared" si="120"/>
        <v>44166</v>
      </c>
      <c r="AC713" s="649">
        <f t="shared" si="120"/>
        <v>44531</v>
      </c>
      <c r="AD713" s="649">
        <f t="shared" si="120"/>
        <v>44774</v>
      </c>
      <c r="AE713" s="649">
        <f t="shared" si="120"/>
        <v>45139</v>
      </c>
      <c r="AF713" s="649">
        <f t="shared" si="120"/>
        <v>45672</v>
      </c>
      <c r="AG713" s="649" t="str">
        <f t="shared" si="120"/>
        <v>-</v>
      </c>
      <c r="AK713" s="344"/>
    </row>
    <row r="714" spans="2:37" ht="30" hidden="1" customHeight="1" outlineLevel="1" x14ac:dyDescent="0.25">
      <c r="D714" s="1306" t="s">
        <v>1812</v>
      </c>
      <c r="E714" s="1306" t="s">
        <v>1813</v>
      </c>
      <c r="F714" s="1306"/>
      <c r="G714" s="1550">
        <v>1</v>
      </c>
      <c r="H714" s="2297" t="s">
        <v>839</v>
      </c>
      <c r="I714" s="2297"/>
      <c r="J714" s="2365" t="s">
        <v>1712</v>
      </c>
      <c r="K714" s="2366"/>
      <c r="L714" s="2367"/>
      <c r="S714" s="352"/>
      <c r="V714" s="1356" t="s">
        <v>1812</v>
      </c>
      <c r="W714" s="314">
        <v>1</v>
      </c>
      <c r="X714" s="314">
        <v>1</v>
      </c>
      <c r="Y714" s="314">
        <v>1</v>
      </c>
      <c r="Z714" s="353">
        <v>1</v>
      </c>
      <c r="AA714" s="353">
        <v>1</v>
      </c>
      <c r="AB714" s="353">
        <v>1</v>
      </c>
      <c r="AC714" s="353">
        <v>1</v>
      </c>
      <c r="AD714" s="353">
        <v>1</v>
      </c>
      <c r="AE714" s="353">
        <v>1</v>
      </c>
      <c r="AF714" s="258">
        <f t="shared" ref="AF714:AF737" si="121">IF(G714&lt;&gt;"",G714,"")</f>
        <v>1</v>
      </c>
      <c r="AG714" s="353"/>
      <c r="AK714" s="344"/>
    </row>
    <row r="715" spans="2:37" ht="51.75" hidden="1" customHeight="1" outlineLevel="1" x14ac:dyDescent="0.25">
      <c r="D715" s="1306" t="s">
        <v>1814</v>
      </c>
      <c r="E715" s="1306" t="s">
        <v>1870</v>
      </c>
      <c r="F715" s="1306"/>
      <c r="G715" s="1630">
        <v>2.2000000000000002</v>
      </c>
      <c r="H715" s="2138" t="s">
        <v>1871</v>
      </c>
      <c r="I715" s="2138"/>
      <c r="J715" s="2091" t="s">
        <v>1872</v>
      </c>
      <c r="K715" s="2091"/>
      <c r="L715" s="2091"/>
      <c r="S715" s="1333"/>
      <c r="V715" s="1356" t="str">
        <f>D715</f>
        <v>GPM_base</v>
      </c>
      <c r="W715" s="346">
        <v>2.67</v>
      </c>
      <c r="X715" s="101" t="e">
        <f>'Energy Effic. Kits Deemed Table'!#REF!</f>
        <v>#REF!</v>
      </c>
      <c r="Y715" s="355">
        <v>2.2000000000000002</v>
      </c>
      <c r="Z715" s="354">
        <v>2.2000000000000002</v>
      </c>
      <c r="AA715" s="354">
        <v>2.2000000000000002</v>
      </c>
      <c r="AB715" s="354">
        <v>2.2000000000000002</v>
      </c>
      <c r="AC715" s="354">
        <v>2.2000000000000002</v>
      </c>
      <c r="AD715" s="354">
        <v>2.2000000000000002</v>
      </c>
      <c r="AE715" s="354">
        <v>2.2000000000000002</v>
      </c>
      <c r="AF715" s="258">
        <f t="shared" si="121"/>
        <v>2.2000000000000002</v>
      </c>
      <c r="AG715" s="1375"/>
      <c r="AK715" s="344"/>
    </row>
    <row r="716" spans="2:37" ht="75" hidden="1" customHeight="1" outlineLevel="1" x14ac:dyDescent="0.25">
      <c r="D716" s="1306" t="s">
        <v>1817</v>
      </c>
      <c r="E716" s="1337" t="s">
        <v>1873</v>
      </c>
      <c r="F716" s="1306"/>
      <c r="G716" s="1630">
        <v>8.66</v>
      </c>
      <c r="H716" s="2237" t="s">
        <v>1874</v>
      </c>
      <c r="I716" s="2237"/>
      <c r="J716" s="2091" t="s">
        <v>1872</v>
      </c>
      <c r="K716" s="2091"/>
      <c r="L716" s="2091"/>
      <c r="S716" s="356"/>
      <c r="V716" s="1356" t="str">
        <f>D716</f>
        <v>L_base</v>
      </c>
      <c r="W716" s="315">
        <v>8.66</v>
      </c>
      <c r="X716" s="315">
        <v>8.66</v>
      </c>
      <c r="Y716" s="315">
        <v>8.66</v>
      </c>
      <c r="Z716" s="348">
        <v>8.66</v>
      </c>
      <c r="AA716" s="348">
        <v>8.66</v>
      </c>
      <c r="AB716" s="348">
        <v>8.66</v>
      </c>
      <c r="AC716" s="348">
        <v>8.66</v>
      </c>
      <c r="AD716" s="348">
        <v>8.66</v>
      </c>
      <c r="AE716" s="348">
        <v>8.66</v>
      </c>
      <c r="AF716" s="258">
        <f t="shared" si="121"/>
        <v>8.66</v>
      </c>
      <c r="AG716" s="348"/>
      <c r="AK716" s="344"/>
    </row>
    <row r="717" spans="2:37" ht="45" hidden="1" customHeight="1" outlineLevel="1" x14ac:dyDescent="0.25">
      <c r="D717" s="1306" t="s">
        <v>1820</v>
      </c>
      <c r="E717" s="1306" t="s">
        <v>1875</v>
      </c>
      <c r="F717" s="1306"/>
      <c r="G717" s="1503">
        <v>1.5</v>
      </c>
      <c r="H717" s="2138" t="s">
        <v>1871</v>
      </c>
      <c r="I717" s="2138"/>
      <c r="J717" s="2091" t="s">
        <v>1872</v>
      </c>
      <c r="K717" s="2091"/>
      <c r="L717" s="2091"/>
      <c r="S717" s="1333"/>
      <c r="V717" s="1356" t="str">
        <f>D717</f>
        <v>GPM_low</v>
      </c>
      <c r="W717" s="346">
        <v>2</v>
      </c>
      <c r="X717" s="101" t="e">
        <f>X715-1</f>
        <v>#REF!</v>
      </c>
      <c r="Y717" s="101">
        <v>1.5</v>
      </c>
      <c r="Z717" s="1375">
        <v>1.5</v>
      </c>
      <c r="AA717" s="1375">
        <v>1.5</v>
      </c>
      <c r="AB717" s="1375">
        <v>1.5</v>
      </c>
      <c r="AC717" s="1375">
        <v>1.5</v>
      </c>
      <c r="AD717" s="1375">
        <v>1.5</v>
      </c>
      <c r="AE717" s="1375">
        <v>1.5</v>
      </c>
      <c r="AF717" s="258">
        <f t="shared" si="121"/>
        <v>1.5</v>
      </c>
      <c r="AG717" s="1375"/>
      <c r="AK717" s="344"/>
    </row>
    <row r="718" spans="2:37" ht="45.4" hidden="1" customHeight="1" outlineLevel="1" x14ac:dyDescent="0.25">
      <c r="D718" s="1306" t="s">
        <v>1823</v>
      </c>
      <c r="E718" s="1337" t="s">
        <v>1873</v>
      </c>
      <c r="F718" s="1306"/>
      <c r="G718" s="1508">
        <v>8.66</v>
      </c>
      <c r="H718" s="2237" t="s">
        <v>1876</v>
      </c>
      <c r="I718" s="2237"/>
      <c r="J718" s="2091" t="s">
        <v>1872</v>
      </c>
      <c r="K718" s="2091"/>
      <c r="L718" s="2091"/>
      <c r="S718" s="356"/>
      <c r="V718" s="1356" t="str">
        <f>D718</f>
        <v>L_low</v>
      </c>
      <c r="W718" s="315">
        <v>8.66</v>
      </c>
      <c r="X718" s="315">
        <v>8.66</v>
      </c>
      <c r="Y718" s="315">
        <v>8.66</v>
      </c>
      <c r="Z718" s="348">
        <v>8.66</v>
      </c>
      <c r="AA718" s="348">
        <v>8.66</v>
      </c>
      <c r="AB718" s="348">
        <v>8.66</v>
      </c>
      <c r="AC718" s="348">
        <v>8.66</v>
      </c>
      <c r="AD718" s="348">
        <v>8.66</v>
      </c>
      <c r="AE718" s="348">
        <v>8.66</v>
      </c>
      <c r="AF718" s="258">
        <f t="shared" si="121"/>
        <v>8.66</v>
      </c>
      <c r="AG718" s="348"/>
      <c r="AK718" s="344"/>
    </row>
    <row r="719" spans="2:37" ht="43.5" hidden="1" customHeight="1" outlineLevel="1" x14ac:dyDescent="0.25">
      <c r="D719" s="2221" t="s">
        <v>624</v>
      </c>
      <c r="E719" s="2226" t="s">
        <v>1877</v>
      </c>
      <c r="F719" s="1306" t="s">
        <v>749</v>
      </c>
      <c r="G719" s="1507">
        <v>2.67</v>
      </c>
      <c r="H719" s="2237" t="s">
        <v>1878</v>
      </c>
      <c r="I719" s="2237"/>
      <c r="J719" s="2368"/>
      <c r="K719" s="2368"/>
      <c r="L719" s="2368"/>
      <c r="S719" s="356"/>
      <c r="V719" s="2369" t="str">
        <f>D719</f>
        <v>Household</v>
      </c>
      <c r="W719" s="315">
        <v>2.67</v>
      </c>
      <c r="X719" s="315">
        <v>2.67</v>
      </c>
      <c r="Y719" s="315">
        <v>2.67</v>
      </c>
      <c r="Z719" s="348">
        <v>2.67</v>
      </c>
      <c r="AA719" s="348">
        <v>2.67</v>
      </c>
      <c r="AB719" s="348">
        <v>2.67</v>
      </c>
      <c r="AC719" s="348">
        <v>2.67</v>
      </c>
      <c r="AD719" s="348">
        <v>2.67</v>
      </c>
      <c r="AE719" s="348">
        <v>2.67</v>
      </c>
      <c r="AF719" s="258">
        <f t="shared" si="121"/>
        <v>2.67</v>
      </c>
      <c r="AG719" s="348"/>
      <c r="AK719" s="344"/>
    </row>
    <row r="720" spans="2:37" ht="30" hidden="1" customHeight="1" outlineLevel="1" x14ac:dyDescent="0.25">
      <c r="D720" s="2225"/>
      <c r="E720" s="2227"/>
      <c r="F720" s="1306" t="s">
        <v>751</v>
      </c>
      <c r="G720" s="1507">
        <v>1.5165094339622642</v>
      </c>
      <c r="H720" s="2235" t="s">
        <v>1879</v>
      </c>
      <c r="I720" s="2236"/>
      <c r="J720" s="2368"/>
      <c r="K720" s="2368"/>
      <c r="L720" s="2368"/>
      <c r="S720" s="356"/>
      <c r="V720" s="2370"/>
      <c r="W720" s="315">
        <v>2.0699999999999998</v>
      </c>
      <c r="X720" s="347">
        <v>1.8640000000000001</v>
      </c>
      <c r="Y720" s="349">
        <v>1.5165094339622642</v>
      </c>
      <c r="Z720" s="375">
        <v>1.5165094339622642</v>
      </c>
      <c r="AA720" s="375">
        <v>1.5165094339622642</v>
      </c>
      <c r="AB720" s="375">
        <v>1.5165094339622642</v>
      </c>
      <c r="AC720" s="348">
        <v>1.5165094339622642</v>
      </c>
      <c r="AD720" s="348">
        <v>1.5165094339622642</v>
      </c>
      <c r="AE720" s="348">
        <v>1.5165094339622642</v>
      </c>
      <c r="AF720" s="258">
        <f t="shared" si="121"/>
        <v>1.5165094339622642</v>
      </c>
      <c r="AG720" s="348"/>
      <c r="AK720" s="344"/>
    </row>
    <row r="721" spans="2:37" ht="44.65" hidden="1" customHeight="1" outlineLevel="1" x14ac:dyDescent="0.25">
      <c r="D721" s="1306" t="s">
        <v>1880</v>
      </c>
      <c r="E721" s="1337" t="s">
        <v>1881</v>
      </c>
      <c r="F721" s="1306"/>
      <c r="G721" s="1508">
        <v>0.66</v>
      </c>
      <c r="H721" s="2237" t="s">
        <v>1874</v>
      </c>
      <c r="I721" s="2237"/>
      <c r="J721" s="2368"/>
      <c r="K721" s="2368"/>
      <c r="L721" s="2368"/>
      <c r="S721" s="356"/>
      <c r="V721" s="1356" t="str">
        <f>D721</f>
        <v>SPDC</v>
      </c>
      <c r="W721" s="315">
        <v>0.66</v>
      </c>
      <c r="X721" s="315">
        <v>0.66</v>
      </c>
      <c r="Y721" s="315">
        <v>0.66</v>
      </c>
      <c r="Z721" s="348">
        <v>0.66</v>
      </c>
      <c r="AA721" s="348">
        <v>0.66</v>
      </c>
      <c r="AB721" s="348">
        <v>0.66</v>
      </c>
      <c r="AC721" s="348">
        <v>0.66</v>
      </c>
      <c r="AD721" s="348">
        <v>0.66</v>
      </c>
      <c r="AE721" s="348">
        <v>0.66</v>
      </c>
      <c r="AF721" s="258">
        <f t="shared" si="121"/>
        <v>0.66</v>
      </c>
      <c r="AG721" s="348"/>
      <c r="AK721" s="344"/>
    </row>
    <row r="722" spans="2:37" ht="15" hidden="1" customHeight="1" outlineLevel="1" x14ac:dyDescent="0.25">
      <c r="D722" s="1306">
        <v>365.25</v>
      </c>
      <c r="E722" s="1337" t="s">
        <v>1882</v>
      </c>
      <c r="F722" s="1306"/>
      <c r="G722" s="1508">
        <v>365.25</v>
      </c>
      <c r="H722" s="2138" t="s">
        <v>1829</v>
      </c>
      <c r="I722" s="2138"/>
      <c r="J722" s="2368"/>
      <c r="K722" s="2368"/>
      <c r="L722" s="2368"/>
      <c r="S722" s="356"/>
      <c r="V722" s="1356">
        <f>D722</f>
        <v>365.25</v>
      </c>
      <c r="W722" s="315">
        <v>365</v>
      </c>
      <c r="X722" s="315">
        <v>365</v>
      </c>
      <c r="Y722" s="315">
        <v>365</v>
      </c>
      <c r="Z722" s="348">
        <v>365</v>
      </c>
      <c r="AA722" s="348">
        <v>365</v>
      </c>
      <c r="AB722" s="348">
        <v>365</v>
      </c>
      <c r="AC722" s="347">
        <v>365.25</v>
      </c>
      <c r="AD722" s="348">
        <v>365.25</v>
      </c>
      <c r="AE722" s="348">
        <v>365.25</v>
      </c>
      <c r="AF722" s="258">
        <f t="shared" si="121"/>
        <v>365.25</v>
      </c>
      <c r="AG722" s="348"/>
      <c r="AK722" s="344"/>
    </row>
    <row r="723" spans="2:37" ht="43.5" hidden="1" customHeight="1" outlineLevel="1" x14ac:dyDescent="0.25">
      <c r="D723" s="2221" t="s">
        <v>1883</v>
      </c>
      <c r="E723" s="2226" t="s">
        <v>1884</v>
      </c>
      <c r="F723" s="1306" t="s">
        <v>749</v>
      </c>
      <c r="G723" s="1508">
        <v>2.0499999999999998</v>
      </c>
      <c r="H723" s="2237" t="s">
        <v>1878</v>
      </c>
      <c r="I723" s="2237"/>
      <c r="J723" s="2368"/>
      <c r="K723" s="2368"/>
      <c r="L723" s="2368"/>
      <c r="S723" s="356"/>
      <c r="V723" s="2369" t="str">
        <f>D723</f>
        <v>SPH</v>
      </c>
      <c r="W723" s="315">
        <v>2.0499999999999998</v>
      </c>
      <c r="X723" s="315">
        <v>2.0499999999999998</v>
      </c>
      <c r="Y723" s="315">
        <v>2.0499999999999998</v>
      </c>
      <c r="Z723" s="348">
        <v>2.0499999999999998</v>
      </c>
      <c r="AA723" s="348">
        <v>2.0499999999999998</v>
      </c>
      <c r="AB723" s="348">
        <v>2.0499999999999998</v>
      </c>
      <c r="AC723" s="348">
        <v>2.0499999999999998</v>
      </c>
      <c r="AD723" s="348">
        <v>2.0499999999999998</v>
      </c>
      <c r="AE723" s="348">
        <v>2.0499999999999998</v>
      </c>
      <c r="AF723" s="258">
        <f t="shared" si="121"/>
        <v>2.0499999999999998</v>
      </c>
      <c r="AG723" s="348"/>
      <c r="AK723" s="344"/>
    </row>
    <row r="724" spans="2:37" ht="28.9" hidden="1" customHeight="1" outlineLevel="1" x14ac:dyDescent="0.25">
      <c r="D724" s="2225"/>
      <c r="E724" s="2227"/>
      <c r="F724" s="1306" t="s">
        <v>751</v>
      </c>
      <c r="G724" s="1508">
        <v>1</v>
      </c>
      <c r="H724" s="2237" t="s">
        <v>1885</v>
      </c>
      <c r="I724" s="2237"/>
      <c r="J724" s="2368"/>
      <c r="K724" s="2368"/>
      <c r="L724" s="2368"/>
      <c r="S724" s="356"/>
      <c r="V724" s="2370"/>
      <c r="W724" s="315">
        <v>1.4</v>
      </c>
      <c r="X724" s="347">
        <v>1</v>
      </c>
      <c r="Y724" s="347">
        <v>1</v>
      </c>
      <c r="Z724" s="348">
        <v>1</v>
      </c>
      <c r="AA724" s="348">
        <v>1</v>
      </c>
      <c r="AB724" s="348">
        <v>1</v>
      </c>
      <c r="AC724" s="348">
        <v>1</v>
      </c>
      <c r="AD724" s="348">
        <v>1</v>
      </c>
      <c r="AE724" s="348">
        <v>1</v>
      </c>
      <c r="AF724" s="258">
        <f t="shared" si="121"/>
        <v>1</v>
      </c>
      <c r="AG724" s="348"/>
      <c r="AK724" s="344"/>
    </row>
    <row r="725" spans="2:37" ht="15" hidden="1" customHeight="1" outlineLevel="1" x14ac:dyDescent="0.25">
      <c r="D725" s="1306">
        <v>8.33</v>
      </c>
      <c r="E725" s="1337" t="s">
        <v>1833</v>
      </c>
      <c r="F725" s="1306"/>
      <c r="G725" s="1627">
        <v>8.33</v>
      </c>
      <c r="H725" s="2297" t="s">
        <v>1834</v>
      </c>
      <c r="I725" s="2297"/>
      <c r="J725" s="2368"/>
      <c r="K725" s="2368"/>
      <c r="L725" s="2368"/>
      <c r="S725" s="356"/>
      <c r="V725" s="1356">
        <f>D725</f>
        <v>8.33</v>
      </c>
      <c r="W725" s="315">
        <v>8.33</v>
      </c>
      <c r="X725" s="315">
        <v>8.33</v>
      </c>
      <c r="Y725" s="315">
        <v>8.33</v>
      </c>
      <c r="Z725" s="348">
        <v>8.33</v>
      </c>
      <c r="AA725" s="348">
        <v>8.33</v>
      </c>
      <c r="AB725" s="348">
        <v>8.33</v>
      </c>
      <c r="AC725" s="348">
        <v>8.33</v>
      </c>
      <c r="AD725" s="348">
        <v>8.33</v>
      </c>
      <c r="AE725" s="348">
        <v>8.33</v>
      </c>
      <c r="AF725" s="258">
        <f t="shared" si="121"/>
        <v>8.33</v>
      </c>
      <c r="AG725" s="348"/>
      <c r="AK725" s="344"/>
    </row>
    <row r="726" spans="2:37" ht="15" hidden="1" customHeight="1" outlineLevel="1" x14ac:dyDescent="0.25">
      <c r="D726" s="1306">
        <v>1</v>
      </c>
      <c r="E726" s="1337" t="s">
        <v>1886</v>
      </c>
      <c r="F726" s="1306"/>
      <c r="G726" s="1627">
        <v>1</v>
      </c>
      <c r="H726" s="2138" t="s">
        <v>1836</v>
      </c>
      <c r="I726" s="2138"/>
      <c r="J726" s="2368"/>
      <c r="K726" s="2368"/>
      <c r="L726" s="2368"/>
      <c r="S726" s="356"/>
      <c r="V726" s="1356">
        <f t="shared" ref="V726:V731" si="122">D726</f>
        <v>1</v>
      </c>
      <c r="W726" s="315">
        <v>1</v>
      </c>
      <c r="X726" s="315">
        <v>1</v>
      </c>
      <c r="Y726" s="315">
        <v>1</v>
      </c>
      <c r="Z726" s="348">
        <v>1</v>
      </c>
      <c r="AA726" s="348">
        <v>1</v>
      </c>
      <c r="AB726" s="348">
        <v>1</v>
      </c>
      <c r="AC726" s="348">
        <v>1</v>
      </c>
      <c r="AD726" s="348">
        <v>1</v>
      </c>
      <c r="AE726" s="348">
        <v>1</v>
      </c>
      <c r="AF726" s="258">
        <f t="shared" si="121"/>
        <v>1</v>
      </c>
      <c r="AG726" s="348"/>
      <c r="AK726" s="344"/>
    </row>
    <row r="727" spans="2:37" ht="31.15" hidden="1" customHeight="1" outlineLevel="1" x14ac:dyDescent="0.25">
      <c r="D727" s="1306" t="s">
        <v>1887</v>
      </c>
      <c r="E727" s="1337" t="s">
        <v>1888</v>
      </c>
      <c r="F727" s="1306"/>
      <c r="G727" s="1627">
        <v>105</v>
      </c>
      <c r="H727" s="2138" t="s">
        <v>1889</v>
      </c>
      <c r="I727" s="2138"/>
      <c r="J727" s="2368"/>
      <c r="K727" s="2368"/>
      <c r="L727" s="2368"/>
      <c r="S727" s="356"/>
      <c r="V727" s="1356" t="str">
        <f t="shared" si="122"/>
        <v>ShowerTemp</v>
      </c>
      <c r="W727" s="315">
        <v>105</v>
      </c>
      <c r="X727" s="315">
        <v>105</v>
      </c>
      <c r="Y727" s="315">
        <v>105</v>
      </c>
      <c r="Z727" s="348">
        <v>105</v>
      </c>
      <c r="AA727" s="348">
        <v>105</v>
      </c>
      <c r="AB727" s="348">
        <v>105</v>
      </c>
      <c r="AC727" s="348">
        <v>105</v>
      </c>
      <c r="AD727" s="348">
        <v>105</v>
      </c>
      <c r="AE727" s="348">
        <v>105</v>
      </c>
      <c r="AF727" s="258">
        <f t="shared" si="121"/>
        <v>105</v>
      </c>
      <c r="AG727" s="348"/>
      <c r="AK727" s="344"/>
    </row>
    <row r="728" spans="2:37" ht="47.65" hidden="1" customHeight="1" outlineLevel="1" x14ac:dyDescent="0.25">
      <c r="B728" s="561"/>
      <c r="D728" s="1306" t="s">
        <v>1840</v>
      </c>
      <c r="E728" s="1337" t="s">
        <v>1841</v>
      </c>
      <c r="F728" s="1306"/>
      <c r="G728" s="1622">
        <v>58.4</v>
      </c>
      <c r="H728" s="2092" t="s">
        <v>638</v>
      </c>
      <c r="I728" s="2092"/>
      <c r="J728" s="2368"/>
      <c r="K728" s="2368"/>
      <c r="L728" s="2368"/>
      <c r="S728" s="356"/>
      <c r="V728" s="1356" t="str">
        <f t="shared" si="122"/>
        <v>SupplyTemp</v>
      </c>
      <c r="W728" s="315">
        <v>61.3</v>
      </c>
      <c r="X728" s="315">
        <v>61.3</v>
      </c>
      <c r="Y728" s="315">
        <v>61.3</v>
      </c>
      <c r="Z728" s="348">
        <v>61.3</v>
      </c>
      <c r="AA728" s="348">
        <v>61.3</v>
      </c>
      <c r="AB728" s="348">
        <v>61.3</v>
      </c>
      <c r="AC728" s="348">
        <v>61.3</v>
      </c>
      <c r="AD728" s="348">
        <v>61.3</v>
      </c>
      <c r="AE728" s="348">
        <v>61.3</v>
      </c>
      <c r="AF728" s="258">
        <f t="shared" si="121"/>
        <v>58.4</v>
      </c>
      <c r="AG728" s="348"/>
      <c r="AK728" s="344"/>
    </row>
    <row r="729" spans="2:37" ht="31.9" hidden="1" customHeight="1" outlineLevel="1" x14ac:dyDescent="0.25">
      <c r="B729" s="561"/>
      <c r="D729" s="1306" t="s">
        <v>1842</v>
      </c>
      <c r="E729" s="1337" t="s">
        <v>1843</v>
      </c>
      <c r="F729" s="1306"/>
      <c r="G729" s="1627">
        <v>0.98</v>
      </c>
      <c r="H729" s="2237" t="s">
        <v>1844</v>
      </c>
      <c r="I729" s="2237"/>
      <c r="J729" s="2368"/>
      <c r="K729" s="2368"/>
      <c r="L729" s="2368"/>
      <c r="S729" s="356"/>
      <c r="V729" s="1356" t="str">
        <f t="shared" si="122"/>
        <v>RE_electric</v>
      </c>
      <c r="W729" s="315">
        <v>0.98</v>
      </c>
      <c r="X729" s="315">
        <v>0.98</v>
      </c>
      <c r="Y729" s="315">
        <v>0.98</v>
      </c>
      <c r="Z729" s="348">
        <v>0.98</v>
      </c>
      <c r="AA729" s="348">
        <v>0.98</v>
      </c>
      <c r="AB729" s="348">
        <v>0.98</v>
      </c>
      <c r="AC729" s="348">
        <v>0.98</v>
      </c>
      <c r="AD729" s="348">
        <v>0.98</v>
      </c>
      <c r="AE729" s="348">
        <v>0.98</v>
      </c>
      <c r="AF729" s="258">
        <f t="shared" si="121"/>
        <v>0.98</v>
      </c>
      <c r="AG729" s="348"/>
      <c r="AK729" s="344"/>
    </row>
    <row r="730" spans="2:37" ht="15" hidden="1" customHeight="1" outlineLevel="1" x14ac:dyDescent="0.25">
      <c r="B730" s="561"/>
      <c r="D730" s="1306">
        <v>3412</v>
      </c>
      <c r="E730" s="1337">
        <v>3412</v>
      </c>
      <c r="F730" s="1306"/>
      <c r="G730" s="1520">
        <v>3412</v>
      </c>
      <c r="H730" s="2297" t="s">
        <v>642</v>
      </c>
      <c r="I730" s="2297"/>
      <c r="J730" s="2368"/>
      <c r="K730" s="2368"/>
      <c r="L730" s="2368"/>
      <c r="S730" s="358"/>
      <c r="V730" s="1356">
        <f t="shared" si="122"/>
        <v>3412</v>
      </c>
      <c r="W730" s="357">
        <v>3413</v>
      </c>
      <c r="X730" s="357">
        <v>3413</v>
      </c>
      <c r="Y730" s="357">
        <v>3413</v>
      </c>
      <c r="Z730" s="359">
        <v>3413</v>
      </c>
      <c r="AA730" s="359">
        <v>3413</v>
      </c>
      <c r="AB730" s="359">
        <v>3413</v>
      </c>
      <c r="AC730" s="359">
        <v>3413</v>
      </c>
      <c r="AD730" s="899">
        <v>3412</v>
      </c>
      <c r="AE730" s="359">
        <v>3412</v>
      </c>
      <c r="AF730" s="258">
        <f t="shared" si="121"/>
        <v>3412</v>
      </c>
      <c r="AG730" s="359"/>
      <c r="AK730" s="344"/>
    </row>
    <row r="731" spans="2:37" ht="15" hidden="1" customHeight="1" outlineLevel="1" x14ac:dyDescent="0.25">
      <c r="B731" s="561"/>
      <c r="C731" s="1333"/>
      <c r="D731" s="1306" t="s">
        <v>814</v>
      </c>
      <c r="E731" s="1306" t="s">
        <v>786</v>
      </c>
      <c r="F731" s="1306"/>
      <c r="G731" s="1628">
        <v>1</v>
      </c>
      <c r="H731" s="2297" t="s">
        <v>839</v>
      </c>
      <c r="I731" s="2297"/>
      <c r="J731" s="2374"/>
      <c r="K731" s="2375"/>
      <c r="L731" s="2375"/>
      <c r="S731" s="352"/>
      <c r="V731" s="1356" t="str">
        <f t="shared" si="122"/>
        <v>Utility Adjustment</v>
      </c>
      <c r="W731" s="314">
        <v>1</v>
      </c>
      <c r="X731" s="314">
        <v>1</v>
      </c>
      <c r="Y731" s="314">
        <v>1</v>
      </c>
      <c r="Z731" s="353">
        <v>1</v>
      </c>
      <c r="AA731" s="353">
        <v>1</v>
      </c>
      <c r="AB731" s="353">
        <v>1</v>
      </c>
      <c r="AC731" s="353">
        <v>1</v>
      </c>
      <c r="AD731" s="353">
        <v>1</v>
      </c>
      <c r="AE731" s="353">
        <v>1</v>
      </c>
      <c r="AF731" s="258">
        <f t="shared" si="121"/>
        <v>1</v>
      </c>
      <c r="AG731" s="353"/>
      <c r="AK731" s="344"/>
    </row>
    <row r="732" spans="2:37" ht="44.65" hidden="1" customHeight="1" outlineLevel="1" x14ac:dyDescent="0.25">
      <c r="B732" s="561"/>
      <c r="C732" s="1333"/>
      <c r="D732" s="2221" t="s">
        <v>104</v>
      </c>
      <c r="E732" s="2226" t="s">
        <v>1713</v>
      </c>
      <c r="F732" s="1306" t="s">
        <v>1890</v>
      </c>
      <c r="G732" s="471">
        <v>0.94</v>
      </c>
      <c r="H732" s="2235" t="s">
        <v>1891</v>
      </c>
      <c r="I732" s="2236"/>
      <c r="J732" s="2091"/>
      <c r="K732" s="2091"/>
      <c r="L732" s="2091"/>
      <c r="S732" s="360"/>
      <c r="V732" s="1355"/>
      <c r="W732" s="362">
        <v>0.97699999999999998</v>
      </c>
      <c r="X732" s="363">
        <v>0.9375</v>
      </c>
      <c r="Y732" s="363">
        <v>0.96430000000000005</v>
      </c>
      <c r="Z732" s="361">
        <v>0.96430000000000005</v>
      </c>
      <c r="AA732" s="361">
        <v>0.96430000000000005</v>
      </c>
      <c r="AB732" s="361">
        <v>0.96430000000000005</v>
      </c>
      <c r="AC732" s="747">
        <v>0.94</v>
      </c>
      <c r="AD732" s="747">
        <v>0.94</v>
      </c>
      <c r="AE732" s="747">
        <v>0.94</v>
      </c>
      <c r="AF732" s="258">
        <f t="shared" si="121"/>
        <v>0.94</v>
      </c>
      <c r="AG732" s="361"/>
      <c r="AK732" s="344"/>
    </row>
    <row r="733" spans="2:37" ht="27.4" hidden="1" customHeight="1" outlineLevel="1" x14ac:dyDescent="0.25">
      <c r="B733" s="561"/>
      <c r="C733" s="1333"/>
      <c r="D733" s="2225"/>
      <c r="E733" s="2227"/>
      <c r="F733" s="1306" t="s">
        <v>1892</v>
      </c>
      <c r="G733" s="471">
        <v>0.96399999999999997</v>
      </c>
      <c r="H733" s="2383" t="s">
        <v>1893</v>
      </c>
      <c r="I733" s="2384"/>
      <c r="J733" s="2368"/>
      <c r="K733" s="2368"/>
      <c r="L733" s="2368"/>
      <c r="S733" s="360"/>
      <c r="V733" s="1355"/>
      <c r="W733" s="362"/>
      <c r="X733" s="363"/>
      <c r="Y733" s="363"/>
      <c r="Z733" s="361"/>
      <c r="AA733" s="361"/>
      <c r="AB733" s="361"/>
      <c r="AC733" s="747">
        <v>0.96399999999999997</v>
      </c>
      <c r="AD733" s="747">
        <v>0.96399999999999997</v>
      </c>
      <c r="AE733" s="747">
        <v>0.96399999999999997</v>
      </c>
      <c r="AF733" s="258">
        <f t="shared" si="121"/>
        <v>0.96399999999999997</v>
      </c>
      <c r="AG733" s="361"/>
      <c r="AK733" s="344"/>
    </row>
    <row r="734" spans="2:37" ht="44.65" hidden="1" customHeight="1" outlineLevel="1" x14ac:dyDescent="0.25">
      <c r="B734" s="561"/>
      <c r="C734" s="1333"/>
      <c r="D734" s="1338" t="str">
        <f>D659</f>
        <v>EUL</v>
      </c>
      <c r="E734" s="1338" t="str">
        <f>E659</f>
        <v>Effective Useful Life</v>
      </c>
      <c r="F734" s="1306" t="s">
        <v>734</v>
      </c>
      <c r="G734" s="1629">
        <v>10</v>
      </c>
      <c r="H734" s="2297" t="s">
        <v>1894</v>
      </c>
      <c r="I734" s="2297"/>
      <c r="J734" s="2277"/>
      <c r="K734" s="2277"/>
      <c r="L734" s="2277"/>
      <c r="S734" s="352"/>
      <c r="V734" s="1356" t="str">
        <f>D734</f>
        <v>EUL</v>
      </c>
      <c r="W734" s="364">
        <v>10</v>
      </c>
      <c r="X734" s="364">
        <v>10</v>
      </c>
      <c r="Y734" s="364">
        <v>10</v>
      </c>
      <c r="Z734" s="595">
        <v>10</v>
      </c>
      <c r="AA734" s="595">
        <v>10</v>
      </c>
      <c r="AB734" s="595">
        <v>10</v>
      </c>
      <c r="AC734" s="595">
        <v>10</v>
      </c>
      <c r="AD734" s="595">
        <v>10</v>
      </c>
      <c r="AE734" s="595">
        <v>10</v>
      </c>
      <c r="AF734" s="258">
        <f t="shared" si="121"/>
        <v>10</v>
      </c>
      <c r="AG734" s="365"/>
      <c r="AK734" s="344"/>
    </row>
    <row r="735" spans="2:37" hidden="1" outlineLevel="1" x14ac:dyDescent="0.25">
      <c r="B735" s="561"/>
      <c r="C735" s="1333"/>
      <c r="D735" s="2371" t="s">
        <v>50</v>
      </c>
      <c r="E735" s="2371" t="s">
        <v>682</v>
      </c>
      <c r="F735" s="1304" t="s">
        <v>1895</v>
      </c>
      <c r="G735" s="1559">
        <v>15.33</v>
      </c>
      <c r="H735" s="2237" t="s">
        <v>1896</v>
      </c>
      <c r="I735" s="2237"/>
      <c r="J735" s="2091"/>
      <c r="K735" s="2091"/>
      <c r="L735" s="2091"/>
      <c r="S735" s="360"/>
      <c r="V735" s="2341"/>
      <c r="W735" s="366">
        <v>7</v>
      </c>
      <c r="X735" s="366">
        <v>7</v>
      </c>
      <c r="Y735" s="368">
        <v>12.98</v>
      </c>
      <c r="Z735" s="367">
        <v>12.98</v>
      </c>
      <c r="AA735" s="367">
        <v>12.98</v>
      </c>
      <c r="AB735" s="367">
        <v>12.98</v>
      </c>
      <c r="AC735" s="367">
        <v>12.98</v>
      </c>
      <c r="AD735" s="368">
        <v>15.33</v>
      </c>
      <c r="AE735" s="367">
        <v>15.33</v>
      </c>
      <c r="AF735" s="258">
        <f t="shared" si="121"/>
        <v>15.33</v>
      </c>
      <c r="AG735" s="367"/>
      <c r="AK735" s="344"/>
    </row>
    <row r="736" spans="2:37" ht="14.65" hidden="1" customHeight="1" outlineLevel="1" x14ac:dyDescent="0.25">
      <c r="B736" s="561"/>
      <c r="C736" s="1333"/>
      <c r="D736" s="2372"/>
      <c r="E736" s="2372"/>
      <c r="F736" s="1304" t="s">
        <v>1897</v>
      </c>
      <c r="G736" s="1559">
        <v>23.35</v>
      </c>
      <c r="H736" s="2237" t="s">
        <v>1898</v>
      </c>
      <c r="I736" s="2237"/>
      <c r="J736" s="2091"/>
      <c r="K736" s="2091"/>
      <c r="L736" s="2091"/>
      <c r="S736" s="360"/>
      <c r="V736" s="2341"/>
      <c r="W736" s="366"/>
      <c r="X736" s="366"/>
      <c r="Y736" s="368">
        <v>18.45</v>
      </c>
      <c r="Z736" s="367">
        <v>18.45</v>
      </c>
      <c r="AA736" s="367">
        <v>18.45</v>
      </c>
      <c r="AB736" s="367">
        <v>18.45</v>
      </c>
      <c r="AC736" s="367">
        <v>18.45</v>
      </c>
      <c r="AD736" s="368">
        <v>23.35</v>
      </c>
      <c r="AE736" s="367">
        <v>23.35</v>
      </c>
      <c r="AF736" s="258">
        <f t="shared" si="121"/>
        <v>23.35</v>
      </c>
      <c r="AG736" s="367"/>
      <c r="AK736" s="344"/>
    </row>
    <row r="737" spans="2:114" ht="23.25" hidden="1" customHeight="1" outlineLevel="1" x14ac:dyDescent="0.25">
      <c r="B737" s="561"/>
      <c r="C737" s="1333"/>
      <c r="D737" s="2373"/>
      <c r="E737" s="2373"/>
      <c r="F737" s="1304" t="s">
        <v>1899</v>
      </c>
      <c r="G737" s="1559">
        <v>23.35</v>
      </c>
      <c r="H737" s="2237" t="s">
        <v>1898</v>
      </c>
      <c r="I737" s="2237"/>
      <c r="J737" s="2091"/>
      <c r="K737" s="2091"/>
      <c r="L737" s="2091"/>
      <c r="S737" s="360"/>
      <c r="V737" s="2341"/>
      <c r="W737" s="366"/>
      <c r="X737" s="366"/>
      <c r="Y737" s="368">
        <v>12.47</v>
      </c>
      <c r="Z737" s="367">
        <v>12.47</v>
      </c>
      <c r="AA737" s="367">
        <v>12.47</v>
      </c>
      <c r="AB737" s="367">
        <v>12.47</v>
      </c>
      <c r="AC737" s="367">
        <v>12.47</v>
      </c>
      <c r="AD737" s="368">
        <v>23.35</v>
      </c>
      <c r="AE737" s="367">
        <v>23.35</v>
      </c>
      <c r="AF737" s="258">
        <f t="shared" si="121"/>
        <v>23.35</v>
      </c>
      <c r="AG737" s="367"/>
      <c r="AK737" s="344"/>
    </row>
    <row r="738" spans="2:114" ht="15" hidden="1" customHeight="1" outlineLevel="1" x14ac:dyDescent="0.25">
      <c r="B738" s="561"/>
      <c r="AK738" s="344"/>
    </row>
    <row r="739" spans="2:114" ht="15" customHeight="1" collapsed="1" x14ac:dyDescent="0.25">
      <c r="B739" s="561"/>
      <c r="AK739" s="344"/>
    </row>
    <row r="740" spans="2:114" ht="15" customHeight="1" x14ac:dyDescent="0.25">
      <c r="B740" s="2134" t="s">
        <v>1900</v>
      </c>
      <c r="C740" s="2135"/>
      <c r="D740" s="2135"/>
      <c r="E740" s="2135"/>
      <c r="F740" s="2135"/>
      <c r="G740" s="2135"/>
      <c r="H740" s="2135"/>
      <c r="I740" s="2082"/>
      <c r="J740" s="2082"/>
      <c r="K740" s="2082"/>
      <c r="L740" s="2082"/>
      <c r="M740" s="2082"/>
      <c r="N740" s="2082"/>
      <c r="O740" s="2082"/>
      <c r="P740" s="2082"/>
      <c r="Q740" s="2082"/>
      <c r="R740" s="2083"/>
      <c r="V740" s="2103" t="str">
        <f>B740</f>
        <v>Pipe Insulation</v>
      </c>
      <c r="W740" s="2104"/>
      <c r="X740" s="2104"/>
      <c r="Y740" s="2104"/>
      <c r="Z740" s="2104"/>
      <c r="AA740" s="2104"/>
      <c r="AB740" s="2104"/>
      <c r="AC740" s="2106"/>
      <c r="AD740" s="2106"/>
      <c r="AE740" s="2106"/>
      <c r="AF740" s="2106"/>
      <c r="AG740" s="2106"/>
      <c r="AH740" s="2106"/>
      <c r="AI740" s="2107"/>
      <c r="AK740" s="344"/>
    </row>
    <row r="741" spans="2:114" ht="15" customHeight="1" x14ac:dyDescent="0.25">
      <c r="B741" s="561"/>
      <c r="D741" s="565"/>
      <c r="E741" s="565"/>
      <c r="F741" s="269"/>
      <c r="G741" s="269"/>
      <c r="H741" s="269"/>
      <c r="I741" s="269"/>
      <c r="J741" s="269"/>
      <c r="K741" s="269"/>
      <c r="L741" s="566"/>
      <c r="AK741" s="344"/>
    </row>
    <row r="742" spans="2:114" ht="30" x14ac:dyDescent="0.25">
      <c r="B742" s="561"/>
      <c r="C742" s="1300" t="s">
        <v>42</v>
      </c>
      <c r="D742" s="1300" t="s">
        <v>594</v>
      </c>
      <c r="E742" s="1300" t="s">
        <v>44</v>
      </c>
      <c r="F742" s="1300" t="s">
        <v>1661</v>
      </c>
      <c r="G742" s="1300" t="s">
        <v>46</v>
      </c>
      <c r="H742" s="1300" t="s">
        <v>47</v>
      </c>
      <c r="I742" s="1300" t="s">
        <v>48</v>
      </c>
      <c r="J742" s="1300" t="s">
        <v>49</v>
      </c>
      <c r="K742" s="1300" t="s">
        <v>50</v>
      </c>
      <c r="L742" s="1300" t="s">
        <v>51</v>
      </c>
      <c r="V742" s="648" t="s">
        <v>52</v>
      </c>
      <c r="W742" s="649">
        <f>W$6</f>
        <v>43252</v>
      </c>
      <c r="X742" s="649">
        <f t="shared" ref="X742:AG742" si="123">X$6</f>
        <v>43465</v>
      </c>
      <c r="Y742" s="110">
        <f t="shared" si="123"/>
        <v>43800</v>
      </c>
      <c r="Z742" s="649">
        <f t="shared" si="123"/>
        <v>43862</v>
      </c>
      <c r="AA742" s="649">
        <f t="shared" si="123"/>
        <v>44013</v>
      </c>
      <c r="AB742" s="649">
        <f t="shared" si="123"/>
        <v>44166</v>
      </c>
      <c r="AC742" s="649">
        <f t="shared" si="123"/>
        <v>44531</v>
      </c>
      <c r="AD742" s="649">
        <f t="shared" si="123"/>
        <v>44774</v>
      </c>
      <c r="AE742" s="649">
        <f t="shared" si="123"/>
        <v>45139</v>
      </c>
      <c r="AF742" s="649">
        <f t="shared" si="123"/>
        <v>45672</v>
      </c>
      <c r="AG742" s="649" t="str">
        <f t="shared" si="123"/>
        <v>-</v>
      </c>
      <c r="AK742" s="344"/>
      <c r="DG742" s="1018" t="str">
        <f>$DG$6</f>
        <v>TRC (2025)</v>
      </c>
      <c r="DH742" s="776" t="str">
        <f>$DH$6</f>
        <v>Benefit Lookup</v>
      </c>
      <c r="DI742" s="1034" t="str">
        <f>$DI$6</f>
        <v>Benefits (2025 $)</v>
      </c>
      <c r="DJ742" s="1126" t="str">
        <f>$DJ$6</f>
        <v>Incremental Cost (2025 $)</v>
      </c>
    </row>
    <row r="743" spans="2:114" ht="15" customHeight="1" x14ac:dyDescent="0.25">
      <c r="B743" s="1384">
        <f t="shared" ref="B743:B744" si="124">VALUE(LEFT(C743,6))</f>
        <v>403700</v>
      </c>
      <c r="C743" s="134" t="s">
        <v>1901</v>
      </c>
      <c r="D743" s="1331" t="s">
        <v>600</v>
      </c>
      <c r="E743" s="122" t="s">
        <v>1902</v>
      </c>
      <c r="F743" s="154">
        <f>ROUND(((((F750/F751)-(F752/F753))*F754*F755*F756)/(F757*F758))*F759*F760*F761,2)</f>
        <v>4.6399999999999997</v>
      </c>
      <c r="G743" s="134" t="s">
        <v>1804</v>
      </c>
      <c r="H743" s="132">
        <f>VLOOKUP(G743,'CP FACTORS'!$A$3:$B$38, 2, FALSE)</f>
        <v>8.8731800000000003E-5</v>
      </c>
      <c r="I743" s="536">
        <f>ROUND(F743*H743,6)</f>
        <v>4.1199999999999999E-4</v>
      </c>
      <c r="J743" s="323">
        <f>$F$764</f>
        <v>12</v>
      </c>
      <c r="K743" s="710">
        <f>$F$765</f>
        <v>5.66</v>
      </c>
      <c r="L743" s="134" t="s">
        <v>1903</v>
      </c>
      <c r="R743" s="521"/>
      <c r="V743" s="342" t="e">
        <f>#REF!</f>
        <v>#REF!</v>
      </c>
      <c r="W743" s="369">
        <v>16.471996316343358</v>
      </c>
      <c r="X743" s="256">
        <v>4.4836485277384011</v>
      </c>
      <c r="Y743" s="112">
        <v>4.6399999999999997</v>
      </c>
      <c r="Z743" s="17">
        <v>4.6399999999999997</v>
      </c>
      <c r="AA743" s="17">
        <v>4.6399999999999997</v>
      </c>
      <c r="AB743" s="17">
        <v>4.6399999999999997</v>
      </c>
      <c r="AC743" s="154">
        <v>4.6399999999999997</v>
      </c>
      <c r="AD743" s="154">
        <v>4.6399999999999997</v>
      </c>
      <c r="AE743" s="154">
        <v>4.6399999999999997</v>
      </c>
      <c r="AF743" s="258">
        <f>IF(F743&lt;&gt;"",F743,"")</f>
        <v>4.6399999999999997</v>
      </c>
      <c r="AG743" s="342"/>
      <c r="AK743" s="344"/>
      <c r="DG743" s="1021">
        <f>(DI743)/(DJ743)</f>
        <v>0.46027265770701875</v>
      </c>
      <c r="DH743" s="653" t="str">
        <f>CONCATENATE(G743," ",J743," Year EUL")</f>
        <v>Water heating RES 12 Year EUL</v>
      </c>
      <c r="DI743" s="538">
        <f>(INDEX('Avoided Cost Benefits'!$B$4:$B$865,MATCH(DH743,'Avoided Cost Benefits'!$A$4:$A$865,0)))*F743</f>
        <v>2.6051432426217263</v>
      </c>
      <c r="DJ743" s="1952">
        <f>IFERROR(K743/((1+DiscountRate)^(CurrentYear-DiscountYear)),0)</f>
        <v>5.66</v>
      </c>
    </row>
    <row r="744" spans="2:114" ht="15" customHeight="1" x14ac:dyDescent="0.25">
      <c r="B744" s="1384">
        <f t="shared" si="124"/>
        <v>403750</v>
      </c>
      <c r="C744" s="134" t="s">
        <v>1904</v>
      </c>
      <c r="D744" s="1331" t="s">
        <v>686</v>
      </c>
      <c r="E744" s="122" t="s">
        <v>1905</v>
      </c>
      <c r="F744" s="154">
        <f>ROUND(((((F750/F751)-(F752/F753))*F754*F755*F756)/(F757*F758))*F759*F760*F761,2)</f>
        <v>4.6399999999999997</v>
      </c>
      <c r="G744" s="134" t="s">
        <v>1804</v>
      </c>
      <c r="H744" s="132">
        <f>VLOOKUP(G744,'CP FACTORS'!$A$3:$B$38, 2, FALSE)</f>
        <v>8.8731800000000003E-5</v>
      </c>
      <c r="I744" s="536">
        <f>ROUND(F744*H744,6)</f>
        <v>4.1199999999999999E-4</v>
      </c>
      <c r="J744" s="323">
        <f>$F$764</f>
        <v>12</v>
      </c>
      <c r="K744" s="710">
        <f>$F$765</f>
        <v>5.66</v>
      </c>
      <c r="L744" s="134" t="s">
        <v>1903</v>
      </c>
      <c r="R744" s="521"/>
      <c r="V744" s="342" t="e">
        <f>V743</f>
        <v>#REF!</v>
      </c>
      <c r="W744" s="369">
        <v>16.471996316343358</v>
      </c>
      <c r="X744" s="256">
        <v>4.4836485277384011</v>
      </c>
      <c r="Y744" s="112">
        <v>4.6399999999999997</v>
      </c>
      <c r="Z744" s="17">
        <v>4.6399999999999997</v>
      </c>
      <c r="AA744" s="17">
        <v>4.6399999999999997</v>
      </c>
      <c r="AB744" s="17">
        <v>4.6399999999999997</v>
      </c>
      <c r="AC744" s="154">
        <v>4.6399999999999997</v>
      </c>
      <c r="AD744" s="154">
        <v>4.6399999999999997</v>
      </c>
      <c r="AE744" s="154">
        <v>4.6399999999999997</v>
      </c>
      <c r="AF744" s="258">
        <f>IF(F744&lt;&gt;"",F744,"")</f>
        <v>4.6399999999999997</v>
      </c>
      <c r="AG744" s="342"/>
      <c r="AK744" s="344"/>
      <c r="DG744" s="1022">
        <f>(DI744)/(DJ744)</f>
        <v>0.46027265770701875</v>
      </c>
      <c r="DH744" s="653" t="str">
        <f>CONCATENATE(G744," ",J744," Year EUL")</f>
        <v>Water heating RES 12 Year EUL</v>
      </c>
      <c r="DI744" s="1030">
        <f>(INDEX('Avoided Cost Benefits'!$B$4:$B$865,MATCH(DH744,'Avoided Cost Benefits'!$A$4:$A$865,0)))*F744</f>
        <v>2.6051432426217263</v>
      </c>
      <c r="DJ744" s="1953">
        <f>IFERROR(K744/((1+DiscountRate)^(CurrentYear-DiscountYear)),0)</f>
        <v>5.66</v>
      </c>
    </row>
    <row r="745" spans="2:114" ht="15" hidden="1" customHeight="1" outlineLevel="1" x14ac:dyDescent="0.25">
      <c r="B745" s="561"/>
      <c r="C745" s="272"/>
      <c r="D745" s="71" t="s">
        <v>94</v>
      </c>
      <c r="E745" s="270" t="s">
        <v>1906</v>
      </c>
      <c r="F745" s="309"/>
      <c r="G745" s="309"/>
      <c r="H745" s="309"/>
      <c r="I745" s="309"/>
      <c r="J745" s="309"/>
      <c r="V745" s="73"/>
      <c r="W745" s="73"/>
      <c r="X745" s="73"/>
      <c r="Y745" s="370"/>
      <c r="Z745" s="73"/>
      <c r="AA745" s="73"/>
      <c r="AB745" s="73"/>
      <c r="AC745" s="73"/>
      <c r="AD745" s="73"/>
      <c r="AE745" s="73"/>
      <c r="AF745" s="73"/>
      <c r="AG745" s="73"/>
      <c r="AK745" s="344"/>
    </row>
    <row r="746" spans="2:114" ht="15" hidden="1" customHeight="1" outlineLevel="1" x14ac:dyDescent="0.25">
      <c r="B746" s="561"/>
      <c r="C746" s="272"/>
      <c r="D746" s="71" t="s">
        <v>604</v>
      </c>
      <c r="E746" s="50" t="s">
        <v>1907</v>
      </c>
      <c r="F746" s="596"/>
      <c r="G746" s="596"/>
      <c r="H746" s="309"/>
      <c r="I746" s="309"/>
      <c r="J746" s="309"/>
      <c r="V746" s="73"/>
      <c r="W746" s="73"/>
      <c r="X746" s="73"/>
      <c r="Y746" s="370"/>
      <c r="Z746" s="73"/>
      <c r="AA746" s="73"/>
      <c r="AB746" s="73"/>
      <c r="AC746" s="73"/>
      <c r="AD746" s="73"/>
      <c r="AE746" s="73"/>
      <c r="AF746" s="73"/>
      <c r="AG746" s="73"/>
      <c r="AK746" s="344"/>
    </row>
    <row r="747" spans="2:114" hidden="1" outlineLevel="1" x14ac:dyDescent="0.25">
      <c r="B747" s="561"/>
      <c r="C747" s="273"/>
      <c r="D747" s="597"/>
      <c r="E747" s="50" t="s">
        <v>607</v>
      </c>
      <c r="F747" s="598"/>
      <c r="G747" s="598"/>
      <c r="H747" s="598"/>
      <c r="I747" s="598"/>
      <c r="J747" s="598"/>
      <c r="V747" s="73"/>
      <c r="W747" s="73"/>
      <c r="X747" s="73"/>
      <c r="Y747" s="370"/>
      <c r="Z747" s="73"/>
      <c r="AA747" s="73"/>
      <c r="AB747" s="73"/>
      <c r="AC747" s="73"/>
      <c r="AD747" s="73"/>
      <c r="AE747" s="73"/>
      <c r="AF747" s="73"/>
      <c r="AG747" s="73"/>
      <c r="AK747" s="344"/>
    </row>
    <row r="748" spans="2:114" hidden="1" outlineLevel="1" x14ac:dyDescent="0.25">
      <c r="B748" s="561"/>
      <c r="C748" s="273"/>
      <c r="D748" s="599"/>
      <c r="E748" s="50" t="s">
        <v>1908</v>
      </c>
      <c r="F748" s="601"/>
      <c r="G748" s="602"/>
      <c r="H748" s="602"/>
      <c r="I748" s="602"/>
      <c r="J748" s="602"/>
      <c r="V748" s="73"/>
      <c r="W748" s="73"/>
      <c r="X748" s="73"/>
      <c r="Y748" s="370"/>
      <c r="Z748" s="73"/>
      <c r="AA748" s="73"/>
      <c r="AB748" s="73"/>
      <c r="AC748" s="73"/>
      <c r="AD748" s="73"/>
      <c r="AE748" s="73"/>
      <c r="AF748" s="73"/>
      <c r="AG748" s="73"/>
      <c r="AK748" s="344"/>
    </row>
    <row r="749" spans="2:114" hidden="1" outlineLevel="1" x14ac:dyDescent="0.25">
      <c r="B749" s="561"/>
      <c r="D749" s="1373" t="s">
        <v>712</v>
      </c>
      <c r="E749" s="1373" t="s">
        <v>608</v>
      </c>
      <c r="F749" s="1311" t="s">
        <v>610</v>
      </c>
      <c r="G749" s="2296" t="s">
        <v>611</v>
      </c>
      <c r="H749" s="2330"/>
      <c r="I749" s="2296" t="s">
        <v>612</v>
      </c>
      <c r="J749" s="2329"/>
      <c r="K749" s="2330"/>
      <c r="V749" s="648" t="s">
        <v>52</v>
      </c>
      <c r="W749" s="649">
        <f>W$6</f>
        <v>43252</v>
      </c>
      <c r="X749" s="649">
        <f t="shared" ref="X749:AG749" si="125">X$6</f>
        <v>43465</v>
      </c>
      <c r="Y749" s="110">
        <f t="shared" si="125"/>
        <v>43800</v>
      </c>
      <c r="Z749" s="649">
        <f t="shared" si="125"/>
        <v>43862</v>
      </c>
      <c r="AA749" s="649">
        <f t="shared" si="125"/>
        <v>44013</v>
      </c>
      <c r="AB749" s="649">
        <f t="shared" si="125"/>
        <v>44166</v>
      </c>
      <c r="AC749" s="649">
        <f t="shared" si="125"/>
        <v>44531</v>
      </c>
      <c r="AD749" s="649">
        <f t="shared" si="125"/>
        <v>44774</v>
      </c>
      <c r="AE749" s="649">
        <f t="shared" si="125"/>
        <v>45139</v>
      </c>
      <c r="AF749" s="649">
        <f t="shared" si="125"/>
        <v>45672</v>
      </c>
      <c r="AG749" s="649" t="str">
        <f t="shared" si="125"/>
        <v>-</v>
      </c>
      <c r="AK749" s="344"/>
    </row>
    <row r="750" spans="2:114" ht="18" hidden="1" outlineLevel="1" x14ac:dyDescent="0.25">
      <c r="B750" s="561"/>
      <c r="C750" s="273"/>
      <c r="D750" s="1314" t="s">
        <v>1909</v>
      </c>
      <c r="E750" s="1308" t="s">
        <v>1910</v>
      </c>
      <c r="F750" s="1517">
        <f>(PI()*F762)/12</f>
        <v>0.14398966328953219</v>
      </c>
      <c r="G750" s="2295" t="s">
        <v>738</v>
      </c>
      <c r="H750" s="2376"/>
      <c r="I750" s="2377"/>
      <c r="J750" s="2378"/>
      <c r="K750" s="2379"/>
      <c r="P750" s="373"/>
      <c r="V750" s="371" t="str">
        <f>D750</f>
        <v>CBase</v>
      </c>
      <c r="W750" s="374">
        <f>(PI()*W762)/12</f>
        <v>0.19634954084936207</v>
      </c>
      <c r="X750" s="372">
        <f>(PI()*X762)/12</f>
        <v>0.14398966328953219</v>
      </c>
      <c r="Y750" s="167">
        <v>0.14398966328953219</v>
      </c>
      <c r="Z750" s="167">
        <v>0.14398966328953219</v>
      </c>
      <c r="AA750" s="167">
        <v>0.14398966328953219</v>
      </c>
      <c r="AB750" s="374">
        <v>0.14398966328953219</v>
      </c>
      <c r="AC750" s="374">
        <v>0.14398966328953219</v>
      </c>
      <c r="AD750" s="374">
        <v>0.14398966328953219</v>
      </c>
      <c r="AE750" s="374">
        <v>0.14398966328953219</v>
      </c>
      <c r="AF750" s="258">
        <f t="shared" ref="AF750:AF765" si="126">IF(F750&lt;&gt;"",F750,"")</f>
        <v>0.14398966328953219</v>
      </c>
      <c r="AG750" s="374"/>
      <c r="AK750" s="344"/>
    </row>
    <row r="751" spans="2:114" ht="51.4" hidden="1" customHeight="1" outlineLevel="1" x14ac:dyDescent="0.25">
      <c r="B751" s="561"/>
      <c r="C751" s="273"/>
      <c r="D751" s="1314" t="s">
        <v>1911</v>
      </c>
      <c r="E751" s="1329" t="s">
        <v>1912</v>
      </c>
      <c r="F751" s="1505">
        <v>1</v>
      </c>
      <c r="G751" s="2401" t="s">
        <v>1913</v>
      </c>
      <c r="H751" s="2401"/>
      <c r="I751" s="2380"/>
      <c r="J751" s="2381"/>
      <c r="K751" s="2382"/>
      <c r="P751" s="373"/>
      <c r="V751" s="371" t="str">
        <f>D751</f>
        <v>RBase</v>
      </c>
      <c r="W751" s="376">
        <v>1</v>
      </c>
      <c r="X751" s="375">
        <v>1</v>
      </c>
      <c r="Y751" s="375">
        <v>1</v>
      </c>
      <c r="Z751" s="375">
        <v>1</v>
      </c>
      <c r="AA751" s="375">
        <v>1</v>
      </c>
      <c r="AB751" s="376">
        <v>1</v>
      </c>
      <c r="AC751" s="376">
        <v>1</v>
      </c>
      <c r="AD751" s="376">
        <v>1</v>
      </c>
      <c r="AE751" s="376">
        <v>1</v>
      </c>
      <c r="AF751" s="258">
        <f t="shared" si="126"/>
        <v>1</v>
      </c>
      <c r="AG751" s="376"/>
      <c r="AK751" s="344"/>
    </row>
    <row r="752" spans="2:114" ht="18" hidden="1" outlineLevel="1" x14ac:dyDescent="0.25">
      <c r="B752" s="561"/>
      <c r="C752" s="273"/>
      <c r="D752" s="1314" t="s">
        <v>1914</v>
      </c>
      <c r="E752" s="1329" t="s">
        <v>1915</v>
      </c>
      <c r="F752" s="1517">
        <f>(PI()*(F762+(2*F763))/12)</f>
        <v>0.40578905108868163</v>
      </c>
      <c r="G752" s="2261" t="s">
        <v>738</v>
      </c>
      <c r="H752" s="2263"/>
      <c r="I752" s="2377"/>
      <c r="J752" s="2378"/>
      <c r="K752" s="2379"/>
      <c r="P752" s="373"/>
      <c r="V752" s="371" t="str">
        <f>D752</f>
        <v>CEE</v>
      </c>
      <c r="W752" s="377">
        <f>(PI()*(W762+(2*W763))/12)</f>
        <v>0.45814892864851148</v>
      </c>
      <c r="X752" s="147">
        <f>(PI()*(X762+(2*X763))/12)</f>
        <v>0.40578905108868163</v>
      </c>
      <c r="Y752" s="147">
        <v>0.40578905108868163</v>
      </c>
      <c r="Z752" s="147">
        <v>0.40578905108868163</v>
      </c>
      <c r="AA752" s="147">
        <v>0.40578905108868163</v>
      </c>
      <c r="AB752" s="377">
        <v>0.40578905108868163</v>
      </c>
      <c r="AC752" s="377">
        <v>0.40578905108868163</v>
      </c>
      <c r="AD752" s="377">
        <v>0.40578905108868163</v>
      </c>
      <c r="AE752" s="377">
        <v>0.40578905108868163</v>
      </c>
      <c r="AF752" s="258">
        <f t="shared" si="126"/>
        <v>0.40578905108868163</v>
      </c>
      <c r="AG752" s="377"/>
      <c r="AK752" s="344"/>
    </row>
    <row r="753" spans="2:37" ht="18" hidden="1" outlineLevel="1" x14ac:dyDescent="0.25">
      <c r="B753" s="561"/>
      <c r="C753" s="273"/>
      <c r="D753" s="1314" t="s">
        <v>1916</v>
      </c>
      <c r="E753" s="1329" t="s">
        <v>1917</v>
      </c>
      <c r="F753" s="1503">
        <v>3.6</v>
      </c>
      <c r="G753" s="2398" t="s">
        <v>1918</v>
      </c>
      <c r="H753" s="2399"/>
      <c r="I753" s="2380"/>
      <c r="J753" s="2381"/>
      <c r="K753" s="2382"/>
      <c r="P753" s="373"/>
      <c r="V753" s="371" t="str">
        <f>D753</f>
        <v>REE</v>
      </c>
      <c r="W753" s="42">
        <f>4+1</f>
        <v>5</v>
      </c>
      <c r="X753" s="42">
        <v>3.6</v>
      </c>
      <c r="Y753" s="378">
        <v>3.6</v>
      </c>
      <c r="Z753" s="18">
        <v>3.6</v>
      </c>
      <c r="AA753" s="18">
        <v>3.6</v>
      </c>
      <c r="AB753" s="42">
        <v>3.6</v>
      </c>
      <c r="AC753" s="42">
        <v>3.6</v>
      </c>
      <c r="AD753" s="42">
        <v>3.6</v>
      </c>
      <c r="AE753" s="42">
        <v>3.6</v>
      </c>
      <c r="AF753" s="258">
        <f t="shared" si="126"/>
        <v>3.6</v>
      </c>
      <c r="AG753" s="42"/>
      <c r="AK753" s="344"/>
    </row>
    <row r="754" spans="2:37" hidden="1" outlineLevel="1" x14ac:dyDescent="0.25">
      <c r="B754" s="561"/>
      <c r="C754" s="273"/>
      <c r="D754" s="138" t="s">
        <v>1919</v>
      </c>
      <c r="E754" s="1329" t="s">
        <v>1920</v>
      </c>
      <c r="F754" s="1504">
        <v>1</v>
      </c>
      <c r="G754" s="2261" t="s">
        <v>1921</v>
      </c>
      <c r="H754" s="2263"/>
      <c r="I754" s="2380"/>
      <c r="J754" s="2381"/>
      <c r="K754" s="2382"/>
      <c r="P754" s="373"/>
      <c r="V754" s="371" t="str">
        <f>D754</f>
        <v>L</v>
      </c>
      <c r="W754" s="376">
        <v>1</v>
      </c>
      <c r="X754" s="375">
        <v>1</v>
      </c>
      <c r="Y754" s="375">
        <v>1</v>
      </c>
      <c r="Z754" s="375">
        <v>1</v>
      </c>
      <c r="AA754" s="375">
        <v>1</v>
      </c>
      <c r="AB754" s="376">
        <v>1</v>
      </c>
      <c r="AC754" s="376">
        <v>1</v>
      </c>
      <c r="AD754" s="376">
        <v>1</v>
      </c>
      <c r="AE754" s="376">
        <v>1</v>
      </c>
      <c r="AF754" s="258">
        <f t="shared" si="126"/>
        <v>1</v>
      </c>
      <c r="AG754" s="376"/>
      <c r="AK754" s="344"/>
    </row>
    <row r="755" spans="2:37" hidden="1" outlineLevel="1" x14ac:dyDescent="0.25">
      <c r="B755" s="561"/>
      <c r="C755" s="273"/>
      <c r="D755" s="1314" t="s">
        <v>1922</v>
      </c>
      <c r="E755" s="1350" t="s">
        <v>1923</v>
      </c>
      <c r="F755" s="1506">
        <v>58.9</v>
      </c>
      <c r="G755" s="2398" t="s">
        <v>1918</v>
      </c>
      <c r="H755" s="2399"/>
      <c r="I755" s="2380"/>
      <c r="J755" s="2381"/>
      <c r="K755" s="2382"/>
      <c r="P755" s="373"/>
      <c r="V755" s="371" t="str">
        <f t="shared" ref="V755:V764" si="127">D755</f>
        <v>DT</v>
      </c>
      <c r="W755" s="168">
        <v>60</v>
      </c>
      <c r="X755" s="379">
        <v>58.9</v>
      </c>
      <c r="Y755" s="168">
        <v>58.9</v>
      </c>
      <c r="Z755" s="168">
        <v>58.9</v>
      </c>
      <c r="AA755" s="168">
        <v>58.9</v>
      </c>
      <c r="AB755" s="168">
        <v>58.9</v>
      </c>
      <c r="AC755" s="168">
        <v>58.9</v>
      </c>
      <c r="AD755" s="168">
        <v>58.9</v>
      </c>
      <c r="AE755" s="168">
        <v>58.9</v>
      </c>
      <c r="AF755" s="258">
        <f t="shared" si="126"/>
        <v>58.9</v>
      </c>
      <c r="AG755" s="168"/>
      <c r="AK755" s="344"/>
    </row>
    <row r="756" spans="2:37" hidden="1" outlineLevel="1" x14ac:dyDescent="0.25">
      <c r="B756" s="561"/>
      <c r="C756" s="273"/>
      <c r="D756" s="1314" t="s">
        <v>140</v>
      </c>
      <c r="E756" s="1350" t="s">
        <v>1924</v>
      </c>
      <c r="F756" s="1510">
        <v>8766</v>
      </c>
      <c r="G756" s="2292"/>
      <c r="H756" s="2400"/>
      <c r="I756" s="2380"/>
      <c r="J756" s="2381"/>
      <c r="K756" s="2382"/>
      <c r="P756" s="373"/>
      <c r="V756" s="371" t="str">
        <f t="shared" si="127"/>
        <v>Hours</v>
      </c>
      <c r="W756" s="1343">
        <v>8766</v>
      </c>
      <c r="X756" s="1343">
        <v>8766</v>
      </c>
      <c r="Y756" s="1343">
        <v>8766</v>
      </c>
      <c r="Z756" s="1343">
        <v>8766</v>
      </c>
      <c r="AA756" s="1343">
        <v>8766</v>
      </c>
      <c r="AB756" s="1343">
        <v>8766</v>
      </c>
      <c r="AC756" s="1343">
        <v>8766</v>
      </c>
      <c r="AD756" s="1343">
        <v>8766</v>
      </c>
      <c r="AE756" s="1343">
        <v>8766</v>
      </c>
      <c r="AF756" s="258">
        <f t="shared" si="126"/>
        <v>8766</v>
      </c>
      <c r="AG756" s="1343"/>
      <c r="AK756" s="344"/>
    </row>
    <row r="757" spans="2:37" ht="29.65" hidden="1" customHeight="1" outlineLevel="1" x14ac:dyDescent="0.25">
      <c r="B757" s="561"/>
      <c r="C757" s="273"/>
      <c r="D757" s="1314" t="s">
        <v>1925</v>
      </c>
      <c r="E757" s="1350" t="s">
        <v>1926</v>
      </c>
      <c r="F757" s="1507">
        <v>0.98</v>
      </c>
      <c r="G757" s="2235" t="s">
        <v>1927</v>
      </c>
      <c r="H757" s="2236"/>
      <c r="I757" s="2380"/>
      <c r="J757" s="2381"/>
      <c r="K757" s="2382"/>
      <c r="P757" s="373"/>
      <c r="V757" s="371" t="str">
        <f t="shared" si="127"/>
        <v>ȠDHWElec</v>
      </c>
      <c r="W757" s="376">
        <v>0.98</v>
      </c>
      <c r="X757" s="375">
        <v>0.98</v>
      </c>
      <c r="Y757" s="375">
        <v>0.98</v>
      </c>
      <c r="Z757" s="375">
        <v>0.98</v>
      </c>
      <c r="AA757" s="375">
        <v>0.98</v>
      </c>
      <c r="AB757" s="376">
        <v>0.98</v>
      </c>
      <c r="AC757" s="376">
        <v>0.98</v>
      </c>
      <c r="AD757" s="376">
        <v>0.98</v>
      </c>
      <c r="AE757" s="376">
        <v>0.98</v>
      </c>
      <c r="AF757" s="258">
        <f t="shared" si="126"/>
        <v>0.98</v>
      </c>
      <c r="AG757" s="376"/>
      <c r="AK757" s="344"/>
    </row>
    <row r="758" spans="2:37" hidden="1" outlineLevel="1" x14ac:dyDescent="0.25">
      <c r="B758" s="561"/>
      <c r="C758" s="273"/>
      <c r="D758" s="1314">
        <v>3412</v>
      </c>
      <c r="E758" s="1337" t="s">
        <v>1697</v>
      </c>
      <c r="F758" s="1510">
        <v>3412</v>
      </c>
      <c r="G758" s="2292" t="s">
        <v>1928</v>
      </c>
      <c r="H758" s="2400"/>
      <c r="I758" s="2380"/>
      <c r="J758" s="2381"/>
      <c r="K758" s="2382"/>
      <c r="P758" s="373"/>
      <c r="V758" s="371">
        <f t="shared" si="127"/>
        <v>3412</v>
      </c>
      <c r="W758" s="150">
        <v>3412</v>
      </c>
      <c r="X758" s="150">
        <v>3412</v>
      </c>
      <c r="Y758" s="150">
        <v>3412</v>
      </c>
      <c r="Z758" s="150">
        <v>3412</v>
      </c>
      <c r="AA758" s="150">
        <v>3412</v>
      </c>
      <c r="AB758" s="150">
        <v>3412</v>
      </c>
      <c r="AC758" s="150">
        <v>3412</v>
      </c>
      <c r="AD758" s="150">
        <v>3412</v>
      </c>
      <c r="AE758" s="150">
        <v>3412</v>
      </c>
      <c r="AF758" s="258">
        <f t="shared" si="126"/>
        <v>3412</v>
      </c>
      <c r="AG758" s="150"/>
      <c r="AK758" s="344"/>
    </row>
    <row r="759" spans="2:37" ht="30" hidden="1" outlineLevel="1" x14ac:dyDescent="0.25">
      <c r="B759" s="561"/>
      <c r="C759" s="273"/>
      <c r="D759" s="1306" t="s">
        <v>1929</v>
      </c>
      <c r="E759" s="1306" t="s">
        <v>1813</v>
      </c>
      <c r="F759" s="1513">
        <v>1</v>
      </c>
      <c r="G759" s="2298" t="s">
        <v>839</v>
      </c>
      <c r="H759" s="2345"/>
      <c r="I759" s="2395" t="s">
        <v>1712</v>
      </c>
      <c r="J759" s="2396"/>
      <c r="K759" s="2397"/>
      <c r="P759" s="373"/>
      <c r="V759" s="371" t="str">
        <f t="shared" si="127"/>
        <v>*Electric Saturation</v>
      </c>
      <c r="W759" s="380">
        <v>1</v>
      </c>
      <c r="X759" s="353">
        <v>1</v>
      </c>
      <c r="Y759" s="353">
        <v>1</v>
      </c>
      <c r="Z759" s="353">
        <v>1</v>
      </c>
      <c r="AA759" s="353">
        <v>1</v>
      </c>
      <c r="AB759" s="380">
        <v>1</v>
      </c>
      <c r="AC759" s="380">
        <v>1</v>
      </c>
      <c r="AD759" s="380">
        <v>1</v>
      </c>
      <c r="AE759" s="380">
        <v>1</v>
      </c>
      <c r="AF759" s="258">
        <f t="shared" si="126"/>
        <v>1</v>
      </c>
      <c r="AG759" s="380"/>
      <c r="AK759" s="344"/>
    </row>
    <row r="760" spans="2:37" hidden="1" outlineLevel="1" x14ac:dyDescent="0.25">
      <c r="B760" s="561"/>
      <c r="C760" s="273"/>
      <c r="D760" s="1306" t="s">
        <v>814</v>
      </c>
      <c r="E760" s="1306" t="s">
        <v>786</v>
      </c>
      <c r="F760" s="1515">
        <v>1</v>
      </c>
      <c r="G760" s="2298" t="s">
        <v>839</v>
      </c>
      <c r="H760" s="2345"/>
      <c r="I760" s="2395" t="s">
        <v>1712</v>
      </c>
      <c r="J760" s="2396"/>
      <c r="K760" s="2397"/>
      <c r="P760" s="373"/>
      <c r="V760" s="371" t="str">
        <f t="shared" si="127"/>
        <v>Utility Adjustment</v>
      </c>
      <c r="W760" s="380">
        <v>1</v>
      </c>
      <c r="X760" s="353">
        <v>1</v>
      </c>
      <c r="Y760" s="353">
        <v>1</v>
      </c>
      <c r="Z760" s="353">
        <v>1</v>
      </c>
      <c r="AA760" s="353">
        <v>1</v>
      </c>
      <c r="AB760" s="380">
        <v>1</v>
      </c>
      <c r="AC760" s="380">
        <v>1</v>
      </c>
      <c r="AD760" s="380">
        <v>1</v>
      </c>
      <c r="AE760" s="380">
        <v>1</v>
      </c>
      <c r="AF760" s="258">
        <f t="shared" si="126"/>
        <v>1</v>
      </c>
      <c r="AG760" s="380"/>
      <c r="AK760" s="344"/>
    </row>
    <row r="761" spans="2:37" ht="29.65" hidden="1" customHeight="1" outlineLevel="1" x14ac:dyDescent="0.25">
      <c r="B761" s="561"/>
      <c r="C761" s="273"/>
      <c r="D761" s="338" t="s">
        <v>104</v>
      </c>
      <c r="E761" s="1337" t="s">
        <v>1713</v>
      </c>
      <c r="F761" s="1514">
        <v>0.96</v>
      </c>
      <c r="G761" s="2235" t="s">
        <v>1930</v>
      </c>
      <c r="H761" s="2236"/>
      <c r="I761" s="2385" t="s">
        <v>1715</v>
      </c>
      <c r="J761" s="2386"/>
      <c r="K761" s="2387"/>
      <c r="P761" s="373"/>
      <c r="V761" s="371" t="str">
        <f t="shared" si="127"/>
        <v>ISR</v>
      </c>
      <c r="W761" s="381">
        <v>1</v>
      </c>
      <c r="X761" s="382">
        <v>0.92857142857142905</v>
      </c>
      <c r="Y761" s="351">
        <v>0.96</v>
      </c>
      <c r="Z761" s="382">
        <v>0.96</v>
      </c>
      <c r="AA761" s="382">
        <v>0.96</v>
      </c>
      <c r="AB761" s="381">
        <v>0.96</v>
      </c>
      <c r="AC761" s="381">
        <v>0.96</v>
      </c>
      <c r="AD761" s="381">
        <v>0.96</v>
      </c>
      <c r="AE761" s="381">
        <v>0.96</v>
      </c>
      <c r="AF761" s="258">
        <f t="shared" si="126"/>
        <v>0.96</v>
      </c>
      <c r="AG761" s="381"/>
      <c r="AK761" s="344"/>
    </row>
    <row r="762" spans="2:37" hidden="1" outlineLevel="1" x14ac:dyDescent="0.25">
      <c r="B762" s="561"/>
      <c r="D762" s="338" t="s">
        <v>1931</v>
      </c>
      <c r="E762" s="1359" t="s">
        <v>1932</v>
      </c>
      <c r="F762" s="1516">
        <v>0.55000000000000004</v>
      </c>
      <c r="G762" s="2235" t="s">
        <v>1933</v>
      </c>
      <c r="H762" s="2236"/>
      <c r="I762" s="2385"/>
      <c r="J762" s="2386"/>
      <c r="K762" s="2387"/>
      <c r="P762" s="373"/>
      <c r="V762" s="371" t="str">
        <f t="shared" si="127"/>
        <v>Pipe Diameter</v>
      </c>
      <c r="W762" s="381">
        <v>0.75</v>
      </c>
      <c r="X762" s="351">
        <v>0.55000000000000004</v>
      </c>
      <c r="Y762" s="382">
        <v>0.55000000000000004</v>
      </c>
      <c r="Z762" s="382">
        <v>0.55000000000000004</v>
      </c>
      <c r="AA762" s="382">
        <v>0.55000000000000004</v>
      </c>
      <c r="AB762" s="381">
        <v>0.55000000000000004</v>
      </c>
      <c r="AC762" s="381">
        <v>0.55000000000000004</v>
      </c>
      <c r="AD762" s="381">
        <v>0.55000000000000004</v>
      </c>
      <c r="AE762" s="381">
        <v>0.55000000000000004</v>
      </c>
      <c r="AF762" s="258">
        <f t="shared" si="126"/>
        <v>0.55000000000000004</v>
      </c>
      <c r="AG762" s="381"/>
      <c r="AK762" s="344"/>
    </row>
    <row r="763" spans="2:37" hidden="1" outlineLevel="1" x14ac:dyDescent="0.25">
      <c r="B763" s="561"/>
      <c r="D763" s="1306" t="s">
        <v>1934</v>
      </c>
      <c r="E763" s="1306" t="s">
        <v>1934</v>
      </c>
      <c r="F763" s="1516">
        <v>0.5</v>
      </c>
      <c r="G763" s="2235"/>
      <c r="H763" s="2236"/>
      <c r="I763" s="2385"/>
      <c r="J763" s="2386"/>
      <c r="K763" s="2387"/>
      <c r="P763" s="373"/>
      <c r="V763" s="371" t="str">
        <f t="shared" si="127"/>
        <v>Pipe wrap width</v>
      </c>
      <c r="W763" s="381">
        <v>0.5</v>
      </c>
      <c r="X763" s="170">
        <v>0.5</v>
      </c>
      <c r="Y763" s="170">
        <v>0.5</v>
      </c>
      <c r="Z763" s="170">
        <v>0.5</v>
      </c>
      <c r="AA763" s="170">
        <v>0.5</v>
      </c>
      <c r="AB763" s="381">
        <v>0.5</v>
      </c>
      <c r="AC763" s="381">
        <v>0.5</v>
      </c>
      <c r="AD763" s="381">
        <v>0.5</v>
      </c>
      <c r="AE763" s="381">
        <v>0.5</v>
      </c>
      <c r="AF763" s="258">
        <f t="shared" si="126"/>
        <v>0.5</v>
      </c>
      <c r="AG763" s="381"/>
      <c r="AK763" s="344"/>
    </row>
    <row r="764" spans="2:37" ht="30.75" hidden="1" customHeight="1" outlineLevel="1" x14ac:dyDescent="0.25">
      <c r="B764" s="561"/>
      <c r="C764" s="1333"/>
      <c r="D764" s="1338" t="str">
        <f>D734</f>
        <v>EUL</v>
      </c>
      <c r="E764" s="1338" t="s">
        <v>1935</v>
      </c>
      <c r="F764" s="1510">
        <v>12</v>
      </c>
      <c r="G764" s="2404" t="s">
        <v>1936</v>
      </c>
      <c r="H764" s="2404"/>
      <c r="I764" s="2385"/>
      <c r="J764" s="2386"/>
      <c r="K764" s="2387"/>
      <c r="P764" s="373"/>
      <c r="V764" s="371" t="str">
        <f t="shared" si="127"/>
        <v>EUL</v>
      </c>
      <c r="W764" s="364">
        <v>12</v>
      </c>
      <c r="X764" s="316">
        <v>12</v>
      </c>
      <c r="Y764" s="316">
        <v>12</v>
      </c>
      <c r="Z764" s="242">
        <v>12</v>
      </c>
      <c r="AA764" s="242">
        <v>12</v>
      </c>
      <c r="AB764" s="365">
        <v>12</v>
      </c>
      <c r="AC764" s="365">
        <v>12</v>
      </c>
      <c r="AD764" s="365">
        <v>12</v>
      </c>
      <c r="AE764" s="365">
        <v>12</v>
      </c>
      <c r="AF764" s="258">
        <f t="shared" si="126"/>
        <v>12</v>
      </c>
      <c r="AG764" s="365"/>
      <c r="AK764" s="344"/>
    </row>
    <row r="765" spans="2:37" ht="28.5" hidden="1" customHeight="1" outlineLevel="1" x14ac:dyDescent="0.25">
      <c r="B765" s="561"/>
      <c r="C765" s="1333"/>
      <c r="D765" s="1985" t="s">
        <v>50</v>
      </c>
      <c r="E765" s="1306" t="s">
        <v>1937</v>
      </c>
      <c r="F765" s="1518">
        <v>5.66</v>
      </c>
      <c r="G765" s="2235" t="s">
        <v>1938</v>
      </c>
      <c r="H765" s="2236"/>
      <c r="I765" s="2385"/>
      <c r="J765" s="2386"/>
      <c r="K765" s="2387"/>
      <c r="V765" s="1355"/>
      <c r="W765" s="366">
        <v>7.1</v>
      </c>
      <c r="X765" s="383">
        <v>7.1</v>
      </c>
      <c r="Y765" s="383">
        <v>7.1</v>
      </c>
      <c r="Z765" s="603">
        <v>7.1</v>
      </c>
      <c r="AA765" s="603">
        <v>7.1</v>
      </c>
      <c r="AB765" s="368">
        <v>5.66</v>
      </c>
      <c r="AC765" s="367">
        <v>5.66</v>
      </c>
      <c r="AD765" s="367">
        <v>5.66</v>
      </c>
      <c r="AE765" s="367">
        <v>5.66</v>
      </c>
      <c r="AF765" s="258">
        <f t="shared" si="126"/>
        <v>5.66</v>
      </c>
      <c r="AG765" s="367"/>
      <c r="AK765" s="344"/>
    </row>
    <row r="766" spans="2:37" ht="15" hidden="1" customHeight="1" outlineLevel="1" x14ac:dyDescent="0.25">
      <c r="B766" s="1384"/>
      <c r="D766" s="1335"/>
      <c r="AK766" s="344"/>
    </row>
    <row r="767" spans="2:37" ht="15" customHeight="1" collapsed="1" x14ac:dyDescent="0.25">
      <c r="B767" s="561"/>
      <c r="F767" s="588"/>
      <c r="G767" s="588"/>
      <c r="AK767" s="344"/>
    </row>
    <row r="768" spans="2:37" x14ac:dyDescent="0.25">
      <c r="B768" s="2134" t="s">
        <v>1939</v>
      </c>
      <c r="C768" s="2135"/>
      <c r="D768" s="2135"/>
      <c r="E768" s="2135"/>
      <c r="F768" s="2135"/>
      <c r="G768" s="2135"/>
      <c r="H768" s="2135"/>
      <c r="I768" s="2082"/>
      <c r="J768" s="2082"/>
      <c r="K768" s="2082"/>
      <c r="L768" s="2082"/>
      <c r="M768" s="2082"/>
      <c r="N768" s="2082"/>
      <c r="O768" s="2082"/>
      <c r="P768" s="2082"/>
      <c r="Q768" s="2082"/>
      <c r="R768" s="2083"/>
      <c r="V768" s="2103" t="str">
        <f>B768</f>
        <v>Programmable Thermostat</v>
      </c>
      <c r="W768" s="2104"/>
      <c r="X768" s="2104"/>
      <c r="Y768" s="2104"/>
      <c r="Z768" s="2104"/>
      <c r="AA768" s="2104"/>
      <c r="AB768" s="2104"/>
      <c r="AC768" s="2106"/>
      <c r="AD768" s="2106"/>
      <c r="AE768" s="2106"/>
      <c r="AF768" s="2106"/>
      <c r="AG768" s="2106"/>
      <c r="AH768" s="2106"/>
      <c r="AI768" s="2107"/>
      <c r="AK768" s="344"/>
    </row>
    <row r="769" spans="2:114" x14ac:dyDescent="0.25">
      <c r="B769" s="561"/>
      <c r="D769" s="100" t="s">
        <v>1940</v>
      </c>
      <c r="E769" s="565"/>
      <c r="F769" s="269"/>
      <c r="G769" s="269"/>
      <c r="H769" s="269"/>
      <c r="I769" s="269"/>
      <c r="J769" s="269"/>
      <c r="K769" s="269"/>
      <c r="L769" s="566"/>
      <c r="AK769" s="344"/>
    </row>
    <row r="770" spans="2:114" ht="30" x14ac:dyDescent="0.25">
      <c r="B770" s="561"/>
      <c r="C770" s="1300" t="s">
        <v>42</v>
      </c>
      <c r="D770" s="1300" t="s">
        <v>594</v>
      </c>
      <c r="E770" s="1300" t="s">
        <v>44</v>
      </c>
      <c r="F770" s="1300" t="s">
        <v>45</v>
      </c>
      <c r="G770" s="1300" t="s">
        <v>46</v>
      </c>
      <c r="H770" s="1300" t="s">
        <v>47</v>
      </c>
      <c r="I770" s="1300" t="s">
        <v>48</v>
      </c>
      <c r="J770" s="1312" t="s">
        <v>49</v>
      </c>
      <c r="K770" s="1300" t="s">
        <v>50</v>
      </c>
      <c r="L770" s="1300" t="s">
        <v>51</v>
      </c>
      <c r="V770" s="648" t="s">
        <v>52</v>
      </c>
      <c r="W770" s="649">
        <f>W$6</f>
        <v>43252</v>
      </c>
      <c r="X770" s="649">
        <f t="shared" ref="X770:AG770" si="128">X$6</f>
        <v>43465</v>
      </c>
      <c r="Y770" s="110">
        <f t="shared" si="128"/>
        <v>43800</v>
      </c>
      <c r="Z770" s="649">
        <f t="shared" si="128"/>
        <v>43862</v>
      </c>
      <c r="AA770" s="649">
        <f t="shared" si="128"/>
        <v>44013</v>
      </c>
      <c r="AB770" s="649">
        <f t="shared" si="128"/>
        <v>44166</v>
      </c>
      <c r="AC770" s="649">
        <f t="shared" si="128"/>
        <v>44531</v>
      </c>
      <c r="AD770" s="649">
        <f t="shared" si="128"/>
        <v>44774</v>
      </c>
      <c r="AE770" s="649">
        <f t="shared" si="128"/>
        <v>45139</v>
      </c>
      <c r="AF770" s="649">
        <f t="shared" si="128"/>
        <v>45672</v>
      </c>
      <c r="AG770" s="649" t="str">
        <f t="shared" si="128"/>
        <v>-</v>
      </c>
      <c r="AK770" s="344"/>
      <c r="DG770" s="1018" t="str">
        <f>$DG$6</f>
        <v>TRC (2025)</v>
      </c>
      <c r="DH770" s="776" t="str">
        <f>$DH$6</f>
        <v>Benefit Lookup</v>
      </c>
      <c r="DI770" s="1034" t="str">
        <f>$DI$6</f>
        <v>Benefits (2025 $)</v>
      </c>
      <c r="DJ770" s="1126" t="str">
        <f>$DJ$6</f>
        <v>Incremental Cost (2025 $)</v>
      </c>
    </row>
    <row r="771" spans="2:114" x14ac:dyDescent="0.25">
      <c r="B771" s="1384">
        <f t="shared" ref="B771:B782" si="129">VALUE(LEFT(C771,6))</f>
        <v>403800</v>
      </c>
      <c r="C771" s="1331" t="s">
        <v>1941</v>
      </c>
      <c r="D771" s="551" t="s">
        <v>600</v>
      </c>
      <c r="E771" s="950" t="s">
        <v>1942</v>
      </c>
      <c r="F771" s="305">
        <f>ROUND($F$793*$F$794*1/$F$800*$F$801*$F$802*$F$803/1000,2)*0</f>
        <v>0</v>
      </c>
      <c r="G771" s="1331" t="s">
        <v>688</v>
      </c>
      <c r="H771" s="66">
        <f>VLOOKUP(G771,'CP FACTORS'!$A$3:$B$38, 2, FALSE)</f>
        <v>9.4741810000000004E-4</v>
      </c>
      <c r="I771" s="940">
        <f>ROUND(F771*H771,6)</f>
        <v>0</v>
      </c>
      <c r="J771" s="128">
        <f t="shared" ref="J771:J782" si="130">$F$826</f>
        <v>10</v>
      </c>
      <c r="K771" s="129">
        <f>$F$828</f>
        <v>70</v>
      </c>
      <c r="L771" s="1331" t="s">
        <v>62</v>
      </c>
      <c r="R771" s="521"/>
      <c r="V771" s="342" t="str">
        <f>F770</f>
        <v>kWh Annual Savings</v>
      </c>
      <c r="W771" s="328">
        <v>102.44464690909089</v>
      </c>
      <c r="X771" s="124">
        <v>439.92233999999996</v>
      </c>
      <c r="Y771" s="192">
        <v>201.39</v>
      </c>
      <c r="Z771" s="173">
        <v>201.39</v>
      </c>
      <c r="AA771" s="173">
        <v>201.39</v>
      </c>
      <c r="AB771" s="173">
        <v>201.39</v>
      </c>
      <c r="AC771" s="173">
        <v>201.39</v>
      </c>
      <c r="AD771" s="173">
        <v>201.39</v>
      </c>
      <c r="AE771" s="173">
        <v>201.39</v>
      </c>
      <c r="AF771" s="258">
        <f t="shared" ref="AF771:AF782" si="131">IF(F771&lt;&gt;"",F771,"")</f>
        <v>0</v>
      </c>
      <c r="AG771" s="68"/>
      <c r="AH771" s="115"/>
      <c r="AK771" s="344"/>
      <c r="DG771" s="1020">
        <f>(DI771+DI772)/(DJ771+DJ772)</f>
        <v>0</v>
      </c>
      <c r="DH771" s="126" t="str">
        <f>CONCATENATE(G771," ",J771," Year EUL")</f>
        <v>Cooling RES 10 Year EUL</v>
      </c>
      <c r="DI771" s="969">
        <f>(INDEX('Avoided Cost Benefits'!$B$4:$B$865,MATCH(DH771,'Avoided Cost Benefits'!$A$4:$A$865,0)))*F771</f>
        <v>0</v>
      </c>
      <c r="DJ771" s="1951">
        <f t="shared" ref="DJ771:DJ782" si="132">IFERROR(K771/((1+DiscountRate)^(CurrentYear-DiscountYear)),0)</f>
        <v>70</v>
      </c>
    </row>
    <row r="772" spans="2:114" x14ac:dyDescent="0.25">
      <c r="B772" s="1384">
        <f t="shared" si="129"/>
        <v>403800</v>
      </c>
      <c r="C772" s="1331" t="s">
        <v>1941</v>
      </c>
      <c r="D772" s="551" t="s">
        <v>600</v>
      </c>
      <c r="E772" s="951" t="s">
        <v>1942</v>
      </c>
      <c r="F772" s="305">
        <f>ROUND($F$804*$F$810*$F$811*(1/$F$817)*$F$823*$F$824*$F$825/1000,2)*0</f>
        <v>0</v>
      </c>
      <c r="G772" s="1331" t="s">
        <v>689</v>
      </c>
      <c r="H772" s="66">
        <f>VLOOKUP(G772,'CP FACTORS'!$A$3:$B$38, 2, FALSE)</f>
        <v>0</v>
      </c>
      <c r="I772" s="940">
        <f t="shared" ref="I772:I782" si="133">ROUND(F772*H772,6)</f>
        <v>0</v>
      </c>
      <c r="J772" s="128">
        <f t="shared" si="130"/>
        <v>10</v>
      </c>
      <c r="K772" s="129">
        <v>0</v>
      </c>
      <c r="L772" s="1331" t="s">
        <v>62</v>
      </c>
      <c r="R772" s="521"/>
      <c r="V772" s="342" t="str">
        <f>V771</f>
        <v>kWh Annual Savings</v>
      </c>
      <c r="W772" s="328">
        <v>338.97776639999995</v>
      </c>
      <c r="X772" s="124">
        <v>48.891023999999994</v>
      </c>
      <c r="Y772" s="192">
        <v>30.37</v>
      </c>
      <c r="Z772" s="173">
        <v>30.37</v>
      </c>
      <c r="AA772" s="173">
        <v>30.37</v>
      </c>
      <c r="AB772" s="173">
        <v>30.37</v>
      </c>
      <c r="AC772" s="173">
        <v>30.37</v>
      </c>
      <c r="AD772" s="173">
        <v>30.37</v>
      </c>
      <c r="AE772" s="173">
        <v>30.37</v>
      </c>
      <c r="AF772" s="258">
        <f t="shared" si="131"/>
        <v>0</v>
      </c>
      <c r="AG772" s="68"/>
      <c r="AH772" s="115"/>
      <c r="AK772" s="344"/>
      <c r="DG772" s="1038"/>
      <c r="DH772" s="893" t="str">
        <f t="shared" ref="DH772:DH782" si="134">CONCATENATE(G772," ",J772," Year EUL")</f>
        <v>Heating RES 10 Year EUL</v>
      </c>
      <c r="DI772" s="538">
        <f>(INDEX('Avoided Cost Benefits'!$B$4:$B$865,MATCH(DH772,'Avoided Cost Benefits'!$A$4:$A$865,0)))*F772</f>
        <v>0</v>
      </c>
      <c r="DJ772" s="1952">
        <f t="shared" si="132"/>
        <v>0</v>
      </c>
    </row>
    <row r="773" spans="2:114" x14ac:dyDescent="0.25">
      <c r="B773" s="1384">
        <f t="shared" si="129"/>
        <v>403850</v>
      </c>
      <c r="C773" s="1331" t="s">
        <v>1943</v>
      </c>
      <c r="D773" s="551" t="s">
        <v>825</v>
      </c>
      <c r="E773" s="950" t="s">
        <v>1944</v>
      </c>
      <c r="F773" s="305">
        <f>ROUND(F793*F795*1/F$800*F$801*F$802*F$803/1000,2)*0</f>
        <v>0</v>
      </c>
      <c r="G773" s="1331" t="s">
        <v>688</v>
      </c>
      <c r="H773" s="66">
        <f>VLOOKUP(G773,'CP FACTORS'!$A$3:$B$38, 2, FALSE)</f>
        <v>9.4741810000000004E-4</v>
      </c>
      <c r="I773" s="940">
        <f t="shared" si="133"/>
        <v>0</v>
      </c>
      <c r="J773" s="128">
        <f t="shared" si="130"/>
        <v>10</v>
      </c>
      <c r="K773" s="129">
        <f>$F$828</f>
        <v>70</v>
      </c>
      <c r="L773" s="1331" t="s">
        <v>62</v>
      </c>
      <c r="R773" s="521"/>
      <c r="V773" s="342" t="e">
        <f>#REF!</f>
        <v>#REF!</v>
      </c>
      <c r="W773" s="328">
        <v>157.60714909090908</v>
      </c>
      <c r="X773" s="124">
        <v>750.57839999999999</v>
      </c>
      <c r="Y773" s="192">
        <v>358.2</v>
      </c>
      <c r="Z773" s="173">
        <v>358.2</v>
      </c>
      <c r="AA773" s="173">
        <v>358.2</v>
      </c>
      <c r="AB773" s="173">
        <v>358.2</v>
      </c>
      <c r="AC773" s="173">
        <v>358.2</v>
      </c>
      <c r="AD773" s="173">
        <v>358.2</v>
      </c>
      <c r="AE773" s="173">
        <v>358.2</v>
      </c>
      <c r="AF773" s="258">
        <f t="shared" si="131"/>
        <v>0</v>
      </c>
      <c r="AG773" s="68"/>
      <c r="AH773" s="115"/>
      <c r="AK773" s="344"/>
      <c r="DG773" s="1021">
        <f>(DI773+DI774)/(DJ773+DJ774)</f>
        <v>0</v>
      </c>
      <c r="DH773" s="126" t="str">
        <f t="shared" si="134"/>
        <v>Cooling RES 10 Year EUL</v>
      </c>
      <c r="DI773" s="538">
        <f>(INDEX('Avoided Cost Benefits'!$B$4:$B$865,MATCH(DH773,'Avoided Cost Benefits'!$A$4:$A$865,0)))*F773</f>
        <v>0</v>
      </c>
      <c r="DJ773" s="1952">
        <f t="shared" si="132"/>
        <v>70</v>
      </c>
    </row>
    <row r="774" spans="2:114" x14ac:dyDescent="0.25">
      <c r="B774" s="1384">
        <f t="shared" si="129"/>
        <v>403850</v>
      </c>
      <c r="C774" s="1331" t="s">
        <v>1943</v>
      </c>
      <c r="D774" s="551" t="s">
        <v>825</v>
      </c>
      <c r="E774" s="951" t="s">
        <v>1944</v>
      </c>
      <c r="F774" s="305">
        <f>ROUND(F805*F810*F812*(1/F818)*F$823*F$824*F$825/1000,2)*0</f>
        <v>0</v>
      </c>
      <c r="G774" s="1331" t="s">
        <v>689</v>
      </c>
      <c r="H774" s="66">
        <f>VLOOKUP(G774,'CP FACTORS'!$A$3:$B$38, 2, FALSE)</f>
        <v>0</v>
      </c>
      <c r="I774" s="940">
        <f t="shared" si="133"/>
        <v>0</v>
      </c>
      <c r="J774" s="128">
        <f t="shared" si="130"/>
        <v>10</v>
      </c>
      <c r="K774" s="129">
        <v>0</v>
      </c>
      <c r="L774" s="1331" t="s">
        <v>62</v>
      </c>
      <c r="R774" s="521"/>
      <c r="V774" s="342" t="e">
        <f t="shared" ref="V774:V782" si="135">V773</f>
        <v>#REF!</v>
      </c>
      <c r="W774" s="328">
        <v>521.50425599999994</v>
      </c>
      <c r="X774" s="124">
        <v>135.59110655999999</v>
      </c>
      <c r="Y774" s="192">
        <v>87.38</v>
      </c>
      <c r="Z774" s="173">
        <v>87.38</v>
      </c>
      <c r="AA774" s="173">
        <v>87.38</v>
      </c>
      <c r="AB774" s="173">
        <v>87.38</v>
      </c>
      <c r="AC774" s="173">
        <v>87.38</v>
      </c>
      <c r="AD774" s="173">
        <v>87.38</v>
      </c>
      <c r="AE774" s="173">
        <v>87.38</v>
      </c>
      <c r="AF774" s="258">
        <f t="shared" si="131"/>
        <v>0</v>
      </c>
      <c r="AG774" s="68"/>
      <c r="AH774" s="115"/>
      <c r="AK774" s="344"/>
      <c r="DG774" s="1038"/>
      <c r="DH774" s="893" t="str">
        <f t="shared" si="134"/>
        <v>Heating RES 10 Year EUL</v>
      </c>
      <c r="DI774" s="538">
        <f>(INDEX('Avoided Cost Benefits'!$B$4:$B$865,MATCH(DH774,'Avoided Cost Benefits'!$A$4:$A$865,0)))*F774</f>
        <v>0</v>
      </c>
      <c r="DJ774" s="1952">
        <f t="shared" si="132"/>
        <v>0</v>
      </c>
    </row>
    <row r="775" spans="2:114" x14ac:dyDescent="0.25">
      <c r="B775" s="1384">
        <f t="shared" si="129"/>
        <v>403900</v>
      </c>
      <c r="C775" s="1331" t="s">
        <v>1945</v>
      </c>
      <c r="D775" s="551" t="s">
        <v>600</v>
      </c>
      <c r="E775" s="950" t="s">
        <v>1946</v>
      </c>
      <c r="F775" s="305">
        <f>ROUND($F$793*$F$796*1/$F$800*$F$801*$F$802*$F$803/1000,2)*0</f>
        <v>0</v>
      </c>
      <c r="G775" s="1331" t="s">
        <v>688</v>
      </c>
      <c r="H775" s="66">
        <f>VLOOKUP(G775,'CP FACTORS'!$A$3:$B$38, 2, FALSE)</f>
        <v>9.4741810000000004E-4</v>
      </c>
      <c r="I775" s="940">
        <f t="shared" si="133"/>
        <v>0</v>
      </c>
      <c r="J775" s="128">
        <f t="shared" si="130"/>
        <v>10</v>
      </c>
      <c r="K775" s="129">
        <f>$F$828</f>
        <v>70</v>
      </c>
      <c r="L775" s="1331" t="s">
        <v>62</v>
      </c>
      <c r="R775" s="521"/>
      <c r="V775" s="342" t="e">
        <f t="shared" si="135"/>
        <v>#REF!</v>
      </c>
      <c r="W775" s="328">
        <v>102.44464690909089</v>
      </c>
      <c r="X775" s="124">
        <v>439.92233999999996</v>
      </c>
      <c r="Y775" s="192">
        <v>201.39</v>
      </c>
      <c r="Z775" s="173">
        <v>201.39</v>
      </c>
      <c r="AA775" s="173">
        <v>201.39</v>
      </c>
      <c r="AB775" s="173">
        <v>201.39</v>
      </c>
      <c r="AC775" s="173">
        <v>201.39</v>
      </c>
      <c r="AD775" s="173">
        <v>201.39</v>
      </c>
      <c r="AE775" s="173">
        <v>201.39</v>
      </c>
      <c r="AF775" s="258">
        <f t="shared" si="131"/>
        <v>0</v>
      </c>
      <c r="AG775" s="68"/>
      <c r="AH775" s="115"/>
      <c r="AK775" s="344"/>
      <c r="DG775" s="1021">
        <f>(DI775+DI776)/(DJ775+DJ776)</f>
        <v>0</v>
      </c>
      <c r="DH775" s="126" t="str">
        <f t="shared" si="134"/>
        <v>Cooling RES 10 Year EUL</v>
      </c>
      <c r="DI775" s="538">
        <f>(INDEX('Avoided Cost Benefits'!$B$4:$B$865,MATCH(DH775,'Avoided Cost Benefits'!$A$4:$A$865,0)))*F775</f>
        <v>0</v>
      </c>
      <c r="DJ775" s="1952">
        <f t="shared" si="132"/>
        <v>70</v>
      </c>
    </row>
    <row r="776" spans="2:114" x14ac:dyDescent="0.25">
      <c r="B776" s="1384">
        <f t="shared" si="129"/>
        <v>403900</v>
      </c>
      <c r="C776" s="1331" t="s">
        <v>1945</v>
      </c>
      <c r="D776" s="551" t="s">
        <v>600</v>
      </c>
      <c r="E776" s="951" t="s">
        <v>1946</v>
      </c>
      <c r="F776" s="305">
        <f>ROUND($F$806*$F$810*$F$813*(1/$F$819)*$F$823*$F$824*$F$825/1000,2)*0</f>
        <v>0</v>
      </c>
      <c r="G776" s="1331" t="s">
        <v>689</v>
      </c>
      <c r="H776" s="66">
        <f>VLOOKUP(G776,'CP FACTORS'!$A$3:$B$38, 2, FALSE)</f>
        <v>0</v>
      </c>
      <c r="I776" s="940">
        <f t="shared" si="133"/>
        <v>0</v>
      </c>
      <c r="J776" s="128">
        <f t="shared" si="130"/>
        <v>10</v>
      </c>
      <c r="K776" s="129">
        <v>0</v>
      </c>
      <c r="L776" s="1331" t="s">
        <v>62</v>
      </c>
      <c r="R776" s="521"/>
      <c r="V776" s="342" t="e">
        <f t="shared" si="135"/>
        <v>#REF!</v>
      </c>
      <c r="W776" s="328">
        <v>576.26220288000002</v>
      </c>
      <c r="X776" s="124">
        <v>100.36280586510264</v>
      </c>
      <c r="Y776" s="192">
        <v>62.33</v>
      </c>
      <c r="Z776" s="173">
        <v>62.33</v>
      </c>
      <c r="AA776" s="173">
        <v>62.33</v>
      </c>
      <c r="AB776" s="173">
        <v>62.33</v>
      </c>
      <c r="AC776" s="173">
        <v>62.33</v>
      </c>
      <c r="AD776" s="173">
        <v>62.33</v>
      </c>
      <c r="AE776" s="173">
        <v>62.33</v>
      </c>
      <c r="AF776" s="258">
        <f t="shared" si="131"/>
        <v>0</v>
      </c>
      <c r="AG776" s="68"/>
      <c r="AH776" s="115"/>
      <c r="AK776" s="344"/>
      <c r="DG776" s="1038"/>
      <c r="DH776" s="893" t="str">
        <f t="shared" si="134"/>
        <v>Heating RES 10 Year EUL</v>
      </c>
      <c r="DI776" s="538">
        <f>(INDEX('Avoided Cost Benefits'!$B$4:$B$865,MATCH(DH776,'Avoided Cost Benefits'!$A$4:$A$865,0)))*F776</f>
        <v>0</v>
      </c>
      <c r="DJ776" s="1952">
        <f t="shared" si="132"/>
        <v>0</v>
      </c>
    </row>
    <row r="777" spans="2:114" x14ac:dyDescent="0.25">
      <c r="B777" s="1384">
        <f t="shared" si="129"/>
        <v>403950</v>
      </c>
      <c r="C777" s="1331" t="s">
        <v>1947</v>
      </c>
      <c r="D777" s="551" t="s">
        <v>825</v>
      </c>
      <c r="E777" s="950" t="s">
        <v>1948</v>
      </c>
      <c r="F777" s="305">
        <f>ROUND(F793*F797*1/F$800*F$801*F$802*F$803/1000,2)*0</f>
        <v>0</v>
      </c>
      <c r="G777" s="1331" t="s">
        <v>688</v>
      </c>
      <c r="H777" s="66">
        <f>VLOOKUP(G777,'CP FACTORS'!$A$3:$B$38, 2, FALSE)</f>
        <v>9.4741810000000004E-4</v>
      </c>
      <c r="I777" s="940">
        <f t="shared" si="133"/>
        <v>0</v>
      </c>
      <c r="J777" s="128">
        <f t="shared" si="130"/>
        <v>10</v>
      </c>
      <c r="K777" s="129">
        <f>$F$828</f>
        <v>70</v>
      </c>
      <c r="L777" s="1331" t="s">
        <v>62</v>
      </c>
      <c r="R777" s="521"/>
      <c r="V777" s="342" t="e">
        <f>#REF!</f>
        <v>#REF!</v>
      </c>
      <c r="W777" s="328">
        <v>157.60714909090908</v>
      </c>
      <c r="X777" s="124">
        <v>750.57839999999999</v>
      </c>
      <c r="Y777" s="192">
        <v>358.2</v>
      </c>
      <c r="Z777" s="173">
        <v>358.2</v>
      </c>
      <c r="AA777" s="173">
        <v>358.2</v>
      </c>
      <c r="AB777" s="173">
        <v>358.2</v>
      </c>
      <c r="AC777" s="173">
        <v>358.2</v>
      </c>
      <c r="AD777" s="173">
        <v>358.2</v>
      </c>
      <c r="AE777" s="173">
        <v>358.2</v>
      </c>
      <c r="AF777" s="258">
        <f t="shared" si="131"/>
        <v>0</v>
      </c>
      <c r="AG777" s="68"/>
      <c r="AH777" s="115"/>
      <c r="AK777" s="344"/>
      <c r="DG777" s="1021">
        <f>(DI777+DI778)/(DJ777+DJ778)</f>
        <v>0</v>
      </c>
      <c r="DH777" s="126" t="str">
        <f t="shared" si="134"/>
        <v>Cooling RES 10 Year EUL</v>
      </c>
      <c r="DI777" s="538">
        <f>(INDEX('Avoided Cost Benefits'!$B$4:$B$865,MATCH(DH777,'Avoided Cost Benefits'!$A$4:$A$865,0)))*F777</f>
        <v>0</v>
      </c>
      <c r="DJ777" s="1952">
        <f t="shared" si="132"/>
        <v>70</v>
      </c>
    </row>
    <row r="778" spans="2:114" x14ac:dyDescent="0.25">
      <c r="B778" s="1384">
        <f t="shared" si="129"/>
        <v>403950</v>
      </c>
      <c r="C778" s="1331" t="s">
        <v>1947</v>
      </c>
      <c r="D778" s="551" t="s">
        <v>825</v>
      </c>
      <c r="E778" s="951" t="s">
        <v>1948</v>
      </c>
      <c r="F778" s="305">
        <f>ROUND(F807*F810*F814*(1/F820)*F$823*F$824*F$825/1000,2)*0</f>
        <v>0</v>
      </c>
      <c r="G778" s="1331" t="s">
        <v>689</v>
      </c>
      <c r="H778" s="66">
        <f>VLOOKUP(G778,'CP FACTORS'!$A$3:$B$38, 2, FALSE)</f>
        <v>0</v>
      </c>
      <c r="I778" s="940">
        <f t="shared" si="133"/>
        <v>0</v>
      </c>
      <c r="J778" s="128">
        <f t="shared" si="130"/>
        <v>10</v>
      </c>
      <c r="K778" s="129">
        <v>0</v>
      </c>
      <c r="L778" s="1331" t="s">
        <v>62</v>
      </c>
      <c r="R778" s="521"/>
      <c r="V778" s="342" t="e">
        <f t="shared" si="135"/>
        <v>#REF!</v>
      </c>
      <c r="W778" s="328">
        <v>886.55723520000015</v>
      </c>
      <c r="X778" s="124">
        <v>230.64007463068151</v>
      </c>
      <c r="Y778" s="192">
        <v>148.63</v>
      </c>
      <c r="Z778" s="173">
        <v>148.63</v>
      </c>
      <c r="AA778" s="173">
        <v>148.63</v>
      </c>
      <c r="AB778" s="173">
        <v>148.63</v>
      </c>
      <c r="AC778" s="173">
        <v>148.63</v>
      </c>
      <c r="AD778" s="173">
        <v>148.63</v>
      </c>
      <c r="AE778" s="173">
        <v>148.63</v>
      </c>
      <c r="AF778" s="258">
        <f t="shared" si="131"/>
        <v>0</v>
      </c>
      <c r="AG778" s="68"/>
      <c r="AH778" s="115"/>
      <c r="AK778" s="344"/>
      <c r="DG778" s="1038"/>
      <c r="DH778" s="893" t="str">
        <f t="shared" si="134"/>
        <v>Heating RES 10 Year EUL</v>
      </c>
      <c r="DI778" s="538">
        <f>(INDEX('Avoided Cost Benefits'!$B$4:$B$865,MATCH(DH778,'Avoided Cost Benefits'!$A$4:$A$865,0)))*F778</f>
        <v>0</v>
      </c>
      <c r="DJ778" s="1952">
        <f t="shared" si="132"/>
        <v>0</v>
      </c>
    </row>
    <row r="779" spans="2:114" x14ac:dyDescent="0.25">
      <c r="B779" s="1384">
        <f t="shared" si="129"/>
        <v>404000</v>
      </c>
      <c r="C779" s="1331" t="s">
        <v>1949</v>
      </c>
      <c r="D779" s="551" t="s">
        <v>600</v>
      </c>
      <c r="E779" s="950" t="s">
        <v>1950</v>
      </c>
      <c r="F779" s="305">
        <f>ROUND($F$793*$F$798*1/$F$800*$F$801*$F$802*$F$803/1000,2)*0</f>
        <v>0</v>
      </c>
      <c r="G779" s="1331" t="s">
        <v>688</v>
      </c>
      <c r="H779" s="66">
        <f>VLOOKUP(G779,'CP FACTORS'!$A$3:$B$38, 2, FALSE)</f>
        <v>9.4741810000000004E-4</v>
      </c>
      <c r="I779" s="940">
        <f t="shared" si="133"/>
        <v>0</v>
      </c>
      <c r="J779" s="128">
        <f t="shared" si="130"/>
        <v>10</v>
      </c>
      <c r="K779" s="129">
        <f>$F$828</f>
        <v>70</v>
      </c>
      <c r="L779" s="1331" t="s">
        <v>62</v>
      </c>
      <c r="R779" s="521"/>
      <c r="V779" s="342" t="e">
        <f t="shared" si="135"/>
        <v>#REF!</v>
      </c>
      <c r="W779" s="328">
        <v>102.44464690909089</v>
      </c>
      <c r="X779" s="124">
        <v>439.92233999999996</v>
      </c>
      <c r="Y779" s="192">
        <v>201.38901200000001</v>
      </c>
      <c r="Z779" s="173">
        <v>201.38901200000001</v>
      </c>
      <c r="AA779" s="173">
        <v>201.38901200000001</v>
      </c>
      <c r="AB779" s="173">
        <v>201.38901200000001</v>
      </c>
      <c r="AC779" s="173">
        <v>201.38901200000001</v>
      </c>
      <c r="AD779" s="173">
        <v>201.38901200000001</v>
      </c>
      <c r="AE779" s="173">
        <v>201.38901200000001</v>
      </c>
      <c r="AF779" s="258">
        <f t="shared" si="131"/>
        <v>0</v>
      </c>
      <c r="AG779" s="68"/>
      <c r="AH779" s="115"/>
      <c r="AK779" s="344"/>
      <c r="DG779" s="1021">
        <f>(DI779+DI780)/(DJ779+DJ780)</f>
        <v>0</v>
      </c>
      <c r="DH779" s="126" t="str">
        <f t="shared" si="134"/>
        <v>Cooling RES 10 Year EUL</v>
      </c>
      <c r="DI779" s="538">
        <f>(INDEX('Avoided Cost Benefits'!$B$4:$B$865,MATCH(DH779,'Avoided Cost Benefits'!$A$4:$A$865,0)))*F779</f>
        <v>0</v>
      </c>
      <c r="DJ779" s="1952">
        <f t="shared" si="132"/>
        <v>70</v>
      </c>
    </row>
    <row r="780" spans="2:114" x14ac:dyDescent="0.25">
      <c r="B780" s="1384">
        <f t="shared" si="129"/>
        <v>404000</v>
      </c>
      <c r="C780" s="1331" t="s">
        <v>1949</v>
      </c>
      <c r="D780" s="551" t="s">
        <v>600</v>
      </c>
      <c r="E780" s="951" t="s">
        <v>1950</v>
      </c>
      <c r="F780" s="305">
        <v>0</v>
      </c>
      <c r="G780" s="1331" t="s">
        <v>689</v>
      </c>
      <c r="H780" s="66">
        <f>VLOOKUP(G780,'CP FACTORS'!$A$3:$B$38, 2, FALSE)</f>
        <v>0</v>
      </c>
      <c r="I780" s="940">
        <f t="shared" si="133"/>
        <v>0</v>
      </c>
      <c r="J780" s="128">
        <f t="shared" si="130"/>
        <v>10</v>
      </c>
      <c r="K780" s="129">
        <v>0</v>
      </c>
      <c r="L780" s="1331" t="s">
        <v>62</v>
      </c>
      <c r="R780" s="521"/>
      <c r="V780" s="342" t="e">
        <f t="shared" si="135"/>
        <v>#REF!</v>
      </c>
      <c r="W780" s="328">
        <v>0</v>
      </c>
      <c r="X780" s="124">
        <v>0</v>
      </c>
      <c r="Y780" s="192">
        <v>0</v>
      </c>
      <c r="Z780" s="173">
        <v>0</v>
      </c>
      <c r="AA780" s="173">
        <v>0</v>
      </c>
      <c r="AB780" s="173">
        <v>0</v>
      </c>
      <c r="AC780" s="173">
        <v>0</v>
      </c>
      <c r="AD780" s="173">
        <v>0</v>
      </c>
      <c r="AE780" s="173">
        <v>0</v>
      </c>
      <c r="AF780" s="258">
        <f t="shared" si="131"/>
        <v>0</v>
      </c>
      <c r="AG780" s="68"/>
      <c r="AH780" s="115"/>
      <c r="AK780" s="344"/>
      <c r="DG780" s="1038"/>
      <c r="DH780" s="893" t="str">
        <f t="shared" si="134"/>
        <v>Heating RES 10 Year EUL</v>
      </c>
      <c r="DI780" s="538">
        <f>(INDEX('Avoided Cost Benefits'!$B$4:$B$865,MATCH(DH780,'Avoided Cost Benefits'!$A$4:$A$865,0)))*F780</f>
        <v>0</v>
      </c>
      <c r="DJ780" s="1952">
        <f t="shared" si="132"/>
        <v>0</v>
      </c>
    </row>
    <row r="781" spans="2:114" x14ac:dyDescent="0.25">
      <c r="B781" s="1384">
        <f t="shared" si="129"/>
        <v>404050</v>
      </c>
      <c r="C781" s="1331" t="s">
        <v>1951</v>
      </c>
      <c r="D781" s="551" t="s">
        <v>825</v>
      </c>
      <c r="E781" s="950" t="s">
        <v>1952</v>
      </c>
      <c r="F781" s="305">
        <f>ROUND(F793*F799*1/F$800*F$801*F$802*F$803/1000,2)*0</f>
        <v>0</v>
      </c>
      <c r="G781" s="1331" t="s">
        <v>688</v>
      </c>
      <c r="H781" s="66">
        <f>VLOOKUP(G781,'CP FACTORS'!$A$3:$B$38, 2, FALSE)</f>
        <v>9.4741810000000004E-4</v>
      </c>
      <c r="I781" s="940">
        <f t="shared" si="133"/>
        <v>0</v>
      </c>
      <c r="J781" s="128">
        <f t="shared" si="130"/>
        <v>10</v>
      </c>
      <c r="K781" s="129">
        <f>$F$828</f>
        <v>70</v>
      </c>
      <c r="L781" s="1331" t="s">
        <v>62</v>
      </c>
      <c r="R781" s="521"/>
      <c r="V781" s="342" t="e">
        <f>#REF!</f>
        <v>#REF!</v>
      </c>
      <c r="W781" s="328">
        <v>157.60714909090908</v>
      </c>
      <c r="X781" s="124">
        <v>750.57839999999999</v>
      </c>
      <c r="Y781" s="192">
        <v>358.2</v>
      </c>
      <c r="Z781" s="173">
        <v>358.2</v>
      </c>
      <c r="AA781" s="173">
        <v>358.2</v>
      </c>
      <c r="AB781" s="173">
        <v>358.2</v>
      </c>
      <c r="AC781" s="173">
        <v>358.2</v>
      </c>
      <c r="AD781" s="173">
        <v>358.2</v>
      </c>
      <c r="AE781" s="173">
        <v>358.2</v>
      </c>
      <c r="AF781" s="258">
        <f t="shared" si="131"/>
        <v>0</v>
      </c>
      <c r="AG781" s="68"/>
      <c r="AH781" s="115"/>
      <c r="AK781" s="344"/>
      <c r="DG781" s="1021">
        <f>(DI781+DI782)/(DJ781+DJ782)</f>
        <v>0</v>
      </c>
      <c r="DH781" s="126" t="str">
        <f t="shared" si="134"/>
        <v>Cooling RES 10 Year EUL</v>
      </c>
      <c r="DI781" s="538">
        <f>(INDEX('Avoided Cost Benefits'!$B$4:$B$865,MATCH(DH781,'Avoided Cost Benefits'!$A$4:$A$865,0)))*F781</f>
        <v>0</v>
      </c>
      <c r="DJ781" s="1952">
        <f t="shared" si="132"/>
        <v>70</v>
      </c>
    </row>
    <row r="782" spans="2:114" x14ac:dyDescent="0.25">
      <c r="B782" s="1384">
        <f t="shared" si="129"/>
        <v>404050</v>
      </c>
      <c r="C782" s="1331" t="s">
        <v>1951</v>
      </c>
      <c r="D782" s="551" t="s">
        <v>825</v>
      </c>
      <c r="E782" s="951" t="s">
        <v>1952</v>
      </c>
      <c r="F782" s="305">
        <v>0</v>
      </c>
      <c r="G782" s="1331" t="s">
        <v>689</v>
      </c>
      <c r="H782" s="66">
        <f>VLOOKUP(G782,'CP FACTORS'!$A$3:$B$38, 2, FALSE)</f>
        <v>0</v>
      </c>
      <c r="I782" s="940">
        <f t="shared" si="133"/>
        <v>0</v>
      </c>
      <c r="J782" s="128">
        <f t="shared" si="130"/>
        <v>10</v>
      </c>
      <c r="K782" s="129">
        <v>0</v>
      </c>
      <c r="L782" s="1331" t="s">
        <v>62</v>
      </c>
      <c r="R782" s="521"/>
      <c r="V782" s="342" t="e">
        <f t="shared" si="135"/>
        <v>#REF!</v>
      </c>
      <c r="W782" s="328">
        <v>0</v>
      </c>
      <c r="X782" s="124">
        <v>0</v>
      </c>
      <c r="Y782" s="192">
        <v>0</v>
      </c>
      <c r="Z782" s="173">
        <v>0</v>
      </c>
      <c r="AA782" s="173">
        <v>0</v>
      </c>
      <c r="AB782" s="173">
        <v>0</v>
      </c>
      <c r="AC782" s="173">
        <v>0</v>
      </c>
      <c r="AD782" s="173">
        <v>0</v>
      </c>
      <c r="AE782" s="173">
        <v>0</v>
      </c>
      <c r="AF782" s="258">
        <f t="shared" si="131"/>
        <v>0</v>
      </c>
      <c r="AG782" s="68"/>
      <c r="AH782" s="115"/>
      <c r="AK782" s="344"/>
      <c r="DG782" s="1038"/>
      <c r="DH782" s="893" t="str">
        <f t="shared" si="134"/>
        <v>Heating RES 10 Year EUL</v>
      </c>
      <c r="DI782" s="538">
        <f>(INDEX('Avoided Cost Benefits'!$B$4:$B$865,MATCH(DH782,'Avoided Cost Benefits'!$A$4:$A$865,0)))*F782</f>
        <v>0</v>
      </c>
      <c r="DJ782" s="1952">
        <f t="shared" si="132"/>
        <v>0</v>
      </c>
    </row>
    <row r="783" spans="2:114" hidden="1" outlineLevel="1" x14ac:dyDescent="0.25">
      <c r="B783" s="561"/>
      <c r="D783" s="71" t="s">
        <v>94</v>
      </c>
      <c r="E783" s="127" t="s">
        <v>1953</v>
      </c>
      <c r="F783" s="941"/>
      <c r="AK783" s="344"/>
    </row>
    <row r="784" spans="2:114" ht="18" hidden="1" customHeight="1" outlineLevel="1" x14ac:dyDescent="0.25">
      <c r="B784" s="561"/>
      <c r="D784" s="74" t="s">
        <v>604</v>
      </c>
      <c r="E784" s="1092" t="s">
        <v>1954</v>
      </c>
      <c r="F784" s="286"/>
      <c r="G784" s="286"/>
      <c r="H784" s="286"/>
      <c r="I784" s="1206"/>
      <c r="J784" s="1206"/>
      <c r="K784" s="1206"/>
      <c r="L784" s="1206"/>
      <c r="AK784" s="344"/>
    </row>
    <row r="785" spans="2:37" hidden="1" outlineLevel="1" x14ac:dyDescent="0.25">
      <c r="B785" s="561"/>
      <c r="D785" s="795"/>
      <c r="E785" s="1092" t="s">
        <v>1955</v>
      </c>
      <c r="F785" s="286"/>
      <c r="G785" s="286"/>
      <c r="H785" s="286"/>
      <c r="I785" s="1206"/>
      <c r="J785" s="1206"/>
      <c r="K785" s="1206"/>
      <c r="L785" s="1206"/>
      <c r="V785" s="260" t="str">
        <f t="shared" ref="V785:V791" si="136">IF(C783&gt;0,C783," ")</f>
        <v xml:space="preserve"> </v>
      </c>
      <c r="AK785" s="344"/>
    </row>
    <row r="786" spans="2:37" hidden="1" outlineLevel="1" x14ac:dyDescent="0.25">
      <c r="B786" s="561"/>
      <c r="D786" s="795"/>
      <c r="E786" s="1092" t="s">
        <v>1956</v>
      </c>
      <c r="F786" s="286"/>
      <c r="G786" s="286"/>
      <c r="H786" s="286"/>
      <c r="I786" s="1206"/>
      <c r="J786" s="1206"/>
      <c r="K786" s="1206"/>
      <c r="L786" s="1206"/>
      <c r="V786" s="260" t="str">
        <f t="shared" si="136"/>
        <v xml:space="preserve"> </v>
      </c>
      <c r="AK786" s="344"/>
    </row>
    <row r="787" spans="2:37" hidden="1" outlineLevel="1" x14ac:dyDescent="0.25">
      <c r="B787" s="561"/>
      <c r="D787" s="795"/>
      <c r="E787" s="795"/>
      <c r="F787" s="286"/>
      <c r="G787" s="286"/>
      <c r="H787" s="286"/>
      <c r="I787" s="1206"/>
      <c r="J787" s="1206"/>
      <c r="K787" s="1206"/>
      <c r="L787" s="1206"/>
      <c r="V787" s="260" t="str">
        <f t="shared" si="136"/>
        <v xml:space="preserve"> </v>
      </c>
      <c r="AK787" s="344"/>
    </row>
    <row r="788" spans="2:37" hidden="1" outlineLevel="1" x14ac:dyDescent="0.25">
      <c r="B788" s="561"/>
      <c r="D788" s="795"/>
      <c r="E788" s="795"/>
      <c r="F788" s="286"/>
      <c r="G788" s="286"/>
      <c r="H788" s="286"/>
      <c r="I788" s="1206"/>
      <c r="J788" s="1206"/>
      <c r="K788" s="1206"/>
      <c r="L788" s="1206"/>
      <c r="V788" s="260" t="str">
        <f t="shared" si="136"/>
        <v xml:space="preserve"> </v>
      </c>
      <c r="AK788" s="344"/>
    </row>
    <row r="789" spans="2:37" hidden="1" outlineLevel="1" x14ac:dyDescent="0.25">
      <c r="B789" s="561"/>
      <c r="D789" s="795"/>
      <c r="E789" s="795"/>
      <c r="F789" s="286"/>
      <c r="G789" s="286"/>
      <c r="H789" s="286"/>
      <c r="I789" s="1206"/>
      <c r="J789" s="1206"/>
      <c r="K789" s="1206"/>
      <c r="L789" s="1206"/>
      <c r="V789" s="260" t="str">
        <f t="shared" si="136"/>
        <v xml:space="preserve"> </v>
      </c>
      <c r="AK789" s="344"/>
    </row>
    <row r="790" spans="2:37" ht="15" hidden="1" customHeight="1" outlineLevel="1" x14ac:dyDescent="0.25">
      <c r="B790" s="561"/>
      <c r="D790" s="795"/>
      <c r="E790" s="795"/>
      <c r="F790" s="286"/>
      <c r="G790" s="286"/>
      <c r="H790" s="286"/>
      <c r="I790" s="1206"/>
      <c r="J790" s="1206"/>
      <c r="K790" s="1206"/>
      <c r="L790" s="1206"/>
      <c r="V790" s="260" t="str">
        <f t="shared" si="136"/>
        <v xml:space="preserve"> </v>
      </c>
      <c r="AK790" s="344"/>
    </row>
    <row r="791" spans="2:37" hidden="1" outlineLevel="1" x14ac:dyDescent="0.25">
      <c r="B791" s="561"/>
      <c r="V791" s="260" t="str">
        <f t="shared" si="136"/>
        <v xml:space="preserve"> </v>
      </c>
      <c r="AK791" s="344"/>
    </row>
    <row r="792" spans="2:37" hidden="1" outlineLevel="1" x14ac:dyDescent="0.25">
      <c r="B792" s="561"/>
      <c r="D792" s="1373" t="s">
        <v>712</v>
      </c>
      <c r="E792" s="1373" t="s">
        <v>608</v>
      </c>
      <c r="F792" s="1300" t="s">
        <v>610</v>
      </c>
      <c r="G792" s="1300" t="s">
        <v>611</v>
      </c>
      <c r="H792" s="1300" t="s">
        <v>713</v>
      </c>
      <c r="V792" s="648" t="s">
        <v>52</v>
      </c>
      <c r="W792" s="649">
        <f>W$6</f>
        <v>43252</v>
      </c>
      <c r="X792" s="649">
        <f t="shared" ref="X792:AG792" si="137">X$6</f>
        <v>43465</v>
      </c>
      <c r="Y792" s="110">
        <f t="shared" si="137"/>
        <v>43800</v>
      </c>
      <c r="Z792" s="649">
        <f t="shared" si="137"/>
        <v>43862</v>
      </c>
      <c r="AA792" s="649">
        <f t="shared" si="137"/>
        <v>44013</v>
      </c>
      <c r="AB792" s="649">
        <f t="shared" si="137"/>
        <v>44166</v>
      </c>
      <c r="AC792" s="649">
        <f t="shared" si="137"/>
        <v>44531</v>
      </c>
      <c r="AD792" s="649">
        <f t="shared" si="137"/>
        <v>44774</v>
      </c>
      <c r="AE792" s="649">
        <f t="shared" si="137"/>
        <v>45139</v>
      </c>
      <c r="AF792" s="649">
        <f t="shared" si="137"/>
        <v>45672</v>
      </c>
      <c r="AG792" s="649" t="str">
        <f t="shared" si="137"/>
        <v>-</v>
      </c>
      <c r="AK792" s="344"/>
    </row>
    <row r="793" spans="2:37" ht="87" hidden="1" customHeight="1" outlineLevel="1" x14ac:dyDescent="0.25">
      <c r="B793" s="561"/>
      <c r="D793" s="1350" t="s">
        <v>1455</v>
      </c>
      <c r="E793" s="1350" t="s">
        <v>745</v>
      </c>
      <c r="F793" s="1522">
        <v>869</v>
      </c>
      <c r="G793" s="1309" t="s">
        <v>1957</v>
      </c>
      <c r="H793" s="1359"/>
      <c r="V793" s="1346" t="str">
        <f>D793</f>
        <v>EFLHcool</v>
      </c>
      <c r="W793" s="266">
        <v>1215</v>
      </c>
      <c r="X793" s="288">
        <v>1215</v>
      </c>
      <c r="Y793" s="288">
        <v>869</v>
      </c>
      <c r="Z793" s="302">
        <v>869</v>
      </c>
      <c r="AA793" s="302">
        <v>869</v>
      </c>
      <c r="AB793" s="302">
        <v>869</v>
      </c>
      <c r="AC793" s="302">
        <v>869</v>
      </c>
      <c r="AD793" s="302">
        <v>869</v>
      </c>
      <c r="AE793" s="302">
        <v>869</v>
      </c>
      <c r="AF793" s="258">
        <f t="shared" ref="AF793:AF828" si="138">IF(F793&lt;&gt;"",F793,"")</f>
        <v>869</v>
      </c>
      <c r="AG793" s="266"/>
      <c r="AK793" s="344"/>
    </row>
    <row r="794" spans="2:37" ht="60" hidden="1" outlineLevel="1" x14ac:dyDescent="0.25">
      <c r="B794" s="561"/>
      <c r="D794" s="2287" t="s">
        <v>1958</v>
      </c>
      <c r="E794" s="1350" t="s">
        <v>1942</v>
      </c>
      <c r="F794" s="1531">
        <v>20240</v>
      </c>
      <c r="G794" s="1336" t="s">
        <v>1959</v>
      </c>
      <c r="H794" s="1359"/>
      <c r="V794" s="2264" t="str">
        <f>D794</f>
        <v>CapacityCooling</v>
      </c>
      <c r="W794" s="266">
        <f>0.65*36000</f>
        <v>23400</v>
      </c>
      <c r="X794" s="298">
        <v>21100</v>
      </c>
      <c r="Y794" s="287">
        <v>20240</v>
      </c>
      <c r="Z794" s="430">
        <v>20240</v>
      </c>
      <c r="AA794" s="430">
        <v>20240</v>
      </c>
      <c r="AB794" s="430">
        <v>20240</v>
      </c>
      <c r="AC794" s="758">
        <v>20240</v>
      </c>
      <c r="AD794" s="758">
        <v>20240</v>
      </c>
      <c r="AE794" s="758">
        <v>20240</v>
      </c>
      <c r="AF794" s="258">
        <f t="shared" si="138"/>
        <v>20240</v>
      </c>
      <c r="AG794" s="277"/>
      <c r="AK794" s="344"/>
    </row>
    <row r="795" spans="2:37" hidden="1" outlineLevel="1" x14ac:dyDescent="0.25">
      <c r="B795" s="561"/>
      <c r="D795" s="2287"/>
      <c r="E795" s="122" t="s">
        <v>1944</v>
      </c>
      <c r="F795" s="1531">
        <v>36000</v>
      </c>
      <c r="G795" s="1823"/>
      <c r="H795" s="1359"/>
      <c r="V795" s="2265"/>
      <c r="W795" s="266">
        <v>36000</v>
      </c>
      <c r="X795" s="288">
        <v>36000</v>
      </c>
      <c r="Y795" s="288">
        <v>36000</v>
      </c>
      <c r="Z795" s="302">
        <v>36000</v>
      </c>
      <c r="AA795" s="302">
        <v>36000</v>
      </c>
      <c r="AB795" s="302">
        <v>36000</v>
      </c>
      <c r="AC795" s="759">
        <v>36000</v>
      </c>
      <c r="AD795" s="759">
        <v>36000</v>
      </c>
      <c r="AE795" s="759">
        <v>36000</v>
      </c>
      <c r="AF795" s="258">
        <f t="shared" si="138"/>
        <v>36000</v>
      </c>
      <c r="AG795" s="277"/>
      <c r="AK795" s="344"/>
    </row>
    <row r="796" spans="2:37" ht="60" hidden="1" outlineLevel="1" x14ac:dyDescent="0.25">
      <c r="B796" s="561"/>
      <c r="D796" s="2287"/>
      <c r="E796" s="1314" t="s">
        <v>1946</v>
      </c>
      <c r="F796" s="1531">
        <v>20240</v>
      </c>
      <c r="G796" s="1336" t="s">
        <v>1959</v>
      </c>
      <c r="H796" s="1359"/>
      <c r="V796" s="2265"/>
      <c r="W796" s="266">
        <f>0.65*36000</f>
        <v>23400</v>
      </c>
      <c r="X796" s="298">
        <v>21100</v>
      </c>
      <c r="Y796" s="287">
        <v>20240</v>
      </c>
      <c r="Z796" s="430">
        <v>20240</v>
      </c>
      <c r="AA796" s="430">
        <v>20240</v>
      </c>
      <c r="AB796" s="430">
        <v>20240</v>
      </c>
      <c r="AC796" s="758">
        <v>20240</v>
      </c>
      <c r="AD796" s="758">
        <v>20240</v>
      </c>
      <c r="AE796" s="758">
        <v>20240</v>
      </c>
      <c r="AF796" s="258">
        <f t="shared" si="138"/>
        <v>20240</v>
      </c>
      <c r="AG796" s="277"/>
      <c r="AK796" s="344"/>
    </row>
    <row r="797" spans="2:37" hidden="1" outlineLevel="1" x14ac:dyDescent="0.25">
      <c r="B797" s="561"/>
      <c r="D797" s="2287"/>
      <c r="E797" s="1340" t="s">
        <v>1948</v>
      </c>
      <c r="F797" s="1531">
        <v>36000</v>
      </c>
      <c r="G797" s="1823"/>
      <c r="H797" s="1359"/>
      <c r="V797" s="2265"/>
      <c r="W797" s="266">
        <v>36000</v>
      </c>
      <c r="X797" s="288">
        <v>36000</v>
      </c>
      <c r="Y797" s="288">
        <v>36000</v>
      </c>
      <c r="Z797" s="302">
        <v>36000</v>
      </c>
      <c r="AA797" s="302">
        <v>36000</v>
      </c>
      <c r="AB797" s="302">
        <v>36000</v>
      </c>
      <c r="AC797" s="759">
        <v>36000</v>
      </c>
      <c r="AD797" s="759">
        <v>36000</v>
      </c>
      <c r="AE797" s="759">
        <v>36000</v>
      </c>
      <c r="AF797" s="258">
        <f t="shared" si="138"/>
        <v>36000</v>
      </c>
      <c r="AG797" s="277"/>
      <c r="AK797" s="344"/>
    </row>
    <row r="798" spans="2:37" ht="60" hidden="1" outlineLevel="1" x14ac:dyDescent="0.25">
      <c r="B798" s="561"/>
      <c r="D798" s="2287"/>
      <c r="E798" s="1314" t="s">
        <v>1950</v>
      </c>
      <c r="F798" s="1531">
        <v>20240</v>
      </c>
      <c r="G798" s="1336" t="s">
        <v>1959</v>
      </c>
      <c r="H798" s="1359"/>
      <c r="V798" s="2265"/>
      <c r="W798" s="266">
        <f>0.65*36000</f>
        <v>23400</v>
      </c>
      <c r="X798" s="298">
        <v>21100</v>
      </c>
      <c r="Y798" s="287">
        <v>20240</v>
      </c>
      <c r="Z798" s="430">
        <v>20240</v>
      </c>
      <c r="AA798" s="430">
        <v>20240</v>
      </c>
      <c r="AB798" s="430">
        <v>20240</v>
      </c>
      <c r="AC798" s="758">
        <v>20240</v>
      </c>
      <c r="AD798" s="758">
        <v>20240</v>
      </c>
      <c r="AE798" s="758">
        <v>20240</v>
      </c>
      <c r="AF798" s="258">
        <f t="shared" si="138"/>
        <v>20240</v>
      </c>
      <c r="AG798" s="277"/>
      <c r="AK798" s="344"/>
    </row>
    <row r="799" spans="2:37" hidden="1" outlineLevel="1" x14ac:dyDescent="0.25">
      <c r="B799" s="561"/>
      <c r="D799" s="2287"/>
      <c r="E799" s="1340" t="s">
        <v>1952</v>
      </c>
      <c r="F799" s="1531">
        <v>36000</v>
      </c>
      <c r="G799" s="1823"/>
      <c r="H799" s="1359"/>
      <c r="V799" s="2265"/>
      <c r="W799" s="266">
        <v>36000</v>
      </c>
      <c r="X799" s="288">
        <v>36000</v>
      </c>
      <c r="Y799" s="288">
        <v>36000</v>
      </c>
      <c r="Z799" s="302">
        <v>36000</v>
      </c>
      <c r="AA799" s="302">
        <v>36000</v>
      </c>
      <c r="AB799" s="302">
        <v>36000</v>
      </c>
      <c r="AC799" s="759">
        <v>36000</v>
      </c>
      <c r="AD799" s="759">
        <v>36000</v>
      </c>
      <c r="AE799" s="759">
        <v>36000</v>
      </c>
      <c r="AF799" s="258">
        <f t="shared" si="138"/>
        <v>36000</v>
      </c>
      <c r="AG799" s="277"/>
      <c r="AK799" s="344"/>
    </row>
    <row r="800" spans="2:37" ht="75" hidden="1" outlineLevel="1" x14ac:dyDescent="0.25">
      <c r="B800" s="561"/>
      <c r="D800" s="1350" t="s">
        <v>1960</v>
      </c>
      <c r="E800" s="1350" t="s">
        <v>734</v>
      </c>
      <c r="F800" s="1532">
        <v>10</v>
      </c>
      <c r="G800" s="338" t="s">
        <v>1961</v>
      </c>
      <c r="H800" s="1336" t="s">
        <v>717</v>
      </c>
      <c r="V800" s="276" t="str">
        <f>D800</f>
        <v>SEER</v>
      </c>
      <c r="W800" s="266">
        <v>11</v>
      </c>
      <c r="X800" s="298">
        <v>10</v>
      </c>
      <c r="Y800" s="302">
        <v>10</v>
      </c>
      <c r="Z800" s="302">
        <v>10</v>
      </c>
      <c r="AA800" s="302">
        <v>10</v>
      </c>
      <c r="AB800" s="302">
        <v>10</v>
      </c>
      <c r="AC800" s="302">
        <v>10</v>
      </c>
      <c r="AD800" s="302">
        <v>10</v>
      </c>
      <c r="AE800" s="302">
        <v>10</v>
      </c>
      <c r="AF800" s="258">
        <f t="shared" si="138"/>
        <v>10</v>
      </c>
      <c r="AG800" s="266"/>
      <c r="AK800" s="344"/>
    </row>
    <row r="801" spans="2:37" ht="75" hidden="1" outlineLevel="1" x14ac:dyDescent="0.25">
      <c r="B801" s="561"/>
      <c r="D801" s="1350" t="s">
        <v>1962</v>
      </c>
      <c r="E801" s="1350" t="s">
        <v>734</v>
      </c>
      <c r="F801" s="1523">
        <v>1.9083333333333337</v>
      </c>
      <c r="G801" s="1336" t="s">
        <v>1963</v>
      </c>
      <c r="H801" s="1359"/>
      <c r="V801" s="276" t="str">
        <f>D801</f>
        <v>Sbdegreescooling</v>
      </c>
      <c r="W801" s="277">
        <v>3.67</v>
      </c>
      <c r="X801" s="384">
        <v>3.67</v>
      </c>
      <c r="Y801" s="291">
        <v>1.9083333333333337</v>
      </c>
      <c r="Z801" s="384">
        <v>1.9083333333333337</v>
      </c>
      <c r="AA801" s="384">
        <v>1.9083333333333337</v>
      </c>
      <c r="AB801" s="384">
        <v>1.9083333333333337</v>
      </c>
      <c r="AC801" s="384">
        <v>1.9083333333333337</v>
      </c>
      <c r="AD801" s="384">
        <v>1.9083333333333337</v>
      </c>
      <c r="AE801" s="384">
        <v>1.9083333333333337</v>
      </c>
      <c r="AF801" s="258">
        <f t="shared" si="138"/>
        <v>1.9083333333333337</v>
      </c>
      <c r="AG801" s="277"/>
      <c r="AK801" s="344"/>
    </row>
    <row r="802" spans="2:37" ht="75" hidden="1" outlineLevel="1" x14ac:dyDescent="0.25">
      <c r="B802" s="561"/>
      <c r="D802" s="1350" t="s">
        <v>1964</v>
      </c>
      <c r="E802" s="1350" t="s">
        <v>734</v>
      </c>
      <c r="F802" s="1526">
        <v>0.06</v>
      </c>
      <c r="G802" s="1336" t="s">
        <v>1965</v>
      </c>
      <c r="H802" s="1359"/>
      <c r="V802" s="276" t="str">
        <f>D802</f>
        <v>SFcooling</v>
      </c>
      <c r="W802" s="274">
        <v>0.06</v>
      </c>
      <c r="X802" s="289">
        <v>0.06</v>
      </c>
      <c r="Y802" s="179">
        <v>0.06</v>
      </c>
      <c r="Z802" s="177">
        <v>0.06</v>
      </c>
      <c r="AA802" s="177">
        <v>0.06</v>
      </c>
      <c r="AB802" s="177">
        <v>0.06</v>
      </c>
      <c r="AC802" s="177">
        <v>0.06</v>
      </c>
      <c r="AD802" s="177">
        <v>0.06</v>
      </c>
      <c r="AE802" s="177">
        <v>0.06</v>
      </c>
      <c r="AF802" s="258">
        <f t="shared" si="138"/>
        <v>0.06</v>
      </c>
      <c r="AG802" s="274"/>
      <c r="AK802" s="344"/>
    </row>
    <row r="803" spans="2:37" ht="60" hidden="1" outlineLevel="1" x14ac:dyDescent="0.25">
      <c r="B803" s="561"/>
      <c r="D803" s="1350" t="s">
        <v>1966</v>
      </c>
      <c r="E803" s="1350" t="s">
        <v>734</v>
      </c>
      <c r="F803" s="1526">
        <v>1</v>
      </c>
      <c r="G803" s="1336" t="s">
        <v>1967</v>
      </c>
      <c r="H803" s="122"/>
      <c r="V803" s="276" t="str">
        <f>D803</f>
        <v>EFcooling</v>
      </c>
      <c r="W803" s="274">
        <v>0.18</v>
      </c>
      <c r="X803" s="179">
        <v>1</v>
      </c>
      <c r="Y803" s="177">
        <v>1</v>
      </c>
      <c r="Z803" s="177">
        <v>1</v>
      </c>
      <c r="AA803" s="177">
        <v>1</v>
      </c>
      <c r="AB803" s="177">
        <v>1</v>
      </c>
      <c r="AC803" s="177">
        <v>1</v>
      </c>
      <c r="AD803" s="177">
        <v>1</v>
      </c>
      <c r="AE803" s="177">
        <v>1</v>
      </c>
      <c r="AF803" s="258">
        <f t="shared" si="138"/>
        <v>1</v>
      </c>
      <c r="AG803" s="274"/>
      <c r="AK803" s="344"/>
    </row>
    <row r="804" spans="2:37" hidden="1" outlineLevel="1" x14ac:dyDescent="0.25">
      <c r="B804" s="561"/>
      <c r="D804" s="2109" t="s">
        <v>250</v>
      </c>
      <c r="E804" s="122" t="s">
        <v>1942</v>
      </c>
      <c r="F804" s="514">
        <v>1</v>
      </c>
      <c r="G804" s="1823"/>
      <c r="H804" s="1359"/>
      <c r="V804" s="2264" t="str">
        <f>D804</f>
        <v>%ElectricHeat</v>
      </c>
      <c r="W804" s="274">
        <v>1</v>
      </c>
      <c r="X804" s="289">
        <v>1</v>
      </c>
      <c r="Y804" s="289">
        <v>1</v>
      </c>
      <c r="Z804" s="177">
        <v>1</v>
      </c>
      <c r="AA804" s="177">
        <v>1</v>
      </c>
      <c r="AB804" s="177">
        <v>1</v>
      </c>
      <c r="AC804" s="177">
        <v>1</v>
      </c>
      <c r="AD804" s="177">
        <v>1</v>
      </c>
      <c r="AE804" s="177">
        <v>1</v>
      </c>
      <c r="AF804" s="258">
        <f t="shared" si="138"/>
        <v>1</v>
      </c>
      <c r="AG804" s="274"/>
      <c r="AK804" s="344"/>
    </row>
    <row r="805" spans="2:37" hidden="1" outlineLevel="1" x14ac:dyDescent="0.25">
      <c r="B805" s="561"/>
      <c r="D805" s="2110"/>
      <c r="E805" s="122" t="s">
        <v>1944</v>
      </c>
      <c r="F805" s="514">
        <v>1</v>
      </c>
      <c r="G805" s="1823"/>
      <c r="H805" s="1359"/>
      <c r="V805" s="2265"/>
      <c r="W805" s="274">
        <v>1</v>
      </c>
      <c r="X805" s="289">
        <v>1</v>
      </c>
      <c r="Y805" s="289">
        <v>1</v>
      </c>
      <c r="Z805" s="177">
        <v>1</v>
      </c>
      <c r="AA805" s="177">
        <v>1</v>
      </c>
      <c r="AB805" s="177">
        <v>1</v>
      </c>
      <c r="AC805" s="177">
        <v>1</v>
      </c>
      <c r="AD805" s="177">
        <v>1</v>
      </c>
      <c r="AE805" s="177">
        <v>1</v>
      </c>
      <c r="AF805" s="258">
        <f t="shared" si="138"/>
        <v>1</v>
      </c>
      <c r="AG805" s="274"/>
      <c r="AK805" s="344"/>
    </row>
    <row r="806" spans="2:37" hidden="1" outlineLevel="1" x14ac:dyDescent="0.25">
      <c r="B806" s="561"/>
      <c r="D806" s="2110"/>
      <c r="E806" s="1340" t="s">
        <v>1946</v>
      </c>
      <c r="F806" s="514">
        <v>1</v>
      </c>
      <c r="G806" s="1823"/>
      <c r="H806" s="1359"/>
      <c r="V806" s="2265"/>
      <c r="W806" s="274">
        <v>1</v>
      </c>
      <c r="X806" s="289">
        <v>1</v>
      </c>
      <c r="Y806" s="289">
        <v>1</v>
      </c>
      <c r="Z806" s="177">
        <v>1</v>
      </c>
      <c r="AA806" s="177">
        <v>1</v>
      </c>
      <c r="AB806" s="177">
        <v>1</v>
      </c>
      <c r="AC806" s="177">
        <v>1</v>
      </c>
      <c r="AD806" s="177">
        <v>1</v>
      </c>
      <c r="AE806" s="177">
        <v>1</v>
      </c>
      <c r="AF806" s="258">
        <f t="shared" si="138"/>
        <v>1</v>
      </c>
      <c r="AG806" s="274"/>
      <c r="AK806" s="344"/>
    </row>
    <row r="807" spans="2:37" hidden="1" outlineLevel="1" x14ac:dyDescent="0.25">
      <c r="B807" s="561"/>
      <c r="D807" s="2110"/>
      <c r="E807" s="1340" t="s">
        <v>1948</v>
      </c>
      <c r="F807" s="514">
        <v>1</v>
      </c>
      <c r="G807" s="1823"/>
      <c r="H807" s="1359"/>
      <c r="V807" s="2265"/>
      <c r="W807" s="274">
        <v>1</v>
      </c>
      <c r="X807" s="289">
        <v>1</v>
      </c>
      <c r="Y807" s="289">
        <v>1</v>
      </c>
      <c r="Z807" s="177">
        <v>1</v>
      </c>
      <c r="AA807" s="177">
        <v>1</v>
      </c>
      <c r="AB807" s="177">
        <v>1</v>
      </c>
      <c r="AC807" s="177">
        <v>1</v>
      </c>
      <c r="AD807" s="177">
        <v>1</v>
      </c>
      <c r="AE807" s="177">
        <v>1</v>
      </c>
      <c r="AF807" s="258">
        <f t="shared" si="138"/>
        <v>1</v>
      </c>
      <c r="AG807" s="274"/>
      <c r="AK807" s="344"/>
    </row>
    <row r="808" spans="2:37" hidden="1" outlineLevel="1" x14ac:dyDescent="0.25">
      <c r="B808" s="561"/>
      <c r="D808" s="2110"/>
      <c r="E808" s="1340" t="s">
        <v>1950</v>
      </c>
      <c r="F808" s="514">
        <v>0</v>
      </c>
      <c r="G808" s="1823"/>
      <c r="H808" s="1359"/>
      <c r="V808" s="2265"/>
      <c r="W808" s="274">
        <v>0</v>
      </c>
      <c r="X808" s="289">
        <v>0</v>
      </c>
      <c r="Y808" s="289">
        <v>0</v>
      </c>
      <c r="Z808" s="177">
        <v>0</v>
      </c>
      <c r="AA808" s="177">
        <v>0</v>
      </c>
      <c r="AB808" s="177">
        <v>0</v>
      </c>
      <c r="AC808" s="177">
        <v>0</v>
      </c>
      <c r="AD808" s="177">
        <v>0</v>
      </c>
      <c r="AE808" s="177">
        <v>0</v>
      </c>
      <c r="AF808" s="258">
        <f t="shared" si="138"/>
        <v>0</v>
      </c>
      <c r="AG808" s="274"/>
      <c r="AK808" s="344"/>
    </row>
    <row r="809" spans="2:37" hidden="1" outlineLevel="1" x14ac:dyDescent="0.25">
      <c r="B809" s="561"/>
      <c r="D809" s="2110"/>
      <c r="E809" s="1340" t="s">
        <v>1952</v>
      </c>
      <c r="F809" s="514">
        <v>0</v>
      </c>
      <c r="G809" s="1823"/>
      <c r="H809" s="1359"/>
      <c r="V809" s="2265"/>
      <c r="W809" s="274">
        <v>0</v>
      </c>
      <c r="X809" s="289">
        <v>0</v>
      </c>
      <c r="Y809" s="289">
        <v>0</v>
      </c>
      <c r="Z809" s="177">
        <v>0</v>
      </c>
      <c r="AA809" s="177">
        <v>0</v>
      </c>
      <c r="AB809" s="177">
        <v>0</v>
      </c>
      <c r="AC809" s="177">
        <v>0</v>
      </c>
      <c r="AD809" s="177">
        <v>0</v>
      </c>
      <c r="AE809" s="177">
        <v>0</v>
      </c>
      <c r="AF809" s="258">
        <f t="shared" si="138"/>
        <v>0</v>
      </c>
      <c r="AG809" s="274"/>
      <c r="AK809" s="344"/>
    </row>
    <row r="810" spans="2:37" ht="32.65" hidden="1" customHeight="1" outlineLevel="1" x14ac:dyDescent="0.25">
      <c r="B810" s="561"/>
      <c r="D810" s="1357" t="s">
        <v>1790</v>
      </c>
      <c r="E810" s="1350" t="s">
        <v>745</v>
      </c>
      <c r="F810" s="1522">
        <v>1496</v>
      </c>
      <c r="G810" s="1318" t="s">
        <v>1200</v>
      </c>
      <c r="H810" s="1359"/>
      <c r="V810" s="1346" t="str">
        <f>D810</f>
        <v>EFLHheat</v>
      </c>
      <c r="W810" s="266">
        <v>2009</v>
      </c>
      <c r="X810" s="288">
        <v>2009</v>
      </c>
      <c r="Y810" s="288">
        <v>1496</v>
      </c>
      <c r="Z810" s="302">
        <v>1496</v>
      </c>
      <c r="AA810" s="302">
        <v>1496</v>
      </c>
      <c r="AB810" s="302">
        <v>1496</v>
      </c>
      <c r="AC810" s="302">
        <v>1496</v>
      </c>
      <c r="AD810" s="302">
        <v>1496</v>
      </c>
      <c r="AE810" s="302">
        <v>1496</v>
      </c>
      <c r="AF810" s="258">
        <f t="shared" si="138"/>
        <v>1496</v>
      </c>
      <c r="AG810" s="266"/>
      <c r="AK810" s="344"/>
    </row>
    <row r="811" spans="2:37" ht="60" hidden="1" outlineLevel="1" x14ac:dyDescent="0.25">
      <c r="B811" s="561"/>
      <c r="D811" s="2109" t="s">
        <v>1968</v>
      </c>
      <c r="E811" s="1350" t="s">
        <v>1942</v>
      </c>
      <c r="F811" s="1533">
        <v>20240</v>
      </c>
      <c r="G811" s="1336" t="s">
        <v>1969</v>
      </c>
      <c r="H811" s="1359"/>
      <c r="V811" s="2264" t="str">
        <f>D811</f>
        <v>CapacityHeating</v>
      </c>
      <c r="W811" s="288">
        <v>37856</v>
      </c>
      <c r="X811" s="298">
        <v>21000</v>
      </c>
      <c r="Y811" s="298">
        <v>20240</v>
      </c>
      <c r="Z811" s="302">
        <v>20240</v>
      </c>
      <c r="AA811" s="302">
        <v>20240</v>
      </c>
      <c r="AB811" s="302">
        <v>20240</v>
      </c>
      <c r="AC811" s="302">
        <v>20240</v>
      </c>
      <c r="AD811" s="302">
        <v>20240</v>
      </c>
      <c r="AE811" s="302">
        <v>20240</v>
      </c>
      <c r="AF811" s="258">
        <f t="shared" si="138"/>
        <v>20240</v>
      </c>
      <c r="AG811" s="288"/>
      <c r="AK811" s="344"/>
    </row>
    <row r="812" spans="2:37" hidden="1" outlineLevel="1" x14ac:dyDescent="0.25">
      <c r="B812" s="561"/>
      <c r="D812" s="2110"/>
      <c r="E812" s="122" t="s">
        <v>1944</v>
      </c>
      <c r="F812" s="1533">
        <v>36000</v>
      </c>
      <c r="G812" s="1336"/>
      <c r="H812" s="1359"/>
      <c r="V812" s="2265"/>
      <c r="W812" s="288">
        <v>58240</v>
      </c>
      <c r="X812" s="288">
        <v>58240</v>
      </c>
      <c r="Y812" s="288">
        <v>58240</v>
      </c>
      <c r="Z812" s="302">
        <v>58240</v>
      </c>
      <c r="AA812" s="302">
        <v>58240</v>
      </c>
      <c r="AB812" s="302">
        <v>58240</v>
      </c>
      <c r="AC812" s="302">
        <v>58240</v>
      </c>
      <c r="AD812" s="302">
        <v>58240</v>
      </c>
      <c r="AE812" s="302">
        <v>58240</v>
      </c>
      <c r="AF812" s="258">
        <f t="shared" si="138"/>
        <v>36000</v>
      </c>
      <c r="AG812" s="288"/>
      <c r="AK812" s="344"/>
    </row>
    <row r="813" spans="2:37" ht="60" hidden="1" outlineLevel="1" x14ac:dyDescent="0.25">
      <c r="B813" s="561"/>
      <c r="D813" s="2110"/>
      <c r="E813" s="1314" t="s">
        <v>1946</v>
      </c>
      <c r="F813" s="1533">
        <v>20240</v>
      </c>
      <c r="G813" s="1336" t="s">
        <v>1969</v>
      </c>
      <c r="H813" s="1359"/>
      <c r="V813" s="2265"/>
      <c r="W813" s="288">
        <v>31368.563200000001</v>
      </c>
      <c r="X813" s="298">
        <v>21000</v>
      </c>
      <c r="Y813" s="298">
        <v>20240</v>
      </c>
      <c r="Z813" s="302">
        <v>20240</v>
      </c>
      <c r="AA813" s="302">
        <v>20240</v>
      </c>
      <c r="AB813" s="302">
        <v>20240</v>
      </c>
      <c r="AC813" s="302">
        <v>20240</v>
      </c>
      <c r="AD813" s="302">
        <v>20240</v>
      </c>
      <c r="AE813" s="302">
        <v>20240</v>
      </c>
      <c r="AF813" s="258">
        <f t="shared" si="138"/>
        <v>20240</v>
      </c>
      <c r="AG813" s="288"/>
      <c r="AK813" s="344"/>
    </row>
    <row r="814" spans="2:37" hidden="1" outlineLevel="1" x14ac:dyDescent="0.25">
      <c r="B814" s="561"/>
      <c r="D814" s="2110"/>
      <c r="E814" s="1340" t="s">
        <v>1948</v>
      </c>
      <c r="F814" s="1533">
        <v>36000</v>
      </c>
      <c r="G814" s="1336"/>
      <c r="H814" s="1359"/>
      <c r="V814" s="2265"/>
      <c r="W814" s="288">
        <v>48259.328000000001</v>
      </c>
      <c r="X814" s="288">
        <v>48259.328000000001</v>
      </c>
      <c r="Y814" s="288">
        <v>48259.328000000001</v>
      </c>
      <c r="Z814" s="302">
        <v>48259.328000000001</v>
      </c>
      <c r="AA814" s="302">
        <v>48259.328000000001</v>
      </c>
      <c r="AB814" s="302">
        <v>48259.328000000001</v>
      </c>
      <c r="AC814" s="302">
        <v>48259.328000000001</v>
      </c>
      <c r="AD814" s="302">
        <v>48259.328000000001</v>
      </c>
      <c r="AE814" s="302">
        <v>48259.328000000001</v>
      </c>
      <c r="AF814" s="258">
        <f t="shared" si="138"/>
        <v>36000</v>
      </c>
      <c r="AG814" s="288"/>
      <c r="AK814" s="344"/>
    </row>
    <row r="815" spans="2:37" hidden="1" outlineLevel="1" x14ac:dyDescent="0.25">
      <c r="B815" s="561"/>
      <c r="D815" s="2110"/>
      <c r="E815" s="1340" t="s">
        <v>1950</v>
      </c>
      <c r="F815" s="1533">
        <v>0</v>
      </c>
      <c r="G815" s="1336"/>
      <c r="H815" s="1359"/>
      <c r="V815" s="2265"/>
      <c r="W815" s="288">
        <v>0</v>
      </c>
      <c r="X815" s="288">
        <v>0</v>
      </c>
      <c r="Y815" s="288">
        <v>0</v>
      </c>
      <c r="Z815" s="302">
        <v>0</v>
      </c>
      <c r="AA815" s="302">
        <v>0</v>
      </c>
      <c r="AB815" s="302">
        <v>0</v>
      </c>
      <c r="AC815" s="302">
        <v>0</v>
      </c>
      <c r="AD815" s="302">
        <v>0</v>
      </c>
      <c r="AE815" s="302">
        <v>0</v>
      </c>
      <c r="AF815" s="258">
        <f t="shared" si="138"/>
        <v>0</v>
      </c>
      <c r="AG815" s="288"/>
      <c r="AK815" s="344"/>
    </row>
    <row r="816" spans="2:37" hidden="1" outlineLevel="1" x14ac:dyDescent="0.25">
      <c r="B816" s="561"/>
      <c r="D816" s="2110"/>
      <c r="E816" s="1314" t="s">
        <v>1952</v>
      </c>
      <c r="F816" s="1533">
        <v>0</v>
      </c>
      <c r="G816" s="1336"/>
      <c r="H816" s="1359"/>
      <c r="V816" s="2265"/>
      <c r="W816" s="288">
        <v>0</v>
      </c>
      <c r="X816" s="288">
        <v>0</v>
      </c>
      <c r="Y816" s="288">
        <v>0</v>
      </c>
      <c r="Z816" s="302">
        <v>0</v>
      </c>
      <c r="AA816" s="302">
        <v>0</v>
      </c>
      <c r="AB816" s="302">
        <v>0</v>
      </c>
      <c r="AC816" s="302">
        <v>0</v>
      </c>
      <c r="AD816" s="302">
        <v>0</v>
      </c>
      <c r="AE816" s="302">
        <v>0</v>
      </c>
      <c r="AF816" s="258">
        <f t="shared" si="138"/>
        <v>0</v>
      </c>
      <c r="AG816" s="288"/>
      <c r="AK816" s="344"/>
    </row>
    <row r="817" spans="2:37" ht="24.4" hidden="1" customHeight="1" outlineLevel="1" x14ac:dyDescent="0.25">
      <c r="B817" s="561"/>
      <c r="D817" s="2109" t="s">
        <v>1970</v>
      </c>
      <c r="E817" s="122" t="s">
        <v>1942</v>
      </c>
      <c r="F817" s="1532">
        <v>7</v>
      </c>
      <c r="G817" s="2390" t="s">
        <v>1971</v>
      </c>
      <c r="H817" s="1359"/>
      <c r="V817" s="2264" t="str">
        <f>D817</f>
        <v>HSPF</v>
      </c>
      <c r="W817" s="386">
        <v>7</v>
      </c>
      <c r="X817" s="386">
        <v>7</v>
      </c>
      <c r="Y817" s="385">
        <v>7</v>
      </c>
      <c r="Z817" s="385">
        <v>7</v>
      </c>
      <c r="AA817" s="385">
        <v>7</v>
      </c>
      <c r="AB817" s="385">
        <v>7</v>
      </c>
      <c r="AC817" s="385">
        <v>7</v>
      </c>
      <c r="AD817" s="385">
        <v>7</v>
      </c>
      <c r="AE817" s="385">
        <v>7</v>
      </c>
      <c r="AF817" s="258">
        <f t="shared" si="138"/>
        <v>7</v>
      </c>
      <c r="AG817" s="386"/>
      <c r="AK817" s="344"/>
    </row>
    <row r="818" spans="2:37" ht="22.15" hidden="1" customHeight="1" outlineLevel="1" x14ac:dyDescent="0.25">
      <c r="B818" s="561"/>
      <c r="D818" s="2110"/>
      <c r="E818" s="122" t="s">
        <v>1944</v>
      </c>
      <c r="F818" s="1532">
        <v>7</v>
      </c>
      <c r="G818" s="2391"/>
      <c r="H818" s="1359"/>
      <c r="V818" s="2265"/>
      <c r="W818" s="386">
        <v>7</v>
      </c>
      <c r="X818" s="386">
        <v>7</v>
      </c>
      <c r="Y818" s="385">
        <v>7</v>
      </c>
      <c r="Z818" s="385">
        <v>7</v>
      </c>
      <c r="AA818" s="385">
        <v>7</v>
      </c>
      <c r="AB818" s="385">
        <v>7</v>
      </c>
      <c r="AC818" s="385">
        <v>7</v>
      </c>
      <c r="AD818" s="385">
        <v>7</v>
      </c>
      <c r="AE818" s="385">
        <v>7</v>
      </c>
      <c r="AF818" s="258">
        <f t="shared" si="138"/>
        <v>7</v>
      </c>
      <c r="AG818" s="386"/>
      <c r="AK818" s="344"/>
    </row>
    <row r="819" spans="2:37" ht="31.5" hidden="1" customHeight="1" outlineLevel="1" x14ac:dyDescent="0.25">
      <c r="B819" s="561"/>
      <c r="D819" s="2110"/>
      <c r="E819" s="1340" t="s">
        <v>1946</v>
      </c>
      <c r="F819" s="1534">
        <f>3.41*1+7*0</f>
        <v>3.41</v>
      </c>
      <c r="G819" s="2222" t="s">
        <v>1972</v>
      </c>
      <c r="H819" s="1359"/>
      <c r="V819" s="2265"/>
      <c r="W819" s="386">
        <v>3.4119999999999999</v>
      </c>
      <c r="X819" s="1453">
        <f>3.41*1+7*0</f>
        <v>3.41</v>
      </c>
      <c r="Y819" s="981">
        <v>3.41</v>
      </c>
      <c r="Z819" s="981">
        <v>3.41</v>
      </c>
      <c r="AA819" s="981">
        <v>3.41</v>
      </c>
      <c r="AB819" s="981">
        <v>3.41</v>
      </c>
      <c r="AC819" s="981">
        <v>3.41</v>
      </c>
      <c r="AD819" s="981">
        <v>3.41</v>
      </c>
      <c r="AE819" s="981">
        <v>3.41</v>
      </c>
      <c r="AF819" s="258">
        <f t="shared" si="138"/>
        <v>3.41</v>
      </c>
      <c r="AG819" s="386"/>
      <c r="AK819" s="344"/>
    </row>
    <row r="820" spans="2:37" hidden="1" outlineLevel="1" x14ac:dyDescent="0.25">
      <c r="B820" s="561"/>
      <c r="D820" s="2110"/>
      <c r="E820" s="1340" t="s">
        <v>1948</v>
      </c>
      <c r="F820" s="1534">
        <f>3.41*1+7*0</f>
        <v>3.41</v>
      </c>
      <c r="G820" s="2222"/>
      <c r="H820" s="1359"/>
      <c r="V820" s="2265"/>
      <c r="W820" s="386">
        <v>3.4119999999999999</v>
      </c>
      <c r="X820" s="1453">
        <f>3.41*1+7*0</f>
        <v>3.41</v>
      </c>
      <c r="Y820" s="981">
        <v>3.41</v>
      </c>
      <c r="Z820" s="981">
        <v>3.41</v>
      </c>
      <c r="AA820" s="981">
        <v>3.41</v>
      </c>
      <c r="AB820" s="981">
        <v>3.41</v>
      </c>
      <c r="AC820" s="981">
        <v>3.41</v>
      </c>
      <c r="AD820" s="981">
        <v>3.41</v>
      </c>
      <c r="AE820" s="981">
        <v>3.41</v>
      </c>
      <c r="AF820" s="258">
        <f t="shared" si="138"/>
        <v>3.41</v>
      </c>
      <c r="AG820" s="386"/>
      <c r="AK820" s="344"/>
    </row>
    <row r="821" spans="2:37" hidden="1" outlineLevel="1" x14ac:dyDescent="0.25">
      <c r="B821" s="561"/>
      <c r="D821" s="2110"/>
      <c r="E821" s="1340" t="s">
        <v>1950</v>
      </c>
      <c r="F821" s="1535">
        <v>0</v>
      </c>
      <c r="G821" s="1497"/>
      <c r="H821" s="1359"/>
      <c r="V821" s="2265"/>
      <c r="W821" s="386">
        <v>0</v>
      </c>
      <c r="X821" s="386">
        <v>0</v>
      </c>
      <c r="Y821" s="385">
        <v>0</v>
      </c>
      <c r="Z821" s="385">
        <v>0</v>
      </c>
      <c r="AA821" s="385">
        <v>0</v>
      </c>
      <c r="AB821" s="385">
        <v>0</v>
      </c>
      <c r="AC821" s="385">
        <v>0</v>
      </c>
      <c r="AD821" s="385">
        <v>0</v>
      </c>
      <c r="AE821" s="385">
        <v>0</v>
      </c>
      <c r="AF821" s="258">
        <f t="shared" si="138"/>
        <v>0</v>
      </c>
      <c r="AG821" s="386"/>
      <c r="AK821" s="344"/>
    </row>
    <row r="822" spans="2:37" hidden="1" outlineLevel="1" x14ac:dyDescent="0.25">
      <c r="B822" s="561"/>
      <c r="D822" s="2110"/>
      <c r="E822" s="1340" t="s">
        <v>1952</v>
      </c>
      <c r="F822" s="1535">
        <v>0</v>
      </c>
      <c r="G822" s="1497"/>
      <c r="H822" s="1359"/>
      <c r="V822" s="2265"/>
      <c r="W822" s="386">
        <v>0</v>
      </c>
      <c r="X822" s="386">
        <v>0</v>
      </c>
      <c r="Y822" s="385">
        <v>0</v>
      </c>
      <c r="Z822" s="385">
        <v>0</v>
      </c>
      <c r="AA822" s="385">
        <v>0</v>
      </c>
      <c r="AB822" s="385">
        <v>0</v>
      </c>
      <c r="AC822" s="385">
        <v>0</v>
      </c>
      <c r="AD822" s="385">
        <v>0</v>
      </c>
      <c r="AE822" s="385">
        <v>0</v>
      </c>
      <c r="AF822" s="258">
        <f t="shared" si="138"/>
        <v>0</v>
      </c>
      <c r="AG822" s="386"/>
      <c r="AK822" s="344"/>
    </row>
    <row r="823" spans="2:37" ht="60" hidden="1" outlineLevel="1" x14ac:dyDescent="0.25">
      <c r="B823" s="561"/>
      <c r="D823" s="1350" t="s">
        <v>1973</v>
      </c>
      <c r="E823" s="1350" t="s">
        <v>734</v>
      </c>
      <c r="F823" s="1523">
        <v>1.8</v>
      </c>
      <c r="G823" s="1336" t="s">
        <v>1959</v>
      </c>
      <c r="H823" s="1359"/>
      <c r="V823" s="276" t="str">
        <f>D823</f>
        <v>Sbdegreesheating</v>
      </c>
      <c r="W823" s="290">
        <v>8</v>
      </c>
      <c r="X823" s="290">
        <v>8</v>
      </c>
      <c r="Y823" s="291">
        <v>1.8</v>
      </c>
      <c r="Z823" s="384">
        <v>1.8</v>
      </c>
      <c r="AA823" s="384">
        <v>1.8</v>
      </c>
      <c r="AB823" s="384">
        <v>1.8</v>
      </c>
      <c r="AC823" s="384">
        <v>1.8</v>
      </c>
      <c r="AD823" s="384">
        <v>1.8</v>
      </c>
      <c r="AE823" s="384">
        <v>1.8</v>
      </c>
      <c r="AF823" s="258">
        <f t="shared" si="138"/>
        <v>1.8</v>
      </c>
      <c r="AG823" s="290"/>
      <c r="AK823" s="344"/>
    </row>
    <row r="824" spans="2:37" ht="30" hidden="1" outlineLevel="1" x14ac:dyDescent="0.25">
      <c r="B824" s="561"/>
      <c r="D824" s="1350" t="s">
        <v>1974</v>
      </c>
      <c r="E824" s="122" t="s">
        <v>734</v>
      </c>
      <c r="F824" s="1526">
        <v>0.03</v>
      </c>
      <c r="G824" s="1336" t="s">
        <v>1975</v>
      </c>
      <c r="H824" s="1359"/>
      <c r="V824" s="276" t="str">
        <f>D824</f>
        <v>SFheating</v>
      </c>
      <c r="W824" s="274">
        <v>0.03</v>
      </c>
      <c r="X824" s="289">
        <v>0.03</v>
      </c>
      <c r="Y824" s="177">
        <v>0.03</v>
      </c>
      <c r="Z824" s="177">
        <v>0.03</v>
      </c>
      <c r="AA824" s="177">
        <v>0.03</v>
      </c>
      <c r="AB824" s="177">
        <v>0.03</v>
      </c>
      <c r="AC824" s="177">
        <v>0.03</v>
      </c>
      <c r="AD824" s="177">
        <v>0.03</v>
      </c>
      <c r="AE824" s="177">
        <v>0.03</v>
      </c>
      <c r="AF824" s="258">
        <f t="shared" si="138"/>
        <v>0.03</v>
      </c>
      <c r="AG824" s="289"/>
      <c r="AK824" s="344"/>
    </row>
    <row r="825" spans="2:37" ht="60" hidden="1" outlineLevel="1" x14ac:dyDescent="0.25">
      <c r="B825" s="561"/>
      <c r="D825" s="1350" t="s">
        <v>1976</v>
      </c>
      <c r="E825" s="1350" t="s">
        <v>734</v>
      </c>
      <c r="F825" s="1526">
        <v>0.13</v>
      </c>
      <c r="G825" s="1336" t="s">
        <v>1977</v>
      </c>
      <c r="H825" s="122"/>
      <c r="V825" s="276" t="str">
        <f>D825</f>
        <v>EFheating</v>
      </c>
      <c r="W825" s="289">
        <v>0.13</v>
      </c>
      <c r="X825" s="289">
        <v>0.13</v>
      </c>
      <c r="Y825" s="289">
        <v>0.13</v>
      </c>
      <c r="Z825" s="177">
        <v>0.13</v>
      </c>
      <c r="AA825" s="177">
        <v>0.13</v>
      </c>
      <c r="AB825" s="177">
        <v>0.13</v>
      </c>
      <c r="AC825" s="177">
        <v>0.13</v>
      </c>
      <c r="AD825" s="177">
        <v>0.13</v>
      </c>
      <c r="AE825" s="177">
        <v>0.13</v>
      </c>
      <c r="AF825" s="258">
        <f t="shared" si="138"/>
        <v>0.13</v>
      </c>
      <c r="AG825" s="289"/>
      <c r="AK825" s="344"/>
    </row>
    <row r="826" spans="2:37" ht="120" hidden="1" outlineLevel="1" x14ac:dyDescent="0.25">
      <c r="B826" s="561"/>
      <c r="C826" s="1333"/>
      <c r="D826" s="1338" t="str">
        <f>D764</f>
        <v>EUL</v>
      </c>
      <c r="E826" s="1338" t="str">
        <f>E764</f>
        <v>Effective Useful Life (All)</v>
      </c>
      <c r="F826" s="1509">
        <v>10</v>
      </c>
      <c r="G826" s="1336" t="s">
        <v>1978</v>
      </c>
      <c r="H826" s="1359"/>
      <c r="V826" s="276" t="str">
        <f>D826</f>
        <v>EUL</v>
      </c>
      <c r="W826" s="316">
        <v>10</v>
      </c>
      <c r="X826" s="316">
        <v>10</v>
      </c>
      <c r="Y826" s="316">
        <v>10</v>
      </c>
      <c r="Z826" s="242">
        <v>10</v>
      </c>
      <c r="AA826" s="242">
        <v>10</v>
      </c>
      <c r="AB826" s="242">
        <v>10</v>
      </c>
      <c r="AC826" s="242">
        <v>10</v>
      </c>
      <c r="AD826" s="242">
        <v>10</v>
      </c>
      <c r="AE826" s="242">
        <v>10</v>
      </c>
      <c r="AF826" s="258">
        <f t="shared" si="138"/>
        <v>10</v>
      </c>
      <c r="AG826" s="365"/>
      <c r="AK826" s="344"/>
    </row>
    <row r="827" spans="2:37" hidden="1" outlineLevel="1" x14ac:dyDescent="0.25">
      <c r="B827" s="561"/>
      <c r="C827" s="1333"/>
      <c r="D827" s="1338" t="s">
        <v>104</v>
      </c>
      <c r="E827" s="1338" t="s">
        <v>1979</v>
      </c>
      <c r="F827" s="1514">
        <v>1</v>
      </c>
      <c r="G827" s="1336" t="s">
        <v>1980</v>
      </c>
      <c r="H827" s="1359"/>
      <c r="V827" s="1346"/>
      <c r="W827" s="316"/>
      <c r="X827" s="316"/>
      <c r="Y827" s="316"/>
      <c r="Z827" s="242"/>
      <c r="AA827" s="242"/>
      <c r="AB827" s="242"/>
      <c r="AC827" s="242"/>
      <c r="AD827" s="242"/>
      <c r="AE827" s="242"/>
      <c r="AF827" s="258">
        <f t="shared" si="138"/>
        <v>1</v>
      </c>
      <c r="AG827" s="365"/>
      <c r="AK827" s="344"/>
    </row>
    <row r="828" spans="2:37" hidden="1" outlineLevel="1" x14ac:dyDescent="0.25">
      <c r="B828" s="561"/>
      <c r="C828" s="1333"/>
      <c r="D828" s="1985" t="s">
        <v>682</v>
      </c>
      <c r="E828" s="1338" t="str">
        <f>E765</f>
        <v>Incremental Cost - Direct Install (DI)</v>
      </c>
      <c r="F828" s="1536">
        <v>70</v>
      </c>
      <c r="G828" s="1336" t="s">
        <v>1981</v>
      </c>
      <c r="H828" s="1359"/>
      <c r="V828" s="1355"/>
      <c r="W828" s="366">
        <v>70</v>
      </c>
      <c r="X828" s="383">
        <v>70</v>
      </c>
      <c r="Y828" s="383">
        <v>70</v>
      </c>
      <c r="Z828" s="603">
        <v>70</v>
      </c>
      <c r="AA828" s="603">
        <v>70</v>
      </c>
      <c r="AB828" s="603">
        <v>70</v>
      </c>
      <c r="AC828" s="603">
        <v>70</v>
      </c>
      <c r="AD828" s="603">
        <v>70</v>
      </c>
      <c r="AE828" s="603">
        <v>70</v>
      </c>
      <c r="AF828" s="258">
        <f t="shared" si="138"/>
        <v>70</v>
      </c>
      <c r="AG828" s="367"/>
      <c r="AK828" s="344"/>
    </row>
    <row r="829" spans="2:37" hidden="1" outlineLevel="1" x14ac:dyDescent="0.25">
      <c r="B829" s="561"/>
      <c r="D829" s="1454"/>
      <c r="E829" s="100"/>
      <c r="F829" s="533"/>
      <c r="G829" s="588"/>
      <c r="V829" s="260" t="str">
        <f>IF(C824&gt;0,C824," ")</f>
        <v xml:space="preserve"> </v>
      </c>
      <c r="AK829" s="344"/>
    </row>
    <row r="830" spans="2:37" ht="15" hidden="1" customHeight="1" outlineLevel="1" x14ac:dyDescent="0.25">
      <c r="B830" s="561"/>
      <c r="C830" s="1333"/>
      <c r="X830" s="270"/>
      <c r="Y830" s="527" t="s">
        <v>1982</v>
      </c>
      <c r="Z830" s="308"/>
      <c r="AA830" s="308"/>
      <c r="AK830" s="344"/>
    </row>
    <row r="831" spans="2:37" ht="15" hidden="1" customHeight="1" outlineLevel="1" x14ac:dyDescent="0.25">
      <c r="B831" s="561"/>
      <c r="AK831" s="344"/>
    </row>
    <row r="832" spans="2:37" ht="15" customHeight="1" collapsed="1" x14ac:dyDescent="0.25">
      <c r="B832" s="561"/>
      <c r="AK832" s="344"/>
    </row>
    <row r="833" spans="2:114" ht="15" customHeight="1" x14ac:dyDescent="0.25">
      <c r="B833" s="2134" t="s">
        <v>41</v>
      </c>
      <c r="C833" s="2135"/>
      <c r="D833" s="2135"/>
      <c r="E833" s="2135"/>
      <c r="F833" s="2135"/>
      <c r="G833" s="2135"/>
      <c r="H833" s="2135"/>
      <c r="I833" s="2082"/>
      <c r="J833" s="2082"/>
      <c r="K833" s="2082"/>
      <c r="L833" s="2082"/>
      <c r="M833" s="2082"/>
      <c r="N833" s="2082"/>
      <c r="O833" s="2082"/>
      <c r="P833" s="2082"/>
      <c r="Q833" s="2082"/>
      <c r="R833" s="2083"/>
      <c r="V833" s="2103" t="str">
        <f>B833</f>
        <v>Lighting</v>
      </c>
      <c r="W833" s="2104"/>
      <c r="X833" s="2104"/>
      <c r="Y833" s="2104"/>
      <c r="Z833" s="2104"/>
      <c r="AA833" s="2104"/>
      <c r="AB833" s="2104"/>
      <c r="AC833" s="2106"/>
      <c r="AD833" s="2106"/>
      <c r="AE833" s="2106"/>
      <c r="AF833" s="2106"/>
      <c r="AG833" s="2106"/>
      <c r="AH833" s="2106"/>
      <c r="AI833" s="2107"/>
      <c r="AK833" s="344"/>
    </row>
    <row r="834" spans="2:114" x14ac:dyDescent="0.25">
      <c r="B834" s="50"/>
      <c r="C834" s="49"/>
      <c r="D834" s="100"/>
      <c r="E834" s="100"/>
      <c r="F834" s="151" t="s">
        <v>1983</v>
      </c>
      <c r="G834" s="50"/>
      <c r="H834" s="50"/>
      <c r="I834" s="50"/>
      <c r="J834" s="50"/>
      <c r="K834" s="50"/>
      <c r="L834" s="50"/>
      <c r="M834" s="50"/>
      <c r="N834" s="50"/>
      <c r="O834" s="50"/>
      <c r="AK834" s="344"/>
    </row>
    <row r="835" spans="2:114" x14ac:dyDescent="0.25">
      <c r="B835" s="50"/>
      <c r="C835" s="2388" t="s">
        <v>42</v>
      </c>
      <c r="D835" s="2388" t="s">
        <v>594</v>
      </c>
      <c r="E835" s="2388" t="s">
        <v>44</v>
      </c>
      <c r="F835" s="2388" t="s">
        <v>45</v>
      </c>
      <c r="G835" s="2388" t="s">
        <v>846</v>
      </c>
      <c r="H835" s="2388" t="s">
        <v>847</v>
      </c>
      <c r="I835" s="2388" t="s">
        <v>848</v>
      </c>
      <c r="J835" s="2388" t="s">
        <v>849</v>
      </c>
      <c r="K835" s="2388" t="s">
        <v>850</v>
      </c>
      <c r="L835" s="2388" t="s">
        <v>851</v>
      </c>
      <c r="M835" s="2388" t="s">
        <v>48</v>
      </c>
      <c r="N835" s="2388" t="s">
        <v>854</v>
      </c>
      <c r="O835" s="2388" t="s">
        <v>855</v>
      </c>
      <c r="P835" s="2296" t="s">
        <v>1665</v>
      </c>
      <c r="Q835" s="2339"/>
      <c r="R835" s="2388" t="s">
        <v>51</v>
      </c>
      <c r="AK835" s="344"/>
    </row>
    <row r="836" spans="2:114" ht="30" x14ac:dyDescent="0.25">
      <c r="B836" s="50"/>
      <c r="C836" s="2389"/>
      <c r="D836" s="2389"/>
      <c r="E836" s="2389"/>
      <c r="F836" s="2389"/>
      <c r="G836" s="2389"/>
      <c r="H836" s="2389"/>
      <c r="I836" s="2389"/>
      <c r="J836" s="2389"/>
      <c r="K836" s="2389"/>
      <c r="L836" s="2389"/>
      <c r="M836" s="2389"/>
      <c r="N836" s="2389"/>
      <c r="O836" s="2389"/>
      <c r="P836" s="1328" t="s">
        <v>749</v>
      </c>
      <c r="Q836" s="1328" t="s">
        <v>751</v>
      </c>
      <c r="R836" s="2389"/>
      <c r="V836" s="648" t="s">
        <v>52</v>
      </c>
      <c r="W836" s="649">
        <f t="shared" ref="W836:AG836" si="139">W6</f>
        <v>43252</v>
      </c>
      <c r="X836" s="649">
        <f t="shared" si="139"/>
        <v>43465</v>
      </c>
      <c r="Y836" s="649">
        <f t="shared" si="139"/>
        <v>43800</v>
      </c>
      <c r="Z836" s="649">
        <f t="shared" si="139"/>
        <v>43862</v>
      </c>
      <c r="AA836" s="649">
        <f t="shared" si="139"/>
        <v>44013</v>
      </c>
      <c r="AB836" s="649">
        <f t="shared" si="139"/>
        <v>44166</v>
      </c>
      <c r="AC836" s="649">
        <f t="shared" si="139"/>
        <v>44531</v>
      </c>
      <c r="AD836" s="649">
        <f t="shared" si="139"/>
        <v>44774</v>
      </c>
      <c r="AE836" s="649">
        <f t="shared" si="139"/>
        <v>45139</v>
      </c>
      <c r="AF836" s="649">
        <f t="shared" si="139"/>
        <v>45672</v>
      </c>
      <c r="AG836" s="649" t="str">
        <f t="shared" si="139"/>
        <v>-</v>
      </c>
      <c r="AK836" s="344"/>
      <c r="DG836" s="1018" t="str">
        <f>$DG$6</f>
        <v>TRC (2025)</v>
      </c>
      <c r="DH836" s="776" t="str">
        <f>$DH$6</f>
        <v>Benefit Lookup</v>
      </c>
      <c r="DI836" s="1034" t="str">
        <f>$DI$6</f>
        <v>Benefits (2025 $)</v>
      </c>
      <c r="DJ836" s="1060" t="str">
        <f>$DJ$6</f>
        <v>Incremental Cost (2025 $)</v>
      </c>
    </row>
    <row r="837" spans="2:114" x14ac:dyDescent="0.25">
      <c r="B837" s="1384">
        <f t="shared" ref="B837:B848" si="140">VALUE(LEFT(C837,6))</f>
        <v>404450</v>
      </c>
      <c r="C837" s="18" t="s">
        <v>1984</v>
      </c>
      <c r="D837" s="103" t="s">
        <v>1985</v>
      </c>
      <c r="E837" s="1306" t="s">
        <v>1986</v>
      </c>
      <c r="F837" s="57">
        <f>ROUND(K837+L837,2)</f>
        <v>44.56</v>
      </c>
      <c r="G837" s="389" t="s">
        <v>766</v>
      </c>
      <c r="H837" s="66">
        <f>VLOOKUP(G837,'CP FACTORS'!$A$3:$B$38, 2, FALSE)</f>
        <v>1.4925290000000001E-4</v>
      </c>
      <c r="I837" s="389" t="s">
        <v>61</v>
      </c>
      <c r="J837" s="66">
        <f>VLOOKUP(I837,'CP FACTORS'!$A$3:$B$38, 2, FALSE)</f>
        <v>1.899635E-4</v>
      </c>
      <c r="K837" s="44">
        <f t="shared" ref="K837:K847" si="141">((F854-F866)*$F$887*$F$878*(1-$F$880)*($F$881*$F$883)/1000)</f>
        <v>44.563401514255574</v>
      </c>
      <c r="L837" s="519">
        <f t="shared" ref="L837:L847" si="142">((F854-F866)*(1-$F$887)*$F$878*(1-$F$880)*($F$884*$F$886)/1000)</f>
        <v>0</v>
      </c>
      <c r="M837" s="43">
        <f t="shared" ref="M837:M848" si="143">IFERROR(ROUND(((K837/F837)*H837+IFERROR((L837/F837),0)*J837)*F837,6),0)</f>
        <v>6.6509999999999998E-3</v>
      </c>
      <c r="N837" s="44">
        <f t="shared" ref="N837:N848" si="144">F$892</f>
        <v>8</v>
      </c>
      <c r="O837" s="44">
        <v>0</v>
      </c>
      <c r="P837" s="1916">
        <f t="shared" ref="P837" si="145">F897</f>
        <v>1.66</v>
      </c>
      <c r="Q837" s="1917">
        <f t="shared" ref="Q837" si="146">G897</f>
        <v>1.66</v>
      </c>
      <c r="R837" s="134" t="s">
        <v>62</v>
      </c>
      <c r="V837" s="342" t="str">
        <f>F835</f>
        <v>kWh Annual Savings</v>
      </c>
      <c r="W837" s="369">
        <v>23.12165583413233</v>
      </c>
      <c r="X837" s="390">
        <v>23.769345599999998</v>
      </c>
      <c r="Y837" s="112">
        <v>23.59</v>
      </c>
      <c r="Z837" s="17">
        <v>23.59</v>
      </c>
      <c r="AA837" s="17">
        <v>23.59</v>
      </c>
      <c r="AB837" s="400">
        <v>23.59</v>
      </c>
      <c r="AC837" s="42">
        <v>23.59</v>
      </c>
      <c r="AD837" s="42">
        <v>23.59</v>
      </c>
      <c r="AE837" s="47">
        <v>5.24</v>
      </c>
      <c r="AF837" s="258">
        <f t="shared" ref="AF837:AF848" si="147">IF(F837&lt;&gt;"",F837,"")</f>
        <v>44.56</v>
      </c>
      <c r="AG837" s="342"/>
      <c r="AH837" s="115"/>
      <c r="AK837" s="344"/>
      <c r="DG837" s="1020">
        <f t="shared" ref="DG837:DG848" si="148">IFERROR((DI837)/(DJ837),0)</f>
        <v>10.714425002390662</v>
      </c>
      <c r="DH837" s="1330" t="str">
        <f>CONCATENATE(G837," ",N837," Year EUL")</f>
        <v>Lighting RES 8 Year EUL</v>
      </c>
      <c r="DI837" s="969">
        <f>(INDEX('Avoided Cost Benefits'!$B$4:$B$865,MATCH(DH837,'Avoided Cost Benefits'!$A$4:$A$865,0)))*F837</f>
        <v>17.785945503968499</v>
      </c>
      <c r="DJ837" s="1962">
        <f t="shared" ref="DJ837:DJ848" si="149">IFERROR(P837/((1+DiscountRate)^(CurrentYear-DiscountYear)),0)</f>
        <v>1.66</v>
      </c>
    </row>
    <row r="838" spans="2:114" x14ac:dyDescent="0.25">
      <c r="B838" s="1384">
        <f t="shared" si="140"/>
        <v>404500</v>
      </c>
      <c r="C838" s="18" t="s">
        <v>1987</v>
      </c>
      <c r="D838" s="103" t="s">
        <v>1985</v>
      </c>
      <c r="E838" s="1306" t="s">
        <v>1988</v>
      </c>
      <c r="F838" s="57">
        <f>ROUND(K838+L838,2)</f>
        <v>22.22</v>
      </c>
      <c r="G838" s="389" t="s">
        <v>766</v>
      </c>
      <c r="H838" s="66">
        <f>VLOOKUP(G838,'CP FACTORS'!$A$3:$B$38, 2, FALSE)</f>
        <v>1.4925290000000001E-4</v>
      </c>
      <c r="I838" s="389" t="s">
        <v>61</v>
      </c>
      <c r="J838" s="66">
        <f>VLOOKUP(I838,'CP FACTORS'!$A$3:$B$38, 2, FALSE)</f>
        <v>1.899635E-4</v>
      </c>
      <c r="K838" s="154">
        <f t="shared" si="141"/>
        <v>22.216166343136237</v>
      </c>
      <c r="L838" s="519">
        <f t="shared" si="142"/>
        <v>0</v>
      </c>
      <c r="M838" s="43">
        <f t="shared" si="143"/>
        <v>3.3159999999999999E-3</v>
      </c>
      <c r="N838" s="44">
        <f t="shared" si="144"/>
        <v>8</v>
      </c>
      <c r="O838" s="44">
        <v>0</v>
      </c>
      <c r="P838" s="1916">
        <f t="shared" ref="P838:P848" si="150">F898</f>
        <v>1.45</v>
      </c>
      <c r="Q838" s="1917">
        <f t="shared" ref="Q838:Q848" si="151">G898</f>
        <v>1.45</v>
      </c>
      <c r="R838" s="134" t="s">
        <v>62</v>
      </c>
      <c r="V838" s="342" t="str">
        <f>V837</f>
        <v>kWh Annual Savings</v>
      </c>
      <c r="W838" s="369">
        <v>20.693881971548436</v>
      </c>
      <c r="X838" s="390">
        <v>22.524950447999998</v>
      </c>
      <c r="Y838" s="112">
        <v>21.12</v>
      </c>
      <c r="Z838" s="17">
        <v>21.12</v>
      </c>
      <c r="AA838" s="17">
        <v>21.12</v>
      </c>
      <c r="AB838" s="112">
        <v>22.22</v>
      </c>
      <c r="AC838" s="42">
        <v>22.22</v>
      </c>
      <c r="AD838" s="42">
        <v>22.22</v>
      </c>
      <c r="AE838" s="42">
        <v>22.22</v>
      </c>
      <c r="AF838" s="258">
        <f t="shared" si="147"/>
        <v>22.22</v>
      </c>
      <c r="AG838" s="342"/>
      <c r="AH838" s="115"/>
      <c r="AK838" s="344"/>
      <c r="DG838" s="1020">
        <f t="shared" si="148"/>
        <v>6.1165682705717206</v>
      </c>
      <c r="DH838" s="653" t="str">
        <f t="shared" ref="DH838:DH846" si="152">CONCATENATE(G838," ",N838," Year EUL")</f>
        <v>Lighting RES 8 Year EUL</v>
      </c>
      <c r="DI838" s="538">
        <f>(INDEX('Avoided Cost Benefits'!$B$4:$B$865,MATCH(DH838,'Avoided Cost Benefits'!$A$4:$A$865,0)))*F838</f>
        <v>8.8690239923289944</v>
      </c>
      <c r="DJ838" s="1963">
        <f t="shared" si="149"/>
        <v>1.45</v>
      </c>
    </row>
    <row r="839" spans="2:114" x14ac:dyDescent="0.25">
      <c r="B839" s="1384">
        <f t="shared" si="140"/>
        <v>404600</v>
      </c>
      <c r="C839" s="18" t="s">
        <v>1989</v>
      </c>
      <c r="D839" s="103" t="s">
        <v>1985</v>
      </c>
      <c r="E839" s="1306" t="s">
        <v>1990</v>
      </c>
      <c r="F839" s="57">
        <f t="shared" ref="F839:F848" si="153">ROUND(K839+L839,2)</f>
        <v>58.33</v>
      </c>
      <c r="G839" s="389" t="s">
        <v>766</v>
      </c>
      <c r="H839" s="66">
        <f>VLOOKUP(G839,'CP FACTORS'!$A$3:$B$38, 2, FALSE)</f>
        <v>1.4925290000000001E-4</v>
      </c>
      <c r="I839" s="389" t="s">
        <v>61</v>
      </c>
      <c r="J839" s="66">
        <f>VLOOKUP(I839,'CP FACTORS'!$A$3:$B$38, 2, FALSE)</f>
        <v>1.899635E-4</v>
      </c>
      <c r="K839" s="44">
        <f t="shared" si="141"/>
        <v>58.325628452481567</v>
      </c>
      <c r="L839" s="519">
        <f t="shared" si="142"/>
        <v>0</v>
      </c>
      <c r="M839" s="43">
        <f t="shared" si="143"/>
        <v>8.7049999999999992E-3</v>
      </c>
      <c r="N839" s="44">
        <f t="shared" si="144"/>
        <v>8</v>
      </c>
      <c r="O839" s="44">
        <v>0</v>
      </c>
      <c r="P839" s="1916">
        <f t="shared" si="150"/>
        <v>1.66</v>
      </c>
      <c r="Q839" s="1917">
        <f t="shared" si="151"/>
        <v>1.66</v>
      </c>
      <c r="R839" s="134" t="s">
        <v>62</v>
      </c>
      <c r="V839" s="342" t="str">
        <f t="shared" ref="V839:V848" si="154">V838</f>
        <v>kWh Annual Savings</v>
      </c>
      <c r="W839" s="369">
        <v>42.871403525787038</v>
      </c>
      <c r="X839" s="256">
        <v>46.853574768000001</v>
      </c>
      <c r="Y839" s="163">
        <v>27.52</v>
      </c>
      <c r="Z839" s="20">
        <v>27.52</v>
      </c>
      <c r="AA839" s="20">
        <v>27.52</v>
      </c>
      <c r="AB839" s="400">
        <v>27.52</v>
      </c>
      <c r="AC839" s="42">
        <v>27.52</v>
      </c>
      <c r="AD839" s="42">
        <v>27.52</v>
      </c>
      <c r="AE839" s="47">
        <v>5.5</v>
      </c>
      <c r="AF839" s="258">
        <f t="shared" si="147"/>
        <v>58.33</v>
      </c>
      <c r="AG839" s="342"/>
      <c r="AH839" s="115"/>
      <c r="AK839" s="344"/>
      <c r="DG839" s="1020">
        <f t="shared" si="148"/>
        <v>14.025413159547739</v>
      </c>
      <c r="DH839" s="653" t="str">
        <f t="shared" si="152"/>
        <v>Lighting RES 8 Year EUL</v>
      </c>
      <c r="DI839" s="538">
        <f>(INDEX('Avoided Cost Benefits'!$B$4:$B$865,MATCH(DH839,'Avoided Cost Benefits'!$A$4:$A$865,0)))*F839</f>
        <v>23.282185844849245</v>
      </c>
      <c r="DJ839" s="1963">
        <f t="shared" si="149"/>
        <v>1.66</v>
      </c>
    </row>
    <row r="840" spans="2:114" x14ac:dyDescent="0.25">
      <c r="B840" s="1384">
        <f t="shared" si="140"/>
        <v>404650</v>
      </c>
      <c r="C840" s="18" t="s">
        <v>1991</v>
      </c>
      <c r="D840" s="103" t="s">
        <v>1985</v>
      </c>
      <c r="E840" s="1306" t="s">
        <v>1992</v>
      </c>
      <c r="F840" s="57">
        <f>ROUND(K840+L840,2)</f>
        <v>27.79</v>
      </c>
      <c r="G840" s="389" t="s">
        <v>766</v>
      </c>
      <c r="H840" s="66">
        <f>VLOOKUP(G840,'CP FACTORS'!$A$3:$B$38, 2, FALSE)</f>
        <v>1.4925290000000001E-4</v>
      </c>
      <c r="I840" s="389" t="s">
        <v>61</v>
      </c>
      <c r="J840" s="66">
        <f>VLOOKUP(I840,'CP FACTORS'!$A$3:$B$38, 2, FALSE)</f>
        <v>1.899635E-4</v>
      </c>
      <c r="K840" s="44">
        <f t="shared" si="141"/>
        <v>27.786591532418186</v>
      </c>
      <c r="L840" s="519">
        <f t="shared" si="142"/>
        <v>0</v>
      </c>
      <c r="M840" s="43">
        <f t="shared" si="143"/>
        <v>4.1469999999999996E-3</v>
      </c>
      <c r="N840" s="44">
        <f t="shared" si="144"/>
        <v>8</v>
      </c>
      <c r="O840" s="44">
        <v>0</v>
      </c>
      <c r="P840" s="1916">
        <f t="shared" si="150"/>
        <v>1.45</v>
      </c>
      <c r="Q840" s="1917">
        <f t="shared" si="151"/>
        <v>1.45</v>
      </c>
      <c r="R840" s="134" t="s">
        <v>62</v>
      </c>
      <c r="V840" s="342" t="str">
        <f t="shared" si="154"/>
        <v>kWh Annual Savings</v>
      </c>
      <c r="W840" s="369">
        <v>27.232172426866967</v>
      </c>
      <c r="X840" s="390">
        <v>29.641772160000002</v>
      </c>
      <c r="Y840" s="112">
        <v>27.79</v>
      </c>
      <c r="Z840" s="17">
        <v>27.79</v>
      </c>
      <c r="AA840" s="17">
        <v>27.79</v>
      </c>
      <c r="AB840" s="400">
        <v>27.79</v>
      </c>
      <c r="AC840" s="42">
        <v>27.79</v>
      </c>
      <c r="AD840" s="42">
        <v>27.79</v>
      </c>
      <c r="AE840" s="42">
        <v>27.79</v>
      </c>
      <c r="AF840" s="258">
        <f t="shared" si="147"/>
        <v>27.79</v>
      </c>
      <c r="AG840" s="342"/>
      <c r="AH840" s="115"/>
      <c r="AK840" s="344"/>
      <c r="DG840" s="1020">
        <f t="shared" si="148"/>
        <v>7.6498394347069363</v>
      </c>
      <c r="DH840" s="653" t="str">
        <f t="shared" si="152"/>
        <v>Lighting RES 8 Year EUL</v>
      </c>
      <c r="DI840" s="538">
        <f>(INDEX('Avoided Cost Benefits'!$B$4:$B$865,MATCH(DH840,'Avoided Cost Benefits'!$A$4:$A$865,0)))*F840</f>
        <v>11.092267180325058</v>
      </c>
      <c r="DJ840" s="1963">
        <f t="shared" si="149"/>
        <v>1.45</v>
      </c>
    </row>
    <row r="841" spans="2:114" x14ac:dyDescent="0.25">
      <c r="B841" s="1384">
        <f t="shared" si="140"/>
        <v>404651</v>
      </c>
      <c r="C841" s="18" t="s">
        <v>1993</v>
      </c>
      <c r="D841" s="103" t="s">
        <v>1985</v>
      </c>
      <c r="E841" s="1306" t="s">
        <v>1994</v>
      </c>
      <c r="F841" s="57">
        <f>ROUND(K841+L841,2)</f>
        <v>41.94</v>
      </c>
      <c r="G841" s="389" t="s">
        <v>766</v>
      </c>
      <c r="H841" s="66">
        <f>VLOOKUP(G841,'CP FACTORS'!$A$3:$B$38, 2, FALSE)</f>
        <v>1.4925290000000001E-4</v>
      </c>
      <c r="I841" s="389" t="s">
        <v>61</v>
      </c>
      <c r="J841" s="66">
        <f>VLOOKUP(I841,'CP FACTORS'!$A$3:$B$38, 2, FALSE)</f>
        <v>1.899635E-4</v>
      </c>
      <c r="K841" s="44">
        <f t="shared" si="141"/>
        <v>41.942024954593478</v>
      </c>
      <c r="L841" s="519">
        <f t="shared" si="142"/>
        <v>0</v>
      </c>
      <c r="M841" s="43">
        <f t="shared" si="143"/>
        <v>6.2599999999999999E-3</v>
      </c>
      <c r="N841" s="44">
        <f t="shared" si="144"/>
        <v>8</v>
      </c>
      <c r="O841" s="44">
        <v>0</v>
      </c>
      <c r="P841" s="1916">
        <f t="shared" si="150"/>
        <v>1.66</v>
      </c>
      <c r="Q841" s="1917">
        <f t="shared" si="151"/>
        <v>1.66</v>
      </c>
      <c r="R841" s="134" t="s">
        <v>62</v>
      </c>
      <c r="V841" s="342" t="str">
        <f t="shared" si="154"/>
        <v>kWh Annual Savings</v>
      </c>
      <c r="W841" s="369"/>
      <c r="X841" s="390"/>
      <c r="Y841" s="112"/>
      <c r="Z841" s="17"/>
      <c r="AA841" s="17"/>
      <c r="AB841" s="112">
        <v>28.84</v>
      </c>
      <c r="AC841" s="42">
        <v>35.39</v>
      </c>
      <c r="AD841" s="42">
        <v>35.39</v>
      </c>
      <c r="AE841" s="42">
        <v>35.39</v>
      </c>
      <c r="AF841" s="258">
        <f t="shared" si="147"/>
        <v>41.94</v>
      </c>
      <c r="AG841" s="342"/>
      <c r="AH841" s="115"/>
      <c r="AK841" s="344"/>
      <c r="DG841" s="1020">
        <f t="shared" si="148"/>
        <v>10.084447589772537</v>
      </c>
      <c r="DH841" s="653" t="str">
        <f>CONCATENATE(G841," ",N841," Year EUL")</f>
        <v>Lighting RES 8 Year EUL</v>
      </c>
      <c r="DI841" s="538">
        <f>(INDEX('Avoided Cost Benefits'!$B$4:$B$865,MATCH(DH841,'Avoided Cost Benefits'!$A$4:$A$865,0)))*F841</f>
        <v>16.740182999022412</v>
      </c>
      <c r="DJ841" s="1963">
        <f t="shared" si="149"/>
        <v>1.66</v>
      </c>
    </row>
    <row r="842" spans="2:114" x14ac:dyDescent="0.25">
      <c r="B842" s="1384">
        <f t="shared" si="140"/>
        <v>404700</v>
      </c>
      <c r="C842" s="18" t="s">
        <v>1995</v>
      </c>
      <c r="D842" s="103" t="s">
        <v>1985</v>
      </c>
      <c r="E842" s="1306" t="s">
        <v>1996</v>
      </c>
      <c r="F842" s="57">
        <f t="shared" si="153"/>
        <v>69.47</v>
      </c>
      <c r="G842" s="389" t="s">
        <v>766</v>
      </c>
      <c r="H842" s="66">
        <f>VLOOKUP(G842,'CP FACTORS'!$A$3:$B$38, 2, FALSE)</f>
        <v>1.4925290000000001E-4</v>
      </c>
      <c r="I842" s="389" t="s">
        <v>61</v>
      </c>
      <c r="J842" s="66">
        <f>VLOOKUP(I842,'CP FACTORS'!$A$3:$B$38, 2, FALSE)</f>
        <v>1.899635E-4</v>
      </c>
      <c r="K842" s="44">
        <f t="shared" si="141"/>
        <v>69.466478831045464</v>
      </c>
      <c r="L842" s="519">
        <f t="shared" si="142"/>
        <v>0</v>
      </c>
      <c r="M842" s="43">
        <f t="shared" si="143"/>
        <v>1.0368E-2</v>
      </c>
      <c r="N842" s="44">
        <f t="shared" si="144"/>
        <v>8</v>
      </c>
      <c r="O842" s="44">
        <v>0</v>
      </c>
      <c r="P842" s="1916">
        <f t="shared" si="150"/>
        <v>1.66</v>
      </c>
      <c r="Q842" s="1917">
        <f t="shared" si="151"/>
        <v>1.66</v>
      </c>
      <c r="R842" s="134" t="s">
        <v>62</v>
      </c>
      <c r="V842" s="342" t="str">
        <f t="shared" si="154"/>
        <v>kWh Annual Savings</v>
      </c>
      <c r="W842" s="369">
        <v>32.691452276592656</v>
      </c>
      <c r="X842" s="390">
        <v>28.663034399999997</v>
      </c>
      <c r="Y842" s="112">
        <v>26.87</v>
      </c>
      <c r="Z842" s="17">
        <v>26.87</v>
      </c>
      <c r="AA842" s="17">
        <v>26.87</v>
      </c>
      <c r="AB842" s="400">
        <v>26.87</v>
      </c>
      <c r="AC842" s="42">
        <v>26.87</v>
      </c>
      <c r="AD842" s="42">
        <v>26.87</v>
      </c>
      <c r="AE842" s="42">
        <v>26.87</v>
      </c>
      <c r="AF842" s="258">
        <f t="shared" si="147"/>
        <v>69.47</v>
      </c>
      <c r="AG842" s="342"/>
      <c r="AH842" s="115"/>
      <c r="AK842" s="344"/>
      <c r="DG842" s="1020">
        <f t="shared" si="148"/>
        <v>16.704019410145406</v>
      </c>
      <c r="DH842" s="653" t="str">
        <f t="shared" si="152"/>
        <v>Lighting RES 8 Year EUL</v>
      </c>
      <c r="DI842" s="538">
        <f>(INDEX('Avoided Cost Benefits'!$B$4:$B$865,MATCH(DH842,'Avoided Cost Benefits'!$A$4:$A$865,0)))*F842</f>
        <v>27.728672220841371</v>
      </c>
      <c r="DJ842" s="1963">
        <f t="shared" si="149"/>
        <v>1.66</v>
      </c>
    </row>
    <row r="843" spans="2:114" x14ac:dyDescent="0.25">
      <c r="B843" s="1384">
        <f t="shared" si="140"/>
        <v>404750</v>
      </c>
      <c r="C843" s="18" t="s">
        <v>1997</v>
      </c>
      <c r="D843" s="103" t="s">
        <v>1985</v>
      </c>
      <c r="E843" s="1306" t="s">
        <v>1998</v>
      </c>
      <c r="F843" s="57">
        <f t="shared" si="153"/>
        <v>87.16</v>
      </c>
      <c r="G843" s="389" t="s">
        <v>766</v>
      </c>
      <c r="H843" s="66">
        <f>VLOOKUP(G843,'CP FACTORS'!$A$3:$B$38, 2, FALSE)</f>
        <v>1.4925290000000001E-4</v>
      </c>
      <c r="I843" s="389" t="s">
        <v>61</v>
      </c>
      <c r="J843" s="66">
        <f>VLOOKUP(I843,'CP FACTORS'!$A$3:$B$38, 2, FALSE)</f>
        <v>1.899635E-4</v>
      </c>
      <c r="K843" s="44">
        <f t="shared" si="141"/>
        <v>87.160770608764579</v>
      </c>
      <c r="L843" s="519">
        <f t="shared" si="142"/>
        <v>0</v>
      </c>
      <c r="M843" s="43">
        <f t="shared" si="143"/>
        <v>1.3009E-2</v>
      </c>
      <c r="N843" s="44">
        <f t="shared" si="144"/>
        <v>8</v>
      </c>
      <c r="O843" s="44">
        <v>0</v>
      </c>
      <c r="P843" s="1916">
        <f t="shared" si="150"/>
        <v>1.66</v>
      </c>
      <c r="Q843" s="1917">
        <f t="shared" si="151"/>
        <v>1.66</v>
      </c>
      <c r="R843" s="134" t="s">
        <v>62</v>
      </c>
      <c r="V843" s="342" t="str">
        <f t="shared" si="154"/>
        <v>kWh Annual Savings</v>
      </c>
      <c r="W843" s="369">
        <v>52.66599384441254</v>
      </c>
      <c r="X843" s="390">
        <v>37.052215199999999</v>
      </c>
      <c r="Y843" s="112">
        <v>34.729999999999997</v>
      </c>
      <c r="Z843" s="17">
        <v>34.729999999999997</v>
      </c>
      <c r="AA843" s="17">
        <v>34.729999999999997</v>
      </c>
      <c r="AB843" s="400">
        <v>34.729999999999997</v>
      </c>
      <c r="AC843" s="42">
        <v>34.729999999999997</v>
      </c>
      <c r="AD843" s="42">
        <v>34.729999999999997</v>
      </c>
      <c r="AE843" s="42">
        <v>34.729999999999997</v>
      </c>
      <c r="AF843" s="258">
        <f t="shared" si="147"/>
        <v>87.16</v>
      </c>
      <c r="AG843" s="342"/>
      <c r="AH843" s="115"/>
      <c r="AK843" s="344"/>
      <c r="DG843" s="1020">
        <f t="shared" si="148"/>
        <v>20.957569192288378</v>
      </c>
      <c r="DH843" s="653" t="str">
        <f t="shared" si="152"/>
        <v>Lighting RES 8 Year EUL</v>
      </c>
      <c r="DI843" s="538">
        <f>(INDEX('Avoided Cost Benefits'!$B$4:$B$865,MATCH(DH843,'Avoided Cost Benefits'!$A$4:$A$865,0)))*F843</f>
        <v>34.789564859198705</v>
      </c>
      <c r="DJ843" s="1963">
        <f t="shared" si="149"/>
        <v>1.66</v>
      </c>
    </row>
    <row r="844" spans="2:114" x14ac:dyDescent="0.25">
      <c r="B844" s="1384">
        <f t="shared" si="140"/>
        <v>404800</v>
      </c>
      <c r="C844" s="18" t="s">
        <v>1999</v>
      </c>
      <c r="D844" s="103" t="s">
        <v>1985</v>
      </c>
      <c r="E844" s="1306" t="s">
        <v>2000</v>
      </c>
      <c r="F844" s="57">
        <f>ROUND(K844+L844,2)</f>
        <v>37.35</v>
      </c>
      <c r="G844" s="391" t="s">
        <v>766</v>
      </c>
      <c r="H844" s="66">
        <f>VLOOKUP(G844,'CP FACTORS'!$A$3:$B$38, 2, FALSE)</f>
        <v>1.4925290000000001E-4</v>
      </c>
      <c r="I844" s="391" t="s">
        <v>61</v>
      </c>
      <c r="J844" s="66">
        <f>VLOOKUP(I844,'CP FACTORS'!$A$3:$B$38, 2, FALSE)</f>
        <v>1.899635E-4</v>
      </c>
      <c r="K844" s="57">
        <f t="shared" si="141"/>
        <v>37.354615975184814</v>
      </c>
      <c r="L844" s="606">
        <f t="shared" si="142"/>
        <v>0</v>
      </c>
      <c r="M844" s="43">
        <f t="shared" si="143"/>
        <v>5.5750000000000001E-3</v>
      </c>
      <c r="N844" s="44">
        <f t="shared" si="144"/>
        <v>8</v>
      </c>
      <c r="O844" s="44">
        <v>0</v>
      </c>
      <c r="P844" s="1916">
        <f t="shared" si="150"/>
        <v>1.45</v>
      </c>
      <c r="Q844" s="1917">
        <f t="shared" si="151"/>
        <v>1.45</v>
      </c>
      <c r="R844" s="134" t="s">
        <v>62</v>
      </c>
      <c r="V844" s="342" t="str">
        <f t="shared" si="154"/>
        <v>kWh Annual Savings</v>
      </c>
      <c r="W844" s="369">
        <v>36.609288404042864</v>
      </c>
      <c r="X844" s="390">
        <v>39.848608800000001</v>
      </c>
      <c r="Y844" s="112">
        <v>37.35</v>
      </c>
      <c r="Z844" s="17">
        <v>37.35</v>
      </c>
      <c r="AA844" s="17">
        <v>37.35</v>
      </c>
      <c r="AB844" s="400">
        <v>37.35</v>
      </c>
      <c r="AC844" s="42">
        <v>37.35</v>
      </c>
      <c r="AD844" s="42">
        <v>37.35</v>
      </c>
      <c r="AE844" s="42">
        <v>37.35</v>
      </c>
      <c r="AF844" s="258">
        <f t="shared" si="147"/>
        <v>37.35</v>
      </c>
      <c r="AG844" s="342"/>
      <c r="AH844" s="115"/>
      <c r="AK844" s="344"/>
      <c r="DG844" s="1020">
        <f t="shared" si="148"/>
        <v>10.281450265789999</v>
      </c>
      <c r="DH844" s="653" t="str">
        <f t="shared" si="152"/>
        <v>Lighting RES 8 Year EUL</v>
      </c>
      <c r="DI844" s="538">
        <f>(INDEX('Avoided Cost Benefits'!$B$4:$B$865,MATCH(DH844,'Avoided Cost Benefits'!$A$4:$A$865,0)))*F844</f>
        <v>14.908102885395499</v>
      </c>
      <c r="DJ844" s="1963">
        <f t="shared" si="149"/>
        <v>1.45</v>
      </c>
    </row>
    <row r="845" spans="2:114" x14ac:dyDescent="0.25">
      <c r="B845" s="1384">
        <f t="shared" si="140"/>
        <v>404850</v>
      </c>
      <c r="C845" s="18" t="s">
        <v>2001</v>
      </c>
      <c r="D845" s="103" t="s">
        <v>1985</v>
      </c>
      <c r="E845" s="1306" t="s">
        <v>2002</v>
      </c>
      <c r="F845" s="57">
        <f t="shared" si="153"/>
        <v>23.26</v>
      </c>
      <c r="G845" s="391" t="s">
        <v>766</v>
      </c>
      <c r="H845" s="66">
        <f>VLOOKUP(G845,'CP FACTORS'!$A$3:$B$38, 2, FALSE)</f>
        <v>1.4925290000000001E-4</v>
      </c>
      <c r="I845" s="391" t="s">
        <v>61</v>
      </c>
      <c r="J845" s="66">
        <f>VLOOKUP(I845,'CP FACTORS'!$A$3:$B$38, 2, FALSE)</f>
        <v>1.899635E-4</v>
      </c>
      <c r="K845" s="42">
        <f t="shared" si="141"/>
        <v>23.264716967001075</v>
      </c>
      <c r="L845" s="606">
        <f t="shared" si="142"/>
        <v>0</v>
      </c>
      <c r="M845" s="43">
        <f t="shared" si="143"/>
        <v>3.4719999999999998E-3</v>
      </c>
      <c r="N845" s="44">
        <f t="shared" si="144"/>
        <v>8</v>
      </c>
      <c r="O845" s="44">
        <v>0</v>
      </c>
      <c r="P845" s="1916">
        <f t="shared" si="150"/>
        <v>1.66</v>
      </c>
      <c r="Q845" s="1917">
        <f t="shared" si="151"/>
        <v>1.66</v>
      </c>
      <c r="R845" s="134" t="s">
        <v>62</v>
      </c>
      <c r="V845" s="342" t="str">
        <f t="shared" si="154"/>
        <v>kWh Annual Savings</v>
      </c>
      <c r="W845" s="369">
        <v>23.063851694547001</v>
      </c>
      <c r="X845" s="390">
        <v>25.104623543999999</v>
      </c>
      <c r="Y845" s="112">
        <v>23.53</v>
      </c>
      <c r="Z845" s="17">
        <v>23.53</v>
      </c>
      <c r="AA845" s="17">
        <v>23.53</v>
      </c>
      <c r="AB845" s="400">
        <v>23.53</v>
      </c>
      <c r="AC845" s="42">
        <v>23.53</v>
      </c>
      <c r="AD845" s="42">
        <v>23.53</v>
      </c>
      <c r="AE845" s="42">
        <v>23.53</v>
      </c>
      <c r="AF845" s="258">
        <f t="shared" si="147"/>
        <v>23.26</v>
      </c>
      <c r="AG845" s="342"/>
      <c r="AH845" s="115"/>
      <c r="AK845" s="344"/>
      <c r="DG845" s="1020">
        <f t="shared" si="148"/>
        <v>5.592852907441805</v>
      </c>
      <c r="DH845" s="653" t="str">
        <f t="shared" si="152"/>
        <v>Lighting RES 8 Year EUL</v>
      </c>
      <c r="DI845" s="538">
        <f>(INDEX('Avoided Cost Benefits'!$B$4:$B$865,MATCH(DH845,'Avoided Cost Benefits'!$A$4:$A$865,0)))*F845</f>
        <v>9.2841358263533955</v>
      </c>
      <c r="DJ845" s="1963">
        <f t="shared" si="149"/>
        <v>1.66</v>
      </c>
    </row>
    <row r="846" spans="2:114" x14ac:dyDescent="0.25">
      <c r="B846" s="1384">
        <f t="shared" si="140"/>
        <v>404950</v>
      </c>
      <c r="C846" s="18" t="s">
        <v>2003</v>
      </c>
      <c r="D846" s="103" t="s">
        <v>1985</v>
      </c>
      <c r="E846" s="1306" t="s">
        <v>2004</v>
      </c>
      <c r="F846" s="57">
        <f>ROUND(K846+L846,2)</f>
        <v>60.95</v>
      </c>
      <c r="G846" s="391" t="s">
        <v>766</v>
      </c>
      <c r="H846" s="66">
        <f>VLOOKUP(G846,'CP FACTORS'!$A$3:$B$38, 2, FALSE)</f>
        <v>1.4925290000000001E-4</v>
      </c>
      <c r="I846" s="391" t="s">
        <v>61</v>
      </c>
      <c r="J846" s="66">
        <f>VLOOKUP(I846,'CP FACTORS'!$A$3:$B$38, 2, FALSE)</f>
        <v>1.899635E-4</v>
      </c>
      <c r="K846" s="57">
        <f t="shared" si="141"/>
        <v>60.947005012143649</v>
      </c>
      <c r="L846" s="606">
        <f t="shared" si="142"/>
        <v>0</v>
      </c>
      <c r="M846" s="43">
        <f t="shared" si="143"/>
        <v>9.0969999999999992E-3</v>
      </c>
      <c r="N846" s="44">
        <f t="shared" si="144"/>
        <v>8</v>
      </c>
      <c r="O846" s="44">
        <v>0</v>
      </c>
      <c r="P846" s="1916">
        <f t="shared" si="150"/>
        <v>1.66</v>
      </c>
      <c r="Q846" s="1917">
        <f t="shared" si="151"/>
        <v>1.66</v>
      </c>
      <c r="R846" s="134" t="s">
        <v>62</v>
      </c>
      <c r="V846" s="342" t="str">
        <f t="shared" si="154"/>
        <v>kWh Annual Savings</v>
      </c>
      <c r="W846" s="369">
        <v>23.211573384598399</v>
      </c>
      <c r="X846" s="390">
        <v>14.681066400000002</v>
      </c>
      <c r="Y846" s="112">
        <v>14.42</v>
      </c>
      <c r="Z846" s="17">
        <v>14.42</v>
      </c>
      <c r="AA846" s="17">
        <v>14.42</v>
      </c>
      <c r="AB846" s="400">
        <v>14.42</v>
      </c>
      <c r="AC846" s="42">
        <v>14.42</v>
      </c>
      <c r="AD846" s="42">
        <v>14.42</v>
      </c>
      <c r="AE846" s="47">
        <v>3.21</v>
      </c>
      <c r="AF846" s="258">
        <f t="shared" si="147"/>
        <v>60.95</v>
      </c>
      <c r="AG846" s="342"/>
      <c r="AH846" s="115"/>
      <c r="AK846" s="344"/>
      <c r="DG846" s="1020">
        <f t="shared" si="148"/>
        <v>14.655390572165864</v>
      </c>
      <c r="DH846" s="653" t="str">
        <f t="shared" si="152"/>
        <v>Lighting RES 8 Year EUL</v>
      </c>
      <c r="DI846" s="538">
        <f>(INDEX('Avoided Cost Benefits'!$B$4:$B$865,MATCH(DH846,'Avoided Cost Benefits'!$A$4:$A$865,0)))*F846</f>
        <v>24.327948349795331</v>
      </c>
      <c r="DJ846" s="1963">
        <f t="shared" si="149"/>
        <v>1.66</v>
      </c>
    </row>
    <row r="847" spans="2:114" x14ac:dyDescent="0.25">
      <c r="B847" s="1384">
        <f t="shared" si="140"/>
        <v>405410</v>
      </c>
      <c r="C847" s="18" t="s">
        <v>2005</v>
      </c>
      <c r="D847" s="103" t="s">
        <v>1985</v>
      </c>
      <c r="E847" s="1306" t="s">
        <v>2006</v>
      </c>
      <c r="F847" s="57">
        <f>ROUND(K847+L847,2)</f>
        <v>15.07</v>
      </c>
      <c r="G847" s="391" t="s">
        <v>766</v>
      </c>
      <c r="H847" s="66">
        <f>VLOOKUP(G847,'CP FACTORS'!$A$3:$B$38, 2, FALSE)</f>
        <v>1.4925290000000001E-4</v>
      </c>
      <c r="I847" s="391" t="s">
        <v>61</v>
      </c>
      <c r="J847" s="66">
        <f>VLOOKUP(I847,'CP FACTORS'!$A$3:$B$38, 2, FALSE)</f>
        <v>1.899635E-4</v>
      </c>
      <c r="K847" s="57">
        <f t="shared" si="141"/>
        <v>15.07291521805703</v>
      </c>
      <c r="L847" s="606">
        <f t="shared" si="142"/>
        <v>0</v>
      </c>
      <c r="M847" s="43">
        <f t="shared" si="143"/>
        <v>2.2499999999999998E-3</v>
      </c>
      <c r="N847" s="44">
        <f t="shared" si="144"/>
        <v>8</v>
      </c>
      <c r="O847" s="44">
        <v>0</v>
      </c>
      <c r="P847" s="1916">
        <f t="shared" si="150"/>
        <v>1.45</v>
      </c>
      <c r="Q847" s="1917">
        <f t="shared" si="151"/>
        <v>1.45</v>
      </c>
      <c r="R847" s="134" t="s">
        <v>62</v>
      </c>
      <c r="V847" s="342" t="str">
        <f t="shared" si="154"/>
        <v>kWh Annual Savings</v>
      </c>
      <c r="W847" s="369"/>
      <c r="X847" s="390"/>
      <c r="Y847" s="112"/>
      <c r="Z847" s="17"/>
      <c r="AA847" s="17"/>
      <c r="AB847" s="112">
        <v>15.07</v>
      </c>
      <c r="AC847" s="42">
        <v>15.07</v>
      </c>
      <c r="AD847" s="42">
        <v>15.07</v>
      </c>
      <c r="AE847" s="42">
        <v>15.07</v>
      </c>
      <c r="AF847" s="258">
        <f t="shared" si="147"/>
        <v>15.07</v>
      </c>
      <c r="AG847" s="342"/>
      <c r="AH847" s="115"/>
      <c r="AK847" s="344"/>
      <c r="DG847" s="1020">
        <f t="shared" si="148"/>
        <v>4.1483656092491374</v>
      </c>
      <c r="DH847" s="653" t="str">
        <f t="shared" ref="DH847:DH848" si="155">CONCATENATE(G847," ",N847," Year EUL")</f>
        <v>Lighting RES 8 Year EUL</v>
      </c>
      <c r="DI847" s="538">
        <f>(INDEX('Avoided Cost Benefits'!$B$4:$B$865,MATCH(DH847,'Avoided Cost Benefits'!$A$4:$A$865,0)))*F847</f>
        <v>6.0151301334112492</v>
      </c>
      <c r="DJ847" s="1963">
        <f t="shared" si="149"/>
        <v>1.45</v>
      </c>
    </row>
    <row r="848" spans="2:114" x14ac:dyDescent="0.25">
      <c r="B848" s="1384">
        <f t="shared" si="140"/>
        <v>405430</v>
      </c>
      <c r="C848" s="18" t="s">
        <v>2007</v>
      </c>
      <c r="D848" s="103" t="s">
        <v>825</v>
      </c>
      <c r="E848" s="1306" t="s">
        <v>765</v>
      </c>
      <c r="F848" s="42">
        <f t="shared" si="153"/>
        <v>28.53</v>
      </c>
      <c r="G848" s="391" t="s">
        <v>766</v>
      </c>
      <c r="H848" s="66">
        <f>VLOOKUP(G848,'CP FACTORS'!$A$3:$B$38, 2, FALSE)</f>
        <v>1.4925290000000001E-4</v>
      </c>
      <c r="I848" s="391" t="s">
        <v>61</v>
      </c>
      <c r="J848" s="66">
        <f>VLOOKUP(I848,'CP FACTORS'!$A$3:$B$38, 2, FALSE)</f>
        <v>1.899635E-4</v>
      </c>
      <c r="K848" s="57">
        <f>((F865-F877)*$F$887*$F$878*(1-$F$880)*($F$882*$F$883)/1000)</f>
        <v>28.526284813109683</v>
      </c>
      <c r="L848" s="606">
        <f>((F865-F877)*(1-$F$887)*$F$878*(1-$F$880)*($F$885*$F$886)/1000)</f>
        <v>0</v>
      </c>
      <c r="M848" s="43">
        <f t="shared" si="143"/>
        <v>4.2579999999999996E-3</v>
      </c>
      <c r="N848" s="44">
        <f t="shared" si="144"/>
        <v>8</v>
      </c>
      <c r="O848" s="1918">
        <v>0</v>
      </c>
      <c r="P848" s="392">
        <f t="shared" si="150"/>
        <v>3.35</v>
      </c>
      <c r="Q848" s="1919">
        <f t="shared" si="151"/>
        <v>3.35</v>
      </c>
      <c r="R848" s="943" t="s">
        <v>62</v>
      </c>
      <c r="V848" s="342" t="str">
        <f t="shared" si="154"/>
        <v>kWh Annual Savings</v>
      </c>
      <c r="W848" s="369"/>
      <c r="X848" s="390"/>
      <c r="Y848" s="112"/>
      <c r="Z848" s="17"/>
      <c r="AA848" s="17"/>
      <c r="AB848" s="112"/>
      <c r="AC848" s="47">
        <v>28.53</v>
      </c>
      <c r="AD848" s="42">
        <v>28.53</v>
      </c>
      <c r="AE848" s="42">
        <v>28.53</v>
      </c>
      <c r="AF848" s="258">
        <f t="shared" si="147"/>
        <v>28.53</v>
      </c>
      <c r="AG848" s="342"/>
      <c r="AH848" s="115"/>
      <c r="AK848" s="344"/>
      <c r="DG848" s="1020">
        <f t="shared" si="148"/>
        <v>3.3992940943502052</v>
      </c>
      <c r="DH848" s="653" t="str">
        <f t="shared" si="155"/>
        <v>Lighting RES 8 Year EUL</v>
      </c>
      <c r="DI848" s="1030">
        <f>(INDEX('Avoided Cost Benefits'!$B$4:$B$865,MATCH(DH848,'Avoided Cost Benefits'!$A$4:$A$865,0)))*F848</f>
        <v>11.387635216073187</v>
      </c>
      <c r="DJ848" s="1964">
        <f t="shared" si="149"/>
        <v>3.35</v>
      </c>
    </row>
    <row r="849" spans="2:114" hidden="1" outlineLevel="1" x14ac:dyDescent="0.25">
      <c r="B849" s="50"/>
      <c r="C849" s="49"/>
      <c r="D849" s="74" t="s">
        <v>94</v>
      </c>
      <c r="E849" s="270" t="s">
        <v>2008</v>
      </c>
      <c r="F849" s="1200"/>
      <c r="G849" s="434"/>
      <c r="H849" s="935"/>
      <c r="I849" s="434"/>
      <c r="J849" s="935"/>
      <c r="K849" s="394"/>
      <c r="L849" s="1396"/>
      <c r="M849" s="396"/>
      <c r="N849" s="607"/>
      <c r="O849" s="607"/>
      <c r="P849" s="635"/>
      <c r="Q849" s="635"/>
      <c r="R849" s="50"/>
      <c r="AK849" s="344"/>
      <c r="DJ849" s="1127"/>
    </row>
    <row r="850" spans="2:114" hidden="1" outlineLevel="1" x14ac:dyDescent="0.25">
      <c r="B850" s="50"/>
      <c r="C850" s="49"/>
      <c r="D850" s="393"/>
      <c r="E850" s="50" t="s">
        <v>768</v>
      </c>
      <c r="F850" s="394"/>
      <c r="G850" s="434"/>
      <c r="H850" s="1397"/>
      <c r="I850" s="50"/>
      <c r="J850" s="607"/>
      <c r="K850" s="396"/>
      <c r="L850" s="50"/>
      <c r="M850" s="50"/>
      <c r="N850" s="50"/>
      <c r="AK850" s="344"/>
      <c r="DJ850" s="1127"/>
    </row>
    <row r="851" spans="2:114" hidden="1" outlineLevel="1" x14ac:dyDescent="0.25">
      <c r="B851" s="50"/>
      <c r="C851" s="49"/>
      <c r="D851" s="74" t="s">
        <v>604</v>
      </c>
      <c r="E851" s="50" t="s">
        <v>607</v>
      </c>
      <c r="F851" s="50"/>
      <c r="G851" s="50"/>
      <c r="H851" s="50"/>
      <c r="I851" s="50"/>
      <c r="J851" s="607"/>
      <c r="K851" s="396"/>
      <c r="L851" s="50"/>
      <c r="M851" s="50"/>
      <c r="N851" s="50"/>
      <c r="V851" s="260" t="str">
        <f>IF(C849&gt;0,C849," ")</f>
        <v xml:space="preserve"> </v>
      </c>
      <c r="AK851" s="344"/>
      <c r="DJ851" s="1127"/>
    </row>
    <row r="852" spans="2:114" hidden="1" outlineLevel="1" x14ac:dyDescent="0.25">
      <c r="B852" s="50"/>
      <c r="C852" s="49"/>
      <c r="D852" s="100"/>
      <c r="E852" s="100"/>
      <c r="F852" s="50"/>
      <c r="G852" s="50"/>
      <c r="H852" s="50"/>
      <c r="I852" s="50"/>
      <c r="J852" s="607"/>
      <c r="K852" s="396"/>
      <c r="L852" s="50"/>
      <c r="M852" s="50"/>
      <c r="N852" s="50"/>
      <c r="V852" s="260" t="str">
        <f>IF(C850&gt;0,C850," ")</f>
        <v xml:space="preserve"> </v>
      </c>
      <c r="AK852" s="344"/>
      <c r="DJ852" s="1127"/>
    </row>
    <row r="853" spans="2:114" hidden="1" outlineLevel="1" x14ac:dyDescent="0.25">
      <c r="B853" s="50"/>
      <c r="C853" s="397"/>
      <c r="D853" s="398" t="s">
        <v>608</v>
      </c>
      <c r="E853" s="398" t="s">
        <v>98</v>
      </c>
      <c r="F853" s="2168" t="s">
        <v>610</v>
      </c>
      <c r="G853" s="2232"/>
      <c r="H853" s="2168" t="s">
        <v>612</v>
      </c>
      <c r="I853" s="2232"/>
      <c r="J853" s="50"/>
      <c r="K853" s="50"/>
      <c r="L853" s="50"/>
      <c r="M853" s="50"/>
      <c r="N853" s="50"/>
      <c r="V853" s="817" t="s">
        <v>52</v>
      </c>
      <c r="W853" s="1651">
        <f>$W$6</f>
        <v>43252</v>
      </c>
      <c r="X853" s="1651">
        <f>$X$6</f>
        <v>43465</v>
      </c>
      <c r="Y853" s="1653">
        <f>$Y$6</f>
        <v>43800</v>
      </c>
      <c r="Z853" s="1651">
        <f>$Z$6</f>
        <v>43862</v>
      </c>
      <c r="AA853" s="1651">
        <f>$AA$6</f>
        <v>44013</v>
      </c>
      <c r="AB853" s="1651">
        <f>$AB$6</f>
        <v>44166</v>
      </c>
      <c r="AC853" s="1651">
        <f>$AC$6</f>
        <v>44531</v>
      </c>
      <c r="AD853" s="1651">
        <f>$AD$6</f>
        <v>44774</v>
      </c>
      <c r="AE853" s="1651">
        <f>$AE$6</f>
        <v>45139</v>
      </c>
      <c r="AF853" s="1651">
        <f>$AF$6</f>
        <v>45672</v>
      </c>
      <c r="AG853" s="1651" t="str">
        <f>$AG$6</f>
        <v>-</v>
      </c>
      <c r="AK853" s="344"/>
    </row>
    <row r="854" spans="2:114" ht="15" hidden="1" customHeight="1" outlineLevel="1" x14ac:dyDescent="0.25">
      <c r="B854" s="50"/>
      <c r="C854" s="397"/>
      <c r="D854" s="2392" t="s">
        <v>2009</v>
      </c>
      <c r="E854" s="1306" t="s">
        <v>1986</v>
      </c>
      <c r="F854" s="1649">
        <v>75</v>
      </c>
      <c r="G854" s="17"/>
      <c r="H854" s="2140" t="s">
        <v>2010</v>
      </c>
      <c r="I854" s="2231"/>
      <c r="J854" s="50"/>
      <c r="K854" s="50"/>
      <c r="L854" s="50"/>
      <c r="M854" s="50"/>
      <c r="N854" s="50"/>
      <c r="V854" s="2392" t="s">
        <v>2009</v>
      </c>
      <c r="W854" s="400">
        <v>43</v>
      </c>
      <c r="X854" s="112">
        <v>43</v>
      </c>
      <c r="Y854" s="20">
        <v>43</v>
      </c>
      <c r="Z854" s="20">
        <v>43</v>
      </c>
      <c r="AA854" s="20">
        <v>43</v>
      </c>
      <c r="AB854" s="20">
        <v>43</v>
      </c>
      <c r="AC854" s="20">
        <v>43</v>
      </c>
      <c r="AD854" s="20">
        <v>43</v>
      </c>
      <c r="AE854" s="163">
        <v>15</v>
      </c>
      <c r="AF854" s="258">
        <f t="shared" ref="AF854:AF871" si="156">IF(F854&lt;&gt;"",F854,"")</f>
        <v>75</v>
      </c>
      <c r="AG854" s="374"/>
      <c r="AK854" s="344"/>
    </row>
    <row r="855" spans="2:114" ht="15" hidden="1" customHeight="1" outlineLevel="1" x14ac:dyDescent="0.25">
      <c r="B855" s="50"/>
      <c r="C855" s="397"/>
      <c r="D855" s="2393"/>
      <c r="E855" s="1306" t="s">
        <v>1988</v>
      </c>
      <c r="F855" s="1649">
        <v>43</v>
      </c>
      <c r="G855" s="17"/>
      <c r="H855" s="2140" t="s">
        <v>771</v>
      </c>
      <c r="I855" s="2231"/>
      <c r="J855" s="50"/>
      <c r="K855" s="50"/>
      <c r="L855" s="50"/>
      <c r="M855" s="50"/>
      <c r="N855" s="50"/>
      <c r="V855" s="2393"/>
      <c r="W855" s="400">
        <v>41.32</v>
      </c>
      <c r="X855" s="400">
        <v>41.32</v>
      </c>
      <c r="Y855" s="526">
        <v>41.32</v>
      </c>
      <c r="Z855" s="526">
        <v>41.32</v>
      </c>
      <c r="AA855" s="526">
        <v>41.32</v>
      </c>
      <c r="AB855" s="163">
        <v>43</v>
      </c>
      <c r="AC855" s="20">
        <v>43</v>
      </c>
      <c r="AD855" s="20">
        <v>43</v>
      </c>
      <c r="AE855" s="20">
        <v>43</v>
      </c>
      <c r="AF855" s="258">
        <f t="shared" si="156"/>
        <v>43</v>
      </c>
      <c r="AG855" s="1437"/>
      <c r="AK855" s="344"/>
    </row>
    <row r="856" spans="2:114" ht="15" hidden="1" customHeight="1" outlineLevel="1" x14ac:dyDescent="0.25">
      <c r="B856" s="50"/>
      <c r="C856" s="397"/>
      <c r="D856" s="2393"/>
      <c r="E856" s="1306" t="s">
        <v>1990</v>
      </c>
      <c r="F856" s="1649">
        <v>100</v>
      </c>
      <c r="G856" s="17"/>
      <c r="H856" s="2140" t="s">
        <v>2011</v>
      </c>
      <c r="I856" s="2231"/>
      <c r="J856" s="50"/>
      <c r="K856" s="50"/>
      <c r="L856" s="50"/>
      <c r="M856" s="50"/>
      <c r="N856" s="50"/>
      <c r="V856" s="2393"/>
      <c r="W856" s="400">
        <v>76.25</v>
      </c>
      <c r="X856" s="401">
        <v>76.25</v>
      </c>
      <c r="Y856" s="163">
        <v>53</v>
      </c>
      <c r="Z856" s="20">
        <v>53</v>
      </c>
      <c r="AA856" s="20">
        <v>53</v>
      </c>
      <c r="AB856" s="20">
        <v>53</v>
      </c>
      <c r="AC856" s="20">
        <v>53</v>
      </c>
      <c r="AD856" s="20">
        <v>53</v>
      </c>
      <c r="AE856" s="20">
        <v>53</v>
      </c>
      <c r="AF856" s="258">
        <f t="shared" si="156"/>
        <v>100</v>
      </c>
      <c r="AG856" s="1437"/>
      <c r="AK856" s="344"/>
    </row>
    <row r="857" spans="2:114" ht="15" hidden="1" customHeight="1" outlineLevel="1" x14ac:dyDescent="0.25">
      <c r="B857" s="50"/>
      <c r="C857" s="397"/>
      <c r="D857" s="2393"/>
      <c r="E857" s="1306" t="s">
        <v>1992</v>
      </c>
      <c r="F857" s="1649">
        <v>53</v>
      </c>
      <c r="G857" s="17"/>
      <c r="H857" s="2140" t="s">
        <v>771</v>
      </c>
      <c r="I857" s="2231"/>
      <c r="J857" s="50"/>
      <c r="K857" s="50"/>
      <c r="L857" s="50"/>
      <c r="M857" s="50"/>
      <c r="N857" s="50"/>
      <c r="V857" s="2393"/>
      <c r="W857" s="17">
        <v>53</v>
      </c>
      <c r="X857" s="17">
        <v>53</v>
      </c>
      <c r="Y857" s="1455">
        <v>53</v>
      </c>
      <c r="Z857" s="526">
        <v>53</v>
      </c>
      <c r="AA857" s="526">
        <v>53</v>
      </c>
      <c r="AB857" s="20">
        <v>53</v>
      </c>
      <c r="AC857" s="20">
        <v>53</v>
      </c>
      <c r="AD857" s="20">
        <v>53</v>
      </c>
      <c r="AE857" s="20">
        <v>53</v>
      </c>
      <c r="AF857" s="258">
        <f t="shared" si="156"/>
        <v>53</v>
      </c>
      <c r="AG857" s="1437"/>
      <c r="AK857" s="344"/>
    </row>
    <row r="858" spans="2:114" ht="15" hidden="1" customHeight="1" outlineLevel="1" x14ac:dyDescent="0.25">
      <c r="B858" s="50"/>
      <c r="C858" s="397"/>
      <c r="D858" s="2393"/>
      <c r="E858" s="1306" t="s">
        <v>1994</v>
      </c>
      <c r="F858" s="1649">
        <v>75</v>
      </c>
      <c r="G858" s="17"/>
      <c r="H858" s="2140" t="s">
        <v>2012</v>
      </c>
      <c r="I858" s="2140"/>
      <c r="J858" s="50"/>
      <c r="K858" s="50"/>
      <c r="L858" s="50"/>
      <c r="M858" s="50"/>
      <c r="N858" s="50"/>
      <c r="V858" s="2393"/>
      <c r="W858" s="400"/>
      <c r="X858" s="112"/>
      <c r="Y858" s="20"/>
      <c r="Z858" s="20"/>
      <c r="AA858" s="20"/>
      <c r="AB858" s="163">
        <v>65</v>
      </c>
      <c r="AC858" s="20">
        <v>65</v>
      </c>
      <c r="AD858" s="20">
        <v>65</v>
      </c>
      <c r="AE858" s="20">
        <v>65</v>
      </c>
      <c r="AF858" s="258">
        <f t="shared" si="156"/>
        <v>75</v>
      </c>
      <c r="AG858" s="1437"/>
      <c r="AK858" s="344"/>
    </row>
    <row r="859" spans="2:114" ht="15" hidden="1" customHeight="1" outlineLevel="1" x14ac:dyDescent="0.25">
      <c r="B859" s="50"/>
      <c r="C859" s="397"/>
      <c r="D859" s="2393"/>
      <c r="E859" s="1306" t="s">
        <v>1996</v>
      </c>
      <c r="F859" s="1649">
        <v>120</v>
      </c>
      <c r="G859" s="17"/>
      <c r="H859" s="2140" t="s">
        <v>2013</v>
      </c>
      <c r="I859" s="2140"/>
      <c r="J859" s="50"/>
      <c r="K859" s="50"/>
      <c r="L859" s="50"/>
      <c r="M859" s="50"/>
      <c r="N859" s="50"/>
      <c r="V859" s="2393"/>
      <c r="W859" s="400">
        <v>62.1</v>
      </c>
      <c r="X859" s="112">
        <v>55</v>
      </c>
      <c r="Y859" s="20">
        <v>55</v>
      </c>
      <c r="Z859" s="20">
        <v>55</v>
      </c>
      <c r="AA859" s="20">
        <v>55</v>
      </c>
      <c r="AB859" s="20">
        <v>55</v>
      </c>
      <c r="AC859" s="20">
        <v>55</v>
      </c>
      <c r="AD859" s="20">
        <v>55</v>
      </c>
      <c r="AE859" s="20">
        <v>55</v>
      </c>
      <c r="AF859" s="258">
        <f t="shared" si="156"/>
        <v>120</v>
      </c>
      <c r="AG859" s="1437"/>
      <c r="AK859" s="344"/>
    </row>
    <row r="860" spans="2:114" ht="15" hidden="1" customHeight="1" outlineLevel="1" x14ac:dyDescent="0.25">
      <c r="B860" s="50"/>
      <c r="C860" s="397"/>
      <c r="D860" s="2393"/>
      <c r="E860" s="1306" t="s">
        <v>1998</v>
      </c>
      <c r="F860" s="1649">
        <v>150</v>
      </c>
      <c r="G860" s="17"/>
      <c r="H860" s="2140" t="s">
        <v>2014</v>
      </c>
      <c r="I860" s="2140"/>
      <c r="J860" s="50"/>
      <c r="K860" s="50"/>
      <c r="L860" s="50"/>
      <c r="M860" s="50"/>
      <c r="N860" s="50"/>
      <c r="V860" s="2393"/>
      <c r="W860" s="400">
        <v>100</v>
      </c>
      <c r="X860" s="112">
        <v>70</v>
      </c>
      <c r="Y860" s="526">
        <v>70</v>
      </c>
      <c r="Z860" s="526">
        <v>70</v>
      </c>
      <c r="AA860" s="526">
        <v>70</v>
      </c>
      <c r="AB860" s="20">
        <v>70</v>
      </c>
      <c r="AC860" s="20">
        <v>70</v>
      </c>
      <c r="AD860" s="20">
        <v>70</v>
      </c>
      <c r="AE860" s="20">
        <v>70</v>
      </c>
      <c r="AF860" s="258">
        <f t="shared" si="156"/>
        <v>150</v>
      </c>
      <c r="AG860" s="1437"/>
      <c r="AK860" s="344"/>
    </row>
    <row r="861" spans="2:114" ht="15" hidden="1" customHeight="1" outlineLevel="1" x14ac:dyDescent="0.25">
      <c r="B861" s="50"/>
      <c r="C861" s="397"/>
      <c r="D861" s="2393"/>
      <c r="E861" s="1306" t="s">
        <v>2000</v>
      </c>
      <c r="F861" s="1649">
        <v>72</v>
      </c>
      <c r="G861" s="17"/>
      <c r="H861" s="2140" t="s">
        <v>771</v>
      </c>
      <c r="I861" s="2231"/>
      <c r="J861" s="50"/>
      <c r="K861" s="50"/>
      <c r="L861" s="50"/>
      <c r="M861" s="50"/>
      <c r="N861" s="50"/>
      <c r="V861" s="2393"/>
      <c r="W861" s="400">
        <v>72</v>
      </c>
      <c r="X861" s="400">
        <v>72</v>
      </c>
      <c r="Y861" s="526">
        <v>72</v>
      </c>
      <c r="Z861" s="526">
        <v>72</v>
      </c>
      <c r="AA861" s="526">
        <v>72</v>
      </c>
      <c r="AB861" s="20">
        <v>72</v>
      </c>
      <c r="AC861" s="20">
        <v>72</v>
      </c>
      <c r="AD861" s="20">
        <v>72</v>
      </c>
      <c r="AE861" s="20">
        <v>72</v>
      </c>
      <c r="AF861" s="258">
        <f t="shared" si="156"/>
        <v>72</v>
      </c>
      <c r="AG861" s="1437"/>
      <c r="AK861" s="344"/>
    </row>
    <row r="862" spans="2:114" ht="15" hidden="1" customHeight="1" outlineLevel="1" x14ac:dyDescent="0.25">
      <c r="B862" s="50"/>
      <c r="C862" s="397"/>
      <c r="D862" s="2393"/>
      <c r="E862" s="1306" t="s">
        <v>2002</v>
      </c>
      <c r="F862" s="1649">
        <v>40</v>
      </c>
      <c r="G862" s="17"/>
      <c r="H862" s="2140" t="s">
        <v>2015</v>
      </c>
      <c r="I862" s="2231"/>
      <c r="J862" s="50"/>
      <c r="K862" s="50"/>
      <c r="L862" s="50"/>
      <c r="M862" s="50"/>
      <c r="N862" s="50"/>
      <c r="V862" s="2393"/>
      <c r="W862" s="401">
        <v>40.409999999999997</v>
      </c>
      <c r="X862" s="401">
        <v>40.409999999999997</v>
      </c>
      <c r="Y862" s="526">
        <v>40.409999999999997</v>
      </c>
      <c r="Z862" s="526">
        <v>40.409999999999997</v>
      </c>
      <c r="AA862" s="526">
        <v>40.409999999999997</v>
      </c>
      <c r="AB862" s="20">
        <v>40.409999999999997</v>
      </c>
      <c r="AC862" s="20">
        <v>40.409999999999997</v>
      </c>
      <c r="AD862" s="20">
        <v>40.409999999999997</v>
      </c>
      <c r="AE862" s="20">
        <v>40.409999999999997</v>
      </c>
      <c r="AF862" s="258">
        <f t="shared" si="156"/>
        <v>40</v>
      </c>
      <c r="AG862" s="1437"/>
      <c r="AK862" s="344"/>
    </row>
    <row r="863" spans="2:114" hidden="1" outlineLevel="1" x14ac:dyDescent="0.25">
      <c r="B863" s="50"/>
      <c r="C863" s="397"/>
      <c r="D863" s="2393"/>
      <c r="E863" s="1306" t="s">
        <v>2004</v>
      </c>
      <c r="F863" s="1649">
        <v>100</v>
      </c>
      <c r="G863" s="17"/>
      <c r="H863" s="2140" t="s">
        <v>2016</v>
      </c>
      <c r="I863" s="2231"/>
      <c r="J863" s="50"/>
      <c r="K863" s="50"/>
      <c r="L863" s="50"/>
      <c r="M863" s="50"/>
      <c r="N863" s="50"/>
      <c r="V863" s="2393"/>
      <c r="W863" s="401">
        <v>42.04</v>
      </c>
      <c r="X863" s="112">
        <v>29</v>
      </c>
      <c r="Y863" s="20">
        <v>29</v>
      </c>
      <c r="Z863" s="20">
        <v>29</v>
      </c>
      <c r="AA863" s="20">
        <v>29</v>
      </c>
      <c r="AB863" s="20">
        <v>29</v>
      </c>
      <c r="AC863" s="20">
        <v>29</v>
      </c>
      <c r="AD863" s="20">
        <v>29</v>
      </c>
      <c r="AE863" s="163">
        <v>11.9</v>
      </c>
      <c r="AF863" s="258">
        <f t="shared" si="156"/>
        <v>100</v>
      </c>
      <c r="AG863" s="1437"/>
      <c r="AK863" s="344"/>
    </row>
    <row r="864" spans="2:114" ht="15" hidden="1" customHeight="1" outlineLevel="1" x14ac:dyDescent="0.25">
      <c r="B864" s="50"/>
      <c r="C864" s="397"/>
      <c r="D864" s="2393"/>
      <c r="E864" s="1306" t="s">
        <v>2006</v>
      </c>
      <c r="F864" s="1649">
        <v>29</v>
      </c>
      <c r="G864" s="17"/>
      <c r="H864" s="2140" t="s">
        <v>771</v>
      </c>
      <c r="I864" s="2231"/>
      <c r="J864" s="50"/>
      <c r="K864" s="50"/>
      <c r="L864" s="50"/>
      <c r="M864" s="50"/>
      <c r="N864" s="50"/>
      <c r="V864" s="2393"/>
      <c r="W864" s="402"/>
      <c r="X864" s="402"/>
      <c r="Y864" s="526"/>
      <c r="Z864" s="526"/>
      <c r="AA864" s="526"/>
      <c r="AB864" s="163">
        <v>29</v>
      </c>
      <c r="AC864" s="20">
        <v>29</v>
      </c>
      <c r="AD864" s="20">
        <v>29</v>
      </c>
      <c r="AE864" s="20">
        <v>29</v>
      </c>
      <c r="AF864" s="258">
        <f t="shared" si="156"/>
        <v>29</v>
      </c>
      <c r="AG864" s="1437"/>
      <c r="AK864" s="344"/>
    </row>
    <row r="865" spans="2:37" hidden="1" outlineLevel="1" x14ac:dyDescent="0.25">
      <c r="B865" s="50"/>
      <c r="C865" s="397"/>
      <c r="D865" s="2394"/>
      <c r="E865" s="1306" t="s">
        <v>765</v>
      </c>
      <c r="F865" s="1649">
        <v>7</v>
      </c>
      <c r="G865" s="17"/>
      <c r="H865" s="2140" t="s">
        <v>2017</v>
      </c>
      <c r="I865" s="2140"/>
      <c r="J865" s="50"/>
      <c r="K865" s="50"/>
      <c r="L865" s="50"/>
      <c r="M865" s="50"/>
      <c r="N865" s="50"/>
      <c r="V865" s="2394"/>
      <c r="W865" s="402"/>
      <c r="X865" s="402"/>
      <c r="Y865" s="526"/>
      <c r="Z865" s="526"/>
      <c r="AA865" s="526"/>
      <c r="AB865" s="163"/>
      <c r="AC865" s="163">
        <v>7</v>
      </c>
      <c r="AD865" s="20">
        <v>7</v>
      </c>
      <c r="AE865" s="20">
        <v>7</v>
      </c>
      <c r="AF865" s="258">
        <f t="shared" si="156"/>
        <v>7</v>
      </c>
      <c r="AG865" s="1437"/>
      <c r="AK865" s="344"/>
    </row>
    <row r="866" spans="2:37" hidden="1" outlineLevel="1" x14ac:dyDescent="0.25">
      <c r="B866" s="50"/>
      <c r="C866" s="397"/>
      <c r="D866" s="2392" t="s">
        <v>2018</v>
      </c>
      <c r="E866" s="1306" t="s">
        <v>1986</v>
      </c>
      <c r="F866" s="875">
        <v>7</v>
      </c>
      <c r="G866" s="17"/>
      <c r="H866" s="2140" t="s">
        <v>2019</v>
      </c>
      <c r="I866" s="2232"/>
      <c r="J866" s="50"/>
      <c r="K866" s="50"/>
      <c r="L866" s="50"/>
      <c r="M866" s="50"/>
      <c r="N866" s="50"/>
      <c r="V866" s="2392" t="s">
        <v>2018</v>
      </c>
      <c r="W866" s="400">
        <v>7</v>
      </c>
      <c r="X866" s="112">
        <v>9</v>
      </c>
      <c r="Y866" s="163">
        <v>7</v>
      </c>
      <c r="Z866" s="20">
        <v>7</v>
      </c>
      <c r="AA866" s="20">
        <v>7</v>
      </c>
      <c r="AB866" s="17">
        <v>7</v>
      </c>
      <c r="AC866" s="17">
        <v>7</v>
      </c>
      <c r="AD866" s="17">
        <v>7</v>
      </c>
      <c r="AE866" s="17">
        <v>7</v>
      </c>
      <c r="AF866" s="258">
        <f t="shared" si="156"/>
        <v>7</v>
      </c>
      <c r="AG866" s="1437"/>
      <c r="AK866" s="344"/>
    </row>
    <row r="867" spans="2:37" hidden="1" outlineLevel="1" x14ac:dyDescent="0.25">
      <c r="B867" s="50"/>
      <c r="C867" s="397"/>
      <c r="D867" s="2393"/>
      <c r="E867" s="1306" t="s">
        <v>1988</v>
      </c>
      <c r="F867" s="875">
        <v>9.1</v>
      </c>
      <c r="G867" s="17"/>
      <c r="H867" s="2140" t="s">
        <v>775</v>
      </c>
      <c r="I867" s="2232"/>
      <c r="J867" s="50"/>
      <c r="K867" s="50"/>
      <c r="L867" s="50"/>
      <c r="M867" s="50"/>
      <c r="N867" s="50"/>
      <c r="V867" s="2393"/>
      <c r="W867" s="400">
        <v>9.1</v>
      </c>
      <c r="X867" s="400">
        <v>9.1</v>
      </c>
      <c r="Y867" s="526">
        <v>9.1</v>
      </c>
      <c r="Z867" s="526">
        <v>9.1</v>
      </c>
      <c r="AA867" s="526">
        <v>9.1</v>
      </c>
      <c r="AB867" s="17">
        <v>9.1</v>
      </c>
      <c r="AC867" s="17">
        <v>9.1</v>
      </c>
      <c r="AD867" s="17">
        <v>9.1</v>
      </c>
      <c r="AE867" s="17">
        <v>9.1</v>
      </c>
      <c r="AF867" s="258">
        <f t="shared" si="156"/>
        <v>9.1</v>
      </c>
      <c r="AG867" s="1437"/>
      <c r="AK867" s="344"/>
    </row>
    <row r="868" spans="2:37" hidden="1" outlineLevel="1" x14ac:dyDescent="0.25">
      <c r="B868" s="50"/>
      <c r="C868" s="397"/>
      <c r="D868" s="2393"/>
      <c r="E868" s="1306" t="s">
        <v>1990</v>
      </c>
      <c r="F868" s="875">
        <v>11</v>
      </c>
      <c r="G868" s="17"/>
      <c r="H868" s="2140" t="s">
        <v>2019</v>
      </c>
      <c r="I868" s="2232"/>
      <c r="J868" s="50"/>
      <c r="K868" s="50"/>
      <c r="L868" s="50"/>
      <c r="M868" s="50"/>
      <c r="N868" s="50"/>
      <c r="V868" s="2393"/>
      <c r="W868" s="400">
        <v>9.5</v>
      </c>
      <c r="X868" s="112">
        <v>9.23</v>
      </c>
      <c r="Y868" s="163">
        <v>11</v>
      </c>
      <c r="Z868" s="20">
        <v>11</v>
      </c>
      <c r="AA868" s="20">
        <v>11</v>
      </c>
      <c r="AB868" s="17">
        <v>11</v>
      </c>
      <c r="AC868" s="17">
        <v>11</v>
      </c>
      <c r="AD868" s="17">
        <v>11</v>
      </c>
      <c r="AE868" s="17">
        <v>11</v>
      </c>
      <c r="AF868" s="258">
        <f t="shared" si="156"/>
        <v>11</v>
      </c>
      <c r="AG868" s="1437"/>
      <c r="AK868" s="344"/>
    </row>
    <row r="869" spans="2:37" hidden="1" outlineLevel="1" x14ac:dyDescent="0.25">
      <c r="B869" s="50"/>
      <c r="C869" s="397"/>
      <c r="D869" s="2393"/>
      <c r="E869" s="1306" t="s">
        <v>1992</v>
      </c>
      <c r="F869" s="875">
        <v>10.6</v>
      </c>
      <c r="G869" s="17"/>
      <c r="H869" s="2140" t="s">
        <v>775</v>
      </c>
      <c r="I869" s="2232"/>
      <c r="J869" s="50"/>
      <c r="K869" s="50"/>
      <c r="L869" s="50"/>
      <c r="M869" s="50"/>
      <c r="N869" s="50"/>
      <c r="V869" s="2393"/>
      <c r="W869" s="400">
        <v>10.6</v>
      </c>
      <c r="X869" s="400">
        <v>10.6</v>
      </c>
      <c r="Y869" s="400">
        <v>10.6</v>
      </c>
      <c r="Z869" s="17">
        <v>10.6</v>
      </c>
      <c r="AA869" s="17">
        <v>10.6</v>
      </c>
      <c r="AB869" s="17">
        <v>10.6</v>
      </c>
      <c r="AC869" s="17">
        <v>10.6</v>
      </c>
      <c r="AD869" s="17">
        <v>10.6</v>
      </c>
      <c r="AE869" s="17">
        <v>10.6</v>
      </c>
      <c r="AF869" s="258">
        <f t="shared" si="156"/>
        <v>10.6</v>
      </c>
      <c r="AG869" s="1437"/>
      <c r="AK869" s="344"/>
    </row>
    <row r="870" spans="2:37" hidden="1" outlineLevel="1" x14ac:dyDescent="0.25">
      <c r="B870" s="50"/>
      <c r="C870" s="397"/>
      <c r="D870" s="2393"/>
      <c r="E870" s="1306" t="s">
        <v>1994</v>
      </c>
      <c r="F870" s="875">
        <v>11</v>
      </c>
      <c r="G870" s="17"/>
      <c r="H870" s="2140" t="s">
        <v>2020</v>
      </c>
      <c r="I870" s="2140"/>
      <c r="J870" s="50"/>
      <c r="K870" s="50"/>
      <c r="L870" s="50"/>
      <c r="M870" s="50"/>
      <c r="N870" s="50"/>
      <c r="V870" s="2393"/>
      <c r="W870" s="400"/>
      <c r="X870" s="400"/>
      <c r="Y870" s="400"/>
      <c r="Z870" s="17"/>
      <c r="AA870" s="17"/>
      <c r="AB870" s="112">
        <v>11</v>
      </c>
      <c r="AC870" s="17">
        <v>11</v>
      </c>
      <c r="AD870" s="17">
        <v>11</v>
      </c>
      <c r="AE870" s="17">
        <v>11</v>
      </c>
      <c r="AF870" s="258">
        <f t="shared" si="156"/>
        <v>11</v>
      </c>
      <c r="AG870" s="1437"/>
      <c r="AK870" s="344"/>
    </row>
    <row r="871" spans="2:37" hidden="1" outlineLevel="1" x14ac:dyDescent="0.25">
      <c r="B871" s="50"/>
      <c r="C871" s="397"/>
      <c r="D871" s="2393"/>
      <c r="E871" s="1306" t="s">
        <v>1996</v>
      </c>
      <c r="F871" s="875">
        <v>14</v>
      </c>
      <c r="G871" s="17"/>
      <c r="H871" s="2140" t="s">
        <v>2019</v>
      </c>
      <c r="I871" s="2232"/>
      <c r="J871" s="50"/>
      <c r="K871" s="50"/>
      <c r="L871" s="50"/>
      <c r="M871" s="50"/>
      <c r="N871" s="50"/>
      <c r="V871" s="2393"/>
      <c r="W871" s="400">
        <v>11.2</v>
      </c>
      <c r="X871" s="112">
        <v>14</v>
      </c>
      <c r="Y871" s="20">
        <v>14</v>
      </c>
      <c r="Z871" s="20">
        <v>14</v>
      </c>
      <c r="AA871" s="20">
        <v>14</v>
      </c>
      <c r="AB871" s="17">
        <v>14</v>
      </c>
      <c r="AC871" s="17">
        <v>14</v>
      </c>
      <c r="AD871" s="17">
        <v>14</v>
      </c>
      <c r="AE871" s="17">
        <v>14</v>
      </c>
      <c r="AF871" s="258">
        <f t="shared" si="156"/>
        <v>14</v>
      </c>
      <c r="AG871" s="1437"/>
      <c r="AK871" s="344"/>
    </row>
    <row r="872" spans="2:37" hidden="1" outlineLevel="1" x14ac:dyDescent="0.25">
      <c r="B872" s="50"/>
      <c r="C872" s="397"/>
      <c r="D872" s="2393"/>
      <c r="E872" s="1306" t="s">
        <v>1998</v>
      </c>
      <c r="F872" s="875">
        <v>17</v>
      </c>
      <c r="G872" s="17"/>
      <c r="H872" s="2140" t="s">
        <v>2021</v>
      </c>
      <c r="I872" s="2232"/>
      <c r="J872" s="50"/>
      <c r="K872" s="50"/>
      <c r="L872" s="50"/>
      <c r="M872" s="50"/>
      <c r="N872" s="50"/>
      <c r="V872" s="2393"/>
      <c r="W872" s="20">
        <v>18</v>
      </c>
      <c r="X872" s="112">
        <v>17</v>
      </c>
      <c r="Y872" s="1455">
        <v>17</v>
      </c>
      <c r="Z872" s="526">
        <v>17</v>
      </c>
      <c r="AA872" s="526">
        <v>17</v>
      </c>
      <c r="AB872" s="17">
        <v>17</v>
      </c>
      <c r="AC872" s="17">
        <v>17</v>
      </c>
      <c r="AD872" s="17">
        <v>17</v>
      </c>
      <c r="AE872" s="17">
        <v>17</v>
      </c>
      <c r="AF872" s="258">
        <f t="shared" ref="AF872:AF894" si="157">IF(F872&lt;&gt;"",F872,"")</f>
        <v>17</v>
      </c>
      <c r="AG872" s="1437"/>
      <c r="AK872" s="344"/>
    </row>
    <row r="873" spans="2:37" hidden="1" outlineLevel="1" x14ac:dyDescent="0.25">
      <c r="B873" s="50"/>
      <c r="C873" s="397"/>
      <c r="D873" s="2393"/>
      <c r="E873" s="1306" t="s">
        <v>2000</v>
      </c>
      <c r="F873" s="875">
        <v>15</v>
      </c>
      <c r="G873" s="17"/>
      <c r="H873" s="2140" t="s">
        <v>775</v>
      </c>
      <c r="I873" s="2232"/>
      <c r="J873" s="50"/>
      <c r="K873" s="50"/>
      <c r="L873" s="50"/>
      <c r="M873" s="50"/>
      <c r="N873" s="50"/>
      <c r="V873" s="2393"/>
      <c r="W873" s="20">
        <v>15</v>
      </c>
      <c r="X873" s="20">
        <v>15</v>
      </c>
      <c r="Y873" s="1455">
        <v>15</v>
      </c>
      <c r="Z873" s="526">
        <v>15</v>
      </c>
      <c r="AA873" s="526">
        <v>15</v>
      </c>
      <c r="AB873" s="20">
        <v>15</v>
      </c>
      <c r="AC873" s="20">
        <v>15</v>
      </c>
      <c r="AD873" s="20">
        <v>15</v>
      </c>
      <c r="AE873" s="20">
        <v>15</v>
      </c>
      <c r="AF873" s="258">
        <f t="shared" si="157"/>
        <v>15</v>
      </c>
      <c r="AG873" s="1437"/>
      <c r="AK873" s="344"/>
    </row>
    <row r="874" spans="2:37" hidden="1" outlineLevel="1" x14ac:dyDescent="0.25">
      <c r="B874" s="50"/>
      <c r="C874" s="397"/>
      <c r="D874" s="2393"/>
      <c r="E874" s="1306" t="s">
        <v>2002</v>
      </c>
      <c r="F874" s="875">
        <v>4.5</v>
      </c>
      <c r="G874" s="17"/>
      <c r="H874" s="2140" t="s">
        <v>775</v>
      </c>
      <c r="I874" s="2232"/>
      <c r="J874" s="50"/>
      <c r="K874" s="50"/>
      <c r="L874" s="50"/>
      <c r="M874" s="50"/>
      <c r="N874" s="50"/>
      <c r="V874" s="2393"/>
      <c r="W874" s="20">
        <v>4.5</v>
      </c>
      <c r="X874" s="20">
        <v>4.5</v>
      </c>
      <c r="Y874" s="1455">
        <v>4.5</v>
      </c>
      <c r="Z874" s="526">
        <v>4.5</v>
      </c>
      <c r="AA874" s="526">
        <v>4.5</v>
      </c>
      <c r="AB874" s="20">
        <v>4.5</v>
      </c>
      <c r="AC874" s="20">
        <v>4.5</v>
      </c>
      <c r="AD874" s="20">
        <v>4.5</v>
      </c>
      <c r="AE874" s="20">
        <v>4.5</v>
      </c>
      <c r="AF874" s="258">
        <f t="shared" si="157"/>
        <v>4.5</v>
      </c>
      <c r="AG874" s="1437"/>
      <c r="AK874" s="344"/>
    </row>
    <row r="875" spans="2:37" hidden="1" outlineLevel="1" x14ac:dyDescent="0.25">
      <c r="B875" s="50"/>
      <c r="C875" s="397"/>
      <c r="D875" s="2393"/>
      <c r="E875" s="1306" t="s">
        <v>2004</v>
      </c>
      <c r="F875" s="875">
        <v>7</v>
      </c>
      <c r="G875" s="17"/>
      <c r="H875" s="2140" t="s">
        <v>2019</v>
      </c>
      <c r="I875" s="2232"/>
      <c r="J875" s="50"/>
      <c r="K875" s="50"/>
      <c r="L875" s="50"/>
      <c r="M875" s="50"/>
      <c r="N875" s="50"/>
      <c r="V875" s="2393"/>
      <c r="W875" s="20">
        <v>5.9</v>
      </c>
      <c r="X875" s="112">
        <v>8</v>
      </c>
      <c r="Y875" s="163">
        <v>7</v>
      </c>
      <c r="Z875" s="20">
        <v>7</v>
      </c>
      <c r="AA875" s="20">
        <v>7</v>
      </c>
      <c r="AB875" s="17">
        <v>7</v>
      </c>
      <c r="AC875" s="17">
        <v>7</v>
      </c>
      <c r="AD875" s="17">
        <v>7</v>
      </c>
      <c r="AE875" s="17">
        <v>7</v>
      </c>
      <c r="AF875" s="258">
        <f t="shared" si="157"/>
        <v>7</v>
      </c>
      <c r="AG875" s="1437"/>
      <c r="AK875" s="344"/>
    </row>
    <row r="876" spans="2:37" hidden="1" outlineLevel="1" x14ac:dyDescent="0.25">
      <c r="B876" s="50"/>
      <c r="C876" s="397"/>
      <c r="D876" s="2393"/>
      <c r="E876" s="1306" t="s">
        <v>2006</v>
      </c>
      <c r="F876" s="875">
        <v>6</v>
      </c>
      <c r="G876" s="17"/>
      <c r="H876" s="2140" t="s">
        <v>775</v>
      </c>
      <c r="I876" s="2232"/>
      <c r="J876" s="50"/>
      <c r="K876" s="50"/>
      <c r="L876" s="50"/>
      <c r="M876" s="50"/>
      <c r="N876" s="50"/>
      <c r="V876" s="2393"/>
      <c r="W876" s="20"/>
      <c r="X876" s="20"/>
      <c r="Y876" s="20"/>
      <c r="Z876" s="20"/>
      <c r="AA876" s="20"/>
      <c r="AB876" s="163">
        <v>6</v>
      </c>
      <c r="AC876" s="20">
        <v>6</v>
      </c>
      <c r="AD876" s="20">
        <v>6</v>
      </c>
      <c r="AE876" s="20">
        <v>6</v>
      </c>
      <c r="AF876" s="258">
        <f t="shared" si="157"/>
        <v>6</v>
      </c>
      <c r="AG876" s="1437"/>
      <c r="AK876" s="344"/>
    </row>
    <row r="877" spans="2:37" hidden="1" outlineLevel="1" x14ac:dyDescent="0.25">
      <c r="B877" s="50"/>
      <c r="C877" s="397"/>
      <c r="D877" s="2394"/>
      <c r="E877" s="1306" t="s">
        <v>765</v>
      </c>
      <c r="F877" s="1641">
        <v>0.3</v>
      </c>
      <c r="G877" s="17"/>
      <c r="H877" s="2140" t="s">
        <v>775</v>
      </c>
      <c r="I877" s="2232"/>
      <c r="J877" s="50"/>
      <c r="K877" s="50"/>
      <c r="L877" s="50"/>
      <c r="M877" s="50"/>
      <c r="N877" s="50"/>
      <c r="V877" s="2394"/>
      <c r="W877" s="20"/>
      <c r="X877" s="20"/>
      <c r="Y877" s="20"/>
      <c r="Z877" s="20"/>
      <c r="AA877" s="20"/>
      <c r="AB877" s="163"/>
      <c r="AC877" s="163">
        <v>0.3</v>
      </c>
      <c r="AD877" s="20">
        <v>0.3</v>
      </c>
      <c r="AE877" s="20">
        <v>0.3</v>
      </c>
      <c r="AF877" s="258">
        <f t="shared" si="157"/>
        <v>0.3</v>
      </c>
      <c r="AG877" s="1437"/>
      <c r="AK877" s="344"/>
    </row>
    <row r="878" spans="2:37" ht="15" hidden="1" customHeight="1" outlineLevel="1" x14ac:dyDescent="0.25">
      <c r="B878" s="50"/>
      <c r="C878" s="397"/>
      <c r="D878" s="2230" t="s">
        <v>104</v>
      </c>
      <c r="E878" s="1340" t="s">
        <v>2022</v>
      </c>
      <c r="F878" s="1519">
        <v>0.98180000000000001</v>
      </c>
      <c r="G878" s="17"/>
      <c r="H878" s="2140" t="s">
        <v>2023</v>
      </c>
      <c r="I878" s="2232"/>
      <c r="J878" s="50"/>
      <c r="K878" s="403"/>
      <c r="L878" s="50"/>
      <c r="M878" s="50"/>
      <c r="N878" s="50"/>
      <c r="V878" s="2230" t="s">
        <v>104</v>
      </c>
      <c r="W878" s="1094">
        <v>0.95120000000000005</v>
      </c>
      <c r="X878" s="1650">
        <v>0.97</v>
      </c>
      <c r="Y878" s="183">
        <v>0.98180000000000001</v>
      </c>
      <c r="Z878" s="184">
        <v>0.98180000000000001</v>
      </c>
      <c r="AA878" s="184">
        <v>0.98180000000000001</v>
      </c>
      <c r="AB878" s="1638">
        <v>0.98180000000000001</v>
      </c>
      <c r="AC878" s="1638">
        <v>0.98180000000000001</v>
      </c>
      <c r="AD878" s="1638">
        <v>0.98180000000000001</v>
      </c>
      <c r="AE878" s="1638">
        <v>0.98180000000000001</v>
      </c>
      <c r="AF878" s="258">
        <f t="shared" si="157"/>
        <v>0.98180000000000001</v>
      </c>
      <c r="AG878" s="1437"/>
      <c r="AK878" s="344"/>
    </row>
    <row r="879" spans="2:37" ht="15" hidden="1" customHeight="1" outlineLevel="1" x14ac:dyDescent="0.25">
      <c r="B879" s="50"/>
      <c r="C879" s="397"/>
      <c r="D879" s="2230"/>
      <c r="E879" s="1340" t="s">
        <v>2024</v>
      </c>
      <c r="F879" s="1519">
        <v>1</v>
      </c>
      <c r="G879" s="17"/>
      <c r="H879" s="2140" t="s">
        <v>2025</v>
      </c>
      <c r="I879" s="2140"/>
      <c r="J879" s="50"/>
      <c r="K879" s="403"/>
      <c r="L879" s="50"/>
      <c r="M879" s="50"/>
      <c r="N879" s="50"/>
      <c r="V879" s="2230"/>
      <c r="W879" s="1094"/>
      <c r="X879" s="1650"/>
      <c r="Y879" s="183"/>
      <c r="Z879" s="184"/>
      <c r="AA879" s="184"/>
      <c r="AB879" s="1650">
        <v>1</v>
      </c>
      <c r="AC879" s="1638">
        <v>1</v>
      </c>
      <c r="AD879" s="1638">
        <v>1</v>
      </c>
      <c r="AE879" s="1638">
        <v>1</v>
      </c>
      <c r="AF879" s="258">
        <f t="shared" si="157"/>
        <v>1</v>
      </c>
      <c r="AG879" s="1437"/>
      <c r="AK879" s="344"/>
    </row>
    <row r="880" spans="2:37" hidden="1" outlineLevel="1" x14ac:dyDescent="0.25">
      <c r="B880" s="50"/>
      <c r="C880" s="397"/>
      <c r="D880" s="399" t="s">
        <v>785</v>
      </c>
      <c r="E880" s="399" t="s">
        <v>734</v>
      </c>
      <c r="F880" s="1648">
        <v>0</v>
      </c>
      <c r="G880" s="17"/>
      <c r="H880" s="2140" t="s">
        <v>2023</v>
      </c>
      <c r="I880" s="2232"/>
      <c r="J880" s="50"/>
      <c r="K880" s="403"/>
      <c r="L880" s="50"/>
      <c r="M880" s="50"/>
      <c r="N880" s="50"/>
      <c r="V880" s="399" t="s">
        <v>785</v>
      </c>
      <c r="W880" s="1094">
        <v>1.6525893496695268E-2</v>
      </c>
      <c r="X880" s="1650">
        <v>0</v>
      </c>
      <c r="Y880" s="1650">
        <v>0</v>
      </c>
      <c r="Z880" s="1638">
        <v>0</v>
      </c>
      <c r="AA880" s="1638">
        <v>0</v>
      </c>
      <c r="AB880" s="1638">
        <v>0</v>
      </c>
      <c r="AC880" s="1638">
        <v>0</v>
      </c>
      <c r="AD880" s="1638">
        <v>0</v>
      </c>
      <c r="AE880" s="1638">
        <v>0</v>
      </c>
      <c r="AF880" s="258">
        <f t="shared" si="157"/>
        <v>0</v>
      </c>
      <c r="AG880" s="1437"/>
      <c r="AK880" s="344"/>
    </row>
    <row r="881" spans="2:45" ht="15" hidden="1" customHeight="1" outlineLevel="1" x14ac:dyDescent="0.25">
      <c r="B881" s="50"/>
      <c r="C881" s="397"/>
      <c r="D881" s="2230" t="s">
        <v>870</v>
      </c>
      <c r="E881" s="399" t="s">
        <v>833</v>
      </c>
      <c r="F881" s="1643">
        <v>674.17573847971641</v>
      </c>
      <c r="G881" s="17"/>
      <c r="H881" s="2140" t="s">
        <v>2026</v>
      </c>
      <c r="I881" s="2140"/>
      <c r="J881" s="50"/>
      <c r="K881" s="50"/>
      <c r="L881" s="50"/>
      <c r="M881" s="50"/>
      <c r="N881" s="50"/>
      <c r="V881" s="2230" t="s">
        <v>870</v>
      </c>
      <c r="W881" s="1652">
        <v>693.5</v>
      </c>
      <c r="X881" s="56">
        <v>728</v>
      </c>
      <c r="Y881" s="1458">
        <v>674.17573847971641</v>
      </c>
      <c r="Z881" s="526">
        <v>674.17573847971641</v>
      </c>
      <c r="AA881" s="526">
        <v>674.17573847971641</v>
      </c>
      <c r="AB881" s="404">
        <v>674.17573847971641</v>
      </c>
      <c r="AC881" s="404">
        <v>674.17573847971641</v>
      </c>
      <c r="AD881" s="404">
        <v>674.17573847971641</v>
      </c>
      <c r="AE881" s="404">
        <v>674.17573847971641</v>
      </c>
      <c r="AF881" s="258">
        <f t="shared" si="157"/>
        <v>674.17573847971641</v>
      </c>
      <c r="AG881" s="1437"/>
      <c r="AK881" s="344"/>
    </row>
    <row r="882" spans="2:45" ht="15" hidden="1" customHeight="1" outlineLevel="1" x14ac:dyDescent="0.25">
      <c r="B882" s="50"/>
      <c r="C882" s="397"/>
      <c r="D882" s="2230"/>
      <c r="E882" s="399" t="s">
        <v>2027</v>
      </c>
      <c r="F882" s="1643">
        <v>4380</v>
      </c>
      <c r="G882" s="17"/>
      <c r="H882" s="2140" t="s">
        <v>2028</v>
      </c>
      <c r="I882" s="2140"/>
      <c r="J882" s="50"/>
      <c r="K882" s="50"/>
      <c r="L882" s="50"/>
      <c r="M882" s="50"/>
      <c r="N882" s="50"/>
      <c r="V882" s="2230"/>
      <c r="W882" s="1652"/>
      <c r="X882" s="56"/>
      <c r="Y882" s="1458"/>
      <c r="Z882" s="526"/>
      <c r="AA882" s="526"/>
      <c r="AB882" s="404"/>
      <c r="AC882" s="56">
        <v>4380</v>
      </c>
      <c r="AD882" s="404">
        <v>4380</v>
      </c>
      <c r="AE882" s="404">
        <v>4380</v>
      </c>
      <c r="AF882" s="258">
        <f t="shared" si="157"/>
        <v>4380</v>
      </c>
      <c r="AG882" s="1437"/>
      <c r="AK882" s="344"/>
    </row>
    <row r="883" spans="2:45" hidden="1" outlineLevel="1" x14ac:dyDescent="0.25">
      <c r="B883" s="50"/>
      <c r="C883" s="397"/>
      <c r="D883" s="399" t="s">
        <v>873</v>
      </c>
      <c r="E883" s="399" t="s">
        <v>2029</v>
      </c>
      <c r="F883" s="1516">
        <v>0.99008680582907171</v>
      </c>
      <c r="G883" s="17"/>
      <c r="H883" s="2140" t="s">
        <v>2030</v>
      </c>
      <c r="I883" s="2232"/>
      <c r="J883" s="50"/>
      <c r="K883" s="50"/>
      <c r="L883" s="50"/>
      <c r="M883" s="50"/>
      <c r="N883" s="50"/>
      <c r="V883" s="399" t="s">
        <v>873</v>
      </c>
      <c r="W883" s="1652">
        <v>0.99</v>
      </c>
      <c r="X883" s="1652">
        <v>0.99</v>
      </c>
      <c r="Y883" s="1458">
        <v>0.99008680582907171</v>
      </c>
      <c r="Z883" s="526">
        <v>0.99008680582907171</v>
      </c>
      <c r="AA883" s="526">
        <v>0.99008680582907171</v>
      </c>
      <c r="AB883" s="404">
        <v>0.99008680582907171</v>
      </c>
      <c r="AC883" s="404">
        <v>0.99008680582907171</v>
      </c>
      <c r="AD883" s="404">
        <v>0.99008680582907171</v>
      </c>
      <c r="AE883" s="404">
        <v>0.99008680582907171</v>
      </c>
      <c r="AF883" s="258">
        <f t="shared" si="157"/>
        <v>0.99008680582907171</v>
      </c>
      <c r="AG883" s="1437"/>
      <c r="AK883" s="344"/>
    </row>
    <row r="884" spans="2:45" ht="15" hidden="1" customHeight="1" outlineLevel="1" x14ac:dyDescent="0.25">
      <c r="B884" s="50"/>
      <c r="C884" s="397"/>
      <c r="D884" s="2230" t="s">
        <v>879</v>
      </c>
      <c r="E884" s="399" t="s">
        <v>833</v>
      </c>
      <c r="F884" s="1642">
        <v>7321.0388096521265</v>
      </c>
      <c r="G884" s="17"/>
      <c r="H884" s="2140" t="s">
        <v>2026</v>
      </c>
      <c r="I884" s="2140"/>
      <c r="J884" s="50"/>
      <c r="K884" s="50"/>
      <c r="L884" s="50"/>
      <c r="M884" s="50"/>
      <c r="N884" s="50"/>
      <c r="V884" s="2230" t="s">
        <v>879</v>
      </c>
      <c r="W884" s="1652">
        <v>3613</v>
      </c>
      <c r="X884" s="56">
        <v>5949</v>
      </c>
      <c r="Y884" s="1458">
        <v>7321.0388096521265</v>
      </c>
      <c r="Z884" s="526">
        <v>7321.0388096521265</v>
      </c>
      <c r="AA884" s="526">
        <v>7321.0388096521265</v>
      </c>
      <c r="AB884" s="404">
        <v>7321.0388096521265</v>
      </c>
      <c r="AC884" s="404">
        <v>7321.0388096521265</v>
      </c>
      <c r="AD884" s="404">
        <v>7321.0388096521265</v>
      </c>
      <c r="AE884" s="404">
        <v>7321.0388096521265</v>
      </c>
      <c r="AF884" s="258">
        <f t="shared" si="157"/>
        <v>7321.0388096521265</v>
      </c>
      <c r="AG884" s="404"/>
      <c r="AK884" s="344"/>
    </row>
    <row r="885" spans="2:45" ht="15" hidden="1" customHeight="1" outlineLevel="1" x14ac:dyDescent="0.25">
      <c r="B885" s="50"/>
      <c r="C885" s="397"/>
      <c r="D885" s="2230"/>
      <c r="E885" s="399" t="s">
        <v>2027</v>
      </c>
      <c r="F885" s="1642">
        <v>4380</v>
      </c>
      <c r="G885" s="17"/>
      <c r="H885" s="2140" t="s">
        <v>2028</v>
      </c>
      <c r="I885" s="2140"/>
      <c r="J885" s="50"/>
      <c r="K885" s="50"/>
      <c r="L885" s="50"/>
      <c r="M885" s="50"/>
      <c r="N885" s="50"/>
      <c r="V885" s="2230"/>
      <c r="W885" s="1652"/>
      <c r="X885" s="56"/>
      <c r="Y885" s="1458"/>
      <c r="Z885" s="526"/>
      <c r="AA885" s="526"/>
      <c r="AB885" s="404"/>
      <c r="AC885" s="56">
        <v>4380</v>
      </c>
      <c r="AD885" s="404">
        <v>4380</v>
      </c>
      <c r="AE885" s="404">
        <v>4380</v>
      </c>
      <c r="AF885" s="258">
        <f t="shared" si="157"/>
        <v>4380</v>
      </c>
      <c r="AG885" s="404"/>
      <c r="AK885" s="344"/>
    </row>
    <row r="886" spans="2:45" ht="15" hidden="1" customHeight="1" outlineLevel="1" x14ac:dyDescent="0.25">
      <c r="B886" s="50"/>
      <c r="C886" s="397"/>
      <c r="D886" s="399" t="s">
        <v>882</v>
      </c>
      <c r="E886" s="399" t="s">
        <v>782</v>
      </c>
      <c r="F886" s="1642">
        <v>0.96568754422551695</v>
      </c>
      <c r="G886" s="17"/>
      <c r="H886" s="2140" t="s">
        <v>2031</v>
      </c>
      <c r="I886" s="2140"/>
      <c r="J886" s="50"/>
      <c r="K886" s="50"/>
      <c r="L886" s="50"/>
      <c r="M886" s="50"/>
      <c r="N886" s="50"/>
      <c r="V886" s="399" t="s">
        <v>882</v>
      </c>
      <c r="W886" s="1652">
        <v>1.1000000000000001</v>
      </c>
      <c r="X886" s="1652">
        <v>2.1</v>
      </c>
      <c r="Y886" s="1458">
        <v>0.96568754422551695</v>
      </c>
      <c r="Z886" s="526">
        <v>0.96568754422551695</v>
      </c>
      <c r="AA886" s="526">
        <v>0.96568754422551695</v>
      </c>
      <c r="AB886" s="404">
        <v>0.96568754422551695</v>
      </c>
      <c r="AC886" s="404">
        <v>0.96568754422551695</v>
      </c>
      <c r="AD886" s="404">
        <v>0.96568754422551695</v>
      </c>
      <c r="AE886" s="404">
        <v>0.96568754422551695</v>
      </c>
      <c r="AF886" s="258">
        <f t="shared" si="157"/>
        <v>0.96568754422551695</v>
      </c>
      <c r="AG886" s="1437"/>
      <c r="AK886" s="344"/>
    </row>
    <row r="887" spans="2:45" hidden="1" outlineLevel="1" x14ac:dyDescent="0.25">
      <c r="B887" s="50"/>
      <c r="C887" s="397"/>
      <c r="D887" s="399" t="s">
        <v>886</v>
      </c>
      <c r="E887" s="399" t="s">
        <v>734</v>
      </c>
      <c r="F887" s="1647">
        <v>1</v>
      </c>
      <c r="G887" s="17"/>
      <c r="H887" s="2140" t="s">
        <v>2032</v>
      </c>
      <c r="I887" s="2232"/>
      <c r="J887" s="50"/>
      <c r="K887" s="50"/>
      <c r="L887" s="50"/>
      <c r="M887" s="50"/>
      <c r="N887" s="50"/>
      <c r="V887" s="399" t="s">
        <v>886</v>
      </c>
      <c r="W887" s="405">
        <v>1</v>
      </c>
      <c r="X887" s="405">
        <v>1</v>
      </c>
      <c r="Y887" s="405">
        <v>1</v>
      </c>
      <c r="Z887" s="405">
        <v>1</v>
      </c>
      <c r="AA887" s="405">
        <v>1</v>
      </c>
      <c r="AB887" s="405">
        <v>1</v>
      </c>
      <c r="AC887" s="405">
        <v>1</v>
      </c>
      <c r="AD887" s="405">
        <v>1</v>
      </c>
      <c r="AE887" s="405">
        <v>1</v>
      </c>
      <c r="AF887" s="258">
        <f t="shared" si="157"/>
        <v>1</v>
      </c>
      <c r="AG887" s="1437"/>
      <c r="AK887" s="344"/>
    </row>
    <row r="888" spans="2:45" ht="15" hidden="1" customHeight="1" outlineLevel="1" x14ac:dyDescent="0.25">
      <c r="B888" s="50"/>
      <c r="C888" s="397"/>
      <c r="D888" s="399" t="s">
        <v>2033</v>
      </c>
      <c r="E888" s="399" t="s">
        <v>766</v>
      </c>
      <c r="F888" s="1645">
        <v>1.4925290000000001E-4</v>
      </c>
      <c r="G888" s="17"/>
      <c r="H888" s="2140" t="s">
        <v>2034</v>
      </c>
      <c r="I888" s="2232"/>
      <c r="J888" s="50"/>
      <c r="K888" s="50"/>
      <c r="L888" s="50"/>
      <c r="M888" s="50"/>
      <c r="N888" s="50"/>
      <c r="V888" s="399" t="s">
        <v>2033</v>
      </c>
      <c r="W888" s="407">
        <v>1.4925290000000001E-4</v>
      </c>
      <c r="X888" s="407">
        <v>1.4925290000000001E-4</v>
      </c>
      <c r="Y888" s="407">
        <v>1.4925290000000001E-4</v>
      </c>
      <c r="Z888" s="406">
        <v>1.4925290000000001E-4</v>
      </c>
      <c r="AA888" s="406">
        <v>1.4925290000000001E-4</v>
      </c>
      <c r="AB888" s="406">
        <v>1.4925290000000001E-4</v>
      </c>
      <c r="AC888" s="406">
        <v>1.4925290000000001E-4</v>
      </c>
      <c r="AD888" s="406">
        <v>1.4925290000000001E-4</v>
      </c>
      <c r="AE888" s="406">
        <v>1.4925290000000001E-4</v>
      </c>
      <c r="AF888" s="258">
        <f t="shared" si="157"/>
        <v>1.4925290000000001E-4</v>
      </c>
      <c r="AG888" s="1437"/>
      <c r="AK888" s="344"/>
    </row>
    <row r="889" spans="2:45" ht="15" hidden="1" customHeight="1" outlineLevel="1" x14ac:dyDescent="0.25">
      <c r="B889" s="50"/>
      <c r="C889" s="397"/>
      <c r="D889" s="399" t="s">
        <v>2035</v>
      </c>
      <c r="E889" s="399" t="s">
        <v>61</v>
      </c>
      <c r="F889" s="1640">
        <v>1.899635E-4</v>
      </c>
      <c r="G889" s="17"/>
      <c r="H889" s="2140" t="s">
        <v>2034</v>
      </c>
      <c r="I889" s="2232"/>
      <c r="J889" s="50"/>
      <c r="K889" s="50"/>
      <c r="L889" s="50"/>
      <c r="M889" s="50"/>
      <c r="N889" s="50"/>
      <c r="V889" s="399" t="s">
        <v>2035</v>
      </c>
      <c r="W889" s="407">
        <v>1.899635E-4</v>
      </c>
      <c r="X889" s="407">
        <v>1.899635E-4</v>
      </c>
      <c r="Y889" s="407">
        <v>1.899635E-4</v>
      </c>
      <c r="Z889" s="406">
        <v>1.899635E-4</v>
      </c>
      <c r="AA889" s="406">
        <v>1.899635E-4</v>
      </c>
      <c r="AB889" s="406">
        <v>1.899635E-4</v>
      </c>
      <c r="AC889" s="406">
        <v>1.899635E-4</v>
      </c>
      <c r="AD889" s="406">
        <v>1.899635E-4</v>
      </c>
      <c r="AE889" s="406">
        <v>1.899635E-4</v>
      </c>
      <c r="AF889" s="258">
        <f t="shared" si="157"/>
        <v>1.899635E-4</v>
      </c>
      <c r="AG889" s="1437"/>
      <c r="AK889" s="344"/>
    </row>
    <row r="890" spans="2:45" hidden="1" outlineLevel="1" x14ac:dyDescent="0.25">
      <c r="B890" s="50"/>
      <c r="C890" s="397"/>
      <c r="D890" s="399" t="s">
        <v>2036</v>
      </c>
      <c r="E890" s="399" t="s">
        <v>2037</v>
      </c>
      <c r="F890" s="1644">
        <v>8760</v>
      </c>
      <c r="G890" s="17"/>
      <c r="H890" s="2140" t="s">
        <v>2038</v>
      </c>
      <c r="I890" s="2232"/>
      <c r="J890" s="50"/>
      <c r="K890" s="50"/>
      <c r="L890" s="50"/>
      <c r="M890" s="50"/>
      <c r="N890" s="50"/>
      <c r="V890" s="399" t="s">
        <v>2036</v>
      </c>
      <c r="W890" s="29">
        <v>8760</v>
      </c>
      <c r="X890" s="29">
        <v>8760</v>
      </c>
      <c r="Y890" s="29">
        <v>8760</v>
      </c>
      <c r="Z890" s="19">
        <v>8760</v>
      </c>
      <c r="AA890" s="19">
        <v>8760</v>
      </c>
      <c r="AB890" s="19">
        <v>8760</v>
      </c>
      <c r="AC890" s="19">
        <v>8760</v>
      </c>
      <c r="AD890" s="19">
        <v>8760</v>
      </c>
      <c r="AE890" s="19">
        <v>8760</v>
      </c>
      <c r="AF890" s="258">
        <f t="shared" si="157"/>
        <v>8760</v>
      </c>
      <c r="AG890" s="1437"/>
      <c r="AK890" s="344"/>
    </row>
    <row r="891" spans="2:45" hidden="1" outlineLevel="1" x14ac:dyDescent="0.25">
      <c r="B891" s="50"/>
      <c r="C891" s="397"/>
      <c r="D891" s="399" t="s">
        <v>2039</v>
      </c>
      <c r="E891" s="399" t="s">
        <v>2040</v>
      </c>
      <c r="F891" s="1644">
        <v>4380</v>
      </c>
      <c r="G891" s="17"/>
      <c r="H891" s="2140" t="s">
        <v>2041</v>
      </c>
      <c r="I891" s="2232"/>
      <c r="J891" s="50"/>
      <c r="K891" s="50"/>
      <c r="L891" s="50"/>
      <c r="M891" s="50"/>
      <c r="N891" s="50"/>
      <c r="V891" s="399" t="s">
        <v>2039</v>
      </c>
      <c r="W891" s="29">
        <v>4380</v>
      </c>
      <c r="X891" s="29">
        <v>4380</v>
      </c>
      <c r="Y891" s="29">
        <v>4380</v>
      </c>
      <c r="Z891" s="19">
        <v>4380</v>
      </c>
      <c r="AA891" s="19">
        <v>4380</v>
      </c>
      <c r="AB891" s="19">
        <v>4380</v>
      </c>
      <c r="AC891" s="19">
        <v>4380</v>
      </c>
      <c r="AD891" s="19">
        <v>4380</v>
      </c>
      <c r="AE891" s="19">
        <v>4380</v>
      </c>
      <c r="AF891" s="258">
        <f t="shared" si="157"/>
        <v>4380</v>
      </c>
      <c r="AG891" s="1437"/>
      <c r="AK891" s="344"/>
    </row>
    <row r="892" spans="2:45" hidden="1" outlineLevel="1" x14ac:dyDescent="0.25">
      <c r="B892" s="561"/>
      <c r="C892" s="1333"/>
      <c r="D892" s="2402" t="s">
        <v>49</v>
      </c>
      <c r="E892" s="1338" t="s">
        <v>2042</v>
      </c>
      <c r="F892" s="1892">
        <v>8</v>
      </c>
      <c r="G892" s="17"/>
      <c r="H892" s="2140" t="s">
        <v>2043</v>
      </c>
      <c r="I892" s="2232"/>
      <c r="V892" s="2402" t="s">
        <v>49</v>
      </c>
      <c r="W892" s="678">
        <v>7</v>
      </c>
      <c r="X892" s="678">
        <v>7</v>
      </c>
      <c r="Y892" s="678">
        <v>7</v>
      </c>
      <c r="Z892" s="678">
        <v>7</v>
      </c>
      <c r="AA892" s="678">
        <v>7</v>
      </c>
      <c r="AB892" s="678">
        <v>7</v>
      </c>
      <c r="AC892" s="678">
        <v>7</v>
      </c>
      <c r="AD892" s="678">
        <v>7</v>
      </c>
      <c r="AE892" s="678">
        <v>7</v>
      </c>
      <c r="AF892" s="258">
        <f t="shared" si="157"/>
        <v>8</v>
      </c>
      <c r="AG892" s="367"/>
      <c r="AK892" s="344"/>
    </row>
    <row r="893" spans="2:45" ht="44.65" hidden="1" customHeight="1" outlineLevel="1" x14ac:dyDescent="0.25">
      <c r="B893" s="561"/>
      <c r="C893" s="1333"/>
      <c r="D893" s="2402"/>
      <c r="E893" s="1338" t="s">
        <v>2044</v>
      </c>
      <c r="F893" s="1892">
        <v>8</v>
      </c>
      <c r="G893" s="17"/>
      <c r="H893" s="2403" t="s">
        <v>2045</v>
      </c>
      <c r="I893" s="2403"/>
      <c r="V893" s="2402"/>
      <c r="W893" s="678"/>
      <c r="X893" s="678"/>
      <c r="Y893" s="678"/>
      <c r="Z893" s="678"/>
      <c r="AA893" s="678"/>
      <c r="AB893" s="678"/>
      <c r="AC893" s="788">
        <v>19</v>
      </c>
      <c r="AD893" s="678">
        <v>19</v>
      </c>
      <c r="AE893" s="678">
        <v>19</v>
      </c>
      <c r="AF893" s="258">
        <f t="shared" si="157"/>
        <v>8</v>
      </c>
      <c r="AG893" s="367"/>
      <c r="AK893" s="344"/>
    </row>
    <row r="894" spans="2:45" hidden="1" outlineLevel="1" x14ac:dyDescent="0.25">
      <c r="B894" s="561"/>
      <c r="C894" s="1333"/>
      <c r="D894" s="2402"/>
      <c r="E894" s="1338" t="s">
        <v>2046</v>
      </c>
      <c r="F894" s="1639"/>
      <c r="G894" s="17"/>
      <c r="H894" s="2140"/>
      <c r="I894" s="2232"/>
      <c r="V894" s="2138"/>
      <c r="W894" s="678">
        <v>7</v>
      </c>
      <c r="X894" s="678">
        <v>7</v>
      </c>
      <c r="Y894" s="678">
        <v>7</v>
      </c>
      <c r="Z894" s="678">
        <v>7</v>
      </c>
      <c r="AA894" s="678">
        <v>7</v>
      </c>
      <c r="AB894" s="678">
        <v>7</v>
      </c>
      <c r="AC894" s="678">
        <v>7</v>
      </c>
      <c r="AD894" s="678">
        <v>7</v>
      </c>
      <c r="AE894" s="678">
        <v>7</v>
      </c>
      <c r="AF894" s="258" t="str">
        <f t="shared" si="157"/>
        <v/>
      </c>
      <c r="AG894" s="367"/>
      <c r="AK894" s="344"/>
    </row>
    <row r="895" spans="2:45" hidden="1" outlineLevel="1" x14ac:dyDescent="0.25">
      <c r="B895" s="561"/>
      <c r="C895" s="1333"/>
      <c r="D895" s="2244" t="s">
        <v>608</v>
      </c>
      <c r="E895" s="2244" t="s">
        <v>98</v>
      </c>
      <c r="F895" s="2168" t="s">
        <v>749</v>
      </c>
      <c r="G895" s="2168" t="s">
        <v>751</v>
      </c>
      <c r="H895" s="2244" t="s">
        <v>612</v>
      </c>
      <c r="I895" s="2138"/>
      <c r="V895" s="270"/>
      <c r="W895" s="270"/>
      <c r="X895" s="270"/>
      <c r="Y895" s="270"/>
      <c r="Z895" s="270"/>
      <c r="AA895" s="270"/>
      <c r="AB895" s="270"/>
      <c r="AC895" s="270"/>
      <c r="AD895" s="270"/>
      <c r="AE895" s="270"/>
      <c r="AF895" s="270"/>
      <c r="AG895" s="270"/>
      <c r="AI895" s="649">
        <f>$W$6</f>
        <v>43252</v>
      </c>
      <c r="AJ895" s="649">
        <f>$X$6</f>
        <v>43465</v>
      </c>
      <c r="AK895" s="649">
        <f>$Y$6</f>
        <v>43800</v>
      </c>
      <c r="AL895" s="649">
        <f>$Z$6</f>
        <v>43862</v>
      </c>
      <c r="AM895" s="649">
        <f>$AA$6</f>
        <v>44013</v>
      </c>
      <c r="AN895" s="649">
        <f>$AB$6</f>
        <v>44166</v>
      </c>
      <c r="AO895" s="649">
        <f>$AC$6</f>
        <v>44531</v>
      </c>
      <c r="AP895" s="649">
        <f>$AD$6</f>
        <v>44774</v>
      </c>
      <c r="AQ895" s="649">
        <f>$AE$6</f>
        <v>45139</v>
      </c>
      <c r="AR895" s="649">
        <f>$AF$6</f>
        <v>45672</v>
      </c>
      <c r="AS895" s="649" t="str">
        <f>$AG$6</f>
        <v>-</v>
      </c>
    </row>
    <row r="896" spans="2:45" hidden="1" outlineLevel="1" x14ac:dyDescent="0.25">
      <c r="B896" s="561"/>
      <c r="C896" s="1333"/>
      <c r="D896" s="2138"/>
      <c r="E896" s="2138"/>
      <c r="F896" s="2180"/>
      <c r="G896" s="2180"/>
      <c r="H896" s="2138"/>
      <c r="I896" s="2138"/>
      <c r="V896" s="270"/>
      <c r="W896" s="270"/>
      <c r="X896" s="270"/>
      <c r="Y896" s="270"/>
      <c r="Z896" s="270"/>
      <c r="AA896" s="270"/>
      <c r="AB896" s="270"/>
      <c r="AC896" s="270"/>
      <c r="AD896" s="270"/>
      <c r="AE896" s="270"/>
      <c r="AF896" s="270"/>
      <c r="AG896" s="270"/>
      <c r="AI896" s="110" t="str">
        <f>$Q$836</f>
        <v>MF</v>
      </c>
      <c r="AJ896" s="110" t="str">
        <f t="shared" ref="AJ896:AS896" si="158">$Q$836</f>
        <v>MF</v>
      </c>
      <c r="AK896" s="110" t="str">
        <f t="shared" si="158"/>
        <v>MF</v>
      </c>
      <c r="AL896" s="110" t="str">
        <f t="shared" si="158"/>
        <v>MF</v>
      </c>
      <c r="AM896" s="110" t="str">
        <f t="shared" si="158"/>
        <v>MF</v>
      </c>
      <c r="AN896" s="110" t="str">
        <f t="shared" si="158"/>
        <v>MF</v>
      </c>
      <c r="AO896" s="110" t="str">
        <f t="shared" si="158"/>
        <v>MF</v>
      </c>
      <c r="AP896" s="110" t="str">
        <f t="shared" si="158"/>
        <v>MF</v>
      </c>
      <c r="AQ896" s="110" t="str">
        <f t="shared" si="158"/>
        <v>MF</v>
      </c>
      <c r="AR896" s="110" t="str">
        <f t="shared" si="158"/>
        <v>MF</v>
      </c>
      <c r="AS896" s="110" t="str">
        <f t="shared" si="158"/>
        <v>MF</v>
      </c>
    </row>
    <row r="897" spans="2:45" hidden="1" outlineLevel="1" x14ac:dyDescent="0.25">
      <c r="B897" s="561"/>
      <c r="C897" s="1333"/>
      <c r="D897" s="2371" t="s">
        <v>50</v>
      </c>
      <c r="E897" s="1314" t="s">
        <v>1986</v>
      </c>
      <c r="F897" s="1646">
        <v>1.66</v>
      </c>
      <c r="G897" s="755">
        <f>F897</f>
        <v>1.66</v>
      </c>
      <c r="H897" s="2140" t="s">
        <v>2047</v>
      </c>
      <c r="I897" s="2232"/>
      <c r="V897" s="2412" t="str">
        <f>D897</f>
        <v>Inc. Cost</v>
      </c>
      <c r="W897" s="789">
        <v>6</v>
      </c>
      <c r="X897" s="408">
        <v>6</v>
      </c>
      <c r="Y897" s="367">
        <v>6</v>
      </c>
      <c r="Z897" s="367">
        <v>6</v>
      </c>
      <c r="AA897" s="367">
        <v>6</v>
      </c>
      <c r="AB897" s="392">
        <v>6</v>
      </c>
      <c r="AC897" s="367">
        <v>6</v>
      </c>
      <c r="AD897" s="367">
        <v>6</v>
      </c>
      <c r="AE897" s="367">
        <v>6</v>
      </c>
      <c r="AF897" s="258">
        <f t="shared" ref="AF897:AF908" si="159">IF(F897&lt;&gt;"",F897,"")</f>
        <v>1.66</v>
      </c>
      <c r="AG897" s="367"/>
      <c r="AI897" s="408">
        <v>3.3</v>
      </c>
      <c r="AJ897" s="408">
        <v>3.3</v>
      </c>
      <c r="AK897" s="408">
        <v>3.3</v>
      </c>
      <c r="AL897" s="408">
        <v>3.3</v>
      </c>
      <c r="AM897" s="408">
        <v>3.3</v>
      </c>
      <c r="AN897" s="392">
        <v>3.3</v>
      </c>
      <c r="AO897" s="367">
        <v>3.3</v>
      </c>
      <c r="AP897" s="367">
        <v>3.3</v>
      </c>
      <c r="AQ897" s="367">
        <v>3.3</v>
      </c>
      <c r="AR897" s="367">
        <f t="shared" ref="AR897:AR908" si="160">IF(F897&lt;&gt;"",F897,"")</f>
        <v>1.66</v>
      </c>
      <c r="AS897" s="367"/>
    </row>
    <row r="898" spans="2:45" hidden="1" outlineLevel="1" x14ac:dyDescent="0.25">
      <c r="B898" s="561"/>
      <c r="C898" s="1333"/>
      <c r="D898" s="2372"/>
      <c r="E898" s="1314" t="s">
        <v>1988</v>
      </c>
      <c r="F898" s="1646">
        <v>1.45</v>
      </c>
      <c r="G898" s="755">
        <f>F898</f>
        <v>1.45</v>
      </c>
      <c r="H898" s="2140" t="s">
        <v>2048</v>
      </c>
      <c r="I898" s="2232"/>
      <c r="V898" s="2413"/>
      <c r="W898" s="789">
        <v>6</v>
      </c>
      <c r="X898" s="408">
        <v>6</v>
      </c>
      <c r="Y898" s="367">
        <v>6</v>
      </c>
      <c r="Z898" s="367">
        <v>6</v>
      </c>
      <c r="AA898" s="367">
        <v>6</v>
      </c>
      <c r="AB898" s="392">
        <v>6</v>
      </c>
      <c r="AC898" s="367">
        <v>6</v>
      </c>
      <c r="AD898" s="367">
        <v>6</v>
      </c>
      <c r="AE898" s="367">
        <v>6</v>
      </c>
      <c r="AF898" s="258">
        <f t="shared" si="159"/>
        <v>1.45</v>
      </c>
      <c r="AG898" s="367"/>
      <c r="AI898" s="408">
        <v>3.68</v>
      </c>
      <c r="AJ898" s="408">
        <v>3.68</v>
      </c>
      <c r="AK898" s="408">
        <v>3.68</v>
      </c>
      <c r="AL898" s="408">
        <v>3.68</v>
      </c>
      <c r="AM898" s="408">
        <v>3.68</v>
      </c>
      <c r="AN898" s="392">
        <v>3.68</v>
      </c>
      <c r="AO898" s="367">
        <v>3.68</v>
      </c>
      <c r="AP898" s="367">
        <v>3.68</v>
      </c>
      <c r="AQ898" s="367">
        <v>3.68</v>
      </c>
      <c r="AR898" s="367">
        <f t="shared" si="160"/>
        <v>1.45</v>
      </c>
      <c r="AS898" s="367"/>
    </row>
    <row r="899" spans="2:45" ht="14.45" hidden="1" customHeight="1" outlineLevel="1" x14ac:dyDescent="0.25">
      <c r="B899" s="561"/>
      <c r="C899" s="1333"/>
      <c r="D899" s="2372"/>
      <c r="E899" s="1314" t="s">
        <v>1990</v>
      </c>
      <c r="F899" s="1646">
        <v>1.66</v>
      </c>
      <c r="G899" s="755">
        <f t="shared" ref="G899:G905" si="161">F899</f>
        <v>1.66</v>
      </c>
      <c r="H899" s="2140" t="s">
        <v>2047</v>
      </c>
      <c r="I899" s="2232"/>
      <c r="V899" s="2413"/>
      <c r="W899" s="789">
        <v>6</v>
      </c>
      <c r="X899" s="408">
        <v>6</v>
      </c>
      <c r="Y899" s="367">
        <v>6</v>
      </c>
      <c r="Z899" s="367">
        <v>6</v>
      </c>
      <c r="AA899" s="367">
        <v>6</v>
      </c>
      <c r="AB899" s="392">
        <v>6</v>
      </c>
      <c r="AC899" s="367">
        <v>6</v>
      </c>
      <c r="AD899" s="367">
        <v>6</v>
      </c>
      <c r="AE899" s="367">
        <v>6</v>
      </c>
      <c r="AF899" s="258">
        <f t="shared" si="159"/>
        <v>1.66</v>
      </c>
      <c r="AG899" s="367"/>
      <c r="AI899" s="408">
        <v>3.53</v>
      </c>
      <c r="AJ899" s="408">
        <v>3.53</v>
      </c>
      <c r="AK899" s="408">
        <v>3.53</v>
      </c>
      <c r="AL899" s="408">
        <v>3.53</v>
      </c>
      <c r="AM899" s="408">
        <v>3.53</v>
      </c>
      <c r="AN899" s="392">
        <v>3.53</v>
      </c>
      <c r="AO899" s="367">
        <v>3.53</v>
      </c>
      <c r="AP899" s="367">
        <v>3.53</v>
      </c>
      <c r="AQ899" s="367">
        <v>3.53</v>
      </c>
      <c r="AR899" s="367">
        <f t="shared" si="160"/>
        <v>1.66</v>
      </c>
      <c r="AS899" s="367"/>
    </row>
    <row r="900" spans="2:45" ht="14.45" hidden="1" customHeight="1" outlineLevel="1" x14ac:dyDescent="0.25">
      <c r="B900" s="561"/>
      <c r="C900" s="1333"/>
      <c r="D900" s="2372"/>
      <c r="E900" s="1314" t="s">
        <v>1992</v>
      </c>
      <c r="F900" s="1646">
        <v>1.45</v>
      </c>
      <c r="G900" s="755">
        <f t="shared" si="161"/>
        <v>1.45</v>
      </c>
      <c r="H900" s="2140" t="s">
        <v>2048</v>
      </c>
      <c r="I900" s="2232"/>
      <c r="V900" s="2413"/>
      <c r="W900" s="789">
        <v>8</v>
      </c>
      <c r="X900" s="408">
        <v>8</v>
      </c>
      <c r="Y900" s="367">
        <v>8</v>
      </c>
      <c r="Z900" s="367">
        <v>8</v>
      </c>
      <c r="AA900" s="367">
        <v>8</v>
      </c>
      <c r="AB900" s="392">
        <v>8</v>
      </c>
      <c r="AC900" s="367">
        <v>8</v>
      </c>
      <c r="AD900" s="367">
        <v>8</v>
      </c>
      <c r="AE900" s="367">
        <v>8</v>
      </c>
      <c r="AF900" s="258">
        <f t="shared" si="159"/>
        <v>1.45</v>
      </c>
      <c r="AG900" s="367"/>
      <c r="AI900" s="408">
        <v>6.27</v>
      </c>
      <c r="AJ900" s="408">
        <v>6.27</v>
      </c>
      <c r="AK900" s="408">
        <v>6.27</v>
      </c>
      <c r="AL900" s="408">
        <v>6.27</v>
      </c>
      <c r="AM900" s="408">
        <v>6.27</v>
      </c>
      <c r="AN900" s="392">
        <v>6.27</v>
      </c>
      <c r="AO900" s="367">
        <v>6.27</v>
      </c>
      <c r="AP900" s="367">
        <v>6.27</v>
      </c>
      <c r="AQ900" s="367">
        <v>6.27</v>
      </c>
      <c r="AR900" s="367">
        <f t="shared" si="160"/>
        <v>1.45</v>
      </c>
      <c r="AS900" s="367"/>
    </row>
    <row r="901" spans="2:45" ht="14.45" hidden="1" customHeight="1" outlineLevel="1" x14ac:dyDescent="0.25">
      <c r="B901" s="561"/>
      <c r="C901" s="1333"/>
      <c r="D901" s="2372"/>
      <c r="E901" s="1314" t="s">
        <v>1994</v>
      </c>
      <c r="F901" s="1646">
        <v>1.66</v>
      </c>
      <c r="G901" s="755">
        <f t="shared" si="161"/>
        <v>1.66</v>
      </c>
      <c r="H901" s="2140" t="s">
        <v>2047</v>
      </c>
      <c r="I901" s="2232"/>
      <c r="V901" s="2413"/>
      <c r="W901" s="789"/>
      <c r="X901" s="408"/>
      <c r="Y901" s="367"/>
      <c r="Z901" s="367"/>
      <c r="AA901" s="367"/>
      <c r="AB901" s="676">
        <v>10</v>
      </c>
      <c r="AC901" s="367">
        <v>10</v>
      </c>
      <c r="AD901" s="367">
        <v>10</v>
      </c>
      <c r="AE901" s="367">
        <v>10</v>
      </c>
      <c r="AF901" s="258">
        <f t="shared" si="159"/>
        <v>1.66</v>
      </c>
      <c r="AG901" s="367"/>
      <c r="AI901" s="408"/>
      <c r="AJ901" s="408"/>
      <c r="AK901" s="408"/>
      <c r="AL901" s="408"/>
      <c r="AM901" s="408"/>
      <c r="AN901" s="676">
        <v>4.92</v>
      </c>
      <c r="AO901" s="367">
        <v>4.92</v>
      </c>
      <c r="AP901" s="367">
        <v>4.92</v>
      </c>
      <c r="AQ901" s="367">
        <v>4.92</v>
      </c>
      <c r="AR901" s="367">
        <f t="shared" si="160"/>
        <v>1.66</v>
      </c>
      <c r="AS901" s="367"/>
    </row>
    <row r="902" spans="2:45" hidden="1" outlineLevel="1" x14ac:dyDescent="0.25">
      <c r="B902" s="561"/>
      <c r="C902" s="1333"/>
      <c r="D902" s="2372"/>
      <c r="E902" s="1314" t="s">
        <v>1996</v>
      </c>
      <c r="F902" s="1646">
        <v>1.66</v>
      </c>
      <c r="G902" s="755">
        <f t="shared" si="161"/>
        <v>1.66</v>
      </c>
      <c r="H902" s="2140" t="s">
        <v>2047</v>
      </c>
      <c r="I902" s="2232"/>
      <c r="V902" s="2413"/>
      <c r="W902" s="789">
        <v>10</v>
      </c>
      <c r="X902" s="408">
        <v>10</v>
      </c>
      <c r="Y902" s="367">
        <v>10</v>
      </c>
      <c r="Z902" s="367">
        <v>10</v>
      </c>
      <c r="AA902" s="367">
        <v>10</v>
      </c>
      <c r="AB902" s="392">
        <v>10</v>
      </c>
      <c r="AC902" s="367">
        <v>10</v>
      </c>
      <c r="AD902" s="367">
        <v>10</v>
      </c>
      <c r="AE902" s="367">
        <v>10</v>
      </c>
      <c r="AF902" s="258">
        <f t="shared" si="159"/>
        <v>1.66</v>
      </c>
      <c r="AG902" s="367"/>
      <c r="AI902" s="408">
        <v>4.92</v>
      </c>
      <c r="AJ902" s="408">
        <v>4.92</v>
      </c>
      <c r="AK902" s="408">
        <v>4.92</v>
      </c>
      <c r="AL902" s="408">
        <v>4.92</v>
      </c>
      <c r="AM902" s="408">
        <v>4.92</v>
      </c>
      <c r="AN902" s="392">
        <v>4.92</v>
      </c>
      <c r="AO902" s="367">
        <v>4.92</v>
      </c>
      <c r="AP902" s="367">
        <v>4.92</v>
      </c>
      <c r="AQ902" s="367">
        <v>4.92</v>
      </c>
      <c r="AR902" s="367">
        <f t="shared" si="160"/>
        <v>1.66</v>
      </c>
      <c r="AS902" s="367"/>
    </row>
    <row r="903" spans="2:45" ht="14.45" hidden="1" customHeight="1" outlineLevel="1" x14ac:dyDescent="0.25">
      <c r="B903" s="561"/>
      <c r="C903" s="1333"/>
      <c r="D903" s="2372"/>
      <c r="E903" s="1314" t="s">
        <v>1998</v>
      </c>
      <c r="F903" s="1646">
        <v>1.66</v>
      </c>
      <c r="G903" s="755">
        <f t="shared" si="161"/>
        <v>1.66</v>
      </c>
      <c r="H903" s="2140" t="s">
        <v>2047</v>
      </c>
      <c r="I903" s="2232"/>
      <c r="V903" s="2413"/>
      <c r="W903" s="789">
        <v>15</v>
      </c>
      <c r="X903" s="408">
        <v>15</v>
      </c>
      <c r="Y903" s="367">
        <v>15</v>
      </c>
      <c r="Z903" s="367">
        <v>15</v>
      </c>
      <c r="AA903" s="367">
        <v>15</v>
      </c>
      <c r="AB903" s="392">
        <v>15</v>
      </c>
      <c r="AC903" s="367">
        <v>15</v>
      </c>
      <c r="AD903" s="367">
        <v>15</v>
      </c>
      <c r="AE903" s="367">
        <v>15</v>
      </c>
      <c r="AF903" s="258">
        <f t="shared" si="159"/>
        <v>1.66</v>
      </c>
      <c r="AG903" s="367"/>
      <c r="AI903" s="408">
        <v>4.92</v>
      </c>
      <c r="AJ903" s="408">
        <v>4.92</v>
      </c>
      <c r="AK903" s="408">
        <v>4.92</v>
      </c>
      <c r="AL903" s="408">
        <v>4.92</v>
      </c>
      <c r="AM903" s="408">
        <v>4.92</v>
      </c>
      <c r="AN903" s="392">
        <v>4.92</v>
      </c>
      <c r="AO903" s="367">
        <v>4.92</v>
      </c>
      <c r="AP903" s="367">
        <v>4.92</v>
      </c>
      <c r="AQ903" s="367">
        <v>4.92</v>
      </c>
      <c r="AR903" s="367">
        <f t="shared" si="160"/>
        <v>1.66</v>
      </c>
      <c r="AS903" s="367"/>
    </row>
    <row r="904" spans="2:45" ht="14.45" hidden="1" customHeight="1" outlineLevel="1" x14ac:dyDescent="0.25">
      <c r="B904" s="561"/>
      <c r="C904" s="1333"/>
      <c r="D904" s="2372"/>
      <c r="E904" s="1314" t="s">
        <v>2000</v>
      </c>
      <c r="F904" s="1646">
        <v>1.45</v>
      </c>
      <c r="G904" s="755">
        <f t="shared" si="161"/>
        <v>1.45</v>
      </c>
      <c r="H904" s="2140" t="s">
        <v>2048</v>
      </c>
      <c r="I904" s="2232"/>
      <c r="V904" s="2413"/>
      <c r="W904" s="789">
        <v>8</v>
      </c>
      <c r="X904" s="408">
        <v>8</v>
      </c>
      <c r="Y904" s="367">
        <v>8</v>
      </c>
      <c r="Z904" s="367">
        <v>8</v>
      </c>
      <c r="AA904" s="367">
        <v>8</v>
      </c>
      <c r="AB904" s="392">
        <v>8</v>
      </c>
      <c r="AC904" s="367">
        <v>8</v>
      </c>
      <c r="AD904" s="367">
        <v>8</v>
      </c>
      <c r="AE904" s="367">
        <v>8</v>
      </c>
      <c r="AF904" s="258">
        <f t="shared" si="159"/>
        <v>1.45</v>
      </c>
      <c r="AG904" s="367"/>
      <c r="AI904" s="408">
        <v>7.83</v>
      </c>
      <c r="AJ904" s="408">
        <v>7.83</v>
      </c>
      <c r="AK904" s="408">
        <v>7.83</v>
      </c>
      <c r="AL904" s="408">
        <v>7.83</v>
      </c>
      <c r="AM904" s="408">
        <v>7.83</v>
      </c>
      <c r="AN904" s="392">
        <v>7.83</v>
      </c>
      <c r="AO904" s="367">
        <v>7.83</v>
      </c>
      <c r="AP904" s="367">
        <v>7.83</v>
      </c>
      <c r="AQ904" s="367">
        <v>7.83</v>
      </c>
      <c r="AR904" s="367">
        <f t="shared" si="160"/>
        <v>1.45</v>
      </c>
      <c r="AS904" s="367"/>
    </row>
    <row r="905" spans="2:45" hidden="1" outlineLevel="1" x14ac:dyDescent="0.25">
      <c r="B905" s="561"/>
      <c r="C905" s="1333"/>
      <c r="D905" s="2372"/>
      <c r="E905" s="1314" t="s">
        <v>2002</v>
      </c>
      <c r="F905" s="1646">
        <v>1.66</v>
      </c>
      <c r="G905" s="755">
        <f t="shared" si="161"/>
        <v>1.66</v>
      </c>
      <c r="H905" s="2140" t="s">
        <v>2047</v>
      </c>
      <c r="I905" s="2232"/>
      <c r="V905" s="2413"/>
      <c r="W905" s="789">
        <v>7</v>
      </c>
      <c r="X905" s="408">
        <v>7</v>
      </c>
      <c r="Y905" s="367">
        <v>7</v>
      </c>
      <c r="Z905" s="367">
        <v>7</v>
      </c>
      <c r="AA905" s="367">
        <v>7</v>
      </c>
      <c r="AB905" s="392">
        <v>7</v>
      </c>
      <c r="AC905" s="367">
        <v>7</v>
      </c>
      <c r="AD905" s="367">
        <v>7</v>
      </c>
      <c r="AE905" s="367">
        <v>7</v>
      </c>
      <c r="AF905" s="258">
        <f t="shared" si="159"/>
        <v>1.66</v>
      </c>
      <c r="AG905" s="367"/>
      <c r="AI905" s="408">
        <v>3.27</v>
      </c>
      <c r="AJ905" s="408">
        <v>3.27</v>
      </c>
      <c r="AK905" s="408">
        <v>3.27</v>
      </c>
      <c r="AL905" s="408">
        <v>3.27</v>
      </c>
      <c r="AM905" s="408">
        <v>3.27</v>
      </c>
      <c r="AN905" s="392">
        <v>3.27</v>
      </c>
      <c r="AO905" s="367">
        <v>3.27</v>
      </c>
      <c r="AP905" s="367">
        <v>3.27</v>
      </c>
      <c r="AQ905" s="367">
        <v>3.27</v>
      </c>
      <c r="AR905" s="367">
        <f t="shared" si="160"/>
        <v>1.66</v>
      </c>
      <c r="AS905" s="367"/>
    </row>
    <row r="906" spans="2:45" ht="14.45" hidden="1" customHeight="1" outlineLevel="1" x14ac:dyDescent="0.25">
      <c r="B906" s="561"/>
      <c r="C906" s="1333"/>
      <c r="D906" s="2372"/>
      <c r="E906" s="1314" t="s">
        <v>2004</v>
      </c>
      <c r="F906" s="1646">
        <v>1.66</v>
      </c>
      <c r="G906" s="1646">
        <v>1.66</v>
      </c>
      <c r="H906" s="2140" t="s">
        <v>2047</v>
      </c>
      <c r="I906" s="2232"/>
      <c r="V906" s="2413"/>
      <c r="W906" s="789">
        <v>7</v>
      </c>
      <c r="X906" s="408">
        <v>7</v>
      </c>
      <c r="Y906" s="367">
        <v>7</v>
      </c>
      <c r="Z906" s="367">
        <v>7</v>
      </c>
      <c r="AA906" s="367">
        <v>7</v>
      </c>
      <c r="AB906" s="392">
        <v>7</v>
      </c>
      <c r="AC906" s="367">
        <v>7</v>
      </c>
      <c r="AD906" s="367">
        <v>7</v>
      </c>
      <c r="AE906" s="367">
        <v>7</v>
      </c>
      <c r="AF906" s="258">
        <f t="shared" si="159"/>
        <v>1.66</v>
      </c>
      <c r="AG906" s="367"/>
      <c r="AI906" s="408">
        <v>3.27</v>
      </c>
      <c r="AJ906" s="408">
        <v>3.27</v>
      </c>
      <c r="AK906" s="408">
        <v>3.27</v>
      </c>
      <c r="AL906" s="408">
        <v>3.27</v>
      </c>
      <c r="AM906" s="408">
        <v>3.27</v>
      </c>
      <c r="AN906" s="392">
        <v>3.27</v>
      </c>
      <c r="AO906" s="367">
        <v>3.27</v>
      </c>
      <c r="AP906" s="367">
        <v>3.27</v>
      </c>
      <c r="AQ906" s="367">
        <v>3.27</v>
      </c>
      <c r="AR906" s="367">
        <f t="shared" si="160"/>
        <v>1.66</v>
      </c>
      <c r="AS906" s="367"/>
    </row>
    <row r="907" spans="2:45" hidden="1" outlineLevel="1" x14ac:dyDescent="0.25">
      <c r="B907" s="50"/>
      <c r="C907" s="49"/>
      <c r="D907" s="2372"/>
      <c r="E907" s="1314" t="s">
        <v>2006</v>
      </c>
      <c r="F907" s="755">
        <f>F898</f>
        <v>1.45</v>
      </c>
      <c r="G907" s="755">
        <f>F907</f>
        <v>1.45</v>
      </c>
      <c r="H907" s="2140" t="s">
        <v>2048</v>
      </c>
      <c r="I907" s="2232"/>
      <c r="K907" s="50"/>
      <c r="L907" s="50"/>
      <c r="M907" s="50"/>
      <c r="N907" s="50"/>
      <c r="V907" s="2413"/>
      <c r="W907" s="1456"/>
      <c r="X907" s="245"/>
      <c r="Y907" s="367"/>
      <c r="Z907" s="367"/>
      <c r="AA907" s="367"/>
      <c r="AB907" s="677">
        <v>6</v>
      </c>
      <c r="AC907" s="367">
        <v>6</v>
      </c>
      <c r="AD907" s="367">
        <v>6</v>
      </c>
      <c r="AE907" s="367">
        <v>6</v>
      </c>
      <c r="AF907" s="258">
        <f t="shared" si="159"/>
        <v>1.45</v>
      </c>
      <c r="AG907" s="367"/>
      <c r="AI907" s="245"/>
      <c r="AJ907" s="245"/>
      <c r="AK907" s="245"/>
      <c r="AL907" s="245"/>
      <c r="AM907" s="245"/>
      <c r="AN907" s="677">
        <f>AN898</f>
        <v>3.68</v>
      </c>
      <c r="AO907" s="367">
        <v>3.68</v>
      </c>
      <c r="AP907" s="367">
        <v>3.68</v>
      </c>
      <c r="AQ907" s="367">
        <v>3.68</v>
      </c>
      <c r="AR907" s="367">
        <f t="shared" si="160"/>
        <v>1.45</v>
      </c>
      <c r="AS907" s="367"/>
    </row>
    <row r="908" spans="2:45" ht="42.95" hidden="1" customHeight="1" outlineLevel="1" x14ac:dyDescent="0.25">
      <c r="B908" s="50"/>
      <c r="C908" s="49"/>
      <c r="D908" s="2373"/>
      <c r="E908" s="1307" t="s">
        <v>765</v>
      </c>
      <c r="F908" s="755">
        <v>3.35</v>
      </c>
      <c r="G908" s="755">
        <f>F908</f>
        <v>3.35</v>
      </c>
      <c r="H908" s="2140" t="s">
        <v>2049</v>
      </c>
      <c r="I908" s="2140"/>
      <c r="K908" s="50"/>
      <c r="L908" s="50"/>
      <c r="M908" s="50"/>
      <c r="N908" s="50"/>
      <c r="V908" s="2414"/>
      <c r="W908" s="245"/>
      <c r="X908" s="245"/>
      <c r="Y908" s="367"/>
      <c r="Z908" s="367"/>
      <c r="AA908" s="367"/>
      <c r="AB908" s="677"/>
      <c r="AC908" s="368">
        <v>3.35</v>
      </c>
      <c r="AD908" s="367">
        <v>3.35</v>
      </c>
      <c r="AE908" s="367">
        <v>3.35</v>
      </c>
      <c r="AF908" s="258">
        <f t="shared" si="159"/>
        <v>3.35</v>
      </c>
      <c r="AG908" s="367"/>
      <c r="AI908" s="245"/>
      <c r="AJ908" s="245"/>
      <c r="AK908" s="245"/>
      <c r="AL908" s="245"/>
      <c r="AM908" s="245"/>
      <c r="AN908" s="677"/>
      <c r="AO908" s="368">
        <v>3.35</v>
      </c>
      <c r="AP908" s="367">
        <v>3.35</v>
      </c>
      <c r="AQ908" s="367">
        <v>3.35</v>
      </c>
      <c r="AR908" s="367">
        <f t="shared" si="160"/>
        <v>3.35</v>
      </c>
      <c r="AS908" s="367"/>
    </row>
    <row r="909" spans="2:45" hidden="1" outlineLevel="1" x14ac:dyDescent="0.25">
      <c r="B909" s="50"/>
      <c r="C909" s="49"/>
      <c r="D909" s="100"/>
      <c r="E909" s="100"/>
      <c r="F909" s="50"/>
      <c r="G909" s="50"/>
      <c r="H909" s="50"/>
      <c r="I909" s="50"/>
      <c r="J909" s="50"/>
      <c r="K909" s="50"/>
      <c r="L909" s="50"/>
      <c r="M909" s="50"/>
      <c r="N909" s="50"/>
      <c r="AK909" s="344"/>
    </row>
    <row r="910" spans="2:45" collapsed="1" x14ac:dyDescent="0.25">
      <c r="B910" s="50"/>
      <c r="C910" s="49"/>
      <c r="D910" s="100"/>
      <c r="E910" s="100"/>
      <c r="F910" s="50"/>
      <c r="G910" s="50"/>
      <c r="H910" s="50"/>
      <c r="I910" s="50"/>
      <c r="J910" s="50"/>
      <c r="K910" s="50"/>
      <c r="L910" s="50"/>
      <c r="M910" s="50"/>
      <c r="N910" s="50"/>
      <c r="AK910" s="344"/>
    </row>
    <row r="911" spans="2:45" x14ac:dyDescent="0.25">
      <c r="B911" s="2134" t="s">
        <v>2050</v>
      </c>
      <c r="C911" s="2135"/>
      <c r="D911" s="2135"/>
      <c r="E911" s="2135"/>
      <c r="F911" s="2135"/>
      <c r="G911" s="2135"/>
      <c r="H911" s="2135"/>
      <c r="I911" s="2082"/>
      <c r="J911" s="2082"/>
      <c r="K911" s="2082"/>
      <c r="L911" s="2082"/>
      <c r="M911" s="2082"/>
      <c r="N911" s="2082"/>
      <c r="O911" s="2082"/>
      <c r="P911" s="2082"/>
      <c r="Q911" s="2082"/>
      <c r="R911" s="2083"/>
      <c r="V911" s="1292" t="str">
        <f>B911</f>
        <v>Advanced Power Strips Tier 2</v>
      </c>
      <c r="W911" s="1293"/>
      <c r="X911" s="1293"/>
      <c r="Y911" s="1293"/>
      <c r="Z911" s="1293"/>
      <c r="AA911" s="1293"/>
      <c r="AB911" s="1293"/>
      <c r="AC911" s="1293"/>
      <c r="AD911" s="1293"/>
      <c r="AE911" s="1293"/>
      <c r="AF911" s="1293"/>
      <c r="AG911" s="1293"/>
      <c r="AH911" s="1293"/>
      <c r="AI911" s="1327"/>
      <c r="AK911" s="344"/>
    </row>
    <row r="912" spans="2:45" x14ac:dyDescent="0.25">
      <c r="B912" s="50"/>
      <c r="C912" s="49"/>
      <c r="D912" s="100"/>
      <c r="E912" s="100"/>
      <c r="F912" s="50"/>
      <c r="G912" s="50"/>
      <c r="H912" s="50"/>
      <c r="I912" s="50"/>
      <c r="J912" s="50"/>
      <c r="K912" s="50"/>
      <c r="L912" s="50"/>
      <c r="M912" s="50"/>
      <c r="N912" s="50"/>
      <c r="AK912" s="344"/>
    </row>
    <row r="913" spans="1:114" ht="30" x14ac:dyDescent="0.25">
      <c r="B913" s="50"/>
      <c r="C913" s="1300" t="s">
        <v>42</v>
      </c>
      <c r="D913" s="1300" t="s">
        <v>594</v>
      </c>
      <c r="E913" s="1300" t="s">
        <v>44</v>
      </c>
      <c r="F913" s="1300" t="s">
        <v>45</v>
      </c>
      <c r="G913" s="1300" t="s">
        <v>46</v>
      </c>
      <c r="H913" s="1300" t="s">
        <v>47</v>
      </c>
      <c r="I913" s="1300" t="s">
        <v>48</v>
      </c>
      <c r="J913" s="1300" t="s">
        <v>49</v>
      </c>
      <c r="K913" s="1300" t="s">
        <v>50</v>
      </c>
      <c r="L913" s="1300" t="s">
        <v>51</v>
      </c>
      <c r="M913" s="50"/>
      <c r="N913" s="50"/>
      <c r="V913" s="648" t="s">
        <v>52</v>
      </c>
      <c r="W913" s="649">
        <v>43252</v>
      </c>
      <c r="X913" s="649">
        <f>$X$6</f>
        <v>43465</v>
      </c>
      <c r="Y913" s="110">
        <f>$Y$6</f>
        <v>43800</v>
      </c>
      <c r="Z913" s="649">
        <f>$Z$6</f>
        <v>43862</v>
      </c>
      <c r="AA913" s="649">
        <f>$AA$6</f>
        <v>44013</v>
      </c>
      <c r="AB913" s="649">
        <f>$AB$6</f>
        <v>44166</v>
      </c>
      <c r="AC913" s="649">
        <f>$AC$6</f>
        <v>44531</v>
      </c>
      <c r="AD913" s="649">
        <f>$AD$6</f>
        <v>44774</v>
      </c>
      <c r="AE913" s="649">
        <f>$AE$6</f>
        <v>45139</v>
      </c>
      <c r="AF913" s="649">
        <f>$AF$6</f>
        <v>45672</v>
      </c>
      <c r="AG913" s="649" t="str">
        <f>$AG$6</f>
        <v>-</v>
      </c>
      <c r="AK913" s="344"/>
      <c r="DG913" s="1018" t="str">
        <f>$DG$6</f>
        <v>TRC (2025)</v>
      </c>
      <c r="DH913" s="776" t="str">
        <f>$DH$6</f>
        <v>Benefit Lookup</v>
      </c>
      <c r="DI913" s="1034" t="str">
        <f>$DI$6</f>
        <v>Benefits (2025 $)</v>
      </c>
      <c r="DJ913" s="1126" t="str">
        <f>$DJ$6</f>
        <v>Incremental Cost (2025 $)</v>
      </c>
    </row>
    <row r="914" spans="1:114" s="1072" customFormat="1" x14ac:dyDescent="0.25">
      <c r="A914" s="270"/>
      <c r="B914" s="1384">
        <f t="shared" ref="B914:B915" si="162">VALUE(LEFT(C914,6))</f>
        <v>405750</v>
      </c>
      <c r="C914" s="332" t="s">
        <v>2051</v>
      </c>
      <c r="D914" s="103" t="s">
        <v>600</v>
      </c>
      <c r="E914" s="1306" t="s">
        <v>2052</v>
      </c>
      <c r="F914" s="153">
        <f>G920*G921*G922</f>
        <v>177.07999999999998</v>
      </c>
      <c r="G914" s="391" t="s">
        <v>895</v>
      </c>
      <c r="H914" s="66">
        <f>VLOOKUP(G914,'CP FACTORS'!$A$3:$B$38, 2, FALSE)</f>
        <v>1.148238E-4</v>
      </c>
      <c r="I914" s="536">
        <f t="shared" ref="I914:I915" si="163">ROUND(F914*H914,6)</f>
        <v>2.0333E-2</v>
      </c>
      <c r="J914" s="57">
        <v>10</v>
      </c>
      <c r="K914" s="162">
        <f>G924</f>
        <v>60</v>
      </c>
      <c r="L914" s="18" t="s">
        <v>62</v>
      </c>
      <c r="M914" s="1073"/>
      <c r="N914" s="1073"/>
      <c r="O914" s="1073"/>
      <c r="P914" s="1073"/>
      <c r="Q914" s="1073"/>
      <c r="R914" s="1073"/>
      <c r="S914" s="1073"/>
      <c r="T914" s="1073"/>
      <c r="U914" s="1073"/>
      <c r="V914" s="1376" t="str">
        <f t="shared" ref="V914:V915" si="164">$F$913</f>
        <v>kWh Annual Savings</v>
      </c>
      <c r="W914" s="1457">
        <v>162</v>
      </c>
      <c r="X914" s="1457">
        <v>162</v>
      </c>
      <c r="Y914" s="1457">
        <v>162</v>
      </c>
      <c r="Z914" s="1457">
        <v>162</v>
      </c>
      <c r="AA914" s="1457">
        <v>162</v>
      </c>
      <c r="AB914" s="1458">
        <v>151.96</v>
      </c>
      <c r="AC914" s="42">
        <v>151.96</v>
      </c>
      <c r="AD914" s="42">
        <v>151.96</v>
      </c>
      <c r="AE914" s="47">
        <v>153.9</v>
      </c>
      <c r="AF914" s="258">
        <f t="shared" ref="AF914:AF915" si="165">IF(F914&lt;&gt;"",F914,"")</f>
        <v>177.07999999999998</v>
      </c>
      <c r="AG914" s="1437"/>
      <c r="AH914" s="260"/>
      <c r="AI914" s="260"/>
      <c r="AJ914" s="260"/>
      <c r="AK914" s="344"/>
      <c r="AL914" s="260"/>
      <c r="DG914" s="1020">
        <f t="shared" ref="DG914:DG915" si="166">(DI914)/(DJ914)</f>
        <v>1.4787956550776207</v>
      </c>
      <c r="DH914" s="1330" t="str">
        <f t="shared" ref="DH914:DH915" si="167">CONCATENATE(G914," ",J914," Year EUL")</f>
        <v>Miscellaneous RES 10 Year EUL</v>
      </c>
      <c r="DI914" s="969">
        <f>(INDEX('Avoided Cost Benefits'!$B$4:$B$865,MATCH(DH914,'Avoided Cost Benefits'!$A$4:$A$865,0)))*F914</f>
        <v>88.727739304657234</v>
      </c>
      <c r="DJ914" s="1952">
        <f t="shared" ref="DJ914:DJ915" si="168">IFERROR(K914/((1+DiscountRate)^(CurrentYear-DiscountYear)),0)</f>
        <v>60</v>
      </c>
    </row>
    <row r="915" spans="1:114" s="1072" customFormat="1" x14ac:dyDescent="0.25">
      <c r="A915" s="270"/>
      <c r="B915" s="1384">
        <f t="shared" si="162"/>
        <v>405751</v>
      </c>
      <c r="C915" s="332" t="s">
        <v>2053</v>
      </c>
      <c r="D915" s="103" t="s">
        <v>825</v>
      </c>
      <c r="E915" s="1306" t="s">
        <v>2054</v>
      </c>
      <c r="F915" s="153">
        <f>G920*G921*G922</f>
        <v>177.07999999999998</v>
      </c>
      <c r="G915" s="391" t="s">
        <v>895</v>
      </c>
      <c r="H915" s="66">
        <f>VLOOKUP(G915,'CP FACTORS'!$A$3:$B$38, 2, FALSE)</f>
        <v>1.148238E-4</v>
      </c>
      <c r="I915" s="536">
        <f t="shared" si="163"/>
        <v>2.0333E-2</v>
      </c>
      <c r="J915" s="57">
        <v>10</v>
      </c>
      <c r="K915" s="162">
        <f>G924</f>
        <v>60</v>
      </c>
      <c r="L915" s="18" t="s">
        <v>62</v>
      </c>
      <c r="M915" s="1073"/>
      <c r="N915" s="1073"/>
      <c r="O915" s="1073"/>
      <c r="P915" s="1073"/>
      <c r="Q915" s="1073"/>
      <c r="R915" s="1073"/>
      <c r="S915" s="1073"/>
      <c r="T915" s="1073"/>
      <c r="U915" s="1073"/>
      <c r="V915" s="1307" t="str">
        <f t="shared" si="164"/>
        <v>kWh Annual Savings</v>
      </c>
      <c r="W915" s="1457"/>
      <c r="X915" s="1457"/>
      <c r="Y915" s="1457"/>
      <c r="Z915" s="1457"/>
      <c r="AA915" s="1457"/>
      <c r="AB915" s="1458">
        <v>153.9</v>
      </c>
      <c r="AC915" s="154">
        <v>153.9</v>
      </c>
      <c r="AD915" s="154">
        <v>153.9</v>
      </c>
      <c r="AE915" s="154">
        <v>153.9</v>
      </c>
      <c r="AF915" s="258">
        <f t="shared" si="165"/>
        <v>177.07999999999998</v>
      </c>
      <c r="AG915" s="1437"/>
      <c r="AH915" s="260"/>
      <c r="AI915" s="260"/>
      <c r="AJ915" s="260"/>
      <c r="AK915" s="344"/>
      <c r="AL915" s="260"/>
      <c r="DG915" s="1025">
        <f t="shared" si="166"/>
        <v>1.4787956550776207</v>
      </c>
      <c r="DH915" s="1330" t="str">
        <f t="shared" si="167"/>
        <v>Miscellaneous RES 10 Year EUL</v>
      </c>
      <c r="DI915" s="1036">
        <f>(INDEX('Avoided Cost Benefits'!$B$4:$B$865,MATCH(DH915,'Avoided Cost Benefits'!$A$4:$A$865,0)))*F915</f>
        <v>88.727739304657234</v>
      </c>
      <c r="DJ915" s="1952">
        <f t="shared" si="168"/>
        <v>60</v>
      </c>
    </row>
    <row r="916" spans="1:114" hidden="1" outlineLevel="1" x14ac:dyDescent="0.25">
      <c r="B916" s="1384"/>
      <c r="C916" s="70"/>
      <c r="D916" s="74" t="s">
        <v>94</v>
      </c>
      <c r="E916" s="74" t="s">
        <v>2055</v>
      </c>
      <c r="F916" s="49"/>
      <c r="G916" s="50"/>
      <c r="H916" s="50" t="s">
        <v>2056</v>
      </c>
      <c r="I916" s="50"/>
      <c r="J916" s="50"/>
      <c r="K916" s="50"/>
      <c r="L916" s="49"/>
      <c r="M916" s="1073"/>
      <c r="N916" s="1073"/>
      <c r="O916" s="1073"/>
      <c r="P916" s="1073"/>
      <c r="Q916" s="1073"/>
      <c r="R916" s="1073"/>
      <c r="S916" s="1073"/>
      <c r="T916" s="1073"/>
      <c r="U916" s="1073"/>
      <c r="V916" s="50"/>
      <c r="W916" s="1567"/>
      <c r="X916" s="1567"/>
      <c r="Y916" s="1567"/>
      <c r="Z916" s="1567"/>
      <c r="AA916" s="1567"/>
      <c r="AB916" s="1568"/>
      <c r="AC916" s="1569"/>
      <c r="AD916" s="1569"/>
      <c r="AE916" s="1569"/>
      <c r="AF916" s="1570"/>
      <c r="AK916" s="344"/>
      <c r="AM916" s="1072"/>
      <c r="DG916" s="1571"/>
      <c r="DH916" s="577"/>
      <c r="DI916" s="538"/>
      <c r="DJ916" s="1572"/>
    </row>
    <row r="917" spans="1:114" hidden="1" outlineLevel="1" x14ac:dyDescent="0.25">
      <c r="B917" s="1384"/>
      <c r="C917" s="70"/>
      <c r="D917" s="74" t="s">
        <v>604</v>
      </c>
      <c r="E917" s="74" t="s">
        <v>2057</v>
      </c>
      <c r="F917" s="49"/>
      <c r="G917" s="50"/>
      <c r="H917" s="50"/>
      <c r="I917" s="50"/>
      <c r="J917" s="50"/>
      <c r="K917" s="50"/>
      <c r="L917" s="49"/>
      <c r="M917" s="1073"/>
      <c r="N917" s="1073"/>
      <c r="O917" s="1073"/>
      <c r="P917" s="1073"/>
      <c r="Q917" s="1073"/>
      <c r="R917" s="1073"/>
      <c r="S917" s="1073"/>
      <c r="T917" s="1073"/>
      <c r="U917" s="1073"/>
      <c r="V917" s="50"/>
      <c r="W917" s="1567"/>
      <c r="X917" s="1567"/>
      <c r="Y917" s="1567"/>
      <c r="Z917" s="1567"/>
      <c r="AA917" s="1567"/>
      <c r="AB917" s="1568"/>
      <c r="AC917" s="1569"/>
      <c r="AD917" s="1569"/>
      <c r="AE917" s="1569"/>
      <c r="AF917" s="1570"/>
      <c r="AK917" s="344"/>
      <c r="AM917" s="1072"/>
      <c r="DG917" s="1571"/>
      <c r="DH917" s="577"/>
      <c r="DI917" s="538"/>
      <c r="DJ917" s="1572"/>
    </row>
    <row r="918" spans="1:114" hidden="1" outlineLevel="1" x14ac:dyDescent="0.25">
      <c r="B918" s="1384"/>
      <c r="C918" s="70"/>
      <c r="D918" s="100"/>
      <c r="E918" s="1383" t="s">
        <v>607</v>
      </c>
      <c r="F918" s="49"/>
      <c r="G918" s="50"/>
      <c r="H918" s="50"/>
      <c r="I918" s="50"/>
      <c r="J918" s="50"/>
      <c r="K918" s="50"/>
      <c r="L918" s="49"/>
      <c r="M918" s="1073"/>
      <c r="N918" s="1073"/>
      <c r="O918" s="1073"/>
      <c r="P918" s="1073"/>
      <c r="Q918" s="1073"/>
      <c r="R918" s="1073"/>
      <c r="S918" s="1073"/>
      <c r="T918" s="1073"/>
      <c r="U918" s="1073"/>
      <c r="V918" s="50"/>
      <c r="W918" s="1567"/>
      <c r="X918" s="1567"/>
      <c r="Y918" s="1567"/>
      <c r="Z918" s="1567"/>
      <c r="AA918" s="1567"/>
      <c r="AB918" s="1568"/>
      <c r="AC918" s="1569"/>
      <c r="AD918" s="1569"/>
      <c r="AE918" s="1569"/>
      <c r="AF918" s="1570"/>
      <c r="AK918" s="344"/>
      <c r="AM918" s="1072"/>
      <c r="DG918" s="1571"/>
      <c r="DH918" s="577"/>
      <c r="DI918" s="538"/>
      <c r="DJ918" s="1572"/>
    </row>
    <row r="919" spans="1:114" hidden="1" outlineLevel="1" x14ac:dyDescent="0.25">
      <c r="B919" s="50"/>
      <c r="C919" s="49"/>
      <c r="D919" s="1300" t="s">
        <v>712</v>
      </c>
      <c r="E919" s="1300" t="s">
        <v>608</v>
      </c>
      <c r="F919" s="1300" t="s">
        <v>609</v>
      </c>
      <c r="G919" s="1300" t="s">
        <v>610</v>
      </c>
      <c r="H919" s="1300" t="s">
        <v>611</v>
      </c>
      <c r="I919" s="1300" t="s">
        <v>1005</v>
      </c>
      <c r="J919" s="50"/>
      <c r="K919" s="50"/>
      <c r="L919" s="50"/>
      <c r="M919" s="50"/>
      <c r="N919" s="50"/>
      <c r="AK919" s="344"/>
    </row>
    <row r="920" spans="1:114" ht="150" hidden="1" outlineLevel="1" x14ac:dyDescent="0.25">
      <c r="B920" s="50"/>
      <c r="C920" s="49"/>
      <c r="D920" s="1306" t="s">
        <v>2058</v>
      </c>
      <c r="E920" s="1309" t="s">
        <v>2059</v>
      </c>
      <c r="F920" s="1375" t="s">
        <v>734</v>
      </c>
      <c r="G920" s="1510">
        <v>466</v>
      </c>
      <c r="H920" s="1305" t="s">
        <v>2060</v>
      </c>
      <c r="I920" s="1375"/>
      <c r="J920" s="50"/>
      <c r="K920" s="50"/>
      <c r="L920" s="50"/>
      <c r="M920" s="50"/>
      <c r="N920" s="50"/>
      <c r="AK920" s="344"/>
    </row>
    <row r="921" spans="1:114" ht="75" hidden="1" outlineLevel="1" x14ac:dyDescent="0.25">
      <c r="B921" s="50"/>
      <c r="C921" s="49"/>
      <c r="D921" s="1971" t="s">
        <v>2061</v>
      </c>
      <c r="E921" s="773" t="s">
        <v>2062</v>
      </c>
      <c r="F921" s="103" t="s">
        <v>2063</v>
      </c>
      <c r="G921" s="1995">
        <v>0.4</v>
      </c>
      <c r="H921" s="1800" t="s">
        <v>2064</v>
      </c>
      <c r="I921" s="732"/>
      <c r="J921" s="50"/>
      <c r="K921" s="50"/>
      <c r="L921" s="50"/>
      <c r="M921" s="50"/>
      <c r="N921" s="50"/>
      <c r="AK921" s="344"/>
    </row>
    <row r="922" spans="1:114" ht="60" hidden="1" outlineLevel="1" x14ac:dyDescent="0.25">
      <c r="B922" s="50"/>
      <c r="C922" s="49"/>
      <c r="D922" s="1987" t="s">
        <v>104</v>
      </c>
      <c r="E922" s="773" t="s">
        <v>2065</v>
      </c>
      <c r="F922" s="1988" t="s">
        <v>1845</v>
      </c>
      <c r="G922" s="1519">
        <v>0.95</v>
      </c>
      <c r="H922" s="1800" t="s">
        <v>2066</v>
      </c>
      <c r="I922" s="732"/>
      <c r="J922" s="1977"/>
      <c r="K922" s="151"/>
      <c r="L922" s="50"/>
      <c r="M922" s="50"/>
      <c r="N922" s="50"/>
      <c r="V922" s="2221" t="s">
        <v>899</v>
      </c>
      <c r="W922" s="1375">
        <v>31</v>
      </c>
      <c r="X922" s="1375">
        <v>31</v>
      </c>
      <c r="Y922" s="1375">
        <v>31</v>
      </c>
      <c r="Z922" s="1375">
        <v>31</v>
      </c>
      <c r="AA922" s="1375">
        <v>31</v>
      </c>
      <c r="AB922" s="1375">
        <v>31</v>
      </c>
      <c r="AC922" s="1375">
        <v>31</v>
      </c>
      <c r="AD922" s="1375">
        <v>31</v>
      </c>
      <c r="AE922" s="1375">
        <v>31</v>
      </c>
      <c r="AF922" s="258">
        <f t="shared" ref="AF922:AF924" si="169">IF(G922&lt;&gt;"",G922,"")</f>
        <v>0.95</v>
      </c>
      <c r="AG922" s="1437"/>
      <c r="AK922" s="344"/>
    </row>
    <row r="923" spans="1:114" ht="45" hidden="1" outlineLevel="1" x14ac:dyDescent="0.25">
      <c r="B923" s="50"/>
      <c r="C923" s="49"/>
      <c r="D923" s="1351" t="s">
        <v>49</v>
      </c>
      <c r="E923" s="1351" t="s">
        <v>792</v>
      </c>
      <c r="F923" s="1822" t="s">
        <v>734</v>
      </c>
      <c r="G923" s="1520">
        <v>10</v>
      </c>
      <c r="H923" s="1800" t="s">
        <v>2067</v>
      </c>
      <c r="I923" s="1996"/>
      <c r="J923" s="1977"/>
      <c r="K923" s="151"/>
      <c r="L923" s="50"/>
      <c r="M923" s="50"/>
      <c r="N923" s="50"/>
      <c r="V923" s="2222"/>
      <c r="W923" s="1375">
        <v>75.099999999999994</v>
      </c>
      <c r="X923" s="1375">
        <v>75.099999999999994</v>
      </c>
      <c r="Y923" s="1375">
        <v>75.099999999999994</v>
      </c>
      <c r="Z923" s="1375">
        <v>75.099999999999994</v>
      </c>
      <c r="AA923" s="1375">
        <v>75.099999999999994</v>
      </c>
      <c r="AB923" s="1375">
        <v>75.099999999999994</v>
      </c>
      <c r="AC923" s="1375">
        <v>75.099999999999994</v>
      </c>
      <c r="AD923" s="1375">
        <v>75.099999999999994</v>
      </c>
      <c r="AE923" s="1375">
        <v>75.099999999999994</v>
      </c>
      <c r="AF923" s="258">
        <f t="shared" si="169"/>
        <v>10</v>
      </c>
      <c r="AG923" s="1437"/>
      <c r="AK923" s="344"/>
    </row>
    <row r="924" spans="1:114" ht="45" hidden="1" outlineLevel="1" x14ac:dyDescent="0.25">
      <c r="B924" s="50"/>
      <c r="C924" s="49"/>
      <c r="D924" s="1989" t="s">
        <v>50</v>
      </c>
      <c r="E924" s="1989" t="s">
        <v>682</v>
      </c>
      <c r="F924" s="760" t="s">
        <v>1845</v>
      </c>
      <c r="G924" s="1518">
        <v>60</v>
      </c>
      <c r="H924" s="1801" t="s">
        <v>2068</v>
      </c>
      <c r="I924" s="1801" t="s">
        <v>2068</v>
      </c>
      <c r="J924" s="1977"/>
      <c r="K924" s="151"/>
      <c r="L924" s="50"/>
      <c r="M924" s="50"/>
      <c r="N924" s="50"/>
      <c r="V924" s="1318"/>
      <c r="W924" s="81"/>
      <c r="X924" s="81"/>
      <c r="Y924" s="81"/>
      <c r="Z924" s="81"/>
      <c r="AA924" s="81"/>
      <c r="AB924" s="215">
        <v>1</v>
      </c>
      <c r="AC924" s="98">
        <v>1</v>
      </c>
      <c r="AD924" s="98">
        <v>1</v>
      </c>
      <c r="AE924" s="98">
        <v>1</v>
      </c>
      <c r="AF924" s="258">
        <f t="shared" si="169"/>
        <v>60</v>
      </c>
      <c r="AG924" s="1437"/>
      <c r="AK924" s="344"/>
    </row>
    <row r="925" spans="1:114" hidden="1" outlineLevel="1" x14ac:dyDescent="0.25">
      <c r="C925" s="1333"/>
      <c r="D925" s="608"/>
      <c r="E925" s="894"/>
      <c r="F925" s="895"/>
      <c r="G925" s="895"/>
      <c r="H925" s="1345"/>
      <c r="I925" s="1345"/>
      <c r="J925" s="1345"/>
      <c r="K925" s="151"/>
      <c r="L925" s="50"/>
      <c r="V925" s="727"/>
      <c r="W925" s="729"/>
      <c r="X925" s="729"/>
      <c r="Y925" s="729"/>
      <c r="Z925" s="729"/>
      <c r="AA925" s="729"/>
      <c r="AB925" s="728"/>
      <c r="AC925" s="730"/>
      <c r="AD925" s="730"/>
      <c r="AE925" s="730"/>
      <c r="AF925" s="730"/>
      <c r="AG925" s="730"/>
      <c r="AK925" s="344"/>
    </row>
    <row r="926" spans="1:114" ht="15" hidden="1" customHeight="1" outlineLevel="1" x14ac:dyDescent="0.25">
      <c r="B926" s="50"/>
      <c r="C926" s="49"/>
      <c r="D926" s="143"/>
      <c r="E926" s="1291"/>
      <c r="F926" s="1291"/>
      <c r="G926" s="1291"/>
      <c r="H926" s="1291"/>
      <c r="I926" s="1291"/>
      <c r="M926" s="50"/>
      <c r="N926" s="50"/>
      <c r="V926" s="270"/>
      <c r="W926" s="270"/>
      <c r="X926" s="270"/>
      <c r="Y926" s="527" t="s">
        <v>1517</v>
      </c>
      <c r="AK926" s="344"/>
    </row>
    <row r="927" spans="1:114" collapsed="1" x14ac:dyDescent="0.25">
      <c r="B927" s="50"/>
      <c r="C927" s="49"/>
      <c r="D927" s="100"/>
      <c r="E927" s="100"/>
      <c r="F927" s="50"/>
      <c r="G927" s="50"/>
      <c r="H927" s="50"/>
      <c r="I927" s="50"/>
      <c r="J927" s="50"/>
      <c r="K927" s="50"/>
      <c r="L927" s="50"/>
      <c r="M927" s="50"/>
      <c r="N927" s="50"/>
      <c r="AK927" s="344"/>
    </row>
    <row r="928" spans="1:114" x14ac:dyDescent="0.25">
      <c r="B928" s="2134" t="s">
        <v>2069</v>
      </c>
      <c r="C928" s="2135"/>
      <c r="D928" s="2135"/>
      <c r="E928" s="2135"/>
      <c r="F928" s="2135"/>
      <c r="G928" s="2135"/>
      <c r="H928" s="2135"/>
      <c r="I928" s="2082"/>
      <c r="J928" s="2082"/>
      <c r="K928" s="2082"/>
      <c r="L928" s="2082"/>
      <c r="M928" s="2082"/>
      <c r="N928" s="2082"/>
      <c r="O928" s="2082"/>
      <c r="P928" s="2082"/>
      <c r="Q928" s="2082"/>
      <c r="R928" s="2083"/>
      <c r="V928" s="1292" t="str">
        <f>B928</f>
        <v>Refrigerator</v>
      </c>
      <c r="W928" s="1293"/>
      <c r="X928" s="1293"/>
      <c r="Y928" s="1293"/>
      <c r="Z928" s="1293"/>
      <c r="AA928" s="1293"/>
      <c r="AB928" s="1293"/>
      <c r="AC928" s="1293"/>
      <c r="AD928" s="1293"/>
      <c r="AE928" s="1293"/>
      <c r="AF928" s="1293"/>
      <c r="AG928" s="1293"/>
      <c r="AH928" s="1293"/>
      <c r="AI928" s="1327"/>
      <c r="AK928" s="344"/>
    </row>
    <row r="929" spans="2:114" x14ac:dyDescent="0.25">
      <c r="B929" s="50"/>
      <c r="C929" s="49"/>
      <c r="D929" s="100"/>
      <c r="E929" s="100"/>
      <c r="F929" s="50"/>
      <c r="G929" s="50"/>
      <c r="H929" s="50"/>
      <c r="I929" s="50"/>
      <c r="J929" s="50"/>
      <c r="K929" s="50"/>
      <c r="L929" s="50"/>
      <c r="M929" s="50"/>
      <c r="N929" s="50"/>
      <c r="AK929" s="344"/>
    </row>
    <row r="930" spans="2:114" ht="30" x14ac:dyDescent="0.25">
      <c r="C930" s="1300" t="s">
        <v>42</v>
      </c>
      <c r="D930" s="1300" t="s">
        <v>594</v>
      </c>
      <c r="E930" s="1300" t="s">
        <v>44</v>
      </c>
      <c r="F930" s="1300" t="s">
        <v>45</v>
      </c>
      <c r="G930" s="1300" t="s">
        <v>46</v>
      </c>
      <c r="H930" s="1300" t="s">
        <v>47</v>
      </c>
      <c r="I930" s="1300" t="s">
        <v>48</v>
      </c>
      <c r="J930" s="1300" t="s">
        <v>49</v>
      </c>
      <c r="K930" s="1300" t="s">
        <v>50</v>
      </c>
      <c r="L930" s="1300" t="s">
        <v>51</v>
      </c>
      <c r="V930" s="648" t="s">
        <v>52</v>
      </c>
      <c r="W930" s="649">
        <v>43252</v>
      </c>
      <c r="X930" s="649">
        <f>$X$6</f>
        <v>43465</v>
      </c>
      <c r="Y930" s="110">
        <f>$Y$6</f>
        <v>43800</v>
      </c>
      <c r="Z930" s="649">
        <f>$Z$6</f>
        <v>43862</v>
      </c>
      <c r="AA930" s="649">
        <f>$AA$6</f>
        <v>44013</v>
      </c>
      <c r="AB930" s="649">
        <f>$AB$6</f>
        <v>44166</v>
      </c>
      <c r="AC930" s="649">
        <f>$AC$6</f>
        <v>44531</v>
      </c>
      <c r="AD930" s="649">
        <f>$AD$6</f>
        <v>44774</v>
      </c>
      <c r="AE930" s="649">
        <f>$AE$6</f>
        <v>45139</v>
      </c>
      <c r="AF930" s="649">
        <f>$AF$6</f>
        <v>45672</v>
      </c>
      <c r="AG930" s="649" t="str">
        <f>$AG$6</f>
        <v>-</v>
      </c>
      <c r="AK930" s="344"/>
      <c r="DG930" s="1018" t="str">
        <f>$DG$6</f>
        <v>TRC (2025)</v>
      </c>
      <c r="DH930" s="776" t="str">
        <f>$DH$6</f>
        <v>Benefit Lookup</v>
      </c>
      <c r="DI930" s="1034" t="str">
        <f>$DI$6</f>
        <v>Benefits (2025 $)</v>
      </c>
      <c r="DJ930" s="1126" t="str">
        <f>$DJ$6</f>
        <v>Incremental Cost (2025 $)</v>
      </c>
    </row>
    <row r="931" spans="2:114" x14ac:dyDescent="0.25">
      <c r="B931" s="1384">
        <f t="shared" ref="B931:B934" si="170">VALUE(LEFT(C931,6))</f>
        <v>405800</v>
      </c>
      <c r="C931" s="18" t="s">
        <v>2070</v>
      </c>
      <c r="D931" s="103" t="s">
        <v>2071</v>
      </c>
      <c r="E931" s="1298" t="s">
        <v>2072</v>
      </c>
      <c r="F931" s="305">
        <f>ROUND(F942-F945,2)</f>
        <v>643.5</v>
      </c>
      <c r="G931" s="57" t="s">
        <v>2073</v>
      </c>
      <c r="H931" s="66">
        <f>VLOOKUP(G931,'CP FACTORS'!$A$3:$B$38, 2, FALSE)</f>
        <v>1.2852529999999999E-4</v>
      </c>
      <c r="I931" s="536">
        <f>ROUND(F931*H931,6)</f>
        <v>8.2706000000000002E-2</v>
      </c>
      <c r="J931" s="44">
        <f>$F$959</f>
        <v>5</v>
      </c>
      <c r="K931" s="146">
        <f>$F$961</f>
        <v>28</v>
      </c>
      <c r="L931" s="18" t="s">
        <v>62</v>
      </c>
      <c r="M931" s="309"/>
      <c r="V931" s="342" t="str">
        <f>F930</f>
        <v>kWh Annual Savings</v>
      </c>
      <c r="W931" s="369">
        <v>564.66038920276219</v>
      </c>
      <c r="X931" s="256">
        <v>564.66038920276219</v>
      </c>
      <c r="Y931" s="257">
        <v>564.66</v>
      </c>
      <c r="Z931" s="257">
        <v>564.66</v>
      </c>
      <c r="AA931" s="257">
        <v>564.66</v>
      </c>
      <c r="AB931" s="257">
        <v>564.66</v>
      </c>
      <c r="AC931" s="305">
        <v>564.66</v>
      </c>
      <c r="AD931" s="305">
        <v>564.66</v>
      </c>
      <c r="AE931" s="305">
        <v>564.66</v>
      </c>
      <c r="AF931" s="258">
        <f>IF(F931&lt;&gt;"",F931,"")</f>
        <v>643.5</v>
      </c>
      <c r="AG931" s="342"/>
      <c r="AK931" s="344"/>
      <c r="DG931" s="1020">
        <f>(DI931+DI932)/(DJ931+DJ932)</f>
        <v>7.0802679163207047</v>
      </c>
      <c r="DH931" s="1330" t="str">
        <f>CONCATENATE(G931," ",J931," Year EUL")</f>
        <v>Refrigeration RES 5 Year EUL</v>
      </c>
      <c r="DI931" s="969">
        <f>(INDEX('Avoided Cost Benefits'!$B$4:$B$865,MATCH(DH931,'Avoided Cost Benefits'!$A$4:$A$865,0)))*F931</f>
        <v>182.88494132325033</v>
      </c>
      <c r="DJ931" s="1951">
        <f>IFERROR(K931/((1+DiscountRate)^(CurrentYear-DiscountYear)),0)</f>
        <v>28</v>
      </c>
    </row>
    <row r="932" spans="2:114" x14ac:dyDescent="0.25">
      <c r="B932" s="1384">
        <f t="shared" si="170"/>
        <v>405800</v>
      </c>
      <c r="C932" s="18" t="s">
        <v>2070</v>
      </c>
      <c r="D932" s="103" t="s">
        <v>2071</v>
      </c>
      <c r="E932" s="1299" t="s">
        <v>2074</v>
      </c>
      <c r="F932" s="1459">
        <f>ROUND(F944-F945,2)</f>
        <v>41.53</v>
      </c>
      <c r="G932" s="57" t="s">
        <v>2075</v>
      </c>
      <c r="H932" s="66">
        <f>VLOOKUP(G932,'CP FACTORS'!$A$3:$B$38, 2, FALSE)</f>
        <v>1.2852529999999999E-4</v>
      </c>
      <c r="I932" s="536">
        <f>ROUND(F932*H932,6)</f>
        <v>5.3379999999999999E-3</v>
      </c>
      <c r="J932" s="44">
        <f>$F$960</f>
        <v>10</v>
      </c>
      <c r="K932" s="146">
        <v>0</v>
      </c>
      <c r="L932" s="18" t="s">
        <v>62</v>
      </c>
      <c r="M932" s="309"/>
      <c r="V932" s="342" t="str">
        <f>V931</f>
        <v>kWh Annual Savings</v>
      </c>
      <c r="W932" s="369">
        <v>46.722222222222229</v>
      </c>
      <c r="X932" s="256">
        <v>46.722222222222229</v>
      </c>
      <c r="Y932" s="257">
        <v>46.72</v>
      </c>
      <c r="Z932" s="257">
        <v>46.72</v>
      </c>
      <c r="AA932" s="257">
        <v>46.72</v>
      </c>
      <c r="AB932" s="257">
        <v>46.72</v>
      </c>
      <c r="AC932" s="1459">
        <v>46.72</v>
      </c>
      <c r="AD932" s="1459">
        <v>46.72</v>
      </c>
      <c r="AE932" s="1459">
        <v>46.72</v>
      </c>
      <c r="AF932" s="258">
        <f>IF(F932&lt;&gt;"",F932,"")</f>
        <v>41.53</v>
      </c>
      <c r="AG932" s="342"/>
      <c r="AK932" s="344"/>
      <c r="DG932" s="1038"/>
      <c r="DH932" s="653" t="str">
        <f>CONCATENATE(G932," ",J932," Year EUL")</f>
        <v>Refrigeration RES ER2 10 Year EUL</v>
      </c>
      <c r="DI932" s="538">
        <f>(INDEX('Avoided Cost Benefits'!$B$4:$B$865,MATCH(DH932,'Avoided Cost Benefits'!$A$4:$A$865,0)))*F932</f>
        <v>15.362560333729393</v>
      </c>
      <c r="DJ932" s="1952">
        <f>IFERROR(K932/((1+DiscountRate)^(CurrentYear-DiscountYear)),0)</f>
        <v>0</v>
      </c>
    </row>
    <row r="933" spans="2:114" x14ac:dyDescent="0.25">
      <c r="B933" s="1384">
        <f t="shared" si="170"/>
        <v>405825</v>
      </c>
      <c r="C933" s="18" t="s">
        <v>2076</v>
      </c>
      <c r="D933" s="103" t="s">
        <v>2071</v>
      </c>
      <c r="E933" s="1298" t="s">
        <v>2077</v>
      </c>
      <c r="F933" s="305">
        <f>F943-F945</f>
        <v>1298.5452350427352</v>
      </c>
      <c r="G933" s="57" t="s">
        <v>2073</v>
      </c>
      <c r="H933" s="66">
        <f>VLOOKUP(G933,'CP FACTORS'!$A$3:$B$38, 2, FALSE)</f>
        <v>1.2852529999999999E-4</v>
      </c>
      <c r="I933" s="536">
        <f>ROUND(F933*H933,6)</f>
        <v>0.16689599999999999</v>
      </c>
      <c r="J933" s="44">
        <f>$F$959</f>
        <v>5</v>
      </c>
      <c r="K933" s="146">
        <f>$F$961</f>
        <v>28</v>
      </c>
      <c r="L933" s="18" t="s">
        <v>62</v>
      </c>
      <c r="M933" s="309"/>
      <c r="V933" s="342" t="str">
        <f>V932</f>
        <v>kWh Annual Savings</v>
      </c>
      <c r="W933" s="369"/>
      <c r="X933" s="256"/>
      <c r="Y933" s="259">
        <v>1269.9100000000001</v>
      </c>
      <c r="Z933" s="257">
        <v>1269.9100000000001</v>
      </c>
      <c r="AA933" s="257">
        <v>1269.9100000000001</v>
      </c>
      <c r="AB933" s="257">
        <v>1269.9100000000001</v>
      </c>
      <c r="AC933" s="305">
        <v>1269.9100000000001</v>
      </c>
      <c r="AD933" s="305">
        <v>1269.9100000000001</v>
      </c>
      <c r="AE933" s="305">
        <v>1269.9100000000001</v>
      </c>
      <c r="AF933" s="258">
        <f>IF(F933&lt;&gt;"",F933,"")</f>
        <v>1298.5452350427352</v>
      </c>
      <c r="AG933" s="342"/>
      <c r="AK933" s="344"/>
      <c r="DG933" s="1021">
        <f>(DI933+DI934)/(DJ933+DJ934)</f>
        <v>13.729058535416348</v>
      </c>
      <c r="DH933" s="653" t="str">
        <f>CONCATENATE(G933," ",J933," Year EUL")</f>
        <v>Refrigeration RES 5 Year EUL</v>
      </c>
      <c r="DI933" s="538">
        <f>(INDEX('Avoided Cost Benefits'!$B$4:$B$865,MATCH(DH933,'Avoided Cost Benefits'!$A$4:$A$865,0)))*F933</f>
        <v>369.05107865792837</v>
      </c>
      <c r="DJ933" s="1952">
        <f>IFERROR(K933/((1+DiscountRate)^(CurrentYear-DiscountYear)),0)</f>
        <v>28</v>
      </c>
    </row>
    <row r="934" spans="2:114" x14ac:dyDescent="0.25">
      <c r="B934" s="1384">
        <f t="shared" si="170"/>
        <v>405825</v>
      </c>
      <c r="C934" s="18" t="s">
        <v>2076</v>
      </c>
      <c r="D934" s="103" t="s">
        <v>2071</v>
      </c>
      <c r="E934" s="1299" t="s">
        <v>2078</v>
      </c>
      <c r="F934" s="1459">
        <f>ROUND(F944-F945,2)</f>
        <v>41.53</v>
      </c>
      <c r="G934" s="57" t="s">
        <v>2075</v>
      </c>
      <c r="H934" s="66">
        <f>VLOOKUP(G934,'CP FACTORS'!$A$3:$B$38, 2, FALSE)</f>
        <v>1.2852529999999999E-4</v>
      </c>
      <c r="I934" s="536">
        <f>ROUND(F934*H934,6)</f>
        <v>5.3379999999999999E-3</v>
      </c>
      <c r="J934" s="44">
        <f>$F$960</f>
        <v>10</v>
      </c>
      <c r="K934" s="146">
        <v>0</v>
      </c>
      <c r="L934" s="18" t="s">
        <v>62</v>
      </c>
      <c r="M934" s="309"/>
      <c r="V934" s="342" t="str">
        <f>V933</f>
        <v>kWh Annual Savings</v>
      </c>
      <c r="W934" s="369"/>
      <c r="X934" s="256"/>
      <c r="Y934" s="259">
        <v>46.72</v>
      </c>
      <c r="Z934" s="257">
        <v>46.72</v>
      </c>
      <c r="AA934" s="257">
        <v>46.72</v>
      </c>
      <c r="AB934" s="257">
        <v>46.72</v>
      </c>
      <c r="AC934" s="1459">
        <v>46.72</v>
      </c>
      <c r="AD934" s="1459">
        <v>46.72</v>
      </c>
      <c r="AE934" s="1459">
        <v>46.72</v>
      </c>
      <c r="AF934" s="258">
        <f>IF(F934&lt;&gt;"",F934,"")</f>
        <v>41.53</v>
      </c>
      <c r="AG934" s="342"/>
      <c r="AK934" s="344"/>
      <c r="DG934" s="1039"/>
      <c r="DH934" s="653" t="str">
        <f>CONCATENATE(G934," ",J934," Year EUL")</f>
        <v>Refrigeration RES ER2 10 Year EUL</v>
      </c>
      <c r="DI934" s="1030">
        <f>(INDEX('Avoided Cost Benefits'!$B$4:$B$865,MATCH(DH934,'Avoided Cost Benefits'!$A$4:$A$865,0)))*F934</f>
        <v>15.362560333729393</v>
      </c>
      <c r="DJ934" s="1953">
        <f>IFERROR(K934/((1+DiscountRate)^(CurrentYear-DiscountYear)),0)</f>
        <v>0</v>
      </c>
    </row>
    <row r="935" spans="2:114" hidden="1" outlineLevel="1" x14ac:dyDescent="0.25">
      <c r="B935" s="1384"/>
      <c r="C935" s="49"/>
      <c r="D935" s="74" t="s">
        <v>94</v>
      </c>
      <c r="E935" s="74" t="s">
        <v>2079</v>
      </c>
      <c r="G935" s="394"/>
      <c r="I935" s="396"/>
      <c r="J935" s="607"/>
      <c r="K935" s="396"/>
      <c r="L935" s="50"/>
      <c r="AK935" s="344"/>
    </row>
    <row r="936" spans="2:114" hidden="1" outlineLevel="1" x14ac:dyDescent="0.25">
      <c r="B936" s="1384"/>
      <c r="C936" s="49"/>
      <c r="D936" s="74" t="s">
        <v>604</v>
      </c>
      <c r="E936" s="74" t="s">
        <v>2080</v>
      </c>
      <c r="G936" s="394"/>
      <c r="I936" s="396"/>
      <c r="J936" s="607"/>
      <c r="K936" s="396"/>
      <c r="L936" s="50"/>
      <c r="AK936" s="344"/>
    </row>
    <row r="937" spans="2:114" hidden="1" outlineLevel="1" x14ac:dyDescent="0.25">
      <c r="B937" s="1384"/>
      <c r="C937" s="49"/>
      <c r="D937" s="100"/>
      <c r="E937" s="1383" t="s">
        <v>607</v>
      </c>
      <c r="G937" s="394"/>
      <c r="I937" s="396"/>
      <c r="J937" s="607"/>
      <c r="K937" s="396"/>
      <c r="L937" s="50"/>
      <c r="AK937" s="344"/>
    </row>
    <row r="938" spans="2:114" hidden="1" outlineLevel="1" x14ac:dyDescent="0.25">
      <c r="B938" s="1384"/>
      <c r="C938" s="49"/>
      <c r="D938" s="143" t="s">
        <v>2081</v>
      </c>
      <c r="E938" s="393"/>
      <c r="G938" s="394"/>
      <c r="I938" s="396"/>
      <c r="J938" s="607"/>
      <c r="K938" s="396"/>
      <c r="L938" s="50"/>
      <c r="AK938" s="344"/>
    </row>
    <row r="939" spans="2:114" hidden="1" outlineLevel="1" x14ac:dyDescent="0.25">
      <c r="B939" s="1384"/>
      <c r="C939" s="49"/>
      <c r="D939" s="393"/>
      <c r="E939" s="393"/>
      <c r="G939" s="394"/>
      <c r="I939" s="396"/>
      <c r="J939" s="607"/>
      <c r="K939" s="396"/>
      <c r="L939" s="50"/>
      <c r="AK939" s="344"/>
    </row>
    <row r="940" spans="2:114" hidden="1" outlineLevel="1" x14ac:dyDescent="0.25">
      <c r="B940" s="1384"/>
      <c r="AK940" s="344"/>
    </row>
    <row r="941" spans="2:114" hidden="1" outlineLevel="1" x14ac:dyDescent="0.25">
      <c r="B941" s="1384"/>
      <c r="D941" s="1300" t="s">
        <v>712</v>
      </c>
      <c r="E941" s="1300" t="s">
        <v>608</v>
      </c>
      <c r="F941" s="1300" t="s">
        <v>610</v>
      </c>
      <c r="G941" s="1300" t="s">
        <v>611</v>
      </c>
      <c r="H941" s="588"/>
      <c r="I941" s="50"/>
      <c r="J941" s="50"/>
      <c r="K941" s="588"/>
      <c r="L941" s="588"/>
      <c r="M941" s="588"/>
      <c r="N941" s="588"/>
      <c r="O941" s="588"/>
      <c r="P941" s="588"/>
      <c r="Q941" s="588"/>
      <c r="R941" s="588"/>
      <c r="V941" s="648" t="s">
        <v>52</v>
      </c>
      <c r="W941" s="649">
        <f>W$6</f>
        <v>43252</v>
      </c>
      <c r="X941" s="649">
        <f t="shared" ref="X941:AG941" si="171">X$6</f>
        <v>43465</v>
      </c>
      <c r="Y941" s="110">
        <f t="shared" si="171"/>
        <v>43800</v>
      </c>
      <c r="Z941" s="649">
        <f t="shared" si="171"/>
        <v>43862</v>
      </c>
      <c r="AA941" s="649">
        <f t="shared" si="171"/>
        <v>44013</v>
      </c>
      <c r="AB941" s="649">
        <f t="shared" si="171"/>
        <v>44166</v>
      </c>
      <c r="AC941" s="649">
        <f t="shared" si="171"/>
        <v>44531</v>
      </c>
      <c r="AD941" s="649">
        <f t="shared" si="171"/>
        <v>44774</v>
      </c>
      <c r="AE941" s="649">
        <f t="shared" si="171"/>
        <v>45139</v>
      </c>
      <c r="AF941" s="649">
        <f t="shared" si="171"/>
        <v>45672</v>
      </c>
      <c r="AG941" s="649" t="str">
        <f t="shared" si="171"/>
        <v>-</v>
      </c>
      <c r="AK941" s="344"/>
    </row>
    <row r="942" spans="2:114" ht="28.9" hidden="1" customHeight="1" outlineLevel="1" x14ac:dyDescent="0.25">
      <c r="B942" s="1384"/>
      <c r="D942" s="2419" t="s">
        <v>2082</v>
      </c>
      <c r="E942" s="122" t="s">
        <v>2083</v>
      </c>
      <c r="F942" s="1555">
        <f>SUMPRODUCT($F$947:$F$952, $F$953:$F$958)/SUM($F$953:$F$958)</f>
        <v>1017.245138888889</v>
      </c>
      <c r="G942" s="1359" t="s">
        <v>738</v>
      </c>
      <c r="H942" s="588"/>
      <c r="I942" s="2421" t="s">
        <v>2084</v>
      </c>
      <c r="J942" s="2422"/>
      <c r="K942" s="2422"/>
      <c r="L942" s="2422"/>
      <c r="M942" s="2422"/>
      <c r="N942" s="2422"/>
      <c r="O942" s="2422"/>
      <c r="P942" s="2422"/>
      <c r="Q942" s="2422"/>
      <c r="R942" s="2423"/>
      <c r="V942" s="2419" t="s">
        <v>2082</v>
      </c>
      <c r="W942" s="411">
        <v>985.16038920276219</v>
      </c>
      <c r="X942" s="411">
        <f>SUMPRODUCT($F$947:$F$952, $F$953:$F$958)/SUM($F$953:$F$958)</f>
        <v>1017.245138888889</v>
      </c>
      <c r="Y942" s="411">
        <v>985.16038920276219</v>
      </c>
      <c r="Z942" s="411">
        <v>985.16038920276219</v>
      </c>
      <c r="AA942" s="411">
        <v>985.16038920276219</v>
      </c>
      <c r="AB942" s="411">
        <v>985.16038920276219</v>
      </c>
      <c r="AC942" s="411">
        <v>985.16038920276219</v>
      </c>
      <c r="AD942" s="411">
        <v>985.16038920276219</v>
      </c>
      <c r="AE942" s="411">
        <v>985.16038920276219</v>
      </c>
      <c r="AF942" s="258">
        <f t="shared" ref="AF942:AF961" si="172">IF(F942&lt;&gt;"",F942,"")</f>
        <v>1017.245138888889</v>
      </c>
      <c r="AG942" s="412"/>
      <c r="AK942" s="344"/>
    </row>
    <row r="943" spans="2:114" hidden="1" outlineLevel="1" x14ac:dyDescent="0.25">
      <c r="B943" s="1384"/>
      <c r="D943" s="2420"/>
      <c r="E943" s="122" t="s">
        <v>2085</v>
      </c>
      <c r="F943" s="1555">
        <f>SUMPRODUCT($F$950:$F$952, $F$956:$F$958)/SUM($F$956:$F$958)</f>
        <v>1672.2927350427351</v>
      </c>
      <c r="G943" s="1359" t="s">
        <v>738</v>
      </c>
      <c r="H943" s="588"/>
      <c r="I943" s="2424"/>
      <c r="J943" s="2425"/>
      <c r="K943" s="2425"/>
      <c r="L943" s="2425"/>
      <c r="M943" s="2425"/>
      <c r="N943" s="2425"/>
      <c r="O943" s="2425"/>
      <c r="P943" s="2425"/>
      <c r="Q943" s="2425"/>
      <c r="R943" s="2426"/>
      <c r="V943" s="2420"/>
      <c r="W943" s="411"/>
      <c r="X943" s="411"/>
      <c r="Y943" s="171">
        <v>1690.4148148148149</v>
      </c>
      <c r="Z943" s="411">
        <v>1690.4148148148149</v>
      </c>
      <c r="AA943" s="411">
        <v>1690.4148148148149</v>
      </c>
      <c r="AB943" s="411">
        <v>1690.4148148148149</v>
      </c>
      <c r="AC943" s="411">
        <v>1690.4148148148149</v>
      </c>
      <c r="AD943" s="411">
        <v>1690.4148148148149</v>
      </c>
      <c r="AE943" s="411">
        <v>1690.4148148148149</v>
      </c>
      <c r="AF943" s="258">
        <f t="shared" si="172"/>
        <v>1672.2927350427351</v>
      </c>
      <c r="AG943" s="412"/>
      <c r="AK943" s="344"/>
    </row>
    <row r="944" spans="2:114" ht="18" hidden="1" outlineLevel="1" x14ac:dyDescent="0.35">
      <c r="B944" s="1384"/>
      <c r="D944" s="338" t="s">
        <v>2086</v>
      </c>
      <c r="E944" s="122" t="s">
        <v>2087</v>
      </c>
      <c r="F944" s="1553">
        <f>8.07*22.5 + 233.7</f>
        <v>415.27499999999998</v>
      </c>
      <c r="G944" s="1359" t="s">
        <v>2088</v>
      </c>
      <c r="H944" s="588"/>
      <c r="I944" s="1501" t="s">
        <v>2089</v>
      </c>
      <c r="J944" s="1362" t="s">
        <v>2090</v>
      </c>
      <c r="K944" s="2241" t="s">
        <v>2091</v>
      </c>
      <c r="L944" s="2242"/>
      <c r="M944" s="2243"/>
      <c r="N944" s="2241" t="s">
        <v>2092</v>
      </c>
      <c r="O944" s="2242"/>
      <c r="P944" s="2242"/>
      <c r="Q944" s="2242"/>
      <c r="R944" s="2243"/>
      <c r="V944" s="338" t="s">
        <v>2086</v>
      </c>
      <c r="W944" s="411"/>
      <c r="X944" s="411"/>
      <c r="Y944" s="171"/>
      <c r="Z944" s="411"/>
      <c r="AA944" s="411"/>
      <c r="AB944" s="411"/>
      <c r="AC944" s="411"/>
      <c r="AD944" s="411"/>
      <c r="AE944" s="411"/>
      <c r="AF944" s="258">
        <f t="shared" si="172"/>
        <v>415.27499999999998</v>
      </c>
      <c r="AG944" s="412"/>
      <c r="AK944" s="344"/>
    </row>
    <row r="945" spans="2:37" ht="30" hidden="1" outlineLevel="1" x14ac:dyDescent="0.35">
      <c r="B945" s="1384"/>
      <c r="D945" s="338" t="s">
        <v>2093</v>
      </c>
      <c r="E945" s="122" t="s">
        <v>2094</v>
      </c>
      <c r="F945" s="1553">
        <f>(F944 * (1 - F946))</f>
        <v>373.7475</v>
      </c>
      <c r="G945" s="1359"/>
      <c r="H945" s="588"/>
      <c r="I945" s="1501"/>
      <c r="J945" s="1362" t="s">
        <v>2095</v>
      </c>
      <c r="K945" s="1362" t="s">
        <v>2096</v>
      </c>
      <c r="L945" s="1362" t="s">
        <v>2097</v>
      </c>
      <c r="M945" s="1362" t="s">
        <v>2095</v>
      </c>
      <c r="N945" s="1362" t="s">
        <v>2096</v>
      </c>
      <c r="O945" s="1362" t="s">
        <v>2097</v>
      </c>
      <c r="P945" s="1362" t="s">
        <v>2095</v>
      </c>
      <c r="Q945" s="1362" t="s">
        <v>2098</v>
      </c>
      <c r="R945" s="1362" t="s">
        <v>2099</v>
      </c>
      <c r="V945" s="338" t="s">
        <v>2093</v>
      </c>
      <c r="W945" s="411">
        <v>467.22222222222223</v>
      </c>
      <c r="X945" s="411">
        <f>$F$947</f>
        <v>467.22222222222223</v>
      </c>
      <c r="Y945" s="411">
        <v>467.22222222222223</v>
      </c>
      <c r="Z945" s="411">
        <v>467.22222222222223</v>
      </c>
      <c r="AA945" s="411">
        <v>467.22222222222223</v>
      </c>
      <c r="AB945" s="411">
        <v>467.22222222222223</v>
      </c>
      <c r="AC945" s="411">
        <v>467.22222222222223</v>
      </c>
      <c r="AD945" s="411">
        <v>467.22222222222223</v>
      </c>
      <c r="AE945" s="411">
        <v>467.22222222222223</v>
      </c>
      <c r="AF945" s="258">
        <f t="shared" si="172"/>
        <v>373.7475</v>
      </c>
      <c r="AG945" s="412"/>
      <c r="AJ945" s="344"/>
    </row>
    <row r="946" spans="2:37" hidden="1" outlineLevel="1" x14ac:dyDescent="0.25">
      <c r="B946" s="1384"/>
      <c r="D946" s="338" t="s">
        <v>2100</v>
      </c>
      <c r="E946" s="122" t="s">
        <v>2101</v>
      </c>
      <c r="F946" s="471">
        <v>0.1</v>
      </c>
      <c r="G946" s="1336" t="s">
        <v>2102</v>
      </c>
      <c r="H946" s="588"/>
      <c r="I946" s="338" t="s">
        <v>2103</v>
      </c>
      <c r="J946" s="1336">
        <v>483</v>
      </c>
      <c r="K946" s="1336">
        <v>592</v>
      </c>
      <c r="L946" s="1336">
        <v>592</v>
      </c>
      <c r="M946" s="1336">
        <v>592</v>
      </c>
      <c r="N946" s="1336">
        <v>374</v>
      </c>
      <c r="O946" s="1336">
        <v>374</v>
      </c>
      <c r="P946" s="1336">
        <v>374</v>
      </c>
      <c r="Q946" s="1336">
        <v>412</v>
      </c>
      <c r="R946" s="1336">
        <v>412</v>
      </c>
      <c r="V946" s="338" t="str">
        <f t="shared" ref="V946:V959" si="173">D946</f>
        <v>% Savings</v>
      </c>
      <c r="W946" s="98">
        <v>0.1</v>
      </c>
      <c r="X946" s="98">
        <v>0.1</v>
      </c>
      <c r="Y946" s="98">
        <v>0.1</v>
      </c>
      <c r="Z946" s="98">
        <v>0.1</v>
      </c>
      <c r="AA946" s="98">
        <v>0.1</v>
      </c>
      <c r="AB946" s="98">
        <v>0.1</v>
      </c>
      <c r="AC946" s="98">
        <v>0.1</v>
      </c>
      <c r="AD946" s="98">
        <v>0.1</v>
      </c>
      <c r="AE946" s="98">
        <v>0.1</v>
      </c>
      <c r="AF946" s="258">
        <f t="shared" si="172"/>
        <v>0.1</v>
      </c>
      <c r="AG946" s="413"/>
      <c r="AJ946" s="344"/>
    </row>
    <row r="947" spans="2:37" ht="31.5" hidden="1" outlineLevel="1" x14ac:dyDescent="0.35">
      <c r="B947" s="1384"/>
      <c r="D947" s="338" t="s">
        <v>2104</v>
      </c>
      <c r="E947" s="338" t="s">
        <v>2105</v>
      </c>
      <c r="F947" s="1555">
        <f>AVERAGE($J$946:$R$946)</f>
        <v>467.22222222222223</v>
      </c>
      <c r="G947" s="1336" t="s">
        <v>738</v>
      </c>
      <c r="H947" s="588"/>
      <c r="I947" s="338" t="s">
        <v>2106</v>
      </c>
      <c r="J947" s="1336">
        <v>724</v>
      </c>
      <c r="K947" s="1336">
        <v>747</v>
      </c>
      <c r="L947" s="1336">
        <v>747</v>
      </c>
      <c r="M947" s="1336">
        <v>747</v>
      </c>
      <c r="N947" s="1336">
        <v>556</v>
      </c>
      <c r="O947" s="1336">
        <v>556</v>
      </c>
      <c r="P947" s="1336">
        <v>556</v>
      </c>
      <c r="Q947" s="1336">
        <v>613</v>
      </c>
      <c r="R947" s="1336">
        <v>613</v>
      </c>
      <c r="V947" s="338" t="str">
        <f t="shared" si="173"/>
        <v>kWh2011-2015</v>
      </c>
      <c r="W947" s="411">
        <v>467.22222222222223</v>
      </c>
      <c r="X947" s="411">
        <f>AVERAGE($J$946:$R$946)</f>
        <v>467.22222222222223</v>
      </c>
      <c r="Y947" s="411">
        <v>467.22222222222223</v>
      </c>
      <c r="Z947" s="411">
        <v>467.22222222222223</v>
      </c>
      <c r="AA947" s="411">
        <v>467.22222222222223</v>
      </c>
      <c r="AB947" s="411">
        <v>467.22222222222223</v>
      </c>
      <c r="AC947" s="411">
        <v>467.22222222222223</v>
      </c>
      <c r="AD947" s="411">
        <v>467.22222222222223</v>
      </c>
      <c r="AE947" s="411">
        <v>467.22222222222223</v>
      </c>
      <c r="AF947" s="258">
        <f t="shared" si="172"/>
        <v>467.22222222222223</v>
      </c>
      <c r="AG947" s="412"/>
      <c r="AJ947" s="344"/>
    </row>
    <row r="948" spans="2:37" ht="31.5" hidden="1" outlineLevel="1" x14ac:dyDescent="0.35">
      <c r="B948" s="1384"/>
      <c r="D948" s="338" t="s">
        <v>2107</v>
      </c>
      <c r="E948" s="338" t="s">
        <v>2108</v>
      </c>
      <c r="F948" s="1555">
        <f>AVERAGE($J$947:$R$947)</f>
        <v>651</v>
      </c>
      <c r="G948" s="1336" t="s">
        <v>738</v>
      </c>
      <c r="H948" s="588"/>
      <c r="I948" s="338" t="s">
        <v>2109</v>
      </c>
      <c r="J948" s="1336">
        <v>962</v>
      </c>
      <c r="K948" s="1336">
        <v>1139</v>
      </c>
      <c r="L948" s="1336">
        <v>1139</v>
      </c>
      <c r="M948" s="1336">
        <v>1139</v>
      </c>
      <c r="N948" s="1336">
        <v>861</v>
      </c>
      <c r="O948" s="1336">
        <v>861</v>
      </c>
      <c r="P948" s="1336">
        <v>861</v>
      </c>
      <c r="Q948" s="1336">
        <v>962</v>
      </c>
      <c r="R948" s="1336">
        <v>962</v>
      </c>
      <c r="V948" s="338" t="str">
        <f t="shared" si="173"/>
        <v>kWh2001(after July)-2010</v>
      </c>
      <c r="W948" s="411">
        <v>651</v>
      </c>
      <c r="X948" s="411">
        <f>AVERAGE($J$947:$R$947)</f>
        <v>651</v>
      </c>
      <c r="Y948" s="411">
        <v>651</v>
      </c>
      <c r="Z948" s="411">
        <v>651</v>
      </c>
      <c r="AA948" s="411">
        <v>651</v>
      </c>
      <c r="AB948" s="411">
        <v>651</v>
      </c>
      <c r="AC948" s="411">
        <v>651</v>
      </c>
      <c r="AD948" s="411">
        <v>651</v>
      </c>
      <c r="AE948" s="411">
        <v>651</v>
      </c>
      <c r="AF948" s="258">
        <f t="shared" si="172"/>
        <v>651</v>
      </c>
      <c r="AG948" s="412"/>
      <c r="AJ948" s="344"/>
    </row>
    <row r="949" spans="2:37" ht="36" hidden="1" outlineLevel="1" x14ac:dyDescent="0.35">
      <c r="B949" s="1384"/>
      <c r="D949" s="338" t="s">
        <v>2110</v>
      </c>
      <c r="E949" s="338" t="s">
        <v>2111</v>
      </c>
      <c r="F949" s="1555">
        <f>AVERAGE($J$948:$R$948)</f>
        <v>987.33333333333337</v>
      </c>
      <c r="G949" s="1336" t="s">
        <v>738</v>
      </c>
      <c r="H949" s="588"/>
      <c r="I949" s="338" t="s">
        <v>2112</v>
      </c>
      <c r="J949" s="1359">
        <v>1519</v>
      </c>
      <c r="K949" s="1359">
        <v>1617</v>
      </c>
      <c r="L949" s="1359">
        <v>1617</v>
      </c>
      <c r="M949" s="1359">
        <v>1617</v>
      </c>
      <c r="N949" s="1359">
        <v>1272</v>
      </c>
      <c r="O949" s="1359">
        <v>1272</v>
      </c>
      <c r="P949" s="1359">
        <v>1272</v>
      </c>
      <c r="Q949" s="1359">
        <v>1432</v>
      </c>
      <c r="R949" s="1359">
        <v>1432</v>
      </c>
      <c r="V949" s="338" t="str">
        <f t="shared" si="173"/>
        <v>kWh1993-2001(before June)</v>
      </c>
      <c r="W949" s="411">
        <v>987.33333333333337</v>
      </c>
      <c r="X949" s="411">
        <f>AVERAGE($J$948:$R$948)</f>
        <v>987.33333333333337</v>
      </c>
      <c r="Y949" s="411">
        <v>987.33333333333337</v>
      </c>
      <c r="Z949" s="411">
        <v>987.33333333333337</v>
      </c>
      <c r="AA949" s="411">
        <v>987.33333333333337</v>
      </c>
      <c r="AB949" s="411">
        <v>987.33333333333337</v>
      </c>
      <c r="AC949" s="411">
        <v>987.33333333333337</v>
      </c>
      <c r="AD949" s="411">
        <v>987.33333333333337</v>
      </c>
      <c r="AE949" s="411">
        <v>987.33333333333337</v>
      </c>
      <c r="AF949" s="258">
        <f t="shared" si="172"/>
        <v>987.33333333333337</v>
      </c>
      <c r="AG949" s="412"/>
      <c r="AJ949" s="344"/>
    </row>
    <row r="950" spans="2:37" ht="18" hidden="1" outlineLevel="1" x14ac:dyDescent="0.35">
      <c r="B950" s="1384"/>
      <c r="D950" s="338" t="s">
        <v>2113</v>
      </c>
      <c r="E950" s="338" t="s">
        <v>2114</v>
      </c>
      <c r="F950" s="1555">
        <f>AVERAGE($J$949:$R$949)</f>
        <v>1450</v>
      </c>
      <c r="G950" s="1336" t="s">
        <v>738</v>
      </c>
      <c r="H950" s="50"/>
      <c r="I950" s="338" t="s">
        <v>2115</v>
      </c>
      <c r="J950" s="1336">
        <v>1992</v>
      </c>
      <c r="K950" s="1336">
        <v>2119</v>
      </c>
      <c r="L950" s="1336">
        <v>2119</v>
      </c>
      <c r="M950" s="1336">
        <v>2119</v>
      </c>
      <c r="N950" s="1336">
        <v>1668</v>
      </c>
      <c r="O950" s="1336">
        <v>1668</v>
      </c>
      <c r="P950" s="1336">
        <v>1668</v>
      </c>
      <c r="Q950" s="1336">
        <v>1877</v>
      </c>
      <c r="R950" s="1336">
        <v>1877</v>
      </c>
      <c r="V950" s="338" t="str">
        <f t="shared" si="173"/>
        <v>kWh1990-1992</v>
      </c>
      <c r="W950" s="411">
        <v>1450</v>
      </c>
      <c r="X950" s="411">
        <f>AVERAGE($J$949:$R$949)</f>
        <v>1450</v>
      </c>
      <c r="Y950" s="411">
        <v>1450</v>
      </c>
      <c r="Z950" s="411">
        <v>1450</v>
      </c>
      <c r="AA950" s="411">
        <v>1450</v>
      </c>
      <c r="AB950" s="411">
        <v>1450</v>
      </c>
      <c r="AC950" s="411">
        <v>1450</v>
      </c>
      <c r="AD950" s="411">
        <v>1450</v>
      </c>
      <c r="AE950" s="411">
        <v>1450</v>
      </c>
      <c r="AF950" s="258">
        <f t="shared" si="172"/>
        <v>1450</v>
      </c>
      <c r="AG950" s="412"/>
      <c r="AJ950" s="344"/>
    </row>
    <row r="951" spans="2:37" ht="18" hidden="1" outlineLevel="1" x14ac:dyDescent="0.35">
      <c r="B951" s="1384"/>
      <c r="D951" s="338" t="s">
        <v>2116</v>
      </c>
      <c r="E951" s="338" t="s">
        <v>2117</v>
      </c>
      <c r="F951" s="1555">
        <f>AVERAGE($J$950:$R$950)</f>
        <v>1900.7777777777778</v>
      </c>
      <c r="G951" s="1336" t="s">
        <v>738</v>
      </c>
      <c r="H951" s="588"/>
      <c r="I951" s="338" t="s">
        <v>2118</v>
      </c>
      <c r="J951" s="1359">
        <v>2523</v>
      </c>
      <c r="K951" s="1359">
        <v>2684</v>
      </c>
      <c r="L951" s="1359">
        <v>2684</v>
      </c>
      <c r="M951" s="1359">
        <v>2684</v>
      </c>
      <c r="N951" s="1359"/>
      <c r="O951" s="1359">
        <v>2112</v>
      </c>
      <c r="P951" s="1359">
        <v>2112</v>
      </c>
      <c r="Q951" s="1359">
        <v>2377</v>
      </c>
      <c r="R951" s="1359">
        <v>2377</v>
      </c>
      <c r="V951" s="338" t="str">
        <f t="shared" si="173"/>
        <v>kWh1980-1989</v>
      </c>
      <c r="W951" s="411">
        <v>1900.7777777777778</v>
      </c>
      <c r="X951" s="411">
        <f>AVERAGE($J$950:$R$950)</f>
        <v>1900.7777777777778</v>
      </c>
      <c r="Y951" s="411">
        <v>1900.7777777777778</v>
      </c>
      <c r="Z951" s="411">
        <v>1900.7777777777778</v>
      </c>
      <c r="AA951" s="411">
        <v>1900.7777777777778</v>
      </c>
      <c r="AB951" s="411">
        <v>1900.7777777777778</v>
      </c>
      <c r="AC951" s="411">
        <v>1900.7777777777778</v>
      </c>
      <c r="AD951" s="411">
        <v>1900.7777777777778</v>
      </c>
      <c r="AE951" s="411">
        <v>1900.7777777777778</v>
      </c>
      <c r="AF951" s="258">
        <f t="shared" si="172"/>
        <v>1900.7777777777778</v>
      </c>
      <c r="AG951" s="412"/>
      <c r="AJ951" s="344"/>
    </row>
    <row r="952" spans="2:37" ht="18" hidden="1" outlineLevel="1" x14ac:dyDescent="0.35">
      <c r="B952" s="1384"/>
      <c r="D952" s="338" t="s">
        <v>2119</v>
      </c>
      <c r="E952" s="338" t="s">
        <v>2120</v>
      </c>
      <c r="F952" s="1555">
        <f>AVERAGE($J$951:$R$951)</f>
        <v>2444.125</v>
      </c>
      <c r="G952" s="1336" t="s">
        <v>738</v>
      </c>
      <c r="H952" s="50"/>
      <c r="V952" s="338" t="str">
        <f t="shared" si="173"/>
        <v>kWhbefore 1980</v>
      </c>
      <c r="W952" s="411">
        <v>2444.125</v>
      </c>
      <c r="X952" s="411">
        <f>AVERAGE($J$951:$R$951)</f>
        <v>2444.125</v>
      </c>
      <c r="Y952" s="411">
        <v>2444.125</v>
      </c>
      <c r="Z952" s="411">
        <v>2444.125</v>
      </c>
      <c r="AA952" s="411">
        <v>2444.125</v>
      </c>
      <c r="AB952" s="411">
        <v>2444.125</v>
      </c>
      <c r="AC952" s="411">
        <v>2444.125</v>
      </c>
      <c r="AD952" s="411">
        <v>2444.125</v>
      </c>
      <c r="AE952" s="411">
        <v>2444.125</v>
      </c>
      <c r="AF952" s="258">
        <f t="shared" si="172"/>
        <v>2444.125</v>
      </c>
      <c r="AG952" s="412"/>
      <c r="AK952" s="344"/>
    </row>
    <row r="953" spans="2:37" ht="33" hidden="1" outlineLevel="1" x14ac:dyDescent="0.35">
      <c r="B953" s="1384"/>
      <c r="D953" s="338" t="s">
        <v>2121</v>
      </c>
      <c r="E953" s="338" t="s">
        <v>2122</v>
      </c>
      <c r="F953" s="1513">
        <f>1/4*0.9</f>
        <v>0.22500000000000001</v>
      </c>
      <c r="G953" s="1336" t="s">
        <v>2123</v>
      </c>
      <c r="H953" s="588"/>
      <c r="I953" s="588"/>
      <c r="J953" s="588"/>
      <c r="K953" s="588"/>
      <c r="L953" s="588"/>
      <c r="M953" s="588"/>
      <c r="N953" s="588"/>
      <c r="O953" s="588"/>
      <c r="P953" s="588"/>
      <c r="Q953" s="588"/>
      <c r="R953" s="588"/>
      <c r="S953" s="588"/>
      <c r="V953" s="338" t="str">
        <f t="shared" si="173"/>
        <v>Number of Units2011-2015</v>
      </c>
      <c r="W953" s="414">
        <v>0</v>
      </c>
      <c r="X953" s="414">
        <v>0</v>
      </c>
      <c r="Y953" s="414">
        <v>0</v>
      </c>
      <c r="Z953" s="414">
        <v>0</v>
      </c>
      <c r="AA953" s="414">
        <v>0</v>
      </c>
      <c r="AB953" s="414">
        <v>0</v>
      </c>
      <c r="AC953" s="414">
        <v>0</v>
      </c>
      <c r="AD953" s="414">
        <v>0</v>
      </c>
      <c r="AE953" s="414">
        <v>0</v>
      </c>
      <c r="AF953" s="258">
        <f t="shared" si="172"/>
        <v>0.22500000000000001</v>
      </c>
      <c r="AG953" s="415"/>
      <c r="AK953" s="344"/>
    </row>
    <row r="954" spans="2:37" ht="33" hidden="1" outlineLevel="1" x14ac:dyDescent="0.35">
      <c r="B954" s="1384"/>
      <c r="D954" s="338" t="s">
        <v>2124</v>
      </c>
      <c r="E954" s="338" t="s">
        <v>2125</v>
      </c>
      <c r="F954" s="1513">
        <f t="shared" ref="F954:F956" si="174">1/4*0.9</f>
        <v>0.22500000000000001</v>
      </c>
      <c r="G954" s="1336" t="s">
        <v>2123</v>
      </c>
      <c r="H954" s="588"/>
      <c r="I954" s="588"/>
      <c r="J954" s="588"/>
      <c r="K954" s="588"/>
      <c r="L954" s="588"/>
      <c r="M954" s="588"/>
      <c r="N954" s="588"/>
      <c r="O954" s="588"/>
      <c r="P954" s="588"/>
      <c r="Q954" s="588"/>
      <c r="R954" s="588"/>
      <c r="S954" s="588"/>
      <c r="V954" s="338" t="str">
        <f t="shared" si="173"/>
        <v>Number of Units2001(after July)-2010</v>
      </c>
      <c r="W954" s="414">
        <v>65</v>
      </c>
      <c r="X954" s="414">
        <v>65</v>
      </c>
      <c r="Y954" s="414">
        <v>65</v>
      </c>
      <c r="Z954" s="414">
        <v>65</v>
      </c>
      <c r="AA954" s="414">
        <v>65</v>
      </c>
      <c r="AB954" s="414">
        <v>65</v>
      </c>
      <c r="AC954" s="414">
        <v>65</v>
      </c>
      <c r="AD954" s="414">
        <v>65</v>
      </c>
      <c r="AE954" s="414">
        <v>65</v>
      </c>
      <c r="AF954" s="258">
        <f t="shared" si="172"/>
        <v>0.22500000000000001</v>
      </c>
      <c r="AG954" s="415"/>
      <c r="AK954" s="344"/>
    </row>
    <row r="955" spans="2:37" ht="51" hidden="1" outlineLevel="1" x14ac:dyDescent="0.35">
      <c r="B955" s="1384"/>
      <c r="D955" s="338" t="s">
        <v>2126</v>
      </c>
      <c r="E955" s="338" t="s">
        <v>2127</v>
      </c>
      <c r="F955" s="1513">
        <f t="shared" si="174"/>
        <v>0.22500000000000001</v>
      </c>
      <c r="G955" s="1336" t="s">
        <v>2123</v>
      </c>
      <c r="H955" s="588"/>
      <c r="I955" s="588"/>
      <c r="J955" s="588"/>
      <c r="K955" s="588"/>
      <c r="L955" s="588"/>
      <c r="M955" s="588"/>
      <c r="N955" s="588"/>
      <c r="O955" s="588"/>
      <c r="P955" s="588"/>
      <c r="Q955" s="588"/>
      <c r="R955" s="588"/>
      <c r="S955" s="588"/>
      <c r="V955" s="338" t="str">
        <f t="shared" si="173"/>
        <v>Number of Units1993-2001(before June)</v>
      </c>
      <c r="W955" s="414">
        <v>259</v>
      </c>
      <c r="X955" s="414">
        <v>259</v>
      </c>
      <c r="Y955" s="414">
        <v>259</v>
      </c>
      <c r="Z955" s="414">
        <v>259</v>
      </c>
      <c r="AA955" s="414">
        <v>259</v>
      </c>
      <c r="AB955" s="414">
        <v>259</v>
      </c>
      <c r="AC955" s="414">
        <v>259</v>
      </c>
      <c r="AD955" s="414">
        <v>259</v>
      </c>
      <c r="AE955" s="414">
        <v>259</v>
      </c>
      <c r="AF955" s="258">
        <f t="shared" si="172"/>
        <v>0.22500000000000001</v>
      </c>
      <c r="AG955" s="415"/>
      <c r="AK955" s="344"/>
    </row>
    <row r="956" spans="2:37" ht="33" hidden="1" outlineLevel="1" x14ac:dyDescent="0.35">
      <c r="B956" s="1384"/>
      <c r="D956" s="338" t="s">
        <v>2128</v>
      </c>
      <c r="E956" s="338" t="s">
        <v>2129</v>
      </c>
      <c r="F956" s="1513">
        <f t="shared" si="174"/>
        <v>0.22500000000000001</v>
      </c>
      <c r="G956" s="1336" t="s">
        <v>2123</v>
      </c>
      <c r="H956" s="588"/>
      <c r="I956" s="588"/>
      <c r="J956" s="588"/>
      <c r="K956" s="588"/>
      <c r="L956" s="588"/>
      <c r="M956" s="588"/>
      <c r="N956" s="588"/>
      <c r="O956" s="588"/>
      <c r="P956" s="588"/>
      <c r="Q956" s="588"/>
      <c r="R956" s="588"/>
      <c r="S956" s="588"/>
      <c r="V956" s="338" t="str">
        <f t="shared" si="173"/>
        <v>Number of Units1990-1992</v>
      </c>
      <c r="W956" s="414">
        <v>14</v>
      </c>
      <c r="X956" s="414">
        <v>14</v>
      </c>
      <c r="Y956" s="414">
        <v>14</v>
      </c>
      <c r="Z956" s="414">
        <v>14</v>
      </c>
      <c r="AA956" s="414">
        <v>14</v>
      </c>
      <c r="AB956" s="414">
        <v>14</v>
      </c>
      <c r="AC956" s="414">
        <v>14</v>
      </c>
      <c r="AD956" s="414">
        <v>14</v>
      </c>
      <c r="AE956" s="414">
        <v>14</v>
      </c>
      <c r="AF956" s="258">
        <f t="shared" si="172"/>
        <v>0.22500000000000001</v>
      </c>
      <c r="AG956" s="415"/>
      <c r="AK956" s="344"/>
    </row>
    <row r="957" spans="2:37" ht="33" hidden="1" outlineLevel="1" x14ac:dyDescent="0.35">
      <c r="B957" s="1384"/>
      <c r="D957" s="338" t="s">
        <v>2130</v>
      </c>
      <c r="E957" s="338" t="s">
        <v>2131</v>
      </c>
      <c r="F957" s="1513">
        <v>0.05</v>
      </c>
      <c r="G957" s="1336" t="s">
        <v>2123</v>
      </c>
      <c r="H957" s="588"/>
      <c r="I957" s="588"/>
      <c r="J957" s="588"/>
      <c r="K957" s="588"/>
      <c r="L957" s="588"/>
      <c r="M957" s="588"/>
      <c r="N957" s="588"/>
      <c r="O957" s="588"/>
      <c r="P957" s="588"/>
      <c r="Q957" s="588"/>
      <c r="R957" s="588"/>
      <c r="S957" s="588"/>
      <c r="V957" s="338" t="str">
        <f t="shared" si="173"/>
        <v>Number of Units1980-1989</v>
      </c>
      <c r="W957" s="414">
        <v>16</v>
      </c>
      <c r="X957" s="414">
        <v>16</v>
      </c>
      <c r="Y957" s="414">
        <v>16</v>
      </c>
      <c r="Z957" s="414">
        <v>16</v>
      </c>
      <c r="AA957" s="414">
        <v>16</v>
      </c>
      <c r="AB957" s="414">
        <v>16</v>
      </c>
      <c r="AC957" s="414">
        <v>16</v>
      </c>
      <c r="AD957" s="414">
        <v>16</v>
      </c>
      <c r="AE957" s="414">
        <v>16</v>
      </c>
      <c r="AF957" s="258">
        <f t="shared" si="172"/>
        <v>0.05</v>
      </c>
      <c r="AG957" s="415"/>
      <c r="AK957" s="344"/>
    </row>
    <row r="958" spans="2:37" ht="33" hidden="1" outlineLevel="1" x14ac:dyDescent="0.35">
      <c r="B958" s="1384"/>
      <c r="D958" s="338" t="s">
        <v>2132</v>
      </c>
      <c r="E958" s="338" t="s">
        <v>2133</v>
      </c>
      <c r="F958" s="1513">
        <v>0.05</v>
      </c>
      <c r="G958" s="1336" t="s">
        <v>2123</v>
      </c>
      <c r="H958" s="588"/>
      <c r="I958" s="588"/>
      <c r="J958" s="588"/>
      <c r="K958" s="588"/>
      <c r="L958" s="588"/>
      <c r="M958" s="588"/>
      <c r="N958" s="588"/>
      <c r="O958" s="588"/>
      <c r="P958" s="588"/>
      <c r="Q958" s="588"/>
      <c r="R958" s="588"/>
      <c r="S958" s="588"/>
      <c r="V958" s="338" t="str">
        <f t="shared" si="173"/>
        <v>Number of Unitsbefore 1980</v>
      </c>
      <c r="W958" s="414">
        <v>0</v>
      </c>
      <c r="X958" s="414">
        <v>0</v>
      </c>
      <c r="Y958" s="414">
        <v>0</v>
      </c>
      <c r="Z958" s="414">
        <v>0</v>
      </c>
      <c r="AA958" s="414">
        <v>0</v>
      </c>
      <c r="AB958" s="414">
        <v>0</v>
      </c>
      <c r="AC958" s="414">
        <v>0</v>
      </c>
      <c r="AD958" s="414">
        <v>0</v>
      </c>
      <c r="AE958" s="414">
        <v>0</v>
      </c>
      <c r="AF958" s="258">
        <f t="shared" si="172"/>
        <v>0.05</v>
      </c>
      <c r="AG958" s="415"/>
      <c r="AK958" s="344"/>
    </row>
    <row r="959" spans="2:37" ht="50.25" hidden="1" customHeight="1" outlineLevel="1" x14ac:dyDescent="0.25">
      <c r="B959" s="1384"/>
      <c r="C959" s="1333"/>
      <c r="D959" s="2371" t="s">
        <v>49</v>
      </c>
      <c r="E959" s="1338" t="str">
        <f>E931</f>
        <v>Refrigerator - early replacement ER1</v>
      </c>
      <c r="F959" s="1510">
        <v>5</v>
      </c>
      <c r="G959" s="2226" t="s">
        <v>2134</v>
      </c>
      <c r="H959" s="588"/>
      <c r="I959" s="588"/>
      <c r="V959" s="2371" t="str">
        <f t="shared" si="173"/>
        <v>EUL</v>
      </c>
      <c r="W959" s="414">
        <v>6</v>
      </c>
      <c r="X959" s="414">
        <v>6</v>
      </c>
      <c r="Y959" s="414">
        <v>6</v>
      </c>
      <c r="Z959" s="414">
        <v>6</v>
      </c>
      <c r="AA959" s="414">
        <v>6</v>
      </c>
      <c r="AB959" s="414">
        <v>6</v>
      </c>
      <c r="AC959" s="414">
        <v>6</v>
      </c>
      <c r="AD959" s="414">
        <v>6</v>
      </c>
      <c r="AE959" s="414">
        <v>6</v>
      </c>
      <c r="AF959" s="258">
        <f t="shared" si="172"/>
        <v>5</v>
      </c>
      <c r="AG959" s="415"/>
      <c r="AK959" s="344"/>
    </row>
    <row r="960" spans="2:37" ht="62.25" hidden="1" customHeight="1" outlineLevel="1" x14ac:dyDescent="0.25">
      <c r="B960" s="1384"/>
      <c r="C960" s="1333"/>
      <c r="D960" s="2373"/>
      <c r="E960" s="1338" t="str">
        <f>E932</f>
        <v>Refrigerator - early replacement ER2</v>
      </c>
      <c r="F960" s="1510">
        <v>10</v>
      </c>
      <c r="G960" s="2227"/>
      <c r="H960" s="588"/>
      <c r="I960" s="588"/>
      <c r="V960" s="2373"/>
      <c r="W960" s="414">
        <v>11</v>
      </c>
      <c r="X960" s="414">
        <v>11</v>
      </c>
      <c r="Y960" s="414">
        <v>11</v>
      </c>
      <c r="Z960" s="414">
        <v>11</v>
      </c>
      <c r="AA960" s="414">
        <v>11</v>
      </c>
      <c r="AB960" s="414">
        <v>11</v>
      </c>
      <c r="AC960" s="414">
        <v>11</v>
      </c>
      <c r="AD960" s="414">
        <v>11</v>
      </c>
      <c r="AE960" s="414">
        <v>11</v>
      </c>
      <c r="AF960" s="258">
        <f t="shared" si="172"/>
        <v>10</v>
      </c>
      <c r="AG960" s="415"/>
      <c r="AK960" s="344"/>
    </row>
    <row r="961" spans="1:114" ht="30" hidden="1" outlineLevel="1" x14ac:dyDescent="0.25">
      <c r="B961" s="1384"/>
      <c r="C961" s="1333"/>
      <c r="D961" s="1338" t="str">
        <f>D897</f>
        <v>Inc. Cost</v>
      </c>
      <c r="E961" s="1338" t="s">
        <v>682</v>
      </c>
      <c r="F961" s="1920">
        <v>28</v>
      </c>
      <c r="G961" s="1336" t="s">
        <v>2135</v>
      </c>
      <c r="H961" s="588"/>
      <c r="I961" s="588"/>
      <c r="V961" s="1338" t="str">
        <f>D961</f>
        <v>Inc. Cost</v>
      </c>
      <c r="W961" s="146">
        <v>753</v>
      </c>
      <c r="X961" s="146">
        <v>753</v>
      </c>
      <c r="Y961" s="146">
        <v>753</v>
      </c>
      <c r="Z961" s="146">
        <v>753</v>
      </c>
      <c r="AA961" s="146">
        <v>753</v>
      </c>
      <c r="AB961" s="146">
        <v>753</v>
      </c>
      <c r="AC961" s="146">
        <v>753</v>
      </c>
      <c r="AD961" s="146">
        <v>753</v>
      </c>
      <c r="AE961" s="146">
        <v>753</v>
      </c>
      <c r="AF961" s="258">
        <f t="shared" si="172"/>
        <v>28</v>
      </c>
      <c r="AG961" s="416"/>
      <c r="AK961" s="344"/>
    </row>
    <row r="962" spans="1:114" hidden="1" outlineLevel="1" x14ac:dyDescent="0.25">
      <c r="X962" s="270"/>
      <c r="Y962" s="527" t="s">
        <v>2136</v>
      </c>
      <c r="Z962" s="308"/>
      <c r="AA962" s="308"/>
      <c r="AB962" s="308"/>
    </row>
    <row r="963" spans="1:114" collapsed="1" x14ac:dyDescent="0.25"/>
    <row r="964" spans="1:114" s="6" customFormat="1" x14ac:dyDescent="0.25">
      <c r="A964" s="270"/>
      <c r="B964" s="2134" t="s">
        <v>2137</v>
      </c>
      <c r="C964" s="2135"/>
      <c r="D964" s="2135"/>
      <c r="E964" s="2135"/>
      <c r="F964" s="2135"/>
      <c r="G964" s="2135"/>
      <c r="H964" s="2135"/>
      <c r="I964" s="2082"/>
      <c r="J964" s="2082"/>
      <c r="K964" s="2082"/>
      <c r="L964" s="2082"/>
      <c r="M964" s="2082"/>
      <c r="N964" s="2082"/>
      <c r="O964" s="2082"/>
      <c r="P964" s="2082"/>
      <c r="Q964" s="2082"/>
      <c r="R964" s="2083"/>
      <c r="S964" s="64"/>
      <c r="T964" s="64"/>
      <c r="U964" s="64"/>
      <c r="V964" s="1292" t="str">
        <f>B964</f>
        <v>Energy Star Room AC</v>
      </c>
      <c r="W964" s="1293"/>
      <c r="X964" s="1293"/>
      <c r="Y964" s="1293"/>
      <c r="Z964" s="1293"/>
      <c r="AA964" s="1293"/>
      <c r="AB964" s="1293"/>
      <c r="AC964" s="1293"/>
      <c r="AD964" s="1293"/>
      <c r="AE964" s="1293"/>
      <c r="AF964" s="1293"/>
      <c r="AG964" s="1293"/>
      <c r="AH964" s="1293"/>
      <c r="AI964" s="1327"/>
      <c r="AU964" s="1416"/>
      <c r="DG964" s="1017"/>
      <c r="DH964" s="64"/>
      <c r="DI964" s="64"/>
      <c r="DJ964" s="1059"/>
    </row>
    <row r="965" spans="1:114" s="6" customFormat="1" x14ac:dyDescent="0.25">
      <c r="A965" s="270"/>
      <c r="B965" s="50"/>
      <c r="C965" s="49"/>
      <c r="D965" s="100"/>
      <c r="E965" s="100"/>
      <c r="F965" s="50"/>
      <c r="G965" s="50"/>
      <c r="H965" s="50"/>
      <c r="I965" s="50"/>
      <c r="J965" s="50"/>
      <c r="K965" s="50"/>
      <c r="L965" s="50"/>
      <c r="M965" s="50"/>
      <c r="N965" s="50"/>
      <c r="O965" s="50"/>
      <c r="P965" s="64"/>
      <c r="Q965" s="64"/>
      <c r="R965" s="64"/>
      <c r="S965" s="64"/>
      <c r="T965" s="64"/>
      <c r="U965" s="64"/>
      <c r="Y965" s="1429"/>
      <c r="AU965" s="1416"/>
      <c r="DG965" s="1017"/>
      <c r="DH965" s="64"/>
      <c r="DI965" s="64"/>
      <c r="DJ965" s="1059"/>
    </row>
    <row r="966" spans="1:114" s="6" customFormat="1" ht="30" x14ac:dyDescent="0.25">
      <c r="A966" s="270"/>
      <c r="B966" s="116"/>
      <c r="C966" s="1328" t="s">
        <v>42</v>
      </c>
      <c r="D966" s="1328" t="s">
        <v>594</v>
      </c>
      <c r="E966" s="1328" t="s">
        <v>44</v>
      </c>
      <c r="F966" s="1328" t="s">
        <v>45</v>
      </c>
      <c r="G966" s="1328" t="s">
        <v>46</v>
      </c>
      <c r="H966" s="1328" t="s">
        <v>47</v>
      </c>
      <c r="I966" s="1328" t="s">
        <v>48</v>
      </c>
      <c r="J966" s="1328" t="s">
        <v>49</v>
      </c>
      <c r="K966" s="1328" t="s">
        <v>50</v>
      </c>
      <c r="L966" s="1328" t="s">
        <v>51</v>
      </c>
      <c r="M966" s="50"/>
      <c r="N966" s="50"/>
      <c r="O966" s="116"/>
      <c r="P966" s="64"/>
      <c r="Q966" s="64"/>
      <c r="R966" s="64"/>
      <c r="S966" s="64"/>
      <c r="T966" s="64"/>
      <c r="U966" s="64"/>
      <c r="V966" s="648" t="s">
        <v>52</v>
      </c>
      <c r="W966" s="649">
        <v>43252</v>
      </c>
      <c r="X966" s="649">
        <f>$X$6</f>
        <v>43465</v>
      </c>
      <c r="Y966" s="110">
        <f>$Y$6</f>
        <v>43800</v>
      </c>
      <c r="Z966" s="649">
        <f>$Z$6</f>
        <v>43862</v>
      </c>
      <c r="AA966" s="649">
        <f>$AA$6</f>
        <v>44013</v>
      </c>
      <c r="AB966" s="649">
        <f>$AB$6</f>
        <v>44166</v>
      </c>
      <c r="AC966" s="649">
        <f>$AC$6</f>
        <v>44531</v>
      </c>
      <c r="AD966" s="649">
        <f>$AD$6</f>
        <v>44774</v>
      </c>
      <c r="AE966" s="649">
        <f>$AE$6</f>
        <v>45139</v>
      </c>
      <c r="AF966" s="649">
        <f>$AF$6</f>
        <v>45672</v>
      </c>
      <c r="AG966" s="649" t="str">
        <f>$AG$6</f>
        <v>-</v>
      </c>
      <c r="AU966" s="1416"/>
      <c r="DG966" s="1018" t="str">
        <f>$DG$6</f>
        <v>TRC (2025)</v>
      </c>
      <c r="DH966" s="776" t="str">
        <f>$DH$6</f>
        <v>Benefit Lookup</v>
      </c>
      <c r="DI966" s="1034" t="str">
        <f>$DI$6</f>
        <v>Benefits (2025 $)</v>
      </c>
      <c r="DJ966" s="1126" t="str">
        <f>$DJ$6</f>
        <v>Incremental Cost (2025 $)</v>
      </c>
    </row>
    <row r="967" spans="1:114" s="6" customFormat="1" ht="15.75" thickBot="1" x14ac:dyDescent="0.3">
      <c r="A967" s="270"/>
      <c r="B967" s="1384">
        <f t="shared" ref="B967:B968" si="175">VALUE(LEFT(C967,6))</f>
        <v>406000</v>
      </c>
      <c r="C967" s="1921" t="s">
        <v>2138</v>
      </c>
      <c r="D967" s="612" t="s">
        <v>825</v>
      </c>
      <c r="E967" s="418" t="s">
        <v>2139</v>
      </c>
      <c r="F967" s="1922">
        <f>ROUND(($F$981*$F$975*(1/$F$979-1/$F$978)/1000*$F$983),2)</f>
        <v>400.38</v>
      </c>
      <c r="G967" s="610" t="s">
        <v>688</v>
      </c>
      <c r="H967" s="611">
        <f>VLOOKUP(G967,'CP FACTORS'!$A$3:$B$38, 2, FALSE)</f>
        <v>9.4741810000000004E-4</v>
      </c>
      <c r="I967" s="1923">
        <f t="shared" ref="I967:I968" si="176">ROUND(F967*H967,6)</f>
        <v>0.37932700000000003</v>
      </c>
      <c r="J967" s="1924">
        <f>$F$984</f>
        <v>12</v>
      </c>
      <c r="K967" s="1925">
        <f>$F$985</f>
        <v>300</v>
      </c>
      <c r="L967" s="612" t="s">
        <v>62</v>
      </c>
      <c r="M967" s="64"/>
      <c r="N967" s="520"/>
      <c r="O967" s="403"/>
      <c r="P967" s="64"/>
      <c r="Q967" s="64"/>
      <c r="R967" s="521"/>
      <c r="S967" s="64"/>
      <c r="T967" s="64"/>
      <c r="U967" s="64"/>
      <c r="V967" s="1405" t="s">
        <v>45</v>
      </c>
      <c r="W967" s="1461">
        <v>40.971199412398086</v>
      </c>
      <c r="X967" s="99">
        <v>49.727499015442788</v>
      </c>
      <c r="Y967" s="38">
        <v>76.92</v>
      </c>
      <c r="Z967" s="99">
        <v>76.92</v>
      </c>
      <c r="AA967" s="99">
        <v>76.92</v>
      </c>
      <c r="AB967" s="99">
        <v>76.92</v>
      </c>
      <c r="AC967" s="1460">
        <v>75.040000000000006</v>
      </c>
      <c r="AD967" s="1428">
        <v>75.040000000000006</v>
      </c>
      <c r="AE967" s="1428">
        <v>75.040000000000006</v>
      </c>
      <c r="AF967" s="258">
        <f t="shared" ref="AF967:AF968" si="177">IF(F967&lt;&gt;"",F967,"")</f>
        <v>400.38</v>
      </c>
      <c r="AG967" s="1405"/>
      <c r="AU967" s="1416"/>
      <c r="DG967" s="1021">
        <f t="shared" ref="DG967:DG968" si="178">(DI967)/(DJ967)</f>
        <v>2.3173724487870828</v>
      </c>
      <c r="DH967" s="653" t="str">
        <f t="shared" ref="DH967:DH968" si="179">CONCATENATE(G967," ",J967," Year EUL")</f>
        <v>Cooling RES 12 Year EUL</v>
      </c>
      <c r="DI967" s="538">
        <f>(INDEX('Avoided Cost Benefits'!$B$4:$B$865,MATCH(DH967,'Avoided Cost Benefits'!$A$4:$A$865,0)))*F967</f>
        <v>695.2117346361249</v>
      </c>
      <c r="DJ967" s="1952">
        <f t="shared" ref="DJ967:DJ968" si="180">IFERROR(K967/((1+DiscountRate)^(CurrentYear-DiscountYear)),0)</f>
        <v>300</v>
      </c>
    </row>
    <row r="968" spans="1:114" s="6" customFormat="1" ht="15.75" thickBot="1" x14ac:dyDescent="0.3">
      <c r="A968" s="270"/>
      <c r="B968" s="1384">
        <f t="shared" si="175"/>
        <v>406004</v>
      </c>
      <c r="C968" s="1921" t="s">
        <v>2140</v>
      </c>
      <c r="D968" s="612" t="s">
        <v>825</v>
      </c>
      <c r="E968" s="418" t="s">
        <v>2141</v>
      </c>
      <c r="F968" s="1922">
        <f>ROUND(($F$981*$F$976*(1/$F$979-1/$F$978)/1000*$F$983),2)</f>
        <v>465.46</v>
      </c>
      <c r="G968" s="610" t="s">
        <v>688</v>
      </c>
      <c r="H968" s="611">
        <f>VLOOKUP(G968,'CP FACTORS'!$A$3:$B$38, 2, FALSE)</f>
        <v>9.4741810000000004E-4</v>
      </c>
      <c r="I968" s="1923">
        <f t="shared" si="176"/>
        <v>0.44098500000000002</v>
      </c>
      <c r="J968" s="1924">
        <f>$F$984</f>
        <v>12</v>
      </c>
      <c r="K968" s="1925">
        <f>$F$985</f>
        <v>300</v>
      </c>
      <c r="L968" s="612" t="s">
        <v>62</v>
      </c>
      <c r="M968" s="64"/>
      <c r="N968" s="520"/>
      <c r="O968" s="403"/>
      <c r="P968" s="64"/>
      <c r="Q968" s="64"/>
      <c r="R968" s="521"/>
      <c r="S968" s="64"/>
      <c r="T968" s="64"/>
      <c r="U968" s="64"/>
      <c r="V968" s="1405" t="s">
        <v>45</v>
      </c>
      <c r="W968" s="1461"/>
      <c r="X968" s="99"/>
      <c r="Y968" s="38">
        <v>89.42</v>
      </c>
      <c r="Z968" s="99">
        <v>89.42</v>
      </c>
      <c r="AA968" s="99">
        <v>89.42</v>
      </c>
      <c r="AB968" s="99">
        <v>89.42</v>
      </c>
      <c r="AC968" s="1460">
        <v>87.24</v>
      </c>
      <c r="AD968" s="1428">
        <v>87.24</v>
      </c>
      <c r="AE968" s="1428">
        <v>87.24</v>
      </c>
      <c r="AF968" s="258">
        <f t="shared" si="177"/>
        <v>465.46</v>
      </c>
      <c r="AG968" s="1405"/>
      <c r="AU968" s="1416"/>
      <c r="DG968" s="1021">
        <f t="shared" si="178"/>
        <v>2.6940511014846789</v>
      </c>
      <c r="DH968" s="653" t="str">
        <f t="shared" si="179"/>
        <v>Cooling RES 12 Year EUL</v>
      </c>
      <c r="DI968" s="538">
        <f>(INDEX('Avoided Cost Benefits'!$B$4:$B$865,MATCH(DH968,'Avoided Cost Benefits'!$A$4:$A$865,0)))*F968</f>
        <v>808.21533044540365</v>
      </c>
      <c r="DJ968" s="1952">
        <f t="shared" si="180"/>
        <v>300</v>
      </c>
    </row>
    <row r="969" spans="1:114" s="6" customFormat="1" ht="27" hidden="1" customHeight="1" outlineLevel="1" x14ac:dyDescent="0.25">
      <c r="A969" s="270"/>
      <c r="B969" s="116"/>
      <c r="C969" s="62"/>
      <c r="D969" s="74" t="s">
        <v>94</v>
      </c>
      <c r="E969" s="74" t="s">
        <v>2142</v>
      </c>
      <c r="F969" s="151"/>
      <c r="G969" s="64"/>
      <c r="H969" s="64"/>
      <c r="I969" s="50"/>
      <c r="J969" s="50"/>
      <c r="K969" s="50"/>
      <c r="L969" s="64"/>
      <c r="M969" s="116"/>
      <c r="N969" s="116"/>
      <c r="O969" s="116"/>
      <c r="P969" s="64"/>
      <c r="Q969" s="64"/>
      <c r="R969" s="64"/>
      <c r="S969" s="64"/>
      <c r="T969" s="64"/>
      <c r="U969" s="64"/>
      <c r="X969" s="1419"/>
      <c r="Y969" s="419"/>
      <c r="Z969" s="1419"/>
      <c r="AA969" s="1419"/>
      <c r="AB969" s="1419"/>
      <c r="AC969" s="1419"/>
      <c r="AD969" s="1419"/>
      <c r="AE969" s="1419"/>
      <c r="AF969" s="1419"/>
      <c r="AG969" s="1419"/>
      <c r="AH969" s="1419"/>
      <c r="AI969" s="1419"/>
      <c r="AJ969" s="1419"/>
      <c r="AK969" s="1419"/>
      <c r="AU969" s="1416"/>
      <c r="DG969" s="1017"/>
      <c r="DH969" s="64"/>
      <c r="DI969" s="64"/>
      <c r="DJ969" s="1059"/>
    </row>
    <row r="970" spans="1:114" s="6" customFormat="1" hidden="1" outlineLevel="1" x14ac:dyDescent="0.25">
      <c r="A970" s="270"/>
      <c r="B970" s="116"/>
      <c r="C970" s="62"/>
      <c r="D970" s="74" t="s">
        <v>604</v>
      </c>
      <c r="E970" s="74" t="s">
        <v>2143</v>
      </c>
      <c r="F970" s="151"/>
      <c r="G970" s="64"/>
      <c r="H970" s="116"/>
      <c r="I970" s="50"/>
      <c r="J970" s="50"/>
      <c r="K970" s="50"/>
      <c r="L970" s="64"/>
      <c r="M970" s="116"/>
      <c r="N970" s="116"/>
      <c r="O970" s="116"/>
      <c r="P970" s="64"/>
      <c r="Q970" s="64"/>
      <c r="R970" s="64"/>
      <c r="S970" s="64"/>
      <c r="T970" s="64"/>
      <c r="U970" s="64"/>
      <c r="X970" s="1419"/>
      <c r="Y970" s="1462"/>
      <c r="Z970" s="1419"/>
      <c r="AA970" s="1419"/>
      <c r="AB970" s="1419"/>
      <c r="AC970" s="1419"/>
      <c r="AD970" s="1419"/>
      <c r="AE970" s="1419"/>
      <c r="AF970" s="1419"/>
      <c r="AG970" s="1419"/>
      <c r="AH970" s="1419"/>
      <c r="AI970" s="1419"/>
      <c r="AJ970" s="1419"/>
      <c r="AK970" s="1419"/>
      <c r="AU970" s="1416"/>
      <c r="DG970" s="1017"/>
      <c r="DH970" s="64"/>
      <c r="DI970" s="64"/>
      <c r="DJ970" s="1059"/>
    </row>
    <row r="971" spans="1:114" s="6" customFormat="1" hidden="1" outlineLevel="1" x14ac:dyDescent="0.25">
      <c r="A971" s="270"/>
      <c r="B971" s="116"/>
      <c r="C971" s="62"/>
      <c r="D971" s="100"/>
      <c r="E971" s="1383" t="s">
        <v>607</v>
      </c>
      <c r="F971" s="151"/>
      <c r="G971" s="64"/>
      <c r="H971" s="116"/>
      <c r="I971" s="50"/>
      <c r="J971" s="50"/>
      <c r="K971" s="50"/>
      <c r="L971" s="64"/>
      <c r="M971" s="116"/>
      <c r="N971" s="116"/>
      <c r="O971" s="116"/>
      <c r="P971" s="64"/>
      <c r="Q971" s="64"/>
      <c r="R971" s="64"/>
      <c r="S971" s="64"/>
      <c r="T971" s="64"/>
      <c r="U971" s="64"/>
      <c r="X971" s="1419"/>
      <c r="Y971" s="419"/>
      <c r="Z971" s="1419"/>
      <c r="AA971" s="1419"/>
      <c r="AB971" s="1419"/>
      <c r="AC971" s="1419"/>
      <c r="AD971" s="1419"/>
      <c r="AE971" s="1419"/>
      <c r="AF971" s="1419"/>
      <c r="AG971" s="1419"/>
      <c r="AH971" s="1419"/>
      <c r="AI971" s="1419"/>
      <c r="AJ971" s="1419"/>
      <c r="AK971" s="1419"/>
      <c r="AU971" s="1416"/>
      <c r="DG971" s="1017"/>
      <c r="DH971" s="64"/>
      <c r="DI971" s="64"/>
      <c r="DJ971" s="1059"/>
    </row>
    <row r="972" spans="1:114" s="6" customFormat="1" hidden="1" outlineLevel="1" x14ac:dyDescent="0.25">
      <c r="A972" s="270"/>
      <c r="B972" s="116"/>
      <c r="C972" s="62"/>
      <c r="D972" s="74"/>
      <c r="E972" s="74"/>
      <c r="F972" s="72"/>
      <c r="G972" s="64"/>
      <c r="H972" s="116"/>
      <c r="I972" s="64"/>
      <c r="J972" s="64"/>
      <c r="K972" s="64"/>
      <c r="L972" s="64"/>
      <c r="M972" s="116"/>
      <c r="N972" s="116"/>
      <c r="O972" s="116"/>
      <c r="P972" s="64"/>
      <c r="Q972" s="64"/>
      <c r="R972" s="64"/>
      <c r="S972" s="64"/>
      <c r="T972" s="64"/>
      <c r="U972" s="64"/>
      <c r="X972" s="1419"/>
      <c r="Y972" s="1462"/>
      <c r="Z972" s="1419"/>
      <c r="AA972" s="1419"/>
      <c r="AB972" s="1419"/>
      <c r="AC972" s="1419"/>
      <c r="AD972" s="1419"/>
      <c r="AE972" s="1419"/>
      <c r="AF972" s="1419"/>
      <c r="AG972" s="1419"/>
      <c r="AH972" s="1419"/>
      <c r="AI972" s="1419"/>
      <c r="AJ972" s="1419"/>
      <c r="AK972" s="1419"/>
      <c r="AU972" s="1416"/>
      <c r="DG972" s="1017"/>
      <c r="DH972" s="64"/>
      <c r="DI972" s="64"/>
      <c r="DJ972" s="1059"/>
    </row>
    <row r="973" spans="1:114" s="6" customFormat="1" hidden="1" outlineLevel="1" x14ac:dyDescent="0.25">
      <c r="A973" s="270"/>
      <c r="B973" s="116"/>
      <c r="C973" s="62"/>
      <c r="D973" s="74"/>
      <c r="E973" s="74"/>
      <c r="F973" s="72"/>
      <c r="G973" s="64"/>
      <c r="H973" s="64"/>
      <c r="I973" s="64"/>
      <c r="J973" s="64"/>
      <c r="K973" s="64"/>
      <c r="L973" s="64"/>
      <c r="M973" s="116"/>
      <c r="N973" s="116"/>
      <c r="O973" s="116"/>
      <c r="P973" s="64"/>
      <c r="Q973" s="64"/>
      <c r="R973" s="64"/>
      <c r="S973" s="64"/>
      <c r="T973" s="64"/>
      <c r="U973" s="64"/>
      <c r="V973" s="648" t="s">
        <v>52</v>
      </c>
      <c r="W973" s="649">
        <v>43252</v>
      </c>
      <c r="X973" s="649">
        <f>$X$6</f>
        <v>43465</v>
      </c>
      <c r="Y973" s="110">
        <f>$Y$6</f>
        <v>43800</v>
      </c>
      <c r="Z973" s="649">
        <f>$Z$6</f>
        <v>43862</v>
      </c>
      <c r="AA973" s="649">
        <f>$AA$6</f>
        <v>44013</v>
      </c>
      <c r="AB973" s="649">
        <f>$AB$6</f>
        <v>44166</v>
      </c>
      <c r="AC973" s="649">
        <f>$AC$6</f>
        <v>44531</v>
      </c>
      <c r="AD973" s="649">
        <f>$AD$6</f>
        <v>44774</v>
      </c>
      <c r="AE973" s="649">
        <f>$AE$6</f>
        <v>45139</v>
      </c>
      <c r="AF973" s="649">
        <f>$AF$6</f>
        <v>45672</v>
      </c>
      <c r="AG973" s="649" t="str">
        <f>$AG$6</f>
        <v>-</v>
      </c>
      <c r="AI973" s="649">
        <v>43252</v>
      </c>
      <c r="AJ973" s="649">
        <f>$Y$6</f>
        <v>43800</v>
      </c>
      <c r="AK973" s="649">
        <f>$Y$6</f>
        <v>43800</v>
      </c>
      <c r="AL973" s="649">
        <f>$Z$6</f>
        <v>43862</v>
      </c>
      <c r="AM973" s="649">
        <f>$AA$6</f>
        <v>44013</v>
      </c>
      <c r="AN973" s="649">
        <f>$AB$6</f>
        <v>44166</v>
      </c>
      <c r="AO973" s="649">
        <f>$AC$6</f>
        <v>44531</v>
      </c>
      <c r="AP973" s="649">
        <f>$AD$6</f>
        <v>44774</v>
      </c>
      <c r="AQ973" s="649">
        <f>$AE$6</f>
        <v>45139</v>
      </c>
      <c r="AR973" s="649">
        <f>$AF$6</f>
        <v>45672</v>
      </c>
      <c r="AS973" s="649" t="str">
        <f>$AG$6</f>
        <v>-</v>
      </c>
      <c r="AU973" s="1416"/>
      <c r="DG973" s="1017"/>
      <c r="DH973" s="64"/>
      <c r="DI973" s="64"/>
      <c r="DJ973" s="1059"/>
    </row>
    <row r="974" spans="1:114" s="6" customFormat="1" hidden="1" outlineLevel="1" x14ac:dyDescent="0.25">
      <c r="A974" s="270"/>
      <c r="B974" s="116"/>
      <c r="C974" s="62"/>
      <c r="D974" s="1373" t="s">
        <v>608</v>
      </c>
      <c r="E974" s="1300" t="s">
        <v>2144</v>
      </c>
      <c r="F974" s="1373" t="s">
        <v>2145</v>
      </c>
      <c r="G974" s="1300" t="s">
        <v>2146</v>
      </c>
      <c r="H974" s="1373" t="s">
        <v>2147</v>
      </c>
      <c r="I974" s="1328" t="s">
        <v>1005</v>
      </c>
      <c r="J974" s="64"/>
      <c r="K974" s="64"/>
      <c r="L974" s="64"/>
      <c r="M974" s="50"/>
      <c r="N974" s="50"/>
      <c r="O974" s="116"/>
      <c r="P974" s="64"/>
      <c r="Q974" s="64"/>
      <c r="R974" s="64"/>
      <c r="S974" s="64"/>
      <c r="T974" s="64"/>
      <c r="U974" s="64"/>
      <c r="V974" s="1463"/>
      <c r="W974" s="1660" t="s">
        <v>2148</v>
      </c>
      <c r="X974" s="1660" t="s">
        <v>2148</v>
      </c>
      <c r="Y974" s="1660" t="s">
        <v>2148</v>
      </c>
      <c r="Z974" s="1660" t="s">
        <v>2148</v>
      </c>
      <c r="AA974" s="1660" t="s">
        <v>2148</v>
      </c>
      <c r="AB974" s="1660" t="s">
        <v>2148</v>
      </c>
      <c r="AC974" s="1660" t="s">
        <v>2148</v>
      </c>
      <c r="AD974" s="1660" t="s">
        <v>2148</v>
      </c>
      <c r="AE974" s="1660" t="s">
        <v>2148</v>
      </c>
      <c r="AF974" s="1660" t="s">
        <v>2148</v>
      </c>
      <c r="AG974" s="1660" t="s">
        <v>2148</v>
      </c>
      <c r="AI974" s="14" t="s">
        <v>2149</v>
      </c>
      <c r="AJ974" s="14" t="s">
        <v>2149</v>
      </c>
      <c r="AK974" s="14" t="s">
        <v>2149</v>
      </c>
      <c r="AL974" s="14" t="s">
        <v>2149</v>
      </c>
      <c r="AM974" s="14" t="s">
        <v>2149</v>
      </c>
      <c r="AN974" s="14" t="s">
        <v>2149</v>
      </c>
      <c r="AO974" s="14" t="s">
        <v>2149</v>
      </c>
      <c r="AP974" s="14" t="s">
        <v>2149</v>
      </c>
      <c r="AQ974" s="14" t="s">
        <v>2149</v>
      </c>
      <c r="AR974" s="14" t="s">
        <v>2149</v>
      </c>
      <c r="AS974" s="14" t="s">
        <v>2149</v>
      </c>
      <c r="AU974" s="1416"/>
      <c r="DG974" s="1017"/>
      <c r="DH974" s="64"/>
      <c r="DI974" s="64"/>
      <c r="DJ974" s="1059"/>
    </row>
    <row r="975" spans="1:114" s="6" customFormat="1" ht="60" hidden="1" outlineLevel="1" x14ac:dyDescent="0.25">
      <c r="A975" s="270"/>
      <c r="B975" s="116"/>
      <c r="C975" s="62"/>
      <c r="D975" s="2245" t="s">
        <v>2150</v>
      </c>
      <c r="E975" s="1303" t="s">
        <v>2151</v>
      </c>
      <c r="F975" s="1556">
        <v>10322.173207292981</v>
      </c>
      <c r="G975" s="1303" t="s">
        <v>2152</v>
      </c>
      <c r="H975" s="1556">
        <v>11745</v>
      </c>
      <c r="I975" s="420"/>
      <c r="J975" s="64"/>
      <c r="K975" s="64"/>
      <c r="L975" s="64"/>
      <c r="M975" s="64"/>
      <c r="N975" s="64"/>
      <c r="O975" s="116"/>
      <c r="P975" s="64"/>
      <c r="Q975" s="64"/>
      <c r="R975" s="64"/>
      <c r="S975" s="64"/>
      <c r="T975" s="64"/>
      <c r="U975" s="64"/>
      <c r="V975" s="2427" t="s">
        <v>2150</v>
      </c>
      <c r="W975" s="1464">
        <v>9558.22711471611</v>
      </c>
      <c r="X975" s="793">
        <v>10322.173207292981</v>
      </c>
      <c r="Y975" s="97">
        <v>10322.173207292981</v>
      </c>
      <c r="Z975" s="97">
        <v>10322.173207292981</v>
      </c>
      <c r="AA975" s="97">
        <v>10322.173207292981</v>
      </c>
      <c r="AB975" s="97">
        <v>10322.173207292981</v>
      </c>
      <c r="AC975" s="97">
        <v>10322.173207292981</v>
      </c>
      <c r="AD975" s="97">
        <v>10322.173207292981</v>
      </c>
      <c r="AE975" s="97">
        <v>10322.173207292981</v>
      </c>
      <c r="AF975" s="258">
        <f t="shared" ref="AF975:AF985" si="181">IF(F975&lt;&gt;"",F975,"")</f>
        <v>10322.173207292981</v>
      </c>
      <c r="AG975" s="1405"/>
      <c r="AI975" s="1464" t="s">
        <v>2153</v>
      </c>
      <c r="AJ975" s="421">
        <v>11733</v>
      </c>
      <c r="AK975" s="421">
        <v>11745</v>
      </c>
      <c r="AL975" s="414">
        <v>11745</v>
      </c>
      <c r="AM975" s="414">
        <v>11745</v>
      </c>
      <c r="AN975" s="414">
        <v>11745</v>
      </c>
      <c r="AO975" s="414">
        <v>11745</v>
      </c>
      <c r="AP975" s="414">
        <v>11745</v>
      </c>
      <c r="AQ975" s="414">
        <v>11745</v>
      </c>
      <c r="AR975" s="258">
        <f t="shared" ref="AR975:AR985" si="182">H975</f>
        <v>11745</v>
      </c>
      <c r="AS975" s="1465"/>
      <c r="AU975" s="1416"/>
      <c r="DG975" s="1017"/>
      <c r="DH975" s="64"/>
      <c r="DI975" s="64"/>
      <c r="DJ975" s="1059"/>
    </row>
    <row r="976" spans="1:114" s="6" customFormat="1" ht="30" hidden="1" outlineLevel="1" x14ac:dyDescent="0.25">
      <c r="A976" s="270"/>
      <c r="B976" s="116"/>
      <c r="C976" s="62"/>
      <c r="D976" s="2246"/>
      <c r="E976" s="1303" t="s">
        <v>2154</v>
      </c>
      <c r="F976" s="1556">
        <v>12000</v>
      </c>
      <c r="G976" s="1303" t="s">
        <v>2154</v>
      </c>
      <c r="H976" s="1556">
        <v>12000</v>
      </c>
      <c r="I976" s="420"/>
      <c r="J976" s="64"/>
      <c r="K976" s="64"/>
      <c r="L976" s="64"/>
      <c r="M976" s="64"/>
      <c r="N976" s="64"/>
      <c r="O976" s="116"/>
      <c r="P976" s="64"/>
      <c r="Q976" s="64"/>
      <c r="R976" s="64"/>
      <c r="S976" s="64"/>
      <c r="T976" s="64"/>
      <c r="U976" s="64"/>
      <c r="V976" s="2341"/>
      <c r="W976" s="1464"/>
      <c r="X976" s="793"/>
      <c r="Y976" s="117">
        <v>12000</v>
      </c>
      <c r="Z976" s="97">
        <v>12000</v>
      </c>
      <c r="AA976" s="97">
        <v>12000</v>
      </c>
      <c r="AB976" s="97">
        <v>12000</v>
      </c>
      <c r="AC976" s="97">
        <v>12000</v>
      </c>
      <c r="AD976" s="97">
        <v>12000</v>
      </c>
      <c r="AE976" s="97">
        <v>12000</v>
      </c>
      <c r="AF976" s="258">
        <f t="shared" si="181"/>
        <v>12000</v>
      </c>
      <c r="AG976" s="1405"/>
      <c r="AI976" s="1464"/>
      <c r="AJ976" s="421"/>
      <c r="AK976" s="421">
        <v>12000</v>
      </c>
      <c r="AL976" s="414">
        <v>12000</v>
      </c>
      <c r="AM976" s="414">
        <v>12000</v>
      </c>
      <c r="AN976" s="414">
        <v>12000</v>
      </c>
      <c r="AO976" s="414">
        <v>12000</v>
      </c>
      <c r="AP976" s="414">
        <v>12000</v>
      </c>
      <c r="AQ976" s="414">
        <v>12000</v>
      </c>
      <c r="AR976" s="258">
        <f t="shared" si="182"/>
        <v>12000</v>
      </c>
      <c r="AS976" s="1465"/>
      <c r="AU976" s="1416"/>
      <c r="DG976" s="1017"/>
      <c r="DH976" s="64"/>
      <c r="DI976" s="64"/>
      <c r="DJ976" s="1059"/>
    </row>
    <row r="977" spans="1:114" s="6" customFormat="1" ht="60" hidden="1" outlineLevel="1" x14ac:dyDescent="0.25">
      <c r="A977" s="270"/>
      <c r="B977" s="116"/>
      <c r="C977" s="62"/>
      <c r="D977" s="1303" t="s">
        <v>2155</v>
      </c>
      <c r="E977" s="1303" t="s">
        <v>2156</v>
      </c>
      <c r="F977" s="1556">
        <v>10.833666904931999</v>
      </c>
      <c r="G977" s="1303" t="s">
        <v>2152</v>
      </c>
      <c r="H977" s="1556">
        <v>10.8</v>
      </c>
      <c r="I977" s="104"/>
      <c r="J977" s="64"/>
      <c r="K977" s="64"/>
      <c r="L977" s="64"/>
      <c r="M977" s="64"/>
      <c r="N977" s="64"/>
      <c r="O977" s="116"/>
      <c r="P977" s="64"/>
      <c r="Q977" s="64"/>
      <c r="R977" s="64"/>
      <c r="S977" s="64"/>
      <c r="T977" s="64"/>
      <c r="U977" s="64"/>
      <c r="V977" s="1464" t="s">
        <v>2157</v>
      </c>
      <c r="W977" s="1464">
        <v>10.9</v>
      </c>
      <c r="X977" s="793">
        <v>10.833666904931999</v>
      </c>
      <c r="Y977" s="97">
        <v>10.833666904931999</v>
      </c>
      <c r="Z977" s="97">
        <v>10.833666904931999</v>
      </c>
      <c r="AA977" s="97">
        <v>10.833666904931999</v>
      </c>
      <c r="AB977" s="97">
        <v>10.833666904931999</v>
      </c>
      <c r="AC977" s="97">
        <v>10.833666904931999</v>
      </c>
      <c r="AD977" s="97">
        <v>10.833666904931999</v>
      </c>
      <c r="AE977" s="97">
        <v>10.833666904931999</v>
      </c>
      <c r="AF977" s="258">
        <f t="shared" si="181"/>
        <v>10.833666904931999</v>
      </c>
      <c r="AG977" s="1405"/>
      <c r="AI977" s="1464" t="s">
        <v>2153</v>
      </c>
      <c r="AJ977" s="117" t="s">
        <v>2158</v>
      </c>
      <c r="AK977" s="1465"/>
      <c r="AL977" s="103"/>
      <c r="AM977" s="103"/>
      <c r="AN977" s="103"/>
      <c r="AO977" s="103"/>
      <c r="AP977" s="103"/>
      <c r="AQ977" s="103"/>
      <c r="AR977" s="258">
        <f t="shared" si="182"/>
        <v>10.8</v>
      </c>
      <c r="AS977" s="1465"/>
      <c r="AU977" s="1416"/>
      <c r="DG977" s="1017"/>
      <c r="DH977" s="64"/>
      <c r="DI977" s="64"/>
      <c r="DJ977" s="1059"/>
    </row>
    <row r="978" spans="1:114" s="6" customFormat="1" ht="46.5" hidden="1" customHeight="1" outlineLevel="1" x14ac:dyDescent="0.25">
      <c r="A978" s="270"/>
      <c r="B978" s="116"/>
      <c r="C978" s="62"/>
      <c r="D978" s="1303" t="s">
        <v>2159</v>
      </c>
      <c r="E978" s="1303" t="s">
        <v>2160</v>
      </c>
      <c r="F978" s="1557">
        <v>11.955972333179201</v>
      </c>
      <c r="G978" s="1303" t="s">
        <v>2152</v>
      </c>
      <c r="H978" s="1557">
        <v>11.561669242658486</v>
      </c>
      <c r="I978" s="104"/>
      <c r="J978" s="64"/>
      <c r="K978" s="64"/>
      <c r="L978" s="64"/>
      <c r="M978" s="64"/>
      <c r="N978" s="64"/>
      <c r="O978" s="116"/>
      <c r="P978" s="64"/>
      <c r="Q978" s="64"/>
      <c r="R978" s="64"/>
      <c r="S978" s="64"/>
      <c r="T978" s="64"/>
      <c r="U978" s="64"/>
      <c r="V978" s="1464" t="s">
        <v>2161</v>
      </c>
      <c r="W978" s="1464">
        <v>11.9</v>
      </c>
      <c r="X978" s="793">
        <v>11.955972333179155</v>
      </c>
      <c r="Y978" s="97">
        <v>11.955972333179155</v>
      </c>
      <c r="Z978" s="97">
        <v>11.955972333179155</v>
      </c>
      <c r="AA978" s="97">
        <v>11.955972333179155</v>
      </c>
      <c r="AB978" s="97">
        <v>11.955972333179155</v>
      </c>
      <c r="AC978" s="97">
        <v>11.955972333179155</v>
      </c>
      <c r="AD978" s="97">
        <v>11.955972333179155</v>
      </c>
      <c r="AE978" s="97">
        <v>11.955972333179155</v>
      </c>
      <c r="AF978" s="258">
        <f t="shared" si="181"/>
        <v>11.955972333179201</v>
      </c>
      <c r="AG978" s="1405"/>
      <c r="AI978" s="1464" t="s">
        <v>2153</v>
      </c>
      <c r="AJ978" s="117">
        <v>11.6</v>
      </c>
      <c r="AK978" s="97">
        <v>11.561669242658486</v>
      </c>
      <c r="AL978" s="97">
        <v>11.561669242658486</v>
      </c>
      <c r="AM978" s="97">
        <v>11.561669242658486</v>
      </c>
      <c r="AN978" s="97">
        <v>11.561669242658486</v>
      </c>
      <c r="AO978" s="97">
        <v>11.561669242658486</v>
      </c>
      <c r="AP978" s="97">
        <v>11.561669242658486</v>
      </c>
      <c r="AQ978" s="97">
        <v>11.561669242658486</v>
      </c>
      <c r="AR978" s="258">
        <f t="shared" si="182"/>
        <v>11.561669242658486</v>
      </c>
      <c r="AS978" s="97"/>
      <c r="AU978" s="1416"/>
      <c r="DG978" s="1017"/>
      <c r="DH978" s="64"/>
      <c r="DI978" s="64"/>
      <c r="DJ978" s="1059"/>
    </row>
    <row r="979" spans="1:114" s="6" customFormat="1" ht="46.5" hidden="1" customHeight="1" outlineLevel="1" x14ac:dyDescent="0.25">
      <c r="A979" s="270"/>
      <c r="B979" s="116"/>
      <c r="C979" s="62"/>
      <c r="D979" s="1303" t="s">
        <v>2162</v>
      </c>
      <c r="E979" s="1303"/>
      <c r="F979" s="1926">
        <v>7.7</v>
      </c>
      <c r="G979" s="1303" t="s">
        <v>2163</v>
      </c>
      <c r="H979" s="1926">
        <v>7.7</v>
      </c>
      <c r="I979" s="104"/>
      <c r="J979" s="64"/>
      <c r="K979" s="64"/>
      <c r="L979" s="64"/>
      <c r="M979" s="64"/>
      <c r="N979" s="64"/>
      <c r="O979" s="116"/>
      <c r="P979" s="64"/>
      <c r="Q979" s="64"/>
      <c r="R979" s="64"/>
      <c r="S979" s="64"/>
      <c r="T979" s="64"/>
      <c r="U979" s="64"/>
      <c r="V979" s="1464" t="s">
        <v>2164</v>
      </c>
      <c r="W979" s="1464"/>
      <c r="X979" s="422"/>
      <c r="Y979" s="97"/>
      <c r="Z979" s="97"/>
      <c r="AA979" s="97"/>
      <c r="AB979" s="97"/>
      <c r="AC979" s="97"/>
      <c r="AD979" s="97"/>
      <c r="AE979" s="97"/>
      <c r="AF979" s="258">
        <f t="shared" si="181"/>
        <v>7.7</v>
      </c>
      <c r="AG979" s="1405"/>
      <c r="AI979" s="1464" t="s">
        <v>2153</v>
      </c>
      <c r="AJ979" s="117">
        <v>6.7</v>
      </c>
      <c r="AK979" s="117">
        <v>9.4499999999999993</v>
      </c>
      <c r="AL979" s="97">
        <v>9.4499999999999993</v>
      </c>
      <c r="AM979" s="97">
        <v>9.4499999999999993</v>
      </c>
      <c r="AN979" s="97">
        <v>9.4499999999999993</v>
      </c>
      <c r="AO979" s="97">
        <v>9.4499999999999993</v>
      </c>
      <c r="AP979" s="97">
        <v>9.4499999999999993</v>
      </c>
      <c r="AQ979" s="97">
        <v>9.4499999999999993</v>
      </c>
      <c r="AR979" s="258">
        <f t="shared" si="182"/>
        <v>7.7</v>
      </c>
      <c r="AS979" s="423"/>
      <c r="AU979" s="1416"/>
      <c r="DG979" s="1017"/>
      <c r="DH979" s="64"/>
      <c r="DI979" s="64"/>
      <c r="DJ979" s="1059"/>
    </row>
    <row r="980" spans="1:114" s="6" customFormat="1" ht="45" hidden="1" customHeight="1" outlineLevel="1" x14ac:dyDescent="0.25">
      <c r="A980" s="270"/>
      <c r="B980" s="524"/>
      <c r="C980" s="118"/>
      <c r="D980" s="1303" t="s">
        <v>2165</v>
      </c>
      <c r="E980" s="1303" t="s">
        <v>2166</v>
      </c>
      <c r="F980" s="1626">
        <v>556</v>
      </c>
      <c r="G980" s="1303" t="s">
        <v>2167</v>
      </c>
      <c r="H980" s="1626">
        <v>556</v>
      </c>
      <c r="I980" s="104"/>
      <c r="J980" s="64"/>
      <c r="K980" s="64"/>
      <c r="L980" s="64"/>
      <c r="M980" s="64"/>
      <c r="N980" s="64"/>
      <c r="O980" s="524"/>
      <c r="P980" s="64"/>
      <c r="Q980" s="64"/>
      <c r="R980" s="64"/>
      <c r="S980" s="64"/>
      <c r="T980" s="64"/>
      <c r="U980" s="64"/>
      <c r="V980" s="1464" t="s">
        <v>2168</v>
      </c>
      <c r="W980" s="1466">
        <v>556</v>
      </c>
      <c r="X980" s="1466">
        <v>556</v>
      </c>
      <c r="Y980" s="424">
        <v>556</v>
      </c>
      <c r="Z980" s="424">
        <v>556</v>
      </c>
      <c r="AA980" s="424">
        <v>556</v>
      </c>
      <c r="AB980" s="424">
        <v>556</v>
      </c>
      <c r="AC980" s="424">
        <v>556</v>
      </c>
      <c r="AD980" s="424">
        <v>556</v>
      </c>
      <c r="AE980" s="424">
        <v>556</v>
      </c>
      <c r="AF980" s="258">
        <f t="shared" si="181"/>
        <v>556</v>
      </c>
      <c r="AG980" s="1405"/>
      <c r="AI980" s="1464" t="s">
        <v>2153</v>
      </c>
      <c r="AJ980" s="424">
        <v>556</v>
      </c>
      <c r="AK980" s="424">
        <v>556</v>
      </c>
      <c r="AL980" s="424">
        <v>556</v>
      </c>
      <c r="AM980" s="424">
        <v>556</v>
      </c>
      <c r="AN980" s="424">
        <v>556</v>
      </c>
      <c r="AO980" s="424">
        <v>556</v>
      </c>
      <c r="AP980" s="424">
        <v>556</v>
      </c>
      <c r="AQ980" s="424">
        <v>556</v>
      </c>
      <c r="AR980" s="258">
        <f t="shared" si="182"/>
        <v>556</v>
      </c>
      <c r="AS980" s="424"/>
      <c r="AU980" s="1416"/>
      <c r="DG980" s="1017"/>
      <c r="DH980" s="64"/>
      <c r="DI980" s="64"/>
      <c r="DJ980" s="1059"/>
    </row>
    <row r="981" spans="1:114" s="6" customFormat="1" ht="45.4" hidden="1" customHeight="1" outlineLevel="1" x14ac:dyDescent="0.25">
      <c r="A981" s="270"/>
      <c r="B981" s="524"/>
      <c r="C981" s="118"/>
      <c r="D981" s="1303" t="s">
        <v>2169</v>
      </c>
      <c r="E981" s="1303" t="s">
        <v>2170</v>
      </c>
      <c r="F981" s="1626">
        <v>860</v>
      </c>
      <c r="G981" s="1303" t="s">
        <v>2171</v>
      </c>
      <c r="H981" s="1626">
        <v>860</v>
      </c>
      <c r="I981" s="1305" t="s">
        <v>2172</v>
      </c>
      <c r="J981" s="64"/>
      <c r="K981" s="64"/>
      <c r="L981" s="64"/>
      <c r="M981" s="64"/>
      <c r="N981" s="64"/>
      <c r="O981" s="524"/>
      <c r="P981" s="64"/>
      <c r="Q981" s="64"/>
      <c r="R981" s="64"/>
      <c r="S981" s="64"/>
      <c r="T981" s="64"/>
      <c r="U981" s="64"/>
      <c r="V981" s="1464" t="s">
        <v>2173</v>
      </c>
      <c r="W981" s="1466">
        <v>860</v>
      </c>
      <c r="X981" s="1466">
        <v>860</v>
      </c>
      <c r="Y981" s="424">
        <v>860</v>
      </c>
      <c r="Z981" s="424">
        <v>860</v>
      </c>
      <c r="AA981" s="424">
        <v>860</v>
      </c>
      <c r="AB981" s="424">
        <v>860</v>
      </c>
      <c r="AC981" s="424">
        <v>860</v>
      </c>
      <c r="AD981" s="424">
        <v>860</v>
      </c>
      <c r="AE981" s="424">
        <v>860</v>
      </c>
      <c r="AF981" s="258">
        <f t="shared" si="181"/>
        <v>860</v>
      </c>
      <c r="AG981" s="1405"/>
      <c r="AI981" s="1464" t="s">
        <v>2153</v>
      </c>
      <c r="AJ981" s="425">
        <v>1215</v>
      </c>
      <c r="AK981" s="425">
        <v>860</v>
      </c>
      <c r="AL981" s="424">
        <v>860</v>
      </c>
      <c r="AM981" s="424">
        <v>860</v>
      </c>
      <c r="AN981" s="424">
        <v>860</v>
      </c>
      <c r="AO981" s="424">
        <v>860</v>
      </c>
      <c r="AP981" s="424">
        <v>860</v>
      </c>
      <c r="AQ981" s="424">
        <v>860</v>
      </c>
      <c r="AR981" s="258">
        <f t="shared" si="182"/>
        <v>860</v>
      </c>
      <c r="AS981" s="425"/>
      <c r="AU981" s="1416"/>
      <c r="DG981" s="1017"/>
      <c r="DH981" s="64"/>
      <c r="DI981" s="64"/>
      <c r="DJ981" s="1059"/>
    </row>
    <row r="982" spans="1:114" s="6" customFormat="1" ht="30" hidden="1" customHeight="1" outlineLevel="1" x14ac:dyDescent="0.25">
      <c r="A982" s="270"/>
      <c r="B982" s="524"/>
      <c r="C982" s="118"/>
      <c r="D982" s="1303" t="s">
        <v>2174</v>
      </c>
      <c r="E982" s="1303" t="s">
        <v>591</v>
      </c>
      <c r="F982" s="1626">
        <v>1000</v>
      </c>
      <c r="G982" s="1303" t="s">
        <v>591</v>
      </c>
      <c r="H982" s="1626">
        <v>1000</v>
      </c>
      <c r="I982" s="104"/>
      <c r="J982" s="64"/>
      <c r="K982" s="64"/>
      <c r="L982" s="64"/>
      <c r="M982" s="64"/>
      <c r="N982" s="64"/>
      <c r="O982" s="524"/>
      <c r="P982" s="64"/>
      <c r="Q982" s="64"/>
      <c r="R982" s="64"/>
      <c r="S982" s="64"/>
      <c r="T982" s="64"/>
      <c r="U982" s="64"/>
      <c r="V982" s="1464" t="s">
        <v>2174</v>
      </c>
      <c r="W982" s="1464">
        <v>1000</v>
      </c>
      <c r="X982" s="1464">
        <v>1000</v>
      </c>
      <c r="Y982" s="97">
        <v>1000</v>
      </c>
      <c r="Z982" s="97">
        <v>1000</v>
      </c>
      <c r="AA982" s="97">
        <v>1000</v>
      </c>
      <c r="AB982" s="97">
        <v>1000</v>
      </c>
      <c r="AC982" s="97">
        <v>1000</v>
      </c>
      <c r="AD982" s="97">
        <v>1000</v>
      </c>
      <c r="AE982" s="97">
        <v>1000</v>
      </c>
      <c r="AF982" s="258">
        <f t="shared" si="181"/>
        <v>1000</v>
      </c>
      <c r="AG982" s="1405"/>
      <c r="AI982" s="1464" t="s">
        <v>2153</v>
      </c>
      <c r="AJ982" s="117">
        <v>1000</v>
      </c>
      <c r="AK982" s="1465">
        <v>1000</v>
      </c>
      <c r="AL982" s="103">
        <v>1000</v>
      </c>
      <c r="AM982" s="103">
        <v>1000</v>
      </c>
      <c r="AN982" s="103">
        <v>1000</v>
      </c>
      <c r="AO982" s="103">
        <v>1000</v>
      </c>
      <c r="AP982" s="103">
        <v>1000</v>
      </c>
      <c r="AQ982" s="103">
        <v>1000</v>
      </c>
      <c r="AR982" s="258">
        <f t="shared" si="182"/>
        <v>1000</v>
      </c>
      <c r="AS982" s="1465"/>
      <c r="AU982" s="1416"/>
      <c r="DG982" s="1017"/>
      <c r="DH982" s="64"/>
      <c r="DI982" s="64"/>
      <c r="DJ982" s="1059"/>
    </row>
    <row r="983" spans="1:114" s="6" customFormat="1" ht="63.4" hidden="1" customHeight="1" outlineLevel="1" x14ac:dyDescent="0.25">
      <c r="A983" s="270"/>
      <c r="B983" s="524"/>
      <c r="C983" s="118"/>
      <c r="D983" s="1303" t="s">
        <v>104</v>
      </c>
      <c r="E983" s="1303" t="s">
        <v>2175</v>
      </c>
      <c r="F983" s="471">
        <v>0.97560975609756095</v>
      </c>
      <c r="G983" s="1303" t="s">
        <v>2176</v>
      </c>
      <c r="H983" s="514">
        <v>1</v>
      </c>
      <c r="I983" s="104"/>
      <c r="J983" s="64"/>
      <c r="K983" s="64"/>
      <c r="L983" s="64"/>
      <c r="M983" s="64"/>
      <c r="N983" s="64"/>
      <c r="O983" s="524"/>
      <c r="P983" s="64"/>
      <c r="Q983" s="64"/>
      <c r="R983" s="64"/>
      <c r="S983" s="64"/>
      <c r="T983" s="64"/>
      <c r="U983" s="64"/>
      <c r="V983" s="1464" t="s">
        <v>679</v>
      </c>
      <c r="W983" s="1661">
        <v>0.97560975609756095</v>
      </c>
      <c r="X983" s="1661">
        <v>0.97560975609756095</v>
      </c>
      <c r="Y983" s="98">
        <v>0.97560975609756095</v>
      </c>
      <c r="Z983" s="98">
        <v>0.97560975609756095</v>
      </c>
      <c r="AA983" s="98">
        <v>0.97560975609756095</v>
      </c>
      <c r="AB983" s="98">
        <v>0.97560975609756095</v>
      </c>
      <c r="AC983" s="98">
        <v>0.97560975609756095</v>
      </c>
      <c r="AD983" s="98">
        <v>0.97560975609756095</v>
      </c>
      <c r="AE983" s="98">
        <v>0.97560975609756095</v>
      </c>
      <c r="AF983" s="258">
        <f t="shared" si="181"/>
        <v>0.97560975609756095</v>
      </c>
      <c r="AG983" s="1405"/>
      <c r="AI983" s="1464" t="s">
        <v>2153</v>
      </c>
      <c r="AJ983" s="215">
        <v>1</v>
      </c>
      <c r="AK983" s="98">
        <v>1</v>
      </c>
      <c r="AL983" s="98">
        <v>1</v>
      </c>
      <c r="AM983" s="98">
        <v>1</v>
      </c>
      <c r="AN983" s="98">
        <v>1</v>
      </c>
      <c r="AO983" s="98">
        <v>1</v>
      </c>
      <c r="AP983" s="98">
        <v>1</v>
      </c>
      <c r="AQ983" s="98">
        <v>1</v>
      </c>
      <c r="AR983" s="258">
        <f t="shared" si="182"/>
        <v>1</v>
      </c>
      <c r="AS983" s="1465"/>
      <c r="AU983" s="1416"/>
      <c r="DG983" s="1017"/>
      <c r="DH983" s="64"/>
      <c r="DI983" s="64"/>
      <c r="DJ983" s="1059"/>
    </row>
    <row r="984" spans="1:114" s="6" customFormat="1" ht="68.650000000000006" hidden="1" customHeight="1" outlineLevel="1" x14ac:dyDescent="0.25">
      <c r="A984" s="270"/>
      <c r="B984" s="64"/>
      <c r="C984" s="62"/>
      <c r="D984" s="1370" t="str">
        <f>D959</f>
        <v>EUL</v>
      </c>
      <c r="E984" s="1370"/>
      <c r="F984" s="1927">
        <v>12</v>
      </c>
      <c r="G984" s="1928" t="s">
        <v>2177</v>
      </c>
      <c r="H984" s="1929">
        <f>F984</f>
        <v>12</v>
      </c>
      <c r="I984" s="104" t="s">
        <v>62</v>
      </c>
      <c r="J984" s="64"/>
      <c r="K984" s="64"/>
      <c r="L984" s="64"/>
      <c r="M984" s="64"/>
      <c r="N984" s="64"/>
      <c r="O984" s="64"/>
      <c r="P984" s="64"/>
      <c r="Q984" s="64"/>
      <c r="R984" s="64"/>
      <c r="S984" s="64"/>
      <c r="T984" s="64"/>
      <c r="U984" s="64"/>
      <c r="V984" s="1464" t="str">
        <f>D984</f>
        <v>EUL</v>
      </c>
      <c r="W984" s="1430">
        <v>9</v>
      </c>
      <c r="X984" s="1430">
        <v>9</v>
      </c>
      <c r="Y984" s="111">
        <v>9</v>
      </c>
      <c r="Z984" s="111">
        <v>9</v>
      </c>
      <c r="AA984" s="111">
        <v>9</v>
      </c>
      <c r="AB984" s="111">
        <v>9</v>
      </c>
      <c r="AC984" s="111">
        <v>9</v>
      </c>
      <c r="AD984" s="111">
        <v>9</v>
      </c>
      <c r="AE984" s="111">
        <v>9</v>
      </c>
      <c r="AF984" s="258">
        <f t="shared" si="181"/>
        <v>12</v>
      </c>
      <c r="AG984" s="1430"/>
      <c r="AI984" s="1467">
        <v>9</v>
      </c>
      <c r="AJ984" s="1467">
        <v>9</v>
      </c>
      <c r="AK984" s="426">
        <v>9</v>
      </c>
      <c r="AL984" s="426">
        <v>9</v>
      </c>
      <c r="AM984" s="426">
        <v>9</v>
      </c>
      <c r="AN984" s="426">
        <v>9</v>
      </c>
      <c r="AO984" s="426">
        <v>9</v>
      </c>
      <c r="AP984" s="426">
        <v>9</v>
      </c>
      <c r="AQ984" s="426">
        <v>9</v>
      </c>
      <c r="AR984" s="258">
        <f t="shared" si="182"/>
        <v>12</v>
      </c>
      <c r="AS984" s="1467"/>
      <c r="AU984" s="1416"/>
      <c r="DG984" s="1017"/>
      <c r="DH984" s="64"/>
      <c r="DI984" s="64"/>
      <c r="DJ984" s="1059"/>
    </row>
    <row r="985" spans="1:114" s="6" customFormat="1" ht="28.9" hidden="1" customHeight="1" outlineLevel="1" x14ac:dyDescent="0.25">
      <c r="A985" s="270"/>
      <c r="B985" s="64"/>
      <c r="C985" s="62"/>
      <c r="D985" s="1370" t="str">
        <f>D961</f>
        <v>Inc. Cost</v>
      </c>
      <c r="E985" s="1370"/>
      <c r="F985" s="1930">
        <v>300</v>
      </c>
      <c r="G985" s="1928" t="s">
        <v>2178</v>
      </c>
      <c r="H985" s="1931">
        <f>F985</f>
        <v>300</v>
      </c>
      <c r="I985" s="104" t="s">
        <v>62</v>
      </c>
      <c r="J985" s="64"/>
      <c r="K985" s="64"/>
      <c r="L985" s="64"/>
      <c r="M985" s="64"/>
      <c r="N985" s="64"/>
      <c r="O985" s="64"/>
      <c r="P985" s="64"/>
      <c r="Q985" s="64"/>
      <c r="R985" s="64"/>
      <c r="S985" s="64"/>
      <c r="T985" s="64"/>
      <c r="U985" s="64"/>
      <c r="V985" s="1464" t="str">
        <f>D985</f>
        <v>Inc. Cost</v>
      </c>
      <c r="W985" s="1431">
        <v>20</v>
      </c>
      <c r="X985" s="1431">
        <v>20</v>
      </c>
      <c r="Y985" s="417">
        <v>20</v>
      </c>
      <c r="Z985" s="417">
        <v>20</v>
      </c>
      <c r="AA985" s="417">
        <v>20</v>
      </c>
      <c r="AB985" s="417">
        <v>20</v>
      </c>
      <c r="AC985" s="417">
        <v>20</v>
      </c>
      <c r="AD985" s="417">
        <v>20</v>
      </c>
      <c r="AE985" s="417">
        <v>20</v>
      </c>
      <c r="AF985" s="258">
        <f t="shared" si="181"/>
        <v>300</v>
      </c>
      <c r="AG985" s="1431"/>
      <c r="AI985" s="1431">
        <v>20</v>
      </c>
      <c r="AJ985" s="1431">
        <v>20</v>
      </c>
      <c r="AK985" s="417">
        <v>20</v>
      </c>
      <c r="AL985" s="417">
        <v>20</v>
      </c>
      <c r="AM985" s="417">
        <v>20</v>
      </c>
      <c r="AN985" s="417">
        <v>20</v>
      </c>
      <c r="AO985" s="417">
        <v>20</v>
      </c>
      <c r="AP985" s="417">
        <v>20</v>
      </c>
      <c r="AQ985" s="417">
        <v>20</v>
      </c>
      <c r="AR985" s="258">
        <f t="shared" si="182"/>
        <v>300</v>
      </c>
      <c r="AS985" s="1431"/>
      <c r="AU985" s="1416"/>
      <c r="DG985" s="1017"/>
      <c r="DH985" s="64"/>
      <c r="DI985" s="64"/>
      <c r="DJ985" s="1059"/>
    </row>
    <row r="986" spans="1:114" s="6" customFormat="1" hidden="1" outlineLevel="1" x14ac:dyDescent="0.25">
      <c r="A986" s="270"/>
      <c r="B986" s="64"/>
      <c r="C986" s="62"/>
      <c r="D986" s="119"/>
      <c r="E986" s="119"/>
      <c r="F986" s="120"/>
      <c r="G986" s="121"/>
      <c r="H986" s="64"/>
      <c r="I986" s="64"/>
      <c r="J986" s="64"/>
      <c r="K986" s="64"/>
      <c r="L986" s="64"/>
      <c r="M986" s="64"/>
      <c r="N986" s="64"/>
      <c r="O986" s="64"/>
      <c r="P986" s="64"/>
      <c r="Q986" s="64"/>
      <c r="R986" s="64"/>
      <c r="S986" s="64"/>
      <c r="T986" s="64"/>
      <c r="U986" s="64"/>
      <c r="Y986" s="1429"/>
      <c r="AU986" s="1416"/>
      <c r="DG986" s="1017"/>
      <c r="DH986" s="64"/>
      <c r="DI986" s="64"/>
      <c r="DJ986" s="1059"/>
    </row>
    <row r="987" spans="1:114" s="6" customFormat="1" collapsed="1" x14ac:dyDescent="0.25">
      <c r="A987" s="270"/>
      <c r="B987" s="64"/>
      <c r="C987" s="62"/>
      <c r="D987" s="63"/>
      <c r="E987" s="63"/>
      <c r="F987" s="64"/>
      <c r="G987" s="64"/>
      <c r="H987" s="64"/>
      <c r="I987" s="64"/>
      <c r="J987" s="64"/>
      <c r="K987" s="64"/>
      <c r="L987" s="64"/>
      <c r="M987" s="64"/>
      <c r="N987" s="64"/>
      <c r="O987" s="64"/>
      <c r="P987" s="64"/>
      <c r="Q987" s="64"/>
      <c r="R987" s="64"/>
      <c r="S987" s="64"/>
      <c r="T987" s="64"/>
      <c r="U987" s="64"/>
      <c r="Y987" s="1429"/>
      <c r="AU987" s="1416"/>
      <c r="DG987" s="1017"/>
      <c r="DH987" s="64"/>
      <c r="DI987" s="64"/>
      <c r="DJ987" s="1059"/>
    </row>
    <row r="988" spans="1:114" s="6" customFormat="1" x14ac:dyDescent="0.25">
      <c r="A988" s="270"/>
      <c r="B988" s="64"/>
      <c r="C988" s="62"/>
      <c r="D988" s="63"/>
      <c r="E988" s="63"/>
      <c r="F988" s="64"/>
      <c r="G988" s="64"/>
      <c r="H988" s="64"/>
      <c r="I988" s="64"/>
      <c r="J988" s="64"/>
      <c r="K988" s="64"/>
      <c r="L988" s="64"/>
      <c r="M988" s="64"/>
      <c r="N988" s="64"/>
      <c r="O988" s="64"/>
      <c r="P988" s="64"/>
      <c r="Q988" s="64"/>
      <c r="R988" s="64"/>
      <c r="S988" s="64"/>
      <c r="T988" s="64"/>
      <c r="U988" s="64"/>
      <c r="Y988" s="1429"/>
      <c r="AU988" s="1416"/>
      <c r="DG988" s="1017"/>
      <c r="DH988" s="64"/>
      <c r="DI988" s="64"/>
      <c r="DJ988" s="1059"/>
    </row>
    <row r="989" spans="1:114" s="1387" customFormat="1" x14ac:dyDescent="0.25">
      <c r="A989" s="270"/>
      <c r="B989" s="2247" t="s">
        <v>2179</v>
      </c>
      <c r="C989" s="2247"/>
      <c r="D989" s="2247"/>
      <c r="E989" s="2247"/>
      <c r="F989" s="2247"/>
      <c r="G989" s="2247"/>
      <c r="H989" s="2247"/>
      <c r="I989" s="2247"/>
      <c r="J989" s="2247"/>
      <c r="K989" s="2247"/>
      <c r="L989" s="2247"/>
      <c r="M989" s="2247"/>
      <c r="N989" s="2248"/>
      <c r="O989" s="2248"/>
      <c r="P989" s="2248"/>
      <c r="Q989" s="2248"/>
      <c r="R989" s="2248"/>
      <c r="S989" s="270"/>
      <c r="T989" s="270"/>
      <c r="U989" s="270"/>
      <c r="V989" s="2103" t="str">
        <f>B989</f>
        <v>Cool Roofs</v>
      </c>
      <c r="W989" s="2104"/>
      <c r="X989" s="2104"/>
      <c r="Y989" s="2104"/>
      <c r="Z989" s="2104"/>
      <c r="AA989" s="2104"/>
      <c r="AB989" s="2104"/>
      <c r="AC989" s="2074"/>
      <c r="AD989" s="2074"/>
      <c r="AE989" s="2074"/>
      <c r="AF989" s="2074"/>
      <c r="AG989" s="2074"/>
      <c r="AH989" s="2074"/>
      <c r="AI989" s="2075"/>
      <c r="DG989" s="1568"/>
      <c r="DI989" s="37"/>
      <c r="DJ989" s="1059"/>
    </row>
    <row r="990" spans="1:114" s="1387" customFormat="1" x14ac:dyDescent="0.25">
      <c r="A990" s="270"/>
      <c r="B990" s="1679"/>
      <c r="C990" s="268"/>
      <c r="D990" s="100"/>
      <c r="E990" s="565"/>
      <c r="F990" s="269"/>
      <c r="G990" s="269"/>
      <c r="H990" s="269"/>
      <c r="I990" s="269"/>
      <c r="J990" s="269"/>
      <c r="K990" s="269"/>
      <c r="L990" s="566"/>
      <c r="M990" s="270"/>
      <c r="N990" s="270"/>
      <c r="O990" s="270"/>
      <c r="P990" s="270"/>
      <c r="Q990" s="270"/>
      <c r="R990" s="270"/>
      <c r="S990" s="270"/>
      <c r="T990" s="270"/>
      <c r="U990" s="270"/>
      <c r="Y990" s="1468"/>
      <c r="DG990" s="1568"/>
      <c r="DI990" s="37"/>
      <c r="DJ990" s="1059"/>
    </row>
    <row r="991" spans="1:114" s="1387" customFormat="1" ht="30" x14ac:dyDescent="0.25">
      <c r="A991" s="270"/>
      <c r="B991" s="1679"/>
      <c r="C991" s="1300" t="s">
        <v>42</v>
      </c>
      <c r="D991" s="1300" t="s">
        <v>594</v>
      </c>
      <c r="E991" s="1300" t="s">
        <v>44</v>
      </c>
      <c r="F991" s="1300" t="s">
        <v>45</v>
      </c>
      <c r="G991" s="1300" t="s">
        <v>46</v>
      </c>
      <c r="H991" s="1300" t="s">
        <v>47</v>
      </c>
      <c r="I991" s="1300" t="s">
        <v>48</v>
      </c>
      <c r="J991" s="1312" t="s">
        <v>49</v>
      </c>
      <c r="K991" s="1300" t="s">
        <v>50</v>
      </c>
      <c r="L991" s="1300" t="s">
        <v>51</v>
      </c>
      <c r="M991" s="270"/>
      <c r="N991" s="270"/>
      <c r="O991" s="270"/>
      <c r="P991" s="270"/>
      <c r="Q991" s="270"/>
      <c r="R991" s="270"/>
      <c r="S991" s="270"/>
      <c r="T991" s="270"/>
      <c r="U991" s="270"/>
      <c r="V991" s="165" t="s">
        <v>52</v>
      </c>
      <c r="W991" s="166">
        <v>43252</v>
      </c>
      <c r="X991" s="166">
        <v>43465</v>
      </c>
      <c r="Y991" s="741">
        <v>43800</v>
      </c>
      <c r="Z991" s="166">
        <v>43862</v>
      </c>
      <c r="AA991" s="166">
        <v>44013</v>
      </c>
      <c r="AB991" s="166">
        <v>44166</v>
      </c>
      <c r="AC991" s="166">
        <v>44531</v>
      </c>
      <c r="AD991" s="166">
        <v>44774</v>
      </c>
      <c r="AE991" s="166">
        <v>45139</v>
      </c>
      <c r="AF991" s="166">
        <f t="shared" ref="AF991" si="183">AF$6</f>
        <v>45672</v>
      </c>
      <c r="AG991" s="962" t="s">
        <v>53</v>
      </c>
      <c r="DG991" s="828" t="s">
        <v>54</v>
      </c>
      <c r="DH991" s="1680" t="s">
        <v>55</v>
      </c>
      <c r="DI991" s="829" t="s">
        <v>56</v>
      </c>
      <c r="DJ991" s="1126" t="s">
        <v>57</v>
      </c>
    </row>
    <row r="992" spans="1:114" s="1387" customFormat="1" x14ac:dyDescent="0.25">
      <c r="A992" s="270"/>
      <c r="B992" s="1908">
        <f t="shared" ref="B992:B995" si="184">VALUE(LEFT(C992,6))</f>
        <v>406804</v>
      </c>
      <c r="C992" s="332" t="s">
        <v>2180</v>
      </c>
      <c r="D992" s="537" t="s">
        <v>600</v>
      </c>
      <c r="E992" s="80" t="s">
        <v>2181</v>
      </c>
      <c r="F992" s="558">
        <f>ROUND((G1005*G$1011*G$1010),2)</f>
        <v>114</v>
      </c>
      <c r="G992" s="134" t="s">
        <v>1480</v>
      </c>
      <c r="H992" s="66">
        <f>VLOOKUP(G992,'CP FACTORS'!$A$3:$B$38, 2, FALSE)</f>
        <v>4.6608050000000002E-4</v>
      </c>
      <c r="I992" s="536">
        <f t="shared" ref="I992:I995" si="185">ROUND(F992*H992,6)</f>
        <v>5.3133E-2</v>
      </c>
      <c r="J992" s="254">
        <f t="shared" ref="J992:J999" si="186">$G$1012</f>
        <v>15</v>
      </c>
      <c r="K992" s="255">
        <f t="shared" ref="K992:K999" si="187">G$1013</f>
        <v>7.84</v>
      </c>
      <c r="L992" s="103" t="s">
        <v>2182</v>
      </c>
      <c r="M992" s="270"/>
      <c r="N992" s="270"/>
      <c r="O992" s="270"/>
      <c r="P992" s="270"/>
      <c r="Q992" s="270"/>
      <c r="R992" s="521"/>
      <c r="S992" s="270"/>
      <c r="T992" s="270"/>
      <c r="U992" s="270"/>
      <c r="V992" s="1307" t="s">
        <v>45</v>
      </c>
      <c r="W992" s="981"/>
      <c r="X992" s="256"/>
      <c r="Y992" s="257"/>
      <c r="Z992" s="257"/>
      <c r="AA992" s="257"/>
      <c r="AB992" s="257"/>
      <c r="AC992" s="257"/>
      <c r="AD992" s="558"/>
      <c r="AE992" s="558"/>
      <c r="AF992" s="258">
        <f t="shared" ref="AF992:AF995" si="188">IF(F992&lt;&gt;"",F992,"")</f>
        <v>114</v>
      </c>
      <c r="AG992" s="656"/>
      <c r="AK992" s="1681"/>
      <c r="DG992" s="1682">
        <f t="shared" ref="DG992:DG995" si="189">IFERROR((DI992)/(DJ992),"Varies")</f>
        <v>18.440136967110668</v>
      </c>
      <c r="DH992" s="830" t="str">
        <f t="shared" ref="DH992:DH995" si="190">CONCATENATE(G992," ",J992," Year EUL")</f>
        <v>Building Shell RES 15 Year EUL</v>
      </c>
      <c r="DI992" s="1965">
        <f>(INDEX('Avoided Cost Benefits'!$B$4:$B$865,MATCH(DH992,'Avoided Cost Benefits'!$A$4:$A$865,0)))*F992</f>
        <v>144.57067382214763</v>
      </c>
      <c r="DJ992" s="1952">
        <f t="shared" ref="DJ992:DJ999" si="191">IFERROR(K992/((1+DiscountRate)^(CurrentYear-DiscountYear)),0)</f>
        <v>7.84</v>
      </c>
    </row>
    <row r="993" spans="1:114" s="1387" customFormat="1" x14ac:dyDescent="0.25">
      <c r="A993" s="270"/>
      <c r="B993" s="1908">
        <f t="shared" si="184"/>
        <v>406805</v>
      </c>
      <c r="C993" s="332" t="s">
        <v>2183</v>
      </c>
      <c r="D993" s="537" t="s">
        <v>600</v>
      </c>
      <c r="E993" s="1297" t="s">
        <v>2184</v>
      </c>
      <c r="F993" s="558">
        <f>ROUND((G1006*G$1011*G$1010),2)</f>
        <v>58.1</v>
      </c>
      <c r="G993" s="134" t="s">
        <v>1480</v>
      </c>
      <c r="H993" s="66">
        <f>VLOOKUP(G993,'CP FACTORS'!$A$3:$B$38, 2, FALSE)</f>
        <v>4.6608050000000002E-4</v>
      </c>
      <c r="I993" s="536">
        <f t="shared" si="185"/>
        <v>2.7078999999999999E-2</v>
      </c>
      <c r="J993" s="254">
        <f t="shared" si="186"/>
        <v>15</v>
      </c>
      <c r="K993" s="255">
        <f t="shared" si="187"/>
        <v>7.84</v>
      </c>
      <c r="L993" s="103" t="s">
        <v>2182</v>
      </c>
      <c r="M993" s="270"/>
      <c r="N993" s="270"/>
      <c r="O993" s="270"/>
      <c r="P993" s="270"/>
      <c r="Q993" s="270"/>
      <c r="R993" s="521"/>
      <c r="S993" s="270"/>
      <c r="T993" s="270"/>
      <c r="U993" s="270"/>
      <c r="V993" s="1307" t="s">
        <v>45</v>
      </c>
      <c r="W993" s="981"/>
      <c r="X993" s="256"/>
      <c r="Y993" s="257"/>
      <c r="Z993" s="257"/>
      <c r="AA993" s="257"/>
      <c r="AB993" s="257"/>
      <c r="AC993" s="257"/>
      <c r="AD993" s="558"/>
      <c r="AE993" s="558"/>
      <c r="AF993" s="258">
        <f t="shared" si="188"/>
        <v>58.1</v>
      </c>
      <c r="AG993" s="656"/>
      <c r="AK993" s="1681"/>
      <c r="DG993" s="1682">
        <f t="shared" si="189"/>
        <v>9.3979996297292079</v>
      </c>
      <c r="DH993" s="830" t="str">
        <f t="shared" si="190"/>
        <v>Building Shell RES 15 Year EUL</v>
      </c>
      <c r="DI993" s="1965">
        <f>(INDEX('Avoided Cost Benefits'!$B$4:$B$865,MATCH(DH993,'Avoided Cost Benefits'!$A$4:$A$865,0)))*F993</f>
        <v>73.680317097076994</v>
      </c>
      <c r="DJ993" s="1952">
        <f t="shared" si="191"/>
        <v>7.84</v>
      </c>
    </row>
    <row r="994" spans="1:114" s="1387" customFormat="1" x14ac:dyDescent="0.25">
      <c r="A994" s="270"/>
      <c r="B994" s="1908">
        <f t="shared" si="184"/>
        <v>406806</v>
      </c>
      <c r="C994" s="332" t="s">
        <v>2185</v>
      </c>
      <c r="D994" s="537" t="s">
        <v>600</v>
      </c>
      <c r="E994" s="80" t="s">
        <v>2186</v>
      </c>
      <c r="F994" s="558">
        <f>ROUND((G1007*G$1011*G$1010),2)</f>
        <v>24.9</v>
      </c>
      <c r="G994" s="134" t="s">
        <v>1480</v>
      </c>
      <c r="H994" s="66">
        <f>VLOOKUP(G994,'CP FACTORS'!$A$3:$B$38, 2, FALSE)</f>
        <v>4.6608050000000002E-4</v>
      </c>
      <c r="I994" s="536">
        <f t="shared" si="185"/>
        <v>1.1605000000000001E-2</v>
      </c>
      <c r="J994" s="254">
        <f t="shared" si="186"/>
        <v>15</v>
      </c>
      <c r="K994" s="255">
        <f t="shared" si="187"/>
        <v>7.84</v>
      </c>
      <c r="L994" s="103" t="s">
        <v>2182</v>
      </c>
      <c r="M994" s="270"/>
      <c r="N994" s="270"/>
      <c r="O994" s="270"/>
      <c r="P994" s="270"/>
      <c r="Q994" s="270"/>
      <c r="R994" s="521"/>
      <c r="S994" s="270"/>
      <c r="T994" s="270"/>
      <c r="U994" s="270"/>
      <c r="V994" s="1307" t="s">
        <v>45</v>
      </c>
      <c r="W994" s="981"/>
      <c r="X994" s="256"/>
      <c r="Y994" s="257"/>
      <c r="Z994" s="257"/>
      <c r="AA994" s="257"/>
      <c r="AB994" s="257"/>
      <c r="AC994" s="257"/>
      <c r="AD994" s="558"/>
      <c r="AE994" s="558"/>
      <c r="AF994" s="258">
        <f t="shared" si="188"/>
        <v>24.9</v>
      </c>
      <c r="AG994" s="656"/>
      <c r="AK994" s="1681"/>
      <c r="DG994" s="1682">
        <f t="shared" si="189"/>
        <v>4.0277141270268038</v>
      </c>
      <c r="DH994" s="830" t="str">
        <f t="shared" si="190"/>
        <v>Building Shell RES 15 Year EUL</v>
      </c>
      <c r="DI994" s="1965">
        <f>(INDEX('Avoided Cost Benefits'!$B$4:$B$865,MATCH(DH994,'Avoided Cost Benefits'!$A$4:$A$865,0)))*F994</f>
        <v>31.577278755890138</v>
      </c>
      <c r="DJ994" s="1952">
        <f t="shared" si="191"/>
        <v>7.84</v>
      </c>
    </row>
    <row r="995" spans="1:114" s="1387" customFormat="1" x14ac:dyDescent="0.25">
      <c r="A995" s="270"/>
      <c r="B995" s="1908">
        <f t="shared" si="184"/>
        <v>406807</v>
      </c>
      <c r="C995" s="332" t="s">
        <v>2187</v>
      </c>
      <c r="D995" s="537" t="s">
        <v>600</v>
      </c>
      <c r="E995" s="80" t="s">
        <v>2188</v>
      </c>
      <c r="F995" s="558">
        <f>ROUND((G1008*G$1011*G$1010),2)</f>
        <v>19.5</v>
      </c>
      <c r="G995" s="134" t="s">
        <v>1480</v>
      </c>
      <c r="H995" s="66">
        <f>VLOOKUP(G995,'CP FACTORS'!$A$3:$B$38, 2, FALSE)</f>
        <v>4.6608050000000002E-4</v>
      </c>
      <c r="I995" s="536">
        <f t="shared" si="185"/>
        <v>9.0889999999999999E-3</v>
      </c>
      <c r="J995" s="254">
        <f t="shared" si="186"/>
        <v>15</v>
      </c>
      <c r="K995" s="255">
        <f t="shared" si="187"/>
        <v>7.84</v>
      </c>
      <c r="L995" s="103" t="s">
        <v>2182</v>
      </c>
      <c r="M995" s="270"/>
      <c r="N995" s="270"/>
      <c r="O995" s="270"/>
      <c r="P995" s="270"/>
      <c r="Q995" s="270"/>
      <c r="R995" s="521"/>
      <c r="S995" s="270"/>
      <c r="T995" s="270"/>
      <c r="U995" s="270"/>
      <c r="V995" s="1307" t="s">
        <v>45</v>
      </c>
      <c r="W995" s="981"/>
      <c r="X995" s="256"/>
      <c r="Y995" s="257"/>
      <c r="Z995" s="257"/>
      <c r="AA995" s="257"/>
      <c r="AB995" s="257"/>
      <c r="AC995" s="257"/>
      <c r="AD995" s="558"/>
      <c r="AE995" s="558"/>
      <c r="AF995" s="258">
        <f t="shared" si="188"/>
        <v>19.5</v>
      </c>
      <c r="AG995" s="656"/>
      <c r="AK995" s="1681"/>
      <c r="DG995" s="1682">
        <f t="shared" si="189"/>
        <v>3.154233954900509</v>
      </c>
      <c r="DH995" s="830" t="str">
        <f t="shared" si="190"/>
        <v>Building Shell RES 15 Year EUL</v>
      </c>
      <c r="DI995" s="1965">
        <f>(INDEX('Avoided Cost Benefits'!$B$4:$B$865,MATCH(DH995,'Avoided Cost Benefits'!$A$4:$A$865,0)))*F995</f>
        <v>24.72919420641999</v>
      </c>
      <c r="DJ995" s="1952">
        <f t="shared" si="191"/>
        <v>7.84</v>
      </c>
    </row>
    <row r="996" spans="1:114" s="1387" customFormat="1" x14ac:dyDescent="0.25">
      <c r="A996" s="270"/>
      <c r="B996" s="1908">
        <f t="shared" ref="B996:B999" si="192">VALUE(LEFT(C996,6))</f>
        <v>406812</v>
      </c>
      <c r="C996" s="332" t="s">
        <v>2189</v>
      </c>
      <c r="D996" s="537" t="s">
        <v>600</v>
      </c>
      <c r="E996" s="80" t="s">
        <v>2190</v>
      </c>
      <c r="F996" s="558">
        <f>ROUND((G1005*G$1011*G$1009),2)</f>
        <v>47.88</v>
      </c>
      <c r="G996" s="134" t="s">
        <v>1480</v>
      </c>
      <c r="H996" s="66">
        <f>VLOOKUP(G996,'CP FACTORS'!$A$3:$B$38, 2, FALSE)</f>
        <v>4.6608050000000002E-4</v>
      </c>
      <c r="I996" s="536">
        <f t="shared" ref="I996:I999" si="193">ROUND(F996*H996,6)</f>
        <v>2.2315999999999999E-2</v>
      </c>
      <c r="J996" s="254">
        <f t="shared" si="186"/>
        <v>15</v>
      </c>
      <c r="K996" s="255">
        <f t="shared" si="187"/>
        <v>7.84</v>
      </c>
      <c r="L996" s="103" t="s">
        <v>2182</v>
      </c>
      <c r="M996" s="270"/>
      <c r="N996" s="270"/>
      <c r="O996" s="270"/>
      <c r="P996" s="270"/>
      <c r="Q996" s="270"/>
      <c r="R996" s="521"/>
      <c r="S996" s="270"/>
      <c r="T996" s="270"/>
      <c r="U996" s="270"/>
      <c r="V996" s="1307" t="s">
        <v>45</v>
      </c>
      <c r="W996" s="981"/>
      <c r="X996" s="256"/>
      <c r="Y996" s="257"/>
      <c r="Z996" s="257"/>
      <c r="AA996" s="257"/>
      <c r="AB996" s="257"/>
      <c r="AC996" s="257"/>
      <c r="AD996" s="558"/>
      <c r="AE996" s="558"/>
      <c r="AF996" s="258">
        <f t="shared" ref="AF996:AF999" si="194">IF(F996&lt;&gt;"",F996,"")</f>
        <v>47.88</v>
      </c>
      <c r="AG996" s="656"/>
      <c r="AK996" s="1681"/>
      <c r="DG996" s="1682">
        <f t="shared" ref="DG996:DG999" si="195">IFERROR((DI996)/(DJ996),"Varies")</f>
        <v>7.7448575261864807</v>
      </c>
      <c r="DH996" s="830" t="str">
        <f t="shared" ref="DH996:DH999" si="196">CONCATENATE(G996," ",J996," Year EUL")</f>
        <v>Building Shell RES 15 Year EUL</v>
      </c>
      <c r="DI996" s="1965">
        <f>(INDEX('Avoided Cost Benefits'!$B$4:$B$865,MATCH(DH996,'Avoided Cost Benefits'!$A$4:$A$865,0)))*F996</f>
        <v>60.719683005302009</v>
      </c>
      <c r="DJ996" s="1952">
        <f t="shared" si="191"/>
        <v>7.84</v>
      </c>
    </row>
    <row r="997" spans="1:114" s="1387" customFormat="1" x14ac:dyDescent="0.25">
      <c r="A997" s="270"/>
      <c r="B997" s="1908">
        <f t="shared" si="192"/>
        <v>406813</v>
      </c>
      <c r="C997" s="332" t="s">
        <v>2191</v>
      </c>
      <c r="D997" s="537" t="s">
        <v>600</v>
      </c>
      <c r="E997" s="1297" t="s">
        <v>2192</v>
      </c>
      <c r="F997" s="558">
        <f>ROUND((G1006*G$1011*G$1009),2)</f>
        <v>24.4</v>
      </c>
      <c r="G997" s="134" t="s">
        <v>1480</v>
      </c>
      <c r="H997" s="66">
        <f>VLOOKUP(G997,'CP FACTORS'!$A$3:$B$38, 2, FALSE)</f>
        <v>4.6608050000000002E-4</v>
      </c>
      <c r="I997" s="536">
        <f t="shared" si="193"/>
        <v>1.1372E-2</v>
      </c>
      <c r="J997" s="254">
        <f t="shared" si="186"/>
        <v>15</v>
      </c>
      <c r="K997" s="255">
        <f t="shared" si="187"/>
        <v>7.84</v>
      </c>
      <c r="L997" s="103" t="s">
        <v>2182</v>
      </c>
      <c r="M997" s="270"/>
      <c r="N997" s="270"/>
      <c r="O997" s="270"/>
      <c r="P997" s="270"/>
      <c r="Q997" s="270"/>
      <c r="R997" s="521"/>
      <c r="S997" s="270"/>
      <c r="T997" s="270"/>
      <c r="U997" s="270"/>
      <c r="V997" s="1307" t="s">
        <v>45</v>
      </c>
      <c r="W997" s="981"/>
      <c r="X997" s="256"/>
      <c r="Y997" s="257"/>
      <c r="Z997" s="257"/>
      <c r="AA997" s="257"/>
      <c r="AB997" s="257"/>
      <c r="AC997" s="257"/>
      <c r="AD997" s="558"/>
      <c r="AE997" s="558"/>
      <c r="AF997" s="258">
        <f t="shared" si="194"/>
        <v>24.4</v>
      </c>
      <c r="AG997" s="656"/>
      <c r="AK997" s="1681"/>
      <c r="DG997" s="1682">
        <f t="shared" si="195"/>
        <v>3.9468363333114058</v>
      </c>
      <c r="DH997" s="830" t="str">
        <f t="shared" si="196"/>
        <v>Building Shell RES 15 Year EUL</v>
      </c>
      <c r="DI997" s="1965">
        <f>(INDEX('Avoided Cost Benefits'!$B$4:$B$865,MATCH(DH997,'Avoided Cost Benefits'!$A$4:$A$865,0)))*F997</f>
        <v>30.943196853161421</v>
      </c>
      <c r="DJ997" s="1952">
        <f t="shared" si="191"/>
        <v>7.84</v>
      </c>
    </row>
    <row r="998" spans="1:114" s="1387" customFormat="1" x14ac:dyDescent="0.25">
      <c r="A998" s="270"/>
      <c r="B998" s="1908">
        <f t="shared" si="192"/>
        <v>406814</v>
      </c>
      <c r="C998" s="332" t="s">
        <v>2193</v>
      </c>
      <c r="D998" s="537" t="s">
        <v>600</v>
      </c>
      <c r="E998" s="80" t="s">
        <v>2194</v>
      </c>
      <c r="F998" s="558">
        <f>ROUND((G1007*G$1011*G$1009),2)</f>
        <v>10.46</v>
      </c>
      <c r="G998" s="134" t="s">
        <v>1480</v>
      </c>
      <c r="H998" s="66">
        <f>VLOOKUP(G998,'CP FACTORS'!$A$3:$B$38, 2, FALSE)</f>
        <v>4.6608050000000002E-4</v>
      </c>
      <c r="I998" s="536">
        <f t="shared" si="193"/>
        <v>4.875E-3</v>
      </c>
      <c r="J998" s="254">
        <f t="shared" si="186"/>
        <v>15</v>
      </c>
      <c r="K998" s="255">
        <f t="shared" si="187"/>
        <v>7.84</v>
      </c>
      <c r="L998" s="103" t="s">
        <v>2182</v>
      </c>
      <c r="M998" s="270"/>
      <c r="N998" s="270"/>
      <c r="O998" s="270"/>
      <c r="P998" s="270"/>
      <c r="Q998" s="270"/>
      <c r="R998" s="521"/>
      <c r="S998" s="270"/>
      <c r="T998" s="270"/>
      <c r="U998" s="270"/>
      <c r="V998" s="1307" t="s">
        <v>45</v>
      </c>
      <c r="W998" s="981"/>
      <c r="X998" s="256"/>
      <c r="Y998" s="257"/>
      <c r="Z998" s="257"/>
      <c r="AA998" s="257"/>
      <c r="AB998" s="257"/>
      <c r="AC998" s="257"/>
      <c r="AD998" s="558"/>
      <c r="AE998" s="558"/>
      <c r="AF998" s="258">
        <f t="shared" si="194"/>
        <v>10.46</v>
      </c>
      <c r="AG998" s="656"/>
      <c r="AK998" s="1681"/>
      <c r="DG998" s="1682">
        <f t="shared" si="195"/>
        <v>1.6919634445261194</v>
      </c>
      <c r="DH998" s="830" t="str">
        <f t="shared" si="196"/>
        <v>Building Shell RES 15 Year EUL</v>
      </c>
      <c r="DI998" s="1965">
        <f>(INDEX('Avoided Cost Benefits'!$B$4:$B$865,MATCH(DH998,'Avoided Cost Benefits'!$A$4:$A$865,0)))*F998</f>
        <v>13.264993405084775</v>
      </c>
      <c r="DJ998" s="1952">
        <f t="shared" si="191"/>
        <v>7.84</v>
      </c>
    </row>
    <row r="999" spans="1:114" s="1387" customFormat="1" x14ac:dyDescent="0.25">
      <c r="A999" s="270"/>
      <c r="B999" s="1908">
        <f t="shared" si="192"/>
        <v>406815</v>
      </c>
      <c r="C999" s="332" t="s">
        <v>2195</v>
      </c>
      <c r="D999" s="537" t="s">
        <v>600</v>
      </c>
      <c r="E999" s="80" t="s">
        <v>2196</v>
      </c>
      <c r="F999" s="558">
        <f>ROUND((G1008*G$1011*G$1009),2)</f>
        <v>8.19</v>
      </c>
      <c r="G999" s="134" t="s">
        <v>1480</v>
      </c>
      <c r="H999" s="66">
        <f>VLOOKUP(G999,'CP FACTORS'!$A$3:$B$38, 2, FALSE)</f>
        <v>4.6608050000000002E-4</v>
      </c>
      <c r="I999" s="536">
        <f t="shared" si="193"/>
        <v>3.8170000000000001E-3</v>
      </c>
      <c r="J999" s="254">
        <f t="shared" si="186"/>
        <v>15</v>
      </c>
      <c r="K999" s="255">
        <f t="shared" si="187"/>
        <v>7.84</v>
      </c>
      <c r="L999" s="103" t="s">
        <v>2182</v>
      </c>
      <c r="M999" s="270"/>
      <c r="N999" s="270"/>
      <c r="O999" s="270"/>
      <c r="P999" s="270"/>
      <c r="Q999" s="270"/>
      <c r="R999" s="521"/>
      <c r="S999" s="270"/>
      <c r="T999" s="270"/>
      <c r="U999" s="270"/>
      <c r="V999" s="1307" t="s">
        <v>45</v>
      </c>
      <c r="W999" s="981"/>
      <c r="X999" s="256"/>
      <c r="Y999" s="257"/>
      <c r="Z999" s="257"/>
      <c r="AA999" s="257"/>
      <c r="AB999" s="257"/>
      <c r="AC999" s="257"/>
      <c r="AD999" s="558"/>
      <c r="AE999" s="558"/>
      <c r="AF999" s="258">
        <f t="shared" si="194"/>
        <v>8.19</v>
      </c>
      <c r="AG999" s="656"/>
      <c r="AK999" s="1681"/>
      <c r="DG999" s="322">
        <f t="shared" si="195"/>
        <v>1.3247782610582135</v>
      </c>
      <c r="DH999" s="1683" t="str">
        <f t="shared" si="196"/>
        <v>Building Shell RES 15 Year EUL</v>
      </c>
      <c r="DI999" s="1966">
        <f>(INDEX('Avoided Cost Benefits'!$B$4:$B$865,MATCH(DH999,'Avoided Cost Benefits'!$A$4:$A$865,0)))*F999</f>
        <v>10.386261566696394</v>
      </c>
      <c r="DJ999" s="1953">
        <f t="shared" si="191"/>
        <v>7.84</v>
      </c>
    </row>
    <row r="1000" spans="1:114" s="1387" customFormat="1" hidden="1" outlineLevel="1" x14ac:dyDescent="0.25">
      <c r="A1000" s="270"/>
      <c r="C1000" s="62"/>
      <c r="D1000" s="74" t="s">
        <v>94</v>
      </c>
      <c r="E1000" s="74" t="s">
        <v>2197</v>
      </c>
      <c r="F1000" s="69"/>
      <c r="G1000" s="64"/>
      <c r="H1000" s="64"/>
      <c r="I1000" s="64"/>
      <c r="J1000" s="64"/>
      <c r="K1000" s="270"/>
      <c r="L1000" s="270"/>
      <c r="M1000" s="270"/>
      <c r="N1000" s="270"/>
      <c r="O1000" s="270"/>
      <c r="P1000" s="270"/>
      <c r="Q1000" s="270"/>
      <c r="R1000" s="270"/>
      <c r="S1000" s="270"/>
      <c r="T1000" s="270"/>
      <c r="U1000" s="270"/>
      <c r="V1000" s="39"/>
      <c r="W1000" s="39"/>
      <c r="X1000" s="39"/>
      <c r="Y1000" s="671"/>
      <c r="Z1000" s="39"/>
      <c r="AA1000" s="39"/>
      <c r="AB1000" s="39"/>
      <c r="AC1000" s="39"/>
      <c r="AD1000" s="39"/>
      <c r="AE1000" s="39"/>
      <c r="AF1000" s="39"/>
      <c r="AG1000" s="39"/>
      <c r="AK1000" s="1681"/>
      <c r="DG1000" s="1568"/>
      <c r="DJ1000" s="1059"/>
    </row>
    <row r="1001" spans="1:114" s="1387" customFormat="1" hidden="1" outlineLevel="1" x14ac:dyDescent="0.25">
      <c r="A1001" s="270"/>
      <c r="C1001" s="62"/>
      <c r="D1001" s="74" t="s">
        <v>604</v>
      </c>
      <c r="E1001" s="74" t="s">
        <v>2198</v>
      </c>
      <c r="F1001" s="559"/>
      <c r="G1001" s="64"/>
      <c r="H1001" s="64"/>
      <c r="I1001" s="64"/>
      <c r="J1001" s="64"/>
      <c r="K1001" s="270"/>
      <c r="L1001" s="270"/>
      <c r="M1001" s="270"/>
      <c r="N1001" s="270"/>
      <c r="O1001" s="270"/>
      <c r="P1001" s="270"/>
      <c r="Q1001" s="270"/>
      <c r="R1001" s="270"/>
      <c r="S1001" s="270"/>
      <c r="T1001" s="270"/>
      <c r="U1001" s="270"/>
      <c r="V1001" s="39"/>
      <c r="W1001" s="39"/>
      <c r="X1001" s="39"/>
      <c r="Y1001" s="671"/>
      <c r="Z1001" s="39"/>
      <c r="AA1001" s="39"/>
      <c r="AB1001" s="39"/>
      <c r="AC1001" s="39"/>
      <c r="AD1001" s="39"/>
      <c r="AE1001" s="39"/>
      <c r="AF1001" s="39"/>
      <c r="AG1001" s="39"/>
      <c r="AK1001" s="1681"/>
      <c r="DG1001" s="1568"/>
      <c r="DJ1001" s="1059"/>
    </row>
    <row r="1002" spans="1:114" s="1387" customFormat="1" hidden="1" outlineLevel="1" x14ac:dyDescent="0.25">
      <c r="A1002" s="270"/>
      <c r="C1002" s="62"/>
      <c r="D1002" s="100"/>
      <c r="E1002" s="1383" t="s">
        <v>607</v>
      </c>
      <c r="F1002" s="559"/>
      <c r="G1002" s="64"/>
      <c r="H1002" s="64"/>
      <c r="I1002" s="64"/>
      <c r="J1002" s="64"/>
      <c r="K1002" s="64"/>
      <c r="L1002" s="64"/>
      <c r="M1002" s="270"/>
      <c r="N1002" s="270"/>
      <c r="O1002" s="270"/>
      <c r="P1002" s="270"/>
      <c r="Q1002" s="270"/>
      <c r="R1002" s="270"/>
      <c r="S1002" s="270"/>
      <c r="T1002" s="270"/>
      <c r="U1002" s="270"/>
      <c r="V1002" s="39"/>
      <c r="W1002" s="39"/>
      <c r="X1002" s="39"/>
      <c r="Y1002" s="671"/>
      <c r="Z1002" s="39"/>
      <c r="AA1002" s="39"/>
      <c r="AB1002" s="39"/>
      <c r="AC1002" s="39"/>
      <c r="AD1002" s="39"/>
      <c r="AE1002" s="39"/>
      <c r="AF1002" s="39"/>
      <c r="AG1002" s="39"/>
      <c r="AK1002" s="1681"/>
      <c r="DG1002" s="1568"/>
      <c r="DJ1002" s="1059"/>
    </row>
    <row r="1003" spans="1:114" s="1387" customFormat="1" ht="15" hidden="1" customHeight="1" outlineLevel="1" x14ac:dyDescent="0.25">
      <c r="A1003" s="270"/>
      <c r="C1003" s="62"/>
      <c r="D1003" s="63"/>
      <c r="E1003" s="63"/>
      <c r="F1003" s="64"/>
      <c r="G1003" s="64"/>
      <c r="H1003" s="64"/>
      <c r="I1003" s="64"/>
      <c r="J1003" s="64"/>
      <c r="K1003" s="64"/>
      <c r="L1003" s="64"/>
      <c r="M1003" s="270"/>
      <c r="N1003" s="270"/>
      <c r="O1003" s="270"/>
      <c r="P1003" s="270"/>
      <c r="Q1003" s="270"/>
      <c r="R1003" s="270"/>
      <c r="S1003" s="270"/>
      <c r="T1003" s="270"/>
      <c r="U1003" s="270"/>
      <c r="Y1003" s="1468"/>
      <c r="AK1003" s="1681"/>
      <c r="DG1003" s="1568"/>
      <c r="DJ1003" s="1059"/>
    </row>
    <row r="1004" spans="1:114" s="1387" customFormat="1" ht="15" hidden="1" customHeight="1" outlineLevel="1" x14ac:dyDescent="0.25">
      <c r="A1004" s="270"/>
      <c r="C1004" s="62"/>
      <c r="D1004" s="1373" t="s">
        <v>712</v>
      </c>
      <c r="E1004" s="1373" t="s">
        <v>608</v>
      </c>
      <c r="F1004" s="1373" t="s">
        <v>609</v>
      </c>
      <c r="G1004" s="1300" t="s">
        <v>610</v>
      </c>
      <c r="H1004" s="2108" t="s">
        <v>611</v>
      </c>
      <c r="I1004" s="2108"/>
      <c r="J1004" s="2108"/>
      <c r="K1004" s="2108" t="s">
        <v>612</v>
      </c>
      <c r="L1004" s="2108"/>
      <c r="M1004" s="2108"/>
      <c r="N1004" s="2108"/>
      <c r="O1004" s="270"/>
      <c r="P1004" s="270"/>
      <c r="Q1004" s="270"/>
      <c r="R1004" s="270"/>
      <c r="S1004" s="270"/>
      <c r="T1004" s="270"/>
      <c r="U1004" s="270"/>
      <c r="V1004" s="968" t="s">
        <v>52</v>
      </c>
      <c r="W1004" s="962">
        <f>W$6</f>
        <v>43252</v>
      </c>
      <c r="X1004" s="962">
        <f t="shared" ref="X1004:AG1004" si="197">X$6</f>
        <v>43465</v>
      </c>
      <c r="Y1004" s="1133">
        <f t="shared" si="197"/>
        <v>43800</v>
      </c>
      <c r="Z1004" s="962">
        <f t="shared" si="197"/>
        <v>43862</v>
      </c>
      <c r="AA1004" s="962">
        <f t="shared" si="197"/>
        <v>44013</v>
      </c>
      <c r="AB1004" s="962">
        <f t="shared" si="197"/>
        <v>44166</v>
      </c>
      <c r="AC1004" s="962">
        <f t="shared" si="197"/>
        <v>44531</v>
      </c>
      <c r="AD1004" s="962">
        <f t="shared" si="197"/>
        <v>44774</v>
      </c>
      <c r="AE1004" s="962">
        <f t="shared" si="197"/>
        <v>45139</v>
      </c>
      <c r="AF1004" s="962">
        <f t="shared" si="197"/>
        <v>45672</v>
      </c>
      <c r="AG1004" s="962" t="str">
        <f t="shared" si="197"/>
        <v>-</v>
      </c>
      <c r="AK1004" s="1681"/>
      <c r="DG1004" s="1568"/>
      <c r="DJ1004" s="1059"/>
    </row>
    <row r="1005" spans="1:114" s="1387" customFormat="1" ht="15" hidden="1" customHeight="1" outlineLevel="1" x14ac:dyDescent="0.25">
      <c r="A1005" s="270"/>
      <c r="C1005" s="62"/>
      <c r="D1005" s="2233" t="s">
        <v>2199</v>
      </c>
      <c r="E1005" s="2233" t="s">
        <v>2200</v>
      </c>
      <c r="F1005" s="336" t="s">
        <v>2201</v>
      </c>
      <c r="G1005" s="1622">
        <v>114</v>
      </c>
      <c r="H1005" s="2148" t="s">
        <v>2202</v>
      </c>
      <c r="I1005" s="2149"/>
      <c r="J1005" s="2150"/>
      <c r="K1005" s="2091"/>
      <c r="L1005" s="2091"/>
      <c r="M1005" s="2091"/>
      <c r="N1005" s="2091"/>
      <c r="O1005" s="270"/>
      <c r="P1005" s="270"/>
      <c r="Q1005" s="270"/>
      <c r="R1005" s="270"/>
      <c r="S1005" s="270"/>
      <c r="T1005" s="270"/>
      <c r="U1005" s="270"/>
      <c r="V1005" s="2411"/>
      <c r="W1005" s="1388"/>
      <c r="X1005" s="1388"/>
      <c r="Y1005" s="1388"/>
      <c r="Z1005" s="1388"/>
      <c r="AA1005" s="1388"/>
      <c r="AB1005" s="1388"/>
      <c r="AC1005" s="945"/>
      <c r="AD1005" s="945"/>
      <c r="AE1005" s="945"/>
      <c r="AF1005" s="258">
        <f t="shared" ref="AF1005:AF1013" si="198">IF(G1005&lt;&gt;"",G1005,"")</f>
        <v>114</v>
      </c>
      <c r="AG1005" s="78"/>
      <c r="AK1005" s="1681"/>
      <c r="DG1005" s="1568"/>
      <c r="DJ1005" s="1059"/>
    </row>
    <row r="1006" spans="1:114" s="1387" customFormat="1" hidden="1" outlineLevel="1" x14ac:dyDescent="0.25">
      <c r="A1006" s="270"/>
      <c r="C1006" s="62"/>
      <c r="D1006" s="2260"/>
      <c r="E1006" s="2260"/>
      <c r="F1006" s="336" t="s">
        <v>2203</v>
      </c>
      <c r="G1006" s="1622">
        <v>58.1</v>
      </c>
      <c r="H1006" s="2405"/>
      <c r="I1006" s="2406"/>
      <c r="J1006" s="2407"/>
      <c r="K1006" s="2091"/>
      <c r="L1006" s="2091"/>
      <c r="M1006" s="2091"/>
      <c r="N1006" s="2091"/>
      <c r="O1006" s="270"/>
      <c r="P1006" s="270"/>
      <c r="Q1006" s="270"/>
      <c r="R1006" s="270"/>
      <c r="S1006" s="270"/>
      <c r="T1006" s="270"/>
      <c r="U1006" s="270"/>
      <c r="V1006" s="2411"/>
      <c r="W1006" s="1388"/>
      <c r="X1006" s="1388"/>
      <c r="Y1006" s="1388"/>
      <c r="Z1006" s="1388"/>
      <c r="AA1006" s="1388"/>
      <c r="AB1006" s="1388"/>
      <c r="AC1006" s="1388"/>
      <c r="AD1006" s="1388"/>
      <c r="AE1006" s="1388"/>
      <c r="AF1006" s="258">
        <f t="shared" si="198"/>
        <v>58.1</v>
      </c>
      <c r="AG1006" s="78"/>
      <c r="AK1006" s="1681"/>
      <c r="DG1006" s="1568"/>
      <c r="DJ1006" s="1059"/>
    </row>
    <row r="1007" spans="1:114" s="1387" customFormat="1" ht="15" hidden="1" customHeight="1" outlineLevel="1" x14ac:dyDescent="0.25">
      <c r="A1007" s="270"/>
      <c r="C1007" s="62"/>
      <c r="D1007" s="2260"/>
      <c r="E1007" s="2260"/>
      <c r="F1007" s="336" t="s">
        <v>2204</v>
      </c>
      <c r="G1007" s="1622">
        <v>24.9</v>
      </c>
      <c r="H1007" s="2405"/>
      <c r="I1007" s="2406"/>
      <c r="J1007" s="2407"/>
      <c r="K1007" s="2091"/>
      <c r="L1007" s="2091"/>
      <c r="M1007" s="2091"/>
      <c r="N1007" s="2091"/>
      <c r="O1007" s="270"/>
      <c r="P1007" s="270"/>
      <c r="Q1007" s="270"/>
      <c r="R1007" s="270"/>
      <c r="S1007" s="270"/>
      <c r="T1007" s="270"/>
      <c r="U1007" s="270"/>
      <c r="V1007" s="2411"/>
      <c r="W1007" s="1388"/>
      <c r="X1007" s="1388"/>
      <c r="Y1007" s="1388"/>
      <c r="Z1007" s="1388"/>
      <c r="AA1007" s="1388"/>
      <c r="AB1007" s="1388"/>
      <c r="AC1007" s="1388"/>
      <c r="AD1007" s="1388"/>
      <c r="AE1007" s="1388"/>
      <c r="AF1007" s="258">
        <f t="shared" si="198"/>
        <v>24.9</v>
      </c>
      <c r="AG1007" s="78"/>
      <c r="AK1007" s="1681"/>
      <c r="DG1007" s="1568"/>
      <c r="DJ1007" s="1059"/>
    </row>
    <row r="1008" spans="1:114" s="1387" customFormat="1" ht="15" hidden="1" customHeight="1" outlineLevel="1" x14ac:dyDescent="0.25">
      <c r="A1008" s="270"/>
      <c r="C1008" s="62"/>
      <c r="D1008" s="2238"/>
      <c r="E1008" s="2238"/>
      <c r="F1008" s="336" t="s">
        <v>2205</v>
      </c>
      <c r="G1008" s="1622">
        <v>19.5</v>
      </c>
      <c r="H1008" s="2408"/>
      <c r="I1008" s="2409"/>
      <c r="J1008" s="2410"/>
      <c r="K1008" s="2091"/>
      <c r="L1008" s="2091"/>
      <c r="M1008" s="2091"/>
      <c r="N1008" s="2091"/>
      <c r="O1008" s="270"/>
      <c r="P1008" s="270"/>
      <c r="Q1008" s="270"/>
      <c r="R1008" s="270"/>
      <c r="S1008" s="270"/>
      <c r="T1008" s="270"/>
      <c r="U1008" s="270"/>
      <c r="V1008" s="2240"/>
      <c r="W1008" s="1453"/>
      <c r="X1008" s="717"/>
      <c r="Y1008" s="259"/>
      <c r="Z1008" s="259"/>
      <c r="AA1008" s="259"/>
      <c r="AB1008" s="259"/>
      <c r="AC1008" s="1388"/>
      <c r="AD1008" s="1388"/>
      <c r="AE1008" s="1388"/>
      <c r="AF1008" s="258">
        <f t="shared" si="198"/>
        <v>19.5</v>
      </c>
      <c r="AG1008" s="78"/>
      <c r="AK1008" s="1681"/>
      <c r="DG1008" s="1568"/>
      <c r="DJ1008" s="1059"/>
    </row>
    <row r="1009" spans="1:114" s="1387" customFormat="1" ht="15" hidden="1" customHeight="1" outlineLevel="1" x14ac:dyDescent="0.25">
      <c r="A1009" s="270"/>
      <c r="C1009" s="62"/>
      <c r="D1009" s="2233" t="s">
        <v>2206</v>
      </c>
      <c r="E1009" s="2233" t="s">
        <v>2207</v>
      </c>
      <c r="F1009" s="336" t="s">
        <v>2208</v>
      </c>
      <c r="G1009" s="1622">
        <v>0.42</v>
      </c>
      <c r="H1009" s="2416" t="s">
        <v>2209</v>
      </c>
      <c r="I1009" s="2417"/>
      <c r="J1009" s="2418"/>
      <c r="K1009" s="1301"/>
      <c r="L1009" s="1301"/>
      <c r="M1009" s="1301"/>
      <c r="N1009" s="1301"/>
      <c r="O1009" s="270"/>
      <c r="P1009" s="270"/>
      <c r="Q1009" s="270"/>
      <c r="R1009" s="270"/>
      <c r="S1009" s="270"/>
      <c r="T1009" s="270"/>
      <c r="U1009" s="270"/>
      <c r="V1009" s="2239" t="str">
        <f>D1009</f>
        <v>HeatingFactor</v>
      </c>
      <c r="W1009" s="1684"/>
      <c r="X1009" s="1685"/>
      <c r="Y1009" s="1686"/>
      <c r="Z1009" s="1686"/>
      <c r="AA1009" s="1686"/>
      <c r="AB1009" s="1686"/>
      <c r="AC1009" s="1388"/>
      <c r="AD1009" s="1388"/>
      <c r="AE1009" s="1388"/>
      <c r="AF1009" s="258">
        <f t="shared" si="198"/>
        <v>0.42</v>
      </c>
      <c r="AG1009" s="78"/>
      <c r="AK1009" s="1681"/>
      <c r="DG1009" s="1568"/>
      <c r="DJ1009" s="1059"/>
    </row>
    <row r="1010" spans="1:114" s="1387" customFormat="1" hidden="1" outlineLevel="1" x14ac:dyDescent="0.25">
      <c r="A1010" s="270"/>
      <c r="C1010" s="62"/>
      <c r="D1010" s="2238"/>
      <c r="E1010" s="2238"/>
      <c r="F1010" s="336" t="s">
        <v>2210</v>
      </c>
      <c r="G1010" s="1622">
        <v>1</v>
      </c>
      <c r="H1010" s="1306"/>
      <c r="I1010" s="1306"/>
      <c r="J1010" s="1306"/>
      <c r="K1010" s="1301"/>
      <c r="L1010" s="1301"/>
      <c r="M1010" s="1301"/>
      <c r="N1010" s="1301"/>
      <c r="O1010" s="270"/>
      <c r="P1010" s="270"/>
      <c r="Q1010" s="270"/>
      <c r="R1010" s="270"/>
      <c r="S1010" s="270"/>
      <c r="T1010" s="270"/>
      <c r="U1010" s="270"/>
      <c r="V1010" s="2240"/>
      <c r="W1010" s="1684"/>
      <c r="X1010" s="1685"/>
      <c r="Y1010" s="1686"/>
      <c r="Z1010" s="1686"/>
      <c r="AA1010" s="1686"/>
      <c r="AB1010" s="1686"/>
      <c r="AC1010" s="1388"/>
      <c r="AD1010" s="1388"/>
      <c r="AE1010" s="1388"/>
      <c r="AF1010" s="258">
        <f t="shared" si="198"/>
        <v>1</v>
      </c>
      <c r="AG1010" s="78"/>
      <c r="AK1010" s="1681"/>
      <c r="DG1010" s="1568"/>
      <c r="DJ1010" s="1059"/>
    </row>
    <row r="1011" spans="1:114" s="1387" customFormat="1" ht="15" hidden="1" customHeight="1" outlineLevel="1" x14ac:dyDescent="0.25">
      <c r="A1011" s="270"/>
      <c r="C1011" s="62"/>
      <c r="D1011" s="337" t="s">
        <v>749</v>
      </c>
      <c r="E1011" s="338" t="s">
        <v>2211</v>
      </c>
      <c r="F1011" s="338" t="s">
        <v>734</v>
      </c>
      <c r="G1011" s="1504">
        <v>1</v>
      </c>
      <c r="H1011" s="2180"/>
      <c r="I1011" s="2180"/>
      <c r="J1011" s="2180"/>
      <c r="K1011" s="2268"/>
      <c r="L1011" s="2268"/>
      <c r="M1011" s="2268"/>
      <c r="N1011" s="2268"/>
      <c r="O1011" s="270"/>
      <c r="P1011" s="270"/>
      <c r="Q1011" s="270"/>
      <c r="R1011" s="270"/>
      <c r="S1011" s="270"/>
      <c r="T1011" s="270"/>
      <c r="U1011" s="270"/>
      <c r="V1011" s="1687" t="str">
        <f>D1011</f>
        <v>SF</v>
      </c>
      <c r="W1011" s="339"/>
      <c r="X1011" s="339"/>
      <c r="Y1011" s="339"/>
      <c r="Z1011" s="339"/>
      <c r="AA1011" s="339"/>
      <c r="AB1011" s="339"/>
      <c r="AC1011" s="339"/>
      <c r="AD1011" s="339"/>
      <c r="AE1011" s="339"/>
      <c r="AF1011" s="258">
        <f t="shared" si="198"/>
        <v>1</v>
      </c>
      <c r="AG1011" s="313"/>
      <c r="AK1011" s="1681"/>
      <c r="DG1011" s="1568"/>
      <c r="DJ1011" s="1059"/>
    </row>
    <row r="1012" spans="1:114" s="39" customFormat="1" hidden="1" outlineLevel="1" x14ac:dyDescent="0.25">
      <c r="A1012" s="270"/>
      <c r="C1012" s="49"/>
      <c r="D1012" s="1301" t="str">
        <f>J991</f>
        <v>EUL</v>
      </c>
      <c r="E1012" s="1301" t="s">
        <v>792</v>
      </c>
      <c r="F1012" s="560" t="s">
        <v>734</v>
      </c>
      <c r="G1012" s="1623">
        <v>15</v>
      </c>
      <c r="H1012" s="2415" t="s">
        <v>2212</v>
      </c>
      <c r="I1012" s="2138"/>
      <c r="J1012" s="2138"/>
      <c r="K1012" s="2268"/>
      <c r="L1012" s="2268"/>
      <c r="M1012" s="2268"/>
      <c r="N1012" s="2268"/>
      <c r="O1012" s="50"/>
      <c r="P1012" s="50"/>
      <c r="Q1012" s="50"/>
      <c r="R1012" s="50"/>
      <c r="S1012" s="50"/>
      <c r="T1012" s="50"/>
      <c r="U1012" s="50"/>
      <c r="V1012" s="1105" t="str">
        <f>D1012</f>
        <v>EUL</v>
      </c>
      <c r="W1012" s="339"/>
      <c r="X1012" s="339"/>
      <c r="Y1012" s="339"/>
      <c r="Z1012" s="339"/>
      <c r="AA1012" s="339"/>
      <c r="AB1012" s="339"/>
      <c r="AC1012" s="339"/>
      <c r="AD1012" s="339"/>
      <c r="AE1012" s="339"/>
      <c r="AF1012" s="258">
        <f t="shared" si="198"/>
        <v>15</v>
      </c>
      <c r="AG1012" s="313"/>
      <c r="AK1012" s="1681"/>
      <c r="DG1012" s="706"/>
      <c r="DJ1012" s="1059"/>
    </row>
    <row r="1013" spans="1:114" s="39" customFormat="1" hidden="1" outlineLevel="1" x14ac:dyDescent="0.25">
      <c r="A1013" s="270"/>
      <c r="C1013" s="49"/>
      <c r="D1013" s="1301" t="str">
        <f>K991</f>
        <v>Inc. Cost</v>
      </c>
      <c r="E1013" s="1301" t="s">
        <v>682</v>
      </c>
      <c r="F1013" s="560" t="s">
        <v>2213</v>
      </c>
      <c r="G1013" s="1932">
        <v>7.84</v>
      </c>
      <c r="H1013" s="2415" t="s">
        <v>2214</v>
      </c>
      <c r="I1013" s="2138"/>
      <c r="J1013" s="2138"/>
      <c r="K1013" s="2268"/>
      <c r="L1013" s="2268"/>
      <c r="M1013" s="2268"/>
      <c r="N1013" s="2268"/>
      <c r="O1013" s="50"/>
      <c r="P1013" s="50"/>
      <c r="Q1013" s="50"/>
      <c r="R1013" s="50"/>
      <c r="S1013" s="50"/>
      <c r="T1013" s="50"/>
      <c r="U1013" s="50"/>
      <c r="V1013" s="1688" t="s">
        <v>50</v>
      </c>
      <c r="W1013" s="1488"/>
      <c r="X1013" s="1488"/>
      <c r="Y1013" s="1488"/>
      <c r="Z1013" s="1488"/>
      <c r="AA1013" s="1488"/>
      <c r="AB1013" s="1488"/>
      <c r="AC1013" s="1488"/>
      <c r="AD1013" s="1488"/>
      <c r="AE1013" s="1488"/>
      <c r="AF1013" s="258">
        <f t="shared" si="198"/>
        <v>7.84</v>
      </c>
      <c r="AG1013" s="313"/>
      <c r="AK1013" s="1681"/>
      <c r="DG1013" s="706"/>
      <c r="DJ1013" s="1059"/>
    </row>
    <row r="1014" spans="1:114" hidden="1" outlineLevel="1" x14ac:dyDescent="0.25">
      <c r="D1014" s="100"/>
      <c r="E1014" s="100"/>
      <c r="F1014" s="50"/>
      <c r="G1014" s="50"/>
      <c r="H1014" s="49"/>
      <c r="I1014" s="49"/>
      <c r="J1014" s="49"/>
      <c r="K1014" s="49"/>
      <c r="L1014" s="49"/>
      <c r="M1014" s="49"/>
      <c r="N1014" s="50"/>
      <c r="V1014" s="73"/>
      <c r="W1014" s="73"/>
      <c r="X1014" s="73"/>
      <c r="Y1014" s="73"/>
      <c r="Z1014" s="73"/>
      <c r="AA1014" s="73"/>
      <c r="AB1014" s="73"/>
      <c r="AC1014" s="73"/>
      <c r="AD1014" s="73"/>
      <c r="AE1014" s="73"/>
      <c r="AF1014" s="73"/>
      <c r="AG1014" s="73"/>
    </row>
    <row r="1015" spans="1:114" hidden="1" outlineLevel="1" x14ac:dyDescent="0.25">
      <c r="D1015" s="100"/>
      <c r="E1015" s="100"/>
      <c r="F1015" s="50"/>
      <c r="G1015" s="50"/>
      <c r="H1015" s="49"/>
      <c r="I1015" s="49"/>
      <c r="J1015" s="49"/>
      <c r="K1015" s="49"/>
      <c r="L1015" s="49"/>
      <c r="M1015" s="49"/>
      <c r="N1015" s="50"/>
      <c r="V1015" s="73"/>
      <c r="W1015" s="73"/>
      <c r="X1015" s="73"/>
      <c r="Y1015" s="73"/>
      <c r="Z1015" s="73"/>
      <c r="AA1015" s="73"/>
      <c r="AB1015" s="73"/>
      <c r="AC1015" s="73"/>
      <c r="AD1015" s="73"/>
      <c r="AE1015" s="73"/>
      <c r="AF1015" s="73"/>
      <c r="AG1015" s="73"/>
    </row>
    <row r="1016" spans="1:114" collapsed="1" x14ac:dyDescent="0.25"/>
  </sheetData>
  <autoFilter ref="A5:A4662" xr:uid="{00000000-0001-0000-0600-000000000000}"/>
  <mergeCells count="555">
    <mergeCell ref="V897:V908"/>
    <mergeCell ref="H1011:J1011"/>
    <mergeCell ref="K1011:N1011"/>
    <mergeCell ref="H1013:J1013"/>
    <mergeCell ref="K1013:N1013"/>
    <mergeCell ref="B964:R964"/>
    <mergeCell ref="D959:D960"/>
    <mergeCell ref="G959:G960"/>
    <mergeCell ref="K1005:N1005"/>
    <mergeCell ref="K1006:N1006"/>
    <mergeCell ref="K1007:N1007"/>
    <mergeCell ref="K1008:N1008"/>
    <mergeCell ref="H1012:J1012"/>
    <mergeCell ref="K1012:N1012"/>
    <mergeCell ref="B989:R989"/>
    <mergeCell ref="H1004:J1004"/>
    <mergeCell ref="K1004:N1004"/>
    <mergeCell ref="H1009:J1009"/>
    <mergeCell ref="V942:V943"/>
    <mergeCell ref="D942:D943"/>
    <mergeCell ref="I942:R943"/>
    <mergeCell ref="B928:R928"/>
    <mergeCell ref="V959:V960"/>
    <mergeCell ref="V975:V976"/>
    <mergeCell ref="D1005:D1008"/>
    <mergeCell ref="E1005:E1008"/>
    <mergeCell ref="H1005:J1008"/>
    <mergeCell ref="V989:AI989"/>
    <mergeCell ref="V1005:V1008"/>
    <mergeCell ref="V922:V923"/>
    <mergeCell ref="G762:H762"/>
    <mergeCell ref="I762:K762"/>
    <mergeCell ref="H855:I855"/>
    <mergeCell ref="K835:K836"/>
    <mergeCell ref="V794:V799"/>
    <mergeCell ref="H858:I858"/>
    <mergeCell ref="H863:I863"/>
    <mergeCell ref="H860:I860"/>
    <mergeCell ref="H861:I861"/>
    <mergeCell ref="H862:I862"/>
    <mergeCell ref="H859:I859"/>
    <mergeCell ref="H865:I865"/>
    <mergeCell ref="H868:I868"/>
    <mergeCell ref="H869:I869"/>
    <mergeCell ref="H871:I871"/>
    <mergeCell ref="H872:I872"/>
    <mergeCell ref="H866:I866"/>
    <mergeCell ref="H908:I908"/>
    <mergeCell ref="G757:H757"/>
    <mergeCell ref="I757:K757"/>
    <mergeCell ref="G758:H758"/>
    <mergeCell ref="I758:K758"/>
    <mergeCell ref="D892:D894"/>
    <mergeCell ref="H892:I892"/>
    <mergeCell ref="V892:V894"/>
    <mergeCell ref="H894:I894"/>
    <mergeCell ref="H893:I893"/>
    <mergeCell ref="D866:D877"/>
    <mergeCell ref="V866:V877"/>
    <mergeCell ref="L835:L836"/>
    <mergeCell ref="M835:M836"/>
    <mergeCell ref="N835:N836"/>
    <mergeCell ref="V811:V816"/>
    <mergeCell ref="V817:V822"/>
    <mergeCell ref="V854:V865"/>
    <mergeCell ref="G763:H763"/>
    <mergeCell ref="I763:K763"/>
    <mergeCell ref="G764:H764"/>
    <mergeCell ref="I764:K764"/>
    <mergeCell ref="F853:G853"/>
    <mergeCell ref="H853:I853"/>
    <mergeCell ref="H854:I854"/>
    <mergeCell ref="H693:I693"/>
    <mergeCell ref="J693:L693"/>
    <mergeCell ref="H694:I694"/>
    <mergeCell ref="J694:L694"/>
    <mergeCell ref="G760:H760"/>
    <mergeCell ref="I760:K760"/>
    <mergeCell ref="G761:H761"/>
    <mergeCell ref="H695:I695"/>
    <mergeCell ref="J695:L695"/>
    <mergeCell ref="I761:K761"/>
    <mergeCell ref="G759:H759"/>
    <mergeCell ref="I759:K759"/>
    <mergeCell ref="G755:H755"/>
    <mergeCell ref="I755:K755"/>
    <mergeCell ref="G756:H756"/>
    <mergeCell ref="I756:K756"/>
    <mergeCell ref="G751:H751"/>
    <mergeCell ref="I751:K751"/>
    <mergeCell ref="G752:H752"/>
    <mergeCell ref="I752:K752"/>
    <mergeCell ref="G753:H753"/>
    <mergeCell ref="I753:K753"/>
    <mergeCell ref="B740:R740"/>
    <mergeCell ref="D735:D737"/>
    <mergeCell ref="H874:I874"/>
    <mergeCell ref="H902:I902"/>
    <mergeCell ref="H903:I903"/>
    <mergeCell ref="H867:I867"/>
    <mergeCell ref="H873:I873"/>
    <mergeCell ref="H897:I897"/>
    <mergeCell ref="D804:D809"/>
    <mergeCell ref="H876:I876"/>
    <mergeCell ref="D854:D865"/>
    <mergeCell ref="H877:I877"/>
    <mergeCell ref="D884:D885"/>
    <mergeCell ref="H885:I885"/>
    <mergeCell ref="D897:D908"/>
    <mergeCell ref="H905:I905"/>
    <mergeCell ref="H883:I883"/>
    <mergeCell ref="H884:I884"/>
    <mergeCell ref="H886:I886"/>
    <mergeCell ref="H890:I890"/>
    <mergeCell ref="H907:I907"/>
    <mergeCell ref="H901:I901"/>
    <mergeCell ref="H891:I891"/>
    <mergeCell ref="H875:I875"/>
    <mergeCell ref="H889:I889"/>
    <mergeCell ref="V804:V809"/>
    <mergeCell ref="G765:H765"/>
    <mergeCell ref="I765:K765"/>
    <mergeCell ref="B768:R768"/>
    <mergeCell ref="V768:AI768"/>
    <mergeCell ref="C835:C836"/>
    <mergeCell ref="D835:D836"/>
    <mergeCell ref="E835:E836"/>
    <mergeCell ref="F835:F836"/>
    <mergeCell ref="G835:G836"/>
    <mergeCell ref="H835:H836"/>
    <mergeCell ref="I835:I836"/>
    <mergeCell ref="J835:J836"/>
    <mergeCell ref="R835:R836"/>
    <mergeCell ref="O835:O836"/>
    <mergeCell ref="P835:Q835"/>
    <mergeCell ref="B833:R833"/>
    <mergeCell ref="G819:G820"/>
    <mergeCell ref="G817:G818"/>
    <mergeCell ref="D794:D799"/>
    <mergeCell ref="D811:D816"/>
    <mergeCell ref="D817:D822"/>
    <mergeCell ref="V833:AI833"/>
    <mergeCell ref="V740:AI740"/>
    <mergeCell ref="G749:H749"/>
    <mergeCell ref="I749:K749"/>
    <mergeCell ref="G750:H750"/>
    <mergeCell ref="I750:K750"/>
    <mergeCell ref="V735:V737"/>
    <mergeCell ref="G754:H754"/>
    <mergeCell ref="I754:K754"/>
    <mergeCell ref="H732:I732"/>
    <mergeCell ref="J732:L732"/>
    <mergeCell ref="H734:I734"/>
    <mergeCell ref="J734:L734"/>
    <mergeCell ref="H733:I733"/>
    <mergeCell ref="J733:L733"/>
    <mergeCell ref="E735:E737"/>
    <mergeCell ref="H731:I731"/>
    <mergeCell ref="J731:L731"/>
    <mergeCell ref="H735:I735"/>
    <mergeCell ref="J735:L735"/>
    <mergeCell ref="H736:I736"/>
    <mergeCell ref="J736:L736"/>
    <mergeCell ref="H737:I737"/>
    <mergeCell ref="J737:L737"/>
    <mergeCell ref="J719:L719"/>
    <mergeCell ref="H728:I728"/>
    <mergeCell ref="J728:L728"/>
    <mergeCell ref="H729:I729"/>
    <mergeCell ref="J729:L729"/>
    <mergeCell ref="H730:I730"/>
    <mergeCell ref="J730:L730"/>
    <mergeCell ref="H725:I725"/>
    <mergeCell ref="J725:L725"/>
    <mergeCell ref="H726:I726"/>
    <mergeCell ref="J726:L726"/>
    <mergeCell ref="H727:I727"/>
    <mergeCell ref="J727:L727"/>
    <mergeCell ref="H715:I715"/>
    <mergeCell ref="J715:L715"/>
    <mergeCell ref="H716:I716"/>
    <mergeCell ref="J716:L716"/>
    <mergeCell ref="V698:AI698"/>
    <mergeCell ref="H713:I713"/>
    <mergeCell ref="J713:L713"/>
    <mergeCell ref="D723:D724"/>
    <mergeCell ref="E723:E724"/>
    <mergeCell ref="H723:I723"/>
    <mergeCell ref="J723:L723"/>
    <mergeCell ref="V723:V724"/>
    <mergeCell ref="H724:I724"/>
    <mergeCell ref="J724:L724"/>
    <mergeCell ref="V719:V720"/>
    <mergeCell ref="H720:I720"/>
    <mergeCell ref="J720:L720"/>
    <mergeCell ref="H721:I721"/>
    <mergeCell ref="J721:L721"/>
    <mergeCell ref="H722:I722"/>
    <mergeCell ref="J722:L722"/>
    <mergeCell ref="D719:D720"/>
    <mergeCell ref="E719:E720"/>
    <mergeCell ref="H719:I719"/>
    <mergeCell ref="B663:R663"/>
    <mergeCell ref="V663:AI663"/>
    <mergeCell ref="H676:I676"/>
    <mergeCell ref="J676:L676"/>
    <mergeCell ref="H677:I677"/>
    <mergeCell ref="J677:L677"/>
    <mergeCell ref="H678:I678"/>
    <mergeCell ref="J678:L678"/>
    <mergeCell ref="H714:I714"/>
    <mergeCell ref="J714:L714"/>
    <mergeCell ref="H686:I686"/>
    <mergeCell ref="J686:L686"/>
    <mergeCell ref="H687:I687"/>
    <mergeCell ref="J687:L687"/>
    <mergeCell ref="H688:I688"/>
    <mergeCell ref="J688:L688"/>
    <mergeCell ref="H689:I689"/>
    <mergeCell ref="J689:L689"/>
    <mergeCell ref="J680:L680"/>
    <mergeCell ref="H681:I681"/>
    <mergeCell ref="J681:L681"/>
    <mergeCell ref="H682:I682"/>
    <mergeCell ref="J682:L682"/>
    <mergeCell ref="H683:I683"/>
    <mergeCell ref="H679:I679"/>
    <mergeCell ref="J679:L679"/>
    <mergeCell ref="H680:I680"/>
    <mergeCell ref="H690:I690"/>
    <mergeCell ref="J690:L690"/>
    <mergeCell ref="H691:I691"/>
    <mergeCell ref="J691:L691"/>
    <mergeCell ref="H692:I692"/>
    <mergeCell ref="J692:L692"/>
    <mergeCell ref="H685:I685"/>
    <mergeCell ref="J685:L685"/>
    <mergeCell ref="J683:L683"/>
    <mergeCell ref="H684:I684"/>
    <mergeCell ref="J684:L684"/>
    <mergeCell ref="J658:L658"/>
    <mergeCell ref="H655:I655"/>
    <mergeCell ref="J655:L655"/>
    <mergeCell ref="H656:I656"/>
    <mergeCell ref="J656:L656"/>
    <mergeCell ref="H657:I657"/>
    <mergeCell ref="J657:L657"/>
    <mergeCell ref="H660:I660"/>
    <mergeCell ref="J660:L660"/>
    <mergeCell ref="H659:I659"/>
    <mergeCell ref="J659:L659"/>
    <mergeCell ref="J653:L653"/>
    <mergeCell ref="H654:I654"/>
    <mergeCell ref="J654:L654"/>
    <mergeCell ref="H649:I649"/>
    <mergeCell ref="J649:L649"/>
    <mergeCell ref="H650:I650"/>
    <mergeCell ref="J650:L650"/>
    <mergeCell ref="H651:I651"/>
    <mergeCell ref="J651:L651"/>
    <mergeCell ref="J648:L648"/>
    <mergeCell ref="H643:I643"/>
    <mergeCell ref="J643:L643"/>
    <mergeCell ref="H644:I644"/>
    <mergeCell ref="J644:L644"/>
    <mergeCell ref="H645:I645"/>
    <mergeCell ref="J645:L645"/>
    <mergeCell ref="H652:I652"/>
    <mergeCell ref="J652:L652"/>
    <mergeCell ref="J641:L641"/>
    <mergeCell ref="H642:I642"/>
    <mergeCell ref="J642:L642"/>
    <mergeCell ref="H624:I624"/>
    <mergeCell ref="J624:M624"/>
    <mergeCell ref="B627:R627"/>
    <mergeCell ref="H646:I646"/>
    <mergeCell ref="J646:L646"/>
    <mergeCell ref="H647:I647"/>
    <mergeCell ref="J647:L647"/>
    <mergeCell ref="J623:M623"/>
    <mergeCell ref="H622:I622"/>
    <mergeCell ref="J622:M622"/>
    <mergeCell ref="J621:M621"/>
    <mergeCell ref="V618:V619"/>
    <mergeCell ref="H619:I619"/>
    <mergeCell ref="H623:I623"/>
    <mergeCell ref="J617:M617"/>
    <mergeCell ref="V627:AI627"/>
    <mergeCell ref="H614:I614"/>
    <mergeCell ref="J614:M614"/>
    <mergeCell ref="J615:M615"/>
    <mergeCell ref="J616:M616"/>
    <mergeCell ref="H617:I617"/>
    <mergeCell ref="H620:I620"/>
    <mergeCell ref="J620:M620"/>
    <mergeCell ref="J619:M619"/>
    <mergeCell ref="H618:I618"/>
    <mergeCell ref="J618:M618"/>
    <mergeCell ref="H616:I616"/>
    <mergeCell ref="V602:AI602"/>
    <mergeCell ref="B602:R602"/>
    <mergeCell ref="D596:D599"/>
    <mergeCell ref="E596:E599"/>
    <mergeCell ref="V596:V599"/>
    <mergeCell ref="H612:I612"/>
    <mergeCell ref="J612:K612"/>
    <mergeCell ref="L612:M612"/>
    <mergeCell ref="H613:I613"/>
    <mergeCell ref="J613:M613"/>
    <mergeCell ref="V576:V579"/>
    <mergeCell ref="D587:D590"/>
    <mergeCell ref="E587:E590"/>
    <mergeCell ref="H587:H590"/>
    <mergeCell ref="D576:D579"/>
    <mergeCell ref="E576:E579"/>
    <mergeCell ref="H576:H579"/>
    <mergeCell ref="D592:D595"/>
    <mergeCell ref="H592:H595"/>
    <mergeCell ref="E592:E595"/>
    <mergeCell ref="V592:V595"/>
    <mergeCell ref="B552:R552"/>
    <mergeCell ref="V552:AI552"/>
    <mergeCell ref="V569:V572"/>
    <mergeCell ref="H547:I547"/>
    <mergeCell ref="J547:L547"/>
    <mergeCell ref="H548:I548"/>
    <mergeCell ref="J548:L548"/>
    <mergeCell ref="H549:I549"/>
    <mergeCell ref="J549:L549"/>
    <mergeCell ref="C559:L560"/>
    <mergeCell ref="D569:D572"/>
    <mergeCell ref="E569:E572"/>
    <mergeCell ref="H569:H572"/>
    <mergeCell ref="J543:L543"/>
    <mergeCell ref="H544:I544"/>
    <mergeCell ref="J544:L544"/>
    <mergeCell ref="H545:I545"/>
    <mergeCell ref="J545:L545"/>
    <mergeCell ref="H546:I546"/>
    <mergeCell ref="J546:L546"/>
    <mergeCell ref="H543:I543"/>
    <mergeCell ref="H537:I539"/>
    <mergeCell ref="H540:I542"/>
    <mergeCell ref="V533:V535"/>
    <mergeCell ref="V537:V542"/>
    <mergeCell ref="H532:I532"/>
    <mergeCell ref="J532:L532"/>
    <mergeCell ref="J533:L535"/>
    <mergeCell ref="H513:I513"/>
    <mergeCell ref="J513:L513"/>
    <mergeCell ref="H514:I514"/>
    <mergeCell ref="J514:L514"/>
    <mergeCell ref="B517:R517"/>
    <mergeCell ref="V517:AI517"/>
    <mergeCell ref="H536:I536"/>
    <mergeCell ref="J536:L536"/>
    <mergeCell ref="E533:E535"/>
    <mergeCell ref="D533:D535"/>
    <mergeCell ref="H533:I535"/>
    <mergeCell ref="D537:D539"/>
    <mergeCell ref="E537:E539"/>
    <mergeCell ref="D540:D542"/>
    <mergeCell ref="E540:E542"/>
    <mergeCell ref="J537:L539"/>
    <mergeCell ref="J540:L542"/>
    <mergeCell ref="H510:I510"/>
    <mergeCell ref="J510:L510"/>
    <mergeCell ref="H511:I511"/>
    <mergeCell ref="J511:L511"/>
    <mergeCell ref="H512:I512"/>
    <mergeCell ref="J512:L512"/>
    <mergeCell ref="H507:I507"/>
    <mergeCell ref="J507:L507"/>
    <mergeCell ref="H508:I508"/>
    <mergeCell ref="J508:L508"/>
    <mergeCell ref="H509:I509"/>
    <mergeCell ref="J509:L509"/>
    <mergeCell ref="V455:AI455"/>
    <mergeCell ref="B482:R482"/>
    <mergeCell ref="H504:I504"/>
    <mergeCell ref="J504:L504"/>
    <mergeCell ref="H505:I505"/>
    <mergeCell ref="J505:L505"/>
    <mergeCell ref="V482:AI482"/>
    <mergeCell ref="H493:I493"/>
    <mergeCell ref="H506:I506"/>
    <mergeCell ref="J506:L506"/>
    <mergeCell ref="H501:I501"/>
    <mergeCell ref="J501:L501"/>
    <mergeCell ref="H502:I502"/>
    <mergeCell ref="J502:L502"/>
    <mergeCell ref="H503:I503"/>
    <mergeCell ref="J503:L503"/>
    <mergeCell ref="H500:I500"/>
    <mergeCell ref="J500:L500"/>
    <mergeCell ref="H499:I499"/>
    <mergeCell ref="J499:L499"/>
    <mergeCell ref="H495:I495"/>
    <mergeCell ref="J495:L495"/>
    <mergeCell ref="D496:D497"/>
    <mergeCell ref="E496:E497"/>
    <mergeCell ref="D291:D320"/>
    <mergeCell ref="V291:V320"/>
    <mergeCell ref="G261:G290"/>
    <mergeCell ref="G324:G353"/>
    <mergeCell ref="D324:D353"/>
    <mergeCell ref="V324:V353"/>
    <mergeCell ref="V446:V448"/>
    <mergeCell ref="B417:R417"/>
    <mergeCell ref="V417:AI417"/>
    <mergeCell ref="D438:D440"/>
    <mergeCell ref="G438:G439"/>
    <mergeCell ref="H438:H439"/>
    <mergeCell ref="V438:V440"/>
    <mergeCell ref="D433:D434"/>
    <mergeCell ref="V433:V434"/>
    <mergeCell ref="D443:D445"/>
    <mergeCell ref="H443:H445"/>
    <mergeCell ref="V443:V445"/>
    <mergeCell ref="D21:D22"/>
    <mergeCell ref="E21:E22"/>
    <mergeCell ref="H19:J20"/>
    <mergeCell ref="V137:V166"/>
    <mergeCell ref="D167:D196"/>
    <mergeCell ref="V167:V196"/>
    <mergeCell ref="D66:D74"/>
    <mergeCell ref="D17:D18"/>
    <mergeCell ref="E17:E18"/>
    <mergeCell ref="H87:H95"/>
    <mergeCell ref="V87:V95"/>
    <mergeCell ref="B98:R98"/>
    <mergeCell ref="V98:AI98"/>
    <mergeCell ref="V66:V74"/>
    <mergeCell ref="D75:D83"/>
    <mergeCell ref="V75:V83"/>
    <mergeCell ref="V4:AI4"/>
    <mergeCell ref="H15:J15"/>
    <mergeCell ref="K15:N15"/>
    <mergeCell ref="V21:V22"/>
    <mergeCell ref="V57:V65"/>
    <mergeCell ref="K21:N21"/>
    <mergeCell ref="K25:N25"/>
    <mergeCell ref="H21:J21"/>
    <mergeCell ref="V19:V20"/>
    <mergeCell ref="H23:J23"/>
    <mergeCell ref="K23:N23"/>
    <mergeCell ref="H24:J24"/>
    <mergeCell ref="K24:N24"/>
    <mergeCell ref="K16:N16"/>
    <mergeCell ref="H16:J16"/>
    <mergeCell ref="H27:J27"/>
    <mergeCell ref="H17:J17"/>
    <mergeCell ref="K17:N17"/>
    <mergeCell ref="V17:V18"/>
    <mergeCell ref="K27:N27"/>
    <mergeCell ref="V25:V27"/>
    <mergeCell ref="H18:J18"/>
    <mergeCell ref="K18:N18"/>
    <mergeCell ref="H26:J26"/>
    <mergeCell ref="H496:I496"/>
    <mergeCell ref="J496:L496"/>
    <mergeCell ref="H497:I497"/>
    <mergeCell ref="J497:L497"/>
    <mergeCell ref="D25:D27"/>
    <mergeCell ref="E25:E27"/>
    <mergeCell ref="H25:J25"/>
    <mergeCell ref="B30:R30"/>
    <mergeCell ref="V30:AI30"/>
    <mergeCell ref="D48:D56"/>
    <mergeCell ref="V48:V56"/>
    <mergeCell ref="G75:G83"/>
    <mergeCell ref="K26:N26"/>
    <mergeCell ref="D197:D226"/>
    <mergeCell ref="V197:V226"/>
    <mergeCell ref="D354:D383"/>
    <mergeCell ref="V354:V383"/>
    <mergeCell ref="H355:H383"/>
    <mergeCell ref="V385:V414"/>
    <mergeCell ref="D227:D256"/>
    <mergeCell ref="V227:V256"/>
    <mergeCell ref="D261:D290"/>
    <mergeCell ref="H261:H290"/>
    <mergeCell ref="V261:V290"/>
    <mergeCell ref="A1:O1"/>
    <mergeCell ref="P1:R1"/>
    <mergeCell ref="D2:J2"/>
    <mergeCell ref="B4:R4"/>
    <mergeCell ref="K20:N20"/>
    <mergeCell ref="H22:J22"/>
    <mergeCell ref="K19:N19"/>
    <mergeCell ref="H498:I498"/>
    <mergeCell ref="J498:L498"/>
    <mergeCell ref="D57:D65"/>
    <mergeCell ref="G48:G56"/>
    <mergeCell ref="D87:D95"/>
    <mergeCell ref="D137:D166"/>
    <mergeCell ref="D385:D414"/>
    <mergeCell ref="G385:G414"/>
    <mergeCell ref="D446:D448"/>
    <mergeCell ref="G446:G448"/>
    <mergeCell ref="H446:H448"/>
    <mergeCell ref="J493:L493"/>
    <mergeCell ref="H494:I494"/>
    <mergeCell ref="J494:L494"/>
    <mergeCell ref="B455:R455"/>
    <mergeCell ref="E19:E20"/>
    <mergeCell ref="D19:D20"/>
    <mergeCell ref="D1009:D1010"/>
    <mergeCell ref="E1009:E1010"/>
    <mergeCell ref="V1009:V1010"/>
    <mergeCell ref="K944:M944"/>
    <mergeCell ref="N944:R944"/>
    <mergeCell ref="V881:V882"/>
    <mergeCell ref="V884:V885"/>
    <mergeCell ref="D878:D879"/>
    <mergeCell ref="H879:I879"/>
    <mergeCell ref="V878:V879"/>
    <mergeCell ref="B911:R911"/>
    <mergeCell ref="H898:I898"/>
    <mergeCell ref="H899:I899"/>
    <mergeCell ref="H900:I900"/>
    <mergeCell ref="H904:I904"/>
    <mergeCell ref="H906:I906"/>
    <mergeCell ref="H887:I887"/>
    <mergeCell ref="H888:I888"/>
    <mergeCell ref="D895:D896"/>
    <mergeCell ref="E895:E896"/>
    <mergeCell ref="F895:F896"/>
    <mergeCell ref="G895:G896"/>
    <mergeCell ref="H895:I896"/>
    <mergeCell ref="D975:D976"/>
    <mergeCell ref="D732:D733"/>
    <mergeCell ref="E732:E733"/>
    <mergeCell ref="H615:I615"/>
    <mergeCell ref="H621:I621"/>
    <mergeCell ref="D881:D882"/>
    <mergeCell ref="H882:I882"/>
    <mergeCell ref="H856:I856"/>
    <mergeCell ref="H857:I857"/>
    <mergeCell ref="H878:I878"/>
    <mergeCell ref="H880:I880"/>
    <mergeCell ref="H881:I881"/>
    <mergeCell ref="H864:I864"/>
    <mergeCell ref="H870:I870"/>
    <mergeCell ref="D618:D619"/>
    <mergeCell ref="E618:E619"/>
    <mergeCell ref="H641:I641"/>
    <mergeCell ref="H648:I648"/>
    <mergeCell ref="H653:I653"/>
    <mergeCell ref="H658:I658"/>
    <mergeCell ref="B698:R698"/>
    <mergeCell ref="H717:I717"/>
    <mergeCell ref="J717:L717"/>
    <mergeCell ref="H718:I718"/>
    <mergeCell ref="J718:L718"/>
  </mergeCells>
  <phoneticPr fontId="67" type="noConversion"/>
  <conditionalFormatting sqref="B1:B6 E8:E9 B10:B32 B96:B100 B459:B484 B526:B554 B559:B604 E605:E606 B607:B629 B632:B665 B668:B700 B705:B742 B745:B765 B767:B770 B783:B836 B849:B913 I919:I924 B919:B930 H920:H924 D921:D922 F921:F923 B962:B966 B1000:B1013">
    <cfRule type="cellIs" dxfId="77" priority="229" operator="equal">
      <formula>"x"</formula>
    </cfRule>
  </conditionalFormatting>
  <conditionalFormatting sqref="B131:B419 B426:B457 B488:B519">
    <cfRule type="cellIs" dxfId="76" priority="187" operator="equal">
      <formula>"x"</formula>
    </cfRule>
  </conditionalFormatting>
  <conditionalFormatting sqref="B969:B991">
    <cfRule type="cellIs" dxfId="75" priority="153" operator="equal">
      <formula>"x"</formula>
    </cfRule>
  </conditionalFormatting>
  <conditionalFormatting sqref="D561">
    <cfRule type="cellIs" dxfId="74" priority="132" operator="equal">
      <formula>"x"</formula>
    </cfRule>
  </conditionalFormatting>
  <conditionalFormatting sqref="D916:D917 F916:I917">
    <cfRule type="cellIs" dxfId="73" priority="5" operator="equal">
      <formula>"x"</formula>
    </cfRule>
  </conditionalFormatting>
  <conditionalFormatting sqref="D935:D936 D937:E937">
    <cfRule type="cellIs" dxfId="72" priority="147" operator="equal">
      <formula>"x"</formula>
    </cfRule>
  </conditionalFormatting>
  <conditionalFormatting sqref="D969:D970 D971:E971">
    <cfRule type="cellIs" dxfId="71" priority="145" operator="equal">
      <formula>"x"</formula>
    </cfRule>
  </conditionalFormatting>
  <conditionalFormatting sqref="D1000:D1001 D1002:E1002">
    <cfRule type="cellIs" dxfId="70" priority="149" operator="equal">
      <formula>"x"</formula>
    </cfRule>
  </conditionalFormatting>
  <conditionalFormatting sqref="D526:E526">
    <cfRule type="cellIs" dxfId="69" priority="142" operator="equal">
      <formula>"x"</formula>
    </cfRule>
  </conditionalFormatting>
  <conditionalFormatting sqref="D920:F920 D923:E923 D924:F924">
    <cfRule type="cellIs" dxfId="68" priority="3" operator="equal">
      <formula>"x"</formula>
    </cfRule>
  </conditionalFormatting>
  <conditionalFormatting sqref="D918:I919">
    <cfRule type="cellIs" dxfId="67" priority="2" operator="equal">
      <formula>"x"</formula>
    </cfRule>
  </conditionalFormatting>
  <conditionalFormatting sqref="E916:E918">
    <cfRule type="cellIs" dxfId="66" priority="1" operator="equal">
      <formula>"x"</formula>
    </cfRule>
  </conditionalFormatting>
  <conditionalFormatting sqref="E935:E937">
    <cfRule type="cellIs" dxfId="65" priority="146" operator="equal">
      <formula>"x"</formula>
    </cfRule>
  </conditionalFormatting>
  <conditionalFormatting sqref="E969:E971">
    <cfRule type="cellIs" dxfId="64" priority="144" operator="equal">
      <formula>"x"</formula>
    </cfRule>
  </conditionalFormatting>
  <conditionalFormatting sqref="E993">
    <cfRule type="cellIs" dxfId="63" priority="156" operator="equal">
      <formula>"x"</formula>
    </cfRule>
  </conditionalFormatting>
  <conditionalFormatting sqref="E997">
    <cfRule type="cellIs" dxfId="62" priority="6" operator="equal">
      <formula>"x"</formula>
    </cfRule>
  </conditionalFormatting>
  <conditionalFormatting sqref="E1000:E1002">
    <cfRule type="cellIs" dxfId="61" priority="148" operator="equal">
      <formula>"x"</formula>
    </cfRule>
  </conditionalFormatting>
  <conditionalFormatting sqref="F26:F27">
    <cfRule type="cellIs" dxfId="60" priority="226" operator="equal">
      <formula>"x"</formula>
    </cfRule>
  </conditionalFormatting>
  <conditionalFormatting sqref="G921">
    <cfRule type="cellIs" dxfId="59" priority="4" operator="equal">
      <formula>"x"</formula>
    </cfRule>
  </conditionalFormatting>
  <conditionalFormatting sqref="G654:I654">
    <cfRule type="cellIs" dxfId="58" priority="113" operator="equal">
      <formula>"x"</formula>
    </cfRule>
  </conditionalFormatting>
  <conditionalFormatting sqref="G689:I689">
    <cfRule type="cellIs" dxfId="57" priority="112" operator="equal">
      <formula>"x"</formula>
    </cfRule>
  </conditionalFormatting>
  <conditionalFormatting sqref="G728:I728">
    <cfRule type="cellIs" dxfId="56" priority="127" operator="equal">
      <formula>"x"</formula>
    </cfRule>
  </conditionalFormatting>
  <conditionalFormatting sqref="AC7:AC9 AC16:AE19 AC605:AE606 AC613:AC623 AC992:AC999 AC1005:AE1005">
    <cfRule type="cellIs" dxfId="55" priority="225" operator="notEqual">
      <formula>AB7</formula>
    </cfRule>
  </conditionalFormatting>
  <conditionalFormatting sqref="AF7:AF9 AF16:AF27 AF458 AF469:AF479 AF555:AF558 AF569:AF599 AF605:AF606 AF613:AF624 AF630:AF631 AF642:AF660 AF666:AF667 AF677:AF695 AF701:AF704 AF714:AF737 AF743:AF744 AF750:AF765 AF771:AF782 AF793:AF828 AF837:AF848 AF854:AF894 AF897:AF908 AF914:AF915 AF922:AF924 AF967:AF968 AF975:AF985 AR975:AR985 AF992:AF999 AF1005:AF1013">
    <cfRule type="expression" dxfId="54" priority="110">
      <formula>AND(AF7=AE7,AE7&lt;&gt;"")</formula>
    </cfRule>
    <cfRule type="expression" dxfId="53" priority="111">
      <formula>AF7&lt;&gt;AE7</formula>
    </cfRule>
  </conditionalFormatting>
  <conditionalFormatting sqref="AF33:AF41">
    <cfRule type="expression" dxfId="52" priority="109">
      <formula>AF33&lt;&gt;AE33</formula>
    </cfRule>
    <cfRule type="expression" dxfId="51" priority="108">
      <formula>AND(AF33=AE33,AE33&lt;&gt;"")</formula>
    </cfRule>
  </conditionalFormatting>
  <conditionalFormatting sqref="AF48:AF95">
    <cfRule type="expression" dxfId="50" priority="59">
      <formula>AF48&lt;&gt;AE48</formula>
    </cfRule>
    <cfRule type="expression" dxfId="49" priority="58">
      <formula>AND(AF48=AE48,AE48&lt;&gt;"")</formula>
    </cfRule>
  </conditionalFormatting>
  <conditionalFormatting sqref="AF101:AF130">
    <cfRule type="expression" dxfId="48" priority="107">
      <formula>AF101&lt;&gt;AE101</formula>
    </cfRule>
    <cfRule type="expression" dxfId="47" priority="106">
      <formula>AND(AF101=AE101,AE101&lt;&gt;"")</formula>
    </cfRule>
  </conditionalFormatting>
  <conditionalFormatting sqref="AF137:AF414">
    <cfRule type="expression" dxfId="46" priority="57">
      <formula>AF137&lt;&gt;AE137</formula>
    </cfRule>
    <cfRule type="expression" dxfId="45" priority="56">
      <formula>AND(AF137=AE137,AE137&lt;&gt;"")</formula>
    </cfRule>
  </conditionalFormatting>
  <conditionalFormatting sqref="AF420:AF425">
    <cfRule type="expression" dxfId="44" priority="105">
      <formula>AF420&lt;&gt;AE420</formula>
    </cfRule>
    <cfRule type="expression" dxfId="43" priority="104">
      <formula>AND(AF420=AE420,AE420&lt;&gt;"")</formula>
    </cfRule>
  </conditionalFormatting>
  <conditionalFormatting sqref="AF433:AF452">
    <cfRule type="expression" dxfId="42" priority="54">
      <formula>AND(AF433=AE433,AE433&lt;&gt;"")</formula>
    </cfRule>
    <cfRule type="expression" dxfId="41" priority="55">
      <formula>AF433&lt;&gt;AE433</formula>
    </cfRule>
  </conditionalFormatting>
  <conditionalFormatting sqref="AF485:AF487">
    <cfRule type="expression" dxfId="40" priority="101">
      <formula>AF485&lt;&gt;AE485</formula>
    </cfRule>
    <cfRule type="expression" dxfId="39" priority="100">
      <formula>AND(AF485=AE485,AE485&lt;&gt;"")</formula>
    </cfRule>
  </conditionalFormatting>
  <conditionalFormatting sqref="AF494:AF514">
    <cfRule type="expression" dxfId="38" priority="50">
      <formula>AND(AF494=AE494,AE494&lt;&gt;"")</formula>
    </cfRule>
    <cfRule type="expression" dxfId="37" priority="51">
      <formula>AF494&lt;&gt;AE494</formula>
    </cfRule>
  </conditionalFormatting>
  <conditionalFormatting sqref="AF520:AF525">
    <cfRule type="expression" dxfId="36" priority="99">
      <formula>AF520&lt;&gt;AE520</formula>
    </cfRule>
    <cfRule type="expression" dxfId="35" priority="98">
      <formula>AND(AF520=AE520,AE520&lt;&gt;"")</formula>
    </cfRule>
  </conditionalFormatting>
  <conditionalFormatting sqref="AF533:AF549">
    <cfRule type="expression" dxfId="34" priority="49">
      <formula>AF533&lt;&gt;AE533</formula>
    </cfRule>
    <cfRule type="expression" dxfId="33" priority="48">
      <formula>AND(AF533=AE533,AE533&lt;&gt;"")</formula>
    </cfRule>
  </conditionalFormatting>
  <conditionalFormatting sqref="AF931:AF934">
    <cfRule type="expression" dxfId="32" priority="70">
      <formula>AND(AF931=AE931,AE931&lt;&gt;"")</formula>
    </cfRule>
    <cfRule type="expression" dxfId="31" priority="71">
      <formula>AF931&lt;&gt;AE931</formula>
    </cfRule>
  </conditionalFormatting>
  <conditionalFormatting sqref="AF942:AF961">
    <cfRule type="expression" dxfId="30" priority="19">
      <formula>AF942&lt;&gt;AE942</formula>
    </cfRule>
    <cfRule type="expression" dxfId="29" priority="18">
      <formula>AND(AF942=AE942,AE942&lt;&gt;"")</formula>
    </cfRule>
  </conditionalFormatting>
  <conditionalFormatting sqref="AH458 AH605:AH608 AH630:AH632 AH666:AH668 AH701:AH704 AH771:AH782 AH837:AH848">
    <cfRule type="cellIs" dxfId="28" priority="263" operator="lessThan">
      <formula>-0.1</formula>
    </cfRule>
    <cfRule type="cellIs" dxfId="27" priority="264" operator="greaterThan">
      <formula>0.1</formula>
    </cfRule>
  </conditionalFormatting>
  <pageMargins left="0.7" right="0.7" top="0.75" bottom="0.75" header="0.3" footer="0.3"/>
  <pageSetup scale="36" fitToHeight="0" orientation="landscape" r:id="rId1"/>
  <rowBreaks count="3" manualBreakCount="3">
    <brk id="453" max="18" man="1"/>
    <brk id="607" max="18" man="1"/>
    <brk id="962" max="18" man="1"/>
  </row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tabColor rgb="FFFF9999"/>
    <pageSetUpPr fitToPage="1"/>
  </sheetPr>
  <dimension ref="A1:DJ34"/>
  <sheetViews>
    <sheetView zoomScale="70" zoomScaleNormal="70" workbookViewId="0">
      <selection sqref="A1:P1"/>
    </sheetView>
  </sheetViews>
  <sheetFormatPr defaultColWidth="9.28515625" defaultRowHeight="15" outlineLevelRow="1" x14ac:dyDescent="0.25"/>
  <cols>
    <col min="1" max="1" width="9.28515625" style="73"/>
    <col min="2" max="2" width="8.7109375" style="50"/>
    <col min="3" max="3" width="29.7109375" style="49" customWidth="1"/>
    <col min="4" max="4" width="18.7109375" style="100" bestFit="1" customWidth="1"/>
    <col min="5" max="5" width="53.28515625" style="100" customWidth="1"/>
    <col min="6" max="6" width="19.7109375" style="50" customWidth="1"/>
    <col min="7" max="7" width="18.7109375" style="50" bestFit="1" customWidth="1"/>
    <col min="8" max="8" width="16.7109375" style="50" customWidth="1"/>
    <col min="9" max="10" width="14.7109375" style="50" customWidth="1"/>
    <col min="11" max="12" width="12.5703125" style="50" customWidth="1"/>
    <col min="13" max="13" width="16.7109375" style="50" customWidth="1"/>
    <col min="14" max="14" width="8.7109375" style="50"/>
    <col min="15" max="15" width="9.28515625" style="50" customWidth="1"/>
    <col min="16" max="16" width="4.28515625" style="50" customWidth="1"/>
    <col min="17" max="17" width="3.5703125" style="50" customWidth="1"/>
    <col min="18" max="18" width="8.42578125" style="50" customWidth="1"/>
    <col min="19" max="19" width="2.42578125" style="50" customWidth="1"/>
    <col min="20" max="21" width="9.28515625" style="73" customWidth="1"/>
    <col min="22" max="22" width="31" style="73" customWidth="1"/>
    <col min="23" max="23" width="14.7109375" style="370" customWidth="1"/>
    <col min="24" max="28" width="18.28515625" style="370" customWidth="1"/>
    <col min="29" max="29" width="18.28515625" style="73" customWidth="1"/>
    <col min="30" max="30" width="14.7109375" style="73" customWidth="1"/>
    <col min="31" max="31" width="13.42578125" style="73" bestFit="1" customWidth="1"/>
    <col min="32" max="32" width="18.5703125" style="73" customWidth="1"/>
    <col min="33" max="53" width="9.28515625" style="73" customWidth="1"/>
    <col min="54" max="110" width="9.28515625" style="73"/>
    <col min="111" max="111" width="12" style="73" bestFit="1" customWidth="1"/>
    <col min="112" max="112" width="23.28515625" style="73" bestFit="1" customWidth="1"/>
    <col min="113" max="113" width="12.5703125" style="73" customWidth="1"/>
    <col min="114" max="114" width="16.28515625" style="1059" customWidth="1"/>
    <col min="115" max="16384" width="9.28515625" style="73"/>
  </cols>
  <sheetData>
    <row r="1" spans="1:114" s="2" customFormat="1" ht="18.75" x14ac:dyDescent="0.3">
      <c r="A1" s="2430" t="s">
        <v>2215</v>
      </c>
      <c r="B1" s="2431"/>
      <c r="C1" s="2431"/>
      <c r="D1" s="2431"/>
      <c r="E1" s="2431"/>
      <c r="F1" s="2431"/>
      <c r="G1" s="2431"/>
      <c r="H1" s="2431"/>
      <c r="I1" s="2431"/>
      <c r="J1" s="2431"/>
      <c r="K1" s="2431"/>
      <c r="L1" s="2431"/>
      <c r="M1" s="2431"/>
      <c r="N1" s="2431"/>
      <c r="O1" s="2431"/>
      <c r="P1" s="2432"/>
      <c r="Q1" s="2190"/>
      <c r="R1" s="2147"/>
      <c r="S1" s="1290"/>
      <c r="V1" s="3"/>
      <c r="W1" s="740"/>
      <c r="X1" s="740"/>
      <c r="Y1" s="1401"/>
      <c r="Z1" s="1401"/>
      <c r="AA1" s="1401"/>
      <c r="AB1" s="1401"/>
      <c r="AC1" s="5"/>
      <c r="AD1" s="5"/>
      <c r="AE1" s="5"/>
      <c r="AF1" s="5"/>
      <c r="AG1" s="5"/>
      <c r="AH1" s="5"/>
      <c r="DJ1" s="1116"/>
    </row>
    <row r="2" spans="1:114" s="2" customFormat="1" ht="30" customHeight="1" outlineLevel="1" x14ac:dyDescent="0.35">
      <c r="B2" s="446"/>
      <c r="C2" s="58"/>
      <c r="D2" s="2079" t="s">
        <v>39</v>
      </c>
      <c r="E2" s="2101"/>
      <c r="F2" s="2102"/>
      <c r="G2" s="2102"/>
      <c r="H2" s="2102"/>
      <c r="I2" s="2102"/>
      <c r="J2" s="2102"/>
      <c r="K2" s="2102"/>
      <c r="L2" s="251"/>
      <c r="M2" s="251"/>
      <c r="N2" s="252"/>
      <c r="O2" s="252"/>
      <c r="P2" s="252"/>
      <c r="Q2" s="252"/>
      <c r="R2" s="252"/>
      <c r="S2" s="252"/>
      <c r="W2" s="21"/>
      <c r="X2" s="21"/>
      <c r="Y2" s="21"/>
      <c r="Z2" s="21"/>
      <c r="AA2" s="21"/>
      <c r="AB2" s="21"/>
      <c r="DJ2" s="1116"/>
    </row>
    <row r="3" spans="1:114" s="2" customFormat="1" ht="24" customHeight="1" x14ac:dyDescent="0.35">
      <c r="A3" s="252"/>
      <c r="B3" s="446"/>
      <c r="C3" s="58"/>
      <c r="D3" s="427"/>
      <c r="E3" s="613"/>
      <c r="F3" s="1291"/>
      <c r="G3" s="1291"/>
      <c r="H3" s="1291"/>
      <c r="I3" s="1291"/>
      <c r="J3" s="1291"/>
      <c r="K3" s="1291"/>
      <c r="L3" s="251"/>
      <c r="M3" s="251"/>
      <c r="N3" s="252"/>
      <c r="O3" s="252"/>
      <c r="P3" s="252"/>
      <c r="Q3" s="252"/>
      <c r="R3" s="252"/>
      <c r="S3" s="252"/>
      <c r="W3" s="21"/>
      <c r="X3" s="21"/>
      <c r="Y3" s="21"/>
      <c r="Z3" s="21"/>
      <c r="AA3" s="21"/>
      <c r="AB3" s="21"/>
      <c r="DJ3" s="1116"/>
    </row>
    <row r="4" spans="1:114" x14ac:dyDescent="0.25">
      <c r="A4" s="50"/>
      <c r="B4" s="2103" t="s">
        <v>2216</v>
      </c>
      <c r="C4" s="2104"/>
      <c r="D4" s="2104"/>
      <c r="E4" s="2104"/>
      <c r="F4" s="2104"/>
      <c r="G4" s="2104"/>
      <c r="H4" s="2104"/>
      <c r="I4" s="2104"/>
      <c r="J4" s="2104"/>
      <c r="K4" s="2104"/>
      <c r="L4" s="2104"/>
      <c r="M4" s="2207"/>
      <c r="V4" s="2103" t="str">
        <f>B4</f>
        <v>Demand Response Advanced Thermostat</v>
      </c>
      <c r="W4" s="2104"/>
      <c r="X4" s="2104"/>
      <c r="Y4" s="2104"/>
      <c r="Z4" s="2104"/>
      <c r="AA4" s="2104"/>
      <c r="AB4" s="2104"/>
      <c r="AC4" s="2106"/>
      <c r="AD4" s="2106"/>
      <c r="AE4" s="2106"/>
      <c r="AF4" s="2106"/>
      <c r="AG4" s="2106"/>
      <c r="AH4" s="2106"/>
      <c r="AI4" s="2107"/>
    </row>
    <row r="5" spans="1:114" x14ac:dyDescent="0.25">
      <c r="A5" s="50"/>
      <c r="V5" s="260"/>
      <c r="W5" s="271"/>
      <c r="X5" s="271"/>
      <c r="Y5" s="271"/>
      <c r="Z5" s="271"/>
      <c r="AA5" s="271"/>
      <c r="AB5" s="271"/>
      <c r="AC5" s="260"/>
      <c r="AD5" s="260"/>
      <c r="AE5" s="260"/>
      <c r="AF5" s="260"/>
      <c r="AG5" s="260"/>
      <c r="AH5" s="260"/>
      <c r="AI5" s="260"/>
    </row>
    <row r="6" spans="1:114" ht="30" x14ac:dyDescent="0.25">
      <c r="A6" s="50"/>
      <c r="C6" s="1300" t="s">
        <v>42</v>
      </c>
      <c r="D6" s="1300" t="s">
        <v>594</v>
      </c>
      <c r="E6" s="1300" t="s">
        <v>2217</v>
      </c>
      <c r="F6" s="1300" t="s">
        <v>2218</v>
      </c>
      <c r="G6" s="1300" t="s">
        <v>2219</v>
      </c>
      <c r="H6" s="1300" t="s">
        <v>2220</v>
      </c>
      <c r="I6" s="1300" t="s">
        <v>2221</v>
      </c>
      <c r="J6" s="1300" t="s">
        <v>2222</v>
      </c>
      <c r="K6" s="1300" t="s">
        <v>49</v>
      </c>
      <c r="L6" s="1300" t="s">
        <v>50</v>
      </c>
      <c r="M6" s="1300" t="s">
        <v>51</v>
      </c>
      <c r="V6" s="648" t="s">
        <v>52</v>
      </c>
      <c r="W6" s="110">
        <v>43252</v>
      </c>
      <c r="X6" s="110">
        <v>43465</v>
      </c>
      <c r="Y6" s="110">
        <v>43800</v>
      </c>
      <c r="Z6" s="110">
        <v>43862</v>
      </c>
      <c r="AA6" s="110">
        <v>44013</v>
      </c>
      <c r="AB6" s="110">
        <v>44166</v>
      </c>
      <c r="AC6" s="649">
        <v>44531</v>
      </c>
      <c r="AD6" s="649">
        <v>44774</v>
      </c>
      <c r="AE6" s="649">
        <v>45139</v>
      </c>
      <c r="AF6" s="649">
        <f>'Deemed Savings Tbl Revision Log'!C17</f>
        <v>45672</v>
      </c>
      <c r="AG6" s="649" t="s">
        <v>53</v>
      </c>
      <c r="AH6" s="260"/>
      <c r="AI6" s="260"/>
      <c r="DG6" s="1402" t="s">
        <v>54</v>
      </c>
      <c r="DH6" s="1403" t="s">
        <v>55</v>
      </c>
      <c r="DI6" s="1404" t="s">
        <v>56</v>
      </c>
      <c r="DJ6" s="1060" t="s">
        <v>57</v>
      </c>
    </row>
    <row r="7" spans="1:114" ht="30" x14ac:dyDescent="0.25">
      <c r="A7" s="50"/>
      <c r="B7" s="1384">
        <f t="shared" ref="B7:B10" si="0">VALUE(LEFT(C7,6))</f>
        <v>600050</v>
      </c>
      <c r="C7" s="18" t="s">
        <v>2223</v>
      </c>
      <c r="D7" s="103" t="s">
        <v>2224</v>
      </c>
      <c r="E7" s="1322" t="s">
        <v>2225</v>
      </c>
      <c r="F7" s="745">
        <f>61.74*0</f>
        <v>0</v>
      </c>
      <c r="G7" s="132" t="s">
        <v>53</v>
      </c>
      <c r="H7" s="132" t="s">
        <v>591</v>
      </c>
      <c r="I7" s="1136" t="s">
        <v>53</v>
      </c>
      <c r="J7" s="1136" t="s">
        <v>53</v>
      </c>
      <c r="K7" s="1211">
        <v>1</v>
      </c>
      <c r="L7" s="1137">
        <v>0</v>
      </c>
      <c r="M7" s="18" t="s">
        <v>2226</v>
      </c>
      <c r="V7" s="1409" t="str">
        <f>$F$6</f>
        <v>Gross kWh Annual Savings [2]</v>
      </c>
      <c r="W7" s="1410">
        <v>177</v>
      </c>
      <c r="X7" s="1410">
        <v>177</v>
      </c>
      <c r="Y7" s="1410">
        <v>177</v>
      </c>
      <c r="Z7" s="1410">
        <v>177</v>
      </c>
      <c r="AA7" s="1410">
        <v>177</v>
      </c>
      <c r="AB7" s="47">
        <v>55.97</v>
      </c>
      <c r="AC7" s="42">
        <v>55.97</v>
      </c>
      <c r="AD7" s="47">
        <v>47.86</v>
      </c>
      <c r="AE7" s="156">
        <v>97.49</v>
      </c>
      <c r="AF7" s="258">
        <f>IF(F7&lt;&gt;"",F7,"")</f>
        <v>0</v>
      </c>
      <c r="AG7" s="1410"/>
      <c r="DG7" s="1406" t="str">
        <f>IFERROR((DI7)/(DJ7),"")</f>
        <v/>
      </c>
      <c r="DH7" s="1330"/>
      <c r="DI7" s="1407"/>
      <c r="DJ7" s="1951">
        <f>IFERROR(L7/((1+DiscountRate)^(CurrentYear-DiscountYear)),0)</f>
        <v>0</v>
      </c>
    </row>
    <row r="8" spans="1:114" s="39" customFormat="1" ht="30" x14ac:dyDescent="0.25">
      <c r="B8" s="1384">
        <f t="shared" si="0"/>
        <v>600060</v>
      </c>
      <c r="C8" s="18" t="s">
        <v>2227</v>
      </c>
      <c r="D8" s="103" t="s">
        <v>2224</v>
      </c>
      <c r="E8" s="1322" t="s">
        <v>2228</v>
      </c>
      <c r="F8" s="745">
        <v>0</v>
      </c>
      <c r="G8" s="132" t="s">
        <v>53</v>
      </c>
      <c r="H8" s="132" t="s">
        <v>591</v>
      </c>
      <c r="I8" s="1136" t="s">
        <v>53</v>
      </c>
      <c r="J8" s="1136" t="s">
        <v>53</v>
      </c>
      <c r="K8" s="1211">
        <v>1</v>
      </c>
      <c r="L8" s="1137">
        <v>0</v>
      </c>
      <c r="M8" s="18" t="s">
        <v>2226</v>
      </c>
      <c r="N8" s="50"/>
      <c r="O8" s="50"/>
      <c r="P8" s="50"/>
      <c r="Q8" s="50"/>
      <c r="R8" s="50"/>
      <c r="S8" s="50"/>
      <c r="V8" s="1371" t="str">
        <f>$F$6</f>
        <v>Gross kWh Annual Savings [2]</v>
      </c>
      <c r="W8" s="1106"/>
      <c r="X8" s="1106"/>
      <c r="Y8" s="1106"/>
      <c r="Z8" s="1106"/>
      <c r="AA8" s="1106"/>
      <c r="AB8" s="1106"/>
      <c r="AC8" s="1106"/>
      <c r="AD8" s="1106"/>
      <c r="AE8" s="156">
        <v>0</v>
      </c>
      <c r="AF8" s="258">
        <f>IF(F8&lt;&gt;"",F8,"")</f>
        <v>0</v>
      </c>
      <c r="AG8" s="156"/>
      <c r="DG8" s="1406" t="str">
        <f>IFERROR((DI8)/(DJ8),"")</f>
        <v/>
      </c>
      <c r="DH8" s="1330"/>
      <c r="DI8" s="1407"/>
      <c r="DJ8" s="1952">
        <f>IFERROR(L8/((1+DiscountRate)^(CurrentYear-DiscountYear)),0)</f>
        <v>0</v>
      </c>
    </row>
    <row r="9" spans="1:114" ht="30" x14ac:dyDescent="0.25">
      <c r="A9" s="50"/>
      <c r="B9" s="1384">
        <f t="shared" si="0"/>
        <v>600100</v>
      </c>
      <c r="C9" s="18" t="s">
        <v>2229</v>
      </c>
      <c r="D9" s="103" t="s">
        <v>2224</v>
      </c>
      <c r="E9" s="1322" t="s">
        <v>2230</v>
      </c>
      <c r="F9" s="745">
        <v>0</v>
      </c>
      <c r="G9" s="132" t="s">
        <v>53</v>
      </c>
      <c r="H9" s="132" t="s">
        <v>591</v>
      </c>
      <c r="I9" s="1136" t="s">
        <v>53</v>
      </c>
      <c r="J9" s="1136" t="s">
        <v>53</v>
      </c>
      <c r="K9" s="1211">
        <v>1</v>
      </c>
      <c r="L9" s="1137">
        <v>0</v>
      </c>
      <c r="M9" s="18" t="s">
        <v>2226</v>
      </c>
      <c r="V9" s="1371" t="str">
        <f>$F$6</f>
        <v>Gross kWh Annual Savings [2]</v>
      </c>
      <c r="W9" s="1411"/>
      <c r="X9" s="1411"/>
      <c r="Y9" s="1411"/>
      <c r="Z9" s="1411"/>
      <c r="AA9" s="1411"/>
      <c r="AB9" s="1106"/>
      <c r="AC9" s="47">
        <v>0</v>
      </c>
      <c r="AD9" s="42">
        <v>0</v>
      </c>
      <c r="AE9" s="42">
        <v>0</v>
      </c>
      <c r="AF9" s="258">
        <f>IF(F9&lt;&gt;"",F9,"")</f>
        <v>0</v>
      </c>
      <c r="AG9" s="1410"/>
      <c r="DG9" s="1406" t="str">
        <f>IFERROR((DI9)/(DJ9),"")</f>
        <v/>
      </c>
      <c r="DH9" s="1330"/>
      <c r="DI9" s="1407"/>
      <c r="DJ9" s="1952">
        <f>IFERROR(L9/((1+DiscountRate)^(CurrentYear-DiscountYear)),0)</f>
        <v>0</v>
      </c>
    </row>
    <row r="10" spans="1:114" s="39" customFormat="1" ht="30" x14ac:dyDescent="0.25">
      <c r="B10" s="1384">
        <f t="shared" si="0"/>
        <v>600110</v>
      </c>
      <c r="C10" s="18" t="s">
        <v>2231</v>
      </c>
      <c r="D10" s="103" t="s">
        <v>2224</v>
      </c>
      <c r="E10" s="1322" t="s">
        <v>2232</v>
      </c>
      <c r="F10" s="745">
        <v>0</v>
      </c>
      <c r="G10" s="132" t="s">
        <v>53</v>
      </c>
      <c r="H10" s="132" t="s">
        <v>591</v>
      </c>
      <c r="I10" s="1136" t="s">
        <v>53</v>
      </c>
      <c r="J10" s="1136" t="s">
        <v>53</v>
      </c>
      <c r="K10" s="1211">
        <v>1</v>
      </c>
      <c r="L10" s="1137">
        <v>0</v>
      </c>
      <c r="M10" s="18" t="s">
        <v>2226</v>
      </c>
      <c r="N10" s="50"/>
      <c r="O10" s="50"/>
      <c r="P10" s="50"/>
      <c r="Q10" s="50"/>
      <c r="R10" s="50"/>
      <c r="S10" s="50"/>
      <c r="V10" s="1371" t="str">
        <f>$F$6</f>
        <v>Gross kWh Annual Savings [2]</v>
      </c>
      <c r="W10" s="1106"/>
      <c r="X10" s="1106"/>
      <c r="Y10" s="1106"/>
      <c r="Z10" s="1106"/>
      <c r="AA10" s="1106"/>
      <c r="AB10" s="1106"/>
      <c r="AC10" s="1106"/>
      <c r="AD10" s="1106"/>
      <c r="AE10" s="156">
        <v>0</v>
      </c>
      <c r="AF10" s="258">
        <f>IF(F10&lt;&gt;"",F10,"")</f>
        <v>0</v>
      </c>
      <c r="AG10" s="156"/>
      <c r="DG10" s="1406" t="str">
        <f>IFERROR((DI10)/(DJ10),"")</f>
        <v/>
      </c>
      <c r="DH10" s="1330"/>
      <c r="DI10" s="1407"/>
      <c r="DJ10" s="1953">
        <f>IFERROR(L10/((1+DiscountRate)^(CurrentYear-DiscountYear)),0)</f>
        <v>0</v>
      </c>
    </row>
    <row r="11" spans="1:114" x14ac:dyDescent="0.25">
      <c r="A11" s="50"/>
      <c r="D11" s="74" t="s">
        <v>94</v>
      </c>
      <c r="E11" s="270" t="s">
        <v>2233</v>
      </c>
      <c r="F11" s="62"/>
      <c r="G11" s="62"/>
      <c r="H11" s="62"/>
      <c r="I11" s="62"/>
      <c r="J11" s="62"/>
      <c r="K11" s="62"/>
      <c r="L11" s="62"/>
      <c r="M11" s="62"/>
      <c r="N11" s="62"/>
      <c r="W11" s="1412"/>
      <c r="X11" s="1412"/>
      <c r="Y11" s="1412"/>
      <c r="Z11" s="1412"/>
      <c r="AA11" s="1412"/>
      <c r="AB11" s="786"/>
      <c r="AC11" s="1412"/>
      <c r="AD11" s="1412"/>
      <c r="AE11" s="1412"/>
      <c r="AF11" s="1412"/>
      <c r="AG11" s="1412"/>
      <c r="DG11" s="1413"/>
      <c r="DH11" s="577"/>
      <c r="DI11" s="1414"/>
      <c r="DJ11" s="1128"/>
    </row>
    <row r="12" spans="1:114" ht="51" customHeight="1" x14ac:dyDescent="0.25">
      <c r="A12" s="50"/>
      <c r="D12" s="553" t="s">
        <v>2234</v>
      </c>
      <c r="E12" s="2428" t="s">
        <v>2235</v>
      </c>
      <c r="F12" s="2428"/>
      <c r="G12" s="2428"/>
      <c r="H12" s="2428"/>
      <c r="I12" s="2428"/>
      <c r="J12" s="2428"/>
      <c r="K12" s="2428"/>
      <c r="L12" s="2428"/>
      <c r="M12" s="2428"/>
      <c r="N12" s="62"/>
      <c r="T12" s="50"/>
      <c r="U12" s="50"/>
      <c r="W12" s="1412"/>
      <c r="X12" s="1412"/>
      <c r="Y12" s="1412"/>
      <c r="Z12" s="1412"/>
      <c r="AA12" s="1412"/>
      <c r="AB12" s="786"/>
      <c r="AC12" s="1412"/>
      <c r="AD12" s="1412"/>
      <c r="AE12" s="1412"/>
      <c r="AF12" s="1412"/>
      <c r="AG12" s="1412"/>
      <c r="DG12" s="1413"/>
      <c r="DH12" s="577"/>
      <c r="DI12" s="1414"/>
      <c r="DJ12" s="1128"/>
    </row>
    <row r="13" spans="1:114" ht="86.65" customHeight="1" x14ac:dyDescent="0.25">
      <c r="A13" s="50"/>
      <c r="D13" s="553" t="s">
        <v>2236</v>
      </c>
      <c r="E13" s="2428" t="s">
        <v>2237</v>
      </c>
      <c r="F13" s="2428"/>
      <c r="G13" s="2428"/>
      <c r="H13" s="2428"/>
      <c r="I13" s="2428"/>
      <c r="J13" s="2428"/>
      <c r="K13" s="2428"/>
      <c r="L13" s="2428"/>
      <c r="M13" s="2428"/>
      <c r="N13" s="62"/>
      <c r="T13" s="50"/>
      <c r="U13" s="50"/>
      <c r="W13" s="1412"/>
      <c r="X13" s="1412"/>
      <c r="Y13" s="1412"/>
      <c r="Z13" s="1412"/>
      <c r="AA13" s="1412"/>
      <c r="AB13" s="786"/>
      <c r="AC13" s="1412"/>
      <c r="AD13" s="1412"/>
      <c r="AE13" s="1412"/>
      <c r="AF13" s="1412"/>
      <c r="AG13" s="1412"/>
      <c r="DG13" s="1413"/>
      <c r="DH13" s="577"/>
      <c r="DI13" s="1414"/>
      <c r="DJ13" s="1128"/>
    </row>
    <row r="14" spans="1:114" ht="34.9" customHeight="1" x14ac:dyDescent="0.25">
      <c r="A14" s="50"/>
      <c r="D14" s="553" t="s">
        <v>2238</v>
      </c>
      <c r="E14" s="2428" t="s">
        <v>2239</v>
      </c>
      <c r="F14" s="2428"/>
      <c r="G14" s="2428"/>
      <c r="H14" s="2428"/>
      <c r="I14" s="2428"/>
      <c r="J14" s="2428"/>
      <c r="K14" s="2428"/>
      <c r="L14" s="2428"/>
      <c r="M14" s="2428"/>
      <c r="N14" s="62"/>
      <c r="T14" s="50"/>
      <c r="U14" s="50"/>
      <c r="W14" s="1412"/>
      <c r="X14" s="1412"/>
      <c r="Y14" s="1412"/>
      <c r="Z14" s="1412"/>
      <c r="AA14" s="1412"/>
      <c r="AB14" s="786"/>
      <c r="AC14" s="1412"/>
      <c r="AD14" s="1412"/>
      <c r="AE14" s="1412"/>
      <c r="AF14" s="1412"/>
      <c r="AG14" s="1412"/>
      <c r="DG14" s="1413"/>
      <c r="DH14" s="577"/>
      <c r="DI14" s="1414"/>
      <c r="DJ14" s="1128"/>
    </row>
    <row r="15" spans="1:114" ht="15" customHeight="1" x14ac:dyDescent="0.25">
      <c r="A15" s="50"/>
      <c r="D15" s="553" t="s">
        <v>2240</v>
      </c>
      <c r="E15" s="2428" t="s">
        <v>2241</v>
      </c>
      <c r="F15" s="2428"/>
      <c r="G15" s="2428"/>
      <c r="H15" s="2428"/>
      <c r="I15" s="2428"/>
      <c r="J15" s="2428"/>
      <c r="K15" s="2428"/>
      <c r="L15" s="2428"/>
      <c r="M15" s="2428"/>
      <c r="N15" s="62"/>
      <c r="T15" s="50"/>
      <c r="U15" s="50"/>
      <c r="W15" s="1412"/>
      <c r="X15" s="1412"/>
      <c r="Y15" s="1412"/>
      <c r="Z15" s="1412"/>
      <c r="AA15" s="1412"/>
      <c r="AB15" s="786"/>
      <c r="AC15" s="1412"/>
      <c r="AD15" s="1412"/>
      <c r="AE15" s="1412"/>
      <c r="AF15" s="1412"/>
      <c r="AG15" s="1412"/>
      <c r="DG15" s="1413"/>
      <c r="DH15" s="577"/>
      <c r="DI15" s="1414"/>
      <c r="DJ15" s="1128"/>
    </row>
    <row r="16" spans="1:114" ht="75" customHeight="1" x14ac:dyDescent="0.25">
      <c r="A16" s="50"/>
      <c r="D16" s="553" t="s">
        <v>2242</v>
      </c>
      <c r="E16" s="2428" t="s">
        <v>2243</v>
      </c>
      <c r="F16" s="2428"/>
      <c r="G16" s="2428"/>
      <c r="H16" s="2428"/>
      <c r="I16" s="2428"/>
      <c r="J16" s="2428"/>
      <c r="K16" s="2428"/>
      <c r="L16" s="2428"/>
      <c r="M16" s="2428"/>
      <c r="T16" s="50"/>
      <c r="U16" s="50"/>
    </row>
    <row r="17" spans="1:114" ht="45" customHeight="1" x14ac:dyDescent="0.25">
      <c r="A17" s="50"/>
      <c r="D17" s="553" t="s">
        <v>2244</v>
      </c>
      <c r="E17" s="2428" t="s">
        <v>2245</v>
      </c>
      <c r="F17" s="2428"/>
      <c r="G17" s="2428"/>
      <c r="H17" s="2428"/>
      <c r="I17" s="2428"/>
      <c r="J17" s="2428"/>
      <c r="K17" s="2428"/>
      <c r="L17" s="2428"/>
      <c r="M17" s="2428"/>
      <c r="T17" s="50"/>
      <c r="U17" s="50"/>
    </row>
    <row r="18" spans="1:114" ht="14.65" customHeight="1" x14ac:dyDescent="0.25">
      <c r="A18" s="50"/>
      <c r="E18" s="2433"/>
      <c r="F18" s="2433"/>
      <c r="G18" s="2433"/>
      <c r="H18" s="2433"/>
      <c r="I18" s="2433"/>
      <c r="J18" s="2433"/>
      <c r="K18" s="2433"/>
      <c r="L18" s="2433"/>
      <c r="M18" s="2433"/>
      <c r="T18" s="50"/>
      <c r="U18" s="50"/>
    </row>
    <row r="19" spans="1:114" ht="14.65" customHeight="1" x14ac:dyDescent="0.25">
      <c r="A19" s="50"/>
      <c r="E19" s="2433"/>
      <c r="F19" s="2433"/>
      <c r="G19" s="2433"/>
      <c r="H19" s="2433"/>
      <c r="I19" s="2433"/>
      <c r="J19" s="2433"/>
      <c r="K19" s="2433"/>
      <c r="L19" s="2433"/>
      <c r="M19" s="2433"/>
      <c r="T19" s="50"/>
      <c r="U19" s="50"/>
    </row>
    <row r="20" spans="1:114" ht="89.65" customHeight="1" x14ac:dyDescent="0.25">
      <c r="A20" s="50"/>
      <c r="E20" s="2429" t="s">
        <v>2246</v>
      </c>
      <c r="F20" s="2304"/>
      <c r="G20" s="2304"/>
      <c r="H20" s="2304"/>
      <c r="I20" s="2304"/>
      <c r="J20" s="2304"/>
      <c r="K20" s="2304"/>
      <c r="L20" s="2304"/>
      <c r="M20" s="2304"/>
      <c r="T20" s="50"/>
      <c r="U20" s="50"/>
    </row>
    <row r="21" spans="1:114" x14ac:dyDescent="0.25">
      <c r="A21" s="50"/>
      <c r="T21" s="50"/>
      <c r="U21" s="50"/>
    </row>
    <row r="22" spans="1:114" ht="60" customHeight="1" x14ac:dyDescent="0.25">
      <c r="A22" s="50"/>
      <c r="E22" s="2429" t="s">
        <v>2247</v>
      </c>
      <c r="F22" s="2304"/>
      <c r="G22" s="2304"/>
      <c r="H22" s="2304"/>
      <c r="I22" s="2304"/>
      <c r="J22" s="2304"/>
      <c r="K22" s="2304"/>
      <c r="L22" s="2304"/>
      <c r="M22" s="2304"/>
      <c r="T22" s="50"/>
      <c r="U22" s="50"/>
    </row>
    <row r="23" spans="1:114" x14ac:dyDescent="0.25">
      <c r="A23" s="50"/>
    </row>
    <row r="24" spans="1:114" x14ac:dyDescent="0.25">
      <c r="A24" s="50"/>
      <c r="E24" s="949"/>
      <c r="F24" s="615"/>
    </row>
    <row r="25" spans="1:114" x14ac:dyDescent="0.25">
      <c r="A25" s="50"/>
      <c r="B25" s="2103" t="s">
        <v>2248</v>
      </c>
      <c r="C25" s="2104"/>
      <c r="D25" s="2104"/>
      <c r="E25" s="2104"/>
      <c r="F25" s="2104"/>
      <c r="G25" s="2104"/>
      <c r="H25" s="2104"/>
      <c r="I25" s="2104"/>
      <c r="J25" s="2104"/>
      <c r="K25" s="2104"/>
      <c r="L25" s="2104"/>
      <c r="M25" s="2207"/>
      <c r="V25" s="2103" t="str">
        <f>B25</f>
        <v>Demand Response Water Heater</v>
      </c>
      <c r="W25" s="2104"/>
      <c r="X25" s="2104"/>
      <c r="Y25" s="2104"/>
      <c r="Z25" s="2104"/>
      <c r="AA25" s="2104"/>
      <c r="AB25" s="2104"/>
      <c r="AC25" s="2074"/>
      <c r="AD25" s="2074"/>
      <c r="AE25" s="2074"/>
      <c r="AF25" s="2074"/>
      <c r="AG25" s="2074"/>
      <c r="AH25" s="2074"/>
      <c r="AI25" s="2075"/>
    </row>
    <row r="26" spans="1:114" x14ac:dyDescent="0.25">
      <c r="A26" s="50"/>
      <c r="V26" s="260"/>
      <c r="W26" s="271"/>
      <c r="X26" s="271"/>
      <c r="Y26" s="271"/>
      <c r="Z26" s="271"/>
      <c r="AA26" s="271"/>
      <c r="AB26" s="271"/>
      <c r="AC26" s="260"/>
      <c r="AD26" s="260"/>
      <c r="AE26" s="260"/>
      <c r="AF26" s="260"/>
      <c r="AG26" s="260"/>
      <c r="AH26" s="260"/>
      <c r="AI26" s="260"/>
    </row>
    <row r="27" spans="1:114" ht="30" x14ac:dyDescent="0.25">
      <c r="A27" s="50"/>
      <c r="C27" s="1300" t="s">
        <v>42</v>
      </c>
      <c r="D27" s="1300" t="s">
        <v>594</v>
      </c>
      <c r="E27" s="1300" t="s">
        <v>44</v>
      </c>
      <c r="F27" s="1300" t="s">
        <v>45</v>
      </c>
      <c r="G27" s="1300" t="s">
        <v>46</v>
      </c>
      <c r="H27" s="1300" t="s">
        <v>2249</v>
      </c>
      <c r="I27" s="1300" t="s">
        <v>2250</v>
      </c>
      <c r="J27" s="1300" t="s">
        <v>2251</v>
      </c>
      <c r="K27" s="1300" t="s">
        <v>49</v>
      </c>
      <c r="L27" s="1300" t="s">
        <v>50</v>
      </c>
      <c r="M27" s="1300" t="s">
        <v>51</v>
      </c>
      <c r="V27" s="165" t="s">
        <v>52</v>
      </c>
      <c r="W27" s="741">
        <f t="shared" ref="W27:AE27" si="1">W$6</f>
        <v>43252</v>
      </c>
      <c r="X27" s="741">
        <f t="shared" si="1"/>
        <v>43465</v>
      </c>
      <c r="Y27" s="741">
        <f t="shared" si="1"/>
        <v>43800</v>
      </c>
      <c r="Z27" s="741">
        <f t="shared" si="1"/>
        <v>43862</v>
      </c>
      <c r="AA27" s="741">
        <f t="shared" si="1"/>
        <v>44013</v>
      </c>
      <c r="AB27" s="741">
        <f t="shared" si="1"/>
        <v>44166</v>
      </c>
      <c r="AC27" s="741">
        <f t="shared" si="1"/>
        <v>44531</v>
      </c>
      <c r="AD27" s="741">
        <f t="shared" si="1"/>
        <v>44774</v>
      </c>
      <c r="AE27" s="741">
        <f t="shared" si="1"/>
        <v>45139</v>
      </c>
      <c r="AF27" s="166">
        <f>AF6</f>
        <v>45672</v>
      </c>
      <c r="AG27" s="962" t="s">
        <v>53</v>
      </c>
      <c r="AH27" s="260"/>
      <c r="AI27" s="260"/>
      <c r="DG27" s="828" t="s">
        <v>54</v>
      </c>
      <c r="DH27" s="1134" t="s">
        <v>55</v>
      </c>
      <c r="DI27" s="1135" t="s">
        <v>56</v>
      </c>
      <c r="DJ27" s="1060" t="s">
        <v>57</v>
      </c>
    </row>
    <row r="28" spans="1:114" x14ac:dyDescent="0.25">
      <c r="A28" s="50"/>
      <c r="B28" s="1384">
        <f t="shared" ref="B28:B29" si="2">VALUE(LEFT(C28,6))</f>
        <v>600401</v>
      </c>
      <c r="C28" s="435" t="s">
        <v>2252</v>
      </c>
      <c r="D28" s="609" t="s">
        <v>2224</v>
      </c>
      <c r="E28" s="1372" t="s">
        <v>2253</v>
      </c>
      <c r="F28" s="991">
        <v>0</v>
      </c>
      <c r="G28" s="66" t="s">
        <v>53</v>
      </c>
      <c r="H28" s="66" t="s">
        <v>591</v>
      </c>
      <c r="I28" s="1212">
        <v>0.27</v>
      </c>
      <c r="J28" s="1212" t="s">
        <v>53</v>
      </c>
      <c r="K28" s="1213">
        <v>1</v>
      </c>
      <c r="L28" s="1214">
        <v>149</v>
      </c>
      <c r="M28" s="435" t="s">
        <v>2254</v>
      </c>
      <c r="V28" s="1371" t="str">
        <f>$F$27</f>
        <v>kWh Annual Savings</v>
      </c>
      <c r="W28" s="57"/>
      <c r="X28" s="57"/>
      <c r="Y28" s="57"/>
      <c r="Z28" s="57"/>
      <c r="AA28" s="57"/>
      <c r="AB28" s="42"/>
      <c r="AC28" s="42"/>
      <c r="AD28" s="42"/>
      <c r="AE28" s="42">
        <v>0</v>
      </c>
      <c r="AF28" s="258">
        <f>IF(F28&lt;&gt;"",F28,"")</f>
        <v>0</v>
      </c>
      <c r="AG28" s="156"/>
      <c r="DG28" s="1406">
        <f>IFERROR((DI28)/(DJ28),"")</f>
        <v>0</v>
      </c>
      <c r="DH28" s="1330"/>
      <c r="DI28" s="1407"/>
      <c r="DJ28" s="1951">
        <f>IFERROR(L28/((1+DiscountRate)^(CurrentYear-DiscountYear)),0)</f>
        <v>149</v>
      </c>
    </row>
    <row r="29" spans="1:114" ht="30" x14ac:dyDescent="0.25">
      <c r="A29" s="50"/>
      <c r="B29" s="1384">
        <f t="shared" si="2"/>
        <v>600402</v>
      </c>
      <c r="C29" s="435" t="s">
        <v>2255</v>
      </c>
      <c r="D29" s="609" t="s">
        <v>2224</v>
      </c>
      <c r="E29" s="1372" t="s">
        <v>2256</v>
      </c>
      <c r="F29" s="991">
        <v>0</v>
      </c>
      <c r="G29" s="66" t="s">
        <v>53</v>
      </c>
      <c r="H29" s="66" t="s">
        <v>591</v>
      </c>
      <c r="I29" s="1212">
        <v>0.22</v>
      </c>
      <c r="J29" s="1212" t="s">
        <v>53</v>
      </c>
      <c r="K29" s="1213">
        <v>1</v>
      </c>
      <c r="L29" s="1214">
        <v>149</v>
      </c>
      <c r="M29" s="435" t="s">
        <v>2254</v>
      </c>
      <c r="V29" s="1371" t="str">
        <f>$F$27</f>
        <v>kWh Annual Savings</v>
      </c>
      <c r="W29" s="57"/>
      <c r="X29" s="57"/>
      <c r="Y29" s="57"/>
      <c r="Z29" s="57"/>
      <c r="AA29" s="57"/>
      <c r="AB29" s="42"/>
      <c r="AC29" s="42"/>
      <c r="AD29" s="42"/>
      <c r="AE29" s="42">
        <v>0</v>
      </c>
      <c r="AF29" s="258">
        <f>IF(F29&lt;&gt;"",F29,"")</f>
        <v>0</v>
      </c>
      <c r="AG29" s="156"/>
      <c r="DG29" s="1406">
        <f>IFERROR((DI29)/(DJ29),"")</f>
        <v>0</v>
      </c>
      <c r="DH29" s="1330"/>
      <c r="DI29" s="1407"/>
      <c r="DJ29" s="1953">
        <f>IFERROR(L29/((1+DiscountRate)^(CurrentYear-DiscountYear)),0)</f>
        <v>149</v>
      </c>
    </row>
    <row r="30" spans="1:114" x14ac:dyDescent="0.25">
      <c r="A30" s="50"/>
      <c r="D30" s="74" t="s">
        <v>94</v>
      </c>
      <c r="E30" s="270" t="s">
        <v>2257</v>
      </c>
    </row>
    <row r="31" spans="1:114" x14ac:dyDescent="0.25">
      <c r="A31" s="50"/>
      <c r="D31" s="553" t="s">
        <v>2234</v>
      </c>
      <c r="E31" s="2428" t="s">
        <v>2241</v>
      </c>
      <c r="F31" s="2428"/>
      <c r="G31" s="2428"/>
      <c r="H31" s="2428"/>
      <c r="I31" s="2428"/>
      <c r="J31" s="2428"/>
      <c r="K31" s="2428"/>
      <c r="L31" s="2428"/>
      <c r="M31" s="2428"/>
      <c r="N31" s="62"/>
      <c r="W31" s="1412"/>
      <c r="X31" s="1412"/>
      <c r="Y31" s="1412"/>
      <c r="Z31" s="1412"/>
      <c r="AA31" s="1412"/>
      <c r="AB31" s="786"/>
      <c r="AC31" s="1412"/>
      <c r="AD31" s="1412"/>
      <c r="AE31" s="1412"/>
      <c r="AF31" s="1412"/>
      <c r="AG31" s="1412"/>
      <c r="DG31" s="1413"/>
      <c r="DH31" s="577"/>
      <c r="DI31" s="1414"/>
      <c r="DJ31" s="1128"/>
    </row>
    <row r="32" spans="1:114" ht="147" customHeight="1" x14ac:dyDescent="0.25">
      <c r="A32" s="50"/>
      <c r="D32" s="553" t="s">
        <v>2236</v>
      </c>
      <c r="E32" s="2428" t="s">
        <v>2258</v>
      </c>
      <c r="F32" s="2428"/>
      <c r="G32" s="2428"/>
      <c r="H32" s="2428"/>
      <c r="I32" s="2428"/>
      <c r="J32" s="2428"/>
      <c r="K32" s="2428"/>
      <c r="L32" s="2428"/>
      <c r="M32" s="2428"/>
      <c r="N32" s="62"/>
      <c r="W32" s="1412"/>
      <c r="X32" s="1412"/>
      <c r="Y32" s="1412"/>
      <c r="Z32" s="1412"/>
      <c r="AA32" s="1412"/>
      <c r="AB32" s="786"/>
      <c r="AC32" s="1412"/>
      <c r="AD32" s="1412"/>
      <c r="AE32" s="1412"/>
      <c r="AF32" s="1412"/>
      <c r="AG32" s="1412"/>
      <c r="DG32" s="1413"/>
      <c r="DH32" s="577"/>
      <c r="DI32" s="1414"/>
      <c r="DJ32" s="1128"/>
    </row>
    <row r="33" spans="1:13" ht="28.9" customHeight="1" x14ac:dyDescent="0.25">
      <c r="A33" s="50"/>
      <c r="D33" s="553" t="s">
        <v>2259</v>
      </c>
      <c r="E33" s="2428" t="s">
        <v>2260</v>
      </c>
      <c r="F33" s="2428"/>
      <c r="G33" s="2428"/>
      <c r="H33" s="2428"/>
      <c r="I33" s="2428"/>
      <c r="J33" s="2428"/>
      <c r="K33" s="2428"/>
      <c r="L33" s="2428"/>
      <c r="M33" s="2428"/>
    </row>
    <row r="34" spans="1:13" x14ac:dyDescent="0.25">
      <c r="A34" s="50"/>
      <c r="E34" s="949"/>
      <c r="F34" s="615"/>
    </row>
  </sheetData>
  <mergeCells count="20">
    <mergeCell ref="V4:AI4"/>
    <mergeCell ref="E20:M20"/>
    <mergeCell ref="E22:M22"/>
    <mergeCell ref="A1:P1"/>
    <mergeCell ref="Q1:R1"/>
    <mergeCell ref="D2:K2"/>
    <mergeCell ref="B4:M4"/>
    <mergeCell ref="E12:M12"/>
    <mergeCell ref="E13:M13"/>
    <mergeCell ref="E14:M14"/>
    <mergeCell ref="E15:M15"/>
    <mergeCell ref="E16:M16"/>
    <mergeCell ref="E18:M18"/>
    <mergeCell ref="E19:M19"/>
    <mergeCell ref="E32:M32"/>
    <mergeCell ref="E33:M33"/>
    <mergeCell ref="E17:M17"/>
    <mergeCell ref="B25:M25"/>
    <mergeCell ref="V25:AI25"/>
    <mergeCell ref="E31:M31"/>
  </mergeCells>
  <conditionalFormatting sqref="B7:B10 B28:B29">
    <cfRule type="containsText" dxfId="26" priority="12" operator="containsText" text="x">
      <formula>NOT(ISERROR(SEARCH("x",B7)))</formula>
    </cfRule>
  </conditionalFormatting>
  <conditionalFormatting sqref="AF7:AF10 AF28:AF29">
    <cfRule type="expression" dxfId="25" priority="8">
      <formula>AND(AF7=AE7,AE7&lt;&gt;"")</formula>
    </cfRule>
    <cfRule type="expression" dxfId="24" priority="9">
      <formula>AF7&lt;&gt;AE7</formula>
    </cfRule>
  </conditionalFormatting>
  <pageMargins left="0.7" right="0.7" top="0.75" bottom="0.75" header="0.3" footer="0.3"/>
  <pageSetup scale="43"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merenCompany xmlns="f0fabfd0-c808-4021-b0dc-76a068fda820">Ameren Missouri</AmerenCompany>
    <SecurityClassification xmlns="f0fabfd0-c808-4021-b0dc-76a068fda820">Protected</SecurityClassification>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C7955207C1BD647A3438075FDACC685" ma:contentTypeVersion="4" ma:contentTypeDescription="Create a new document." ma:contentTypeScope="" ma:versionID="ba9b986f3bd86b38294039b121bab003">
  <xsd:schema xmlns:xsd="http://www.w3.org/2001/XMLSchema" xmlns:xs="http://www.w3.org/2001/XMLSchema" xmlns:p="http://schemas.microsoft.com/office/2006/metadata/properties" xmlns:ns2="f0fabfd0-c808-4021-b0dc-76a068fda820" xmlns:ns3="5667d2bd-f237-477b-b3ab-376dd50347f7" targetNamespace="http://schemas.microsoft.com/office/2006/metadata/properties" ma:root="true" ma:fieldsID="954da7ebe6a5fbe18a7fbeb152663df0" ns2:_="" ns3:_="">
    <xsd:import namespace="f0fabfd0-c808-4021-b0dc-76a068fda820"/>
    <xsd:import namespace="5667d2bd-f237-477b-b3ab-376dd50347f7"/>
    <xsd:element name="properties">
      <xsd:complexType>
        <xsd:sequence>
          <xsd:element name="documentManagement">
            <xsd:complexType>
              <xsd:all>
                <xsd:element ref="ns2:AmerenCompany"/>
                <xsd:element ref="ns2:SecurityClassification"/>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fabfd0-c808-4021-b0dc-76a068fda820" elementFormDefault="qualified">
    <xsd:import namespace="http://schemas.microsoft.com/office/2006/documentManagement/types"/>
    <xsd:import namespace="http://schemas.microsoft.com/office/infopath/2007/PartnerControls"/>
    <xsd:element name="AmerenCompany" ma:index="8" ma:displayName="Ameren Company" ma:default="Ameren Missouri" ma:format="Dropdown" ma:internalName="AmerenCompany">
      <xsd:simpleType>
        <xsd:restriction base="dms:Choice">
          <xsd:enumeration value="Ameren Illinois"/>
          <xsd:enumeration value="Ameren Missouri"/>
          <xsd:enumeration value="Ameren Services"/>
          <xsd:enumeration value="Ameren Transmission"/>
        </xsd:restriction>
      </xsd:simpleType>
    </xsd:element>
    <xsd:element name="SecurityClassification" ma:index="9" ma:displayName="Security Classification" ma:default="Protected" ma:format="Dropdown" ma:internalName="SecurityClassification">
      <xsd:simpleType>
        <xsd:restriction base="dms:Choice">
          <xsd:enumeration value="Restricted"/>
          <xsd:enumeration value="Protected"/>
          <xsd:enumeration value="Internal"/>
          <xsd:enumeration value="External"/>
        </xsd:restriction>
      </xsd:simpleType>
    </xsd:element>
  </xsd:schema>
  <xsd:schema xmlns:xsd="http://www.w3.org/2001/XMLSchema" xmlns:xs="http://www.w3.org/2001/XMLSchema" xmlns:dms="http://schemas.microsoft.com/office/2006/documentManagement/types" xmlns:pc="http://schemas.microsoft.com/office/infopath/2007/PartnerControls" targetNamespace="5667d2bd-f237-477b-b3ab-376dd50347f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B6C476-F7D3-46EC-B6DD-97C0F88A2307}">
  <ds:schemaRefs>
    <ds:schemaRef ds:uri="http://schemas.microsoft.com/sharepoint/v3/contenttype/forms"/>
  </ds:schemaRefs>
</ds:datastoreItem>
</file>

<file path=customXml/itemProps2.xml><?xml version="1.0" encoding="utf-8"?>
<ds:datastoreItem xmlns:ds="http://schemas.openxmlformats.org/officeDocument/2006/customXml" ds:itemID="{F5FFDD1B-6F57-4813-A8EF-3355F96931DB}">
  <ds:schemaRefs>
    <ds:schemaRef ds:uri="http://schemas.microsoft.com/office/2006/metadata/properties"/>
    <ds:schemaRef ds:uri="http://schemas.microsoft.com/office/infopath/2007/PartnerControls"/>
    <ds:schemaRef ds:uri="f0fabfd0-c808-4021-b0dc-76a068fda820"/>
  </ds:schemaRefs>
</ds:datastoreItem>
</file>

<file path=customXml/itemProps3.xml><?xml version="1.0" encoding="utf-8"?>
<ds:datastoreItem xmlns:ds="http://schemas.openxmlformats.org/officeDocument/2006/customXml" ds:itemID="{5D3F285A-C577-4F12-AFC6-65F261B22C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fabfd0-c808-4021-b0dc-76a068fda820"/>
    <ds:schemaRef ds:uri="5667d2bd-f237-477b-b3ab-376dd50347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a91b29d-ba21-402f-b47a-c225ae57ffe9}" enabled="0" method="" siteId="{fa91b29d-ba21-402f-b47a-c225ae57ffe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39</vt:i4>
      </vt:variant>
    </vt:vector>
  </HeadingPairs>
  <TitlesOfParts>
    <vt:vector size="52" baseType="lpstr">
      <vt:lpstr>ReadME</vt:lpstr>
      <vt:lpstr>Deemed Savings Tbl Revision Log</vt:lpstr>
      <vt:lpstr>BUS Deemed Savings Table</vt:lpstr>
      <vt:lpstr>Efficient Products Deemed Table</vt:lpstr>
      <vt:lpstr>Energy Effic. Kits Deemed Table</vt:lpstr>
      <vt:lpstr>PAYS Deemed Table</vt:lpstr>
      <vt:lpstr>HVAC Deemed Table</vt:lpstr>
      <vt:lpstr>Income Eligible Deemed Table</vt:lpstr>
      <vt:lpstr>Demand Response Deemed Table</vt:lpstr>
      <vt:lpstr> Measure INDEX PY25</vt:lpstr>
      <vt:lpstr>Avoided Cost Benefits</vt:lpstr>
      <vt:lpstr>CP FACTORS</vt:lpstr>
      <vt:lpstr>End-Use Shapes Factors  2025+</vt:lpstr>
      <vt:lpstr>'BUS Deemed Savings Table'!_ftn1</vt:lpstr>
      <vt:lpstr>'BUS Deemed Savings Table'!_ftn10</vt:lpstr>
      <vt:lpstr>'BUS Deemed Savings Table'!_ftn11</vt:lpstr>
      <vt:lpstr>'BUS Deemed Savings Table'!_ftn12</vt:lpstr>
      <vt:lpstr>'BUS Deemed Savings Table'!_ftn2</vt:lpstr>
      <vt:lpstr>'BUS Deemed Savings Table'!_ftn3</vt:lpstr>
      <vt:lpstr>'BUS Deemed Savings Table'!_ftn4</vt:lpstr>
      <vt:lpstr>'BUS Deemed Savings Table'!_ftn5</vt:lpstr>
      <vt:lpstr>'BUS Deemed Savings Table'!_ftn6</vt:lpstr>
      <vt:lpstr>'BUS Deemed Savings Table'!_ftn7</vt:lpstr>
      <vt:lpstr>'BUS Deemed Savings Table'!_ftn8</vt:lpstr>
      <vt:lpstr>'BUS Deemed Savings Table'!_ftn9</vt:lpstr>
      <vt:lpstr>'BUS Deemed Savings Table'!_ftnref1</vt:lpstr>
      <vt:lpstr>'BUS Deemed Savings Table'!_ftnref3</vt:lpstr>
      <vt:lpstr>'BUS Deemed Savings Table'!_ftnref4</vt:lpstr>
      <vt:lpstr>'BUS Deemed Savings Table'!_ftnref5</vt:lpstr>
      <vt:lpstr>'BUS Deemed Savings Table'!_ftnref7</vt:lpstr>
      <vt:lpstr>'BUS Deemed Savings Table'!_ftnref9</vt:lpstr>
      <vt:lpstr>'BUS Deemed Savings Table'!_Toc477945843</vt:lpstr>
      <vt:lpstr>CurrentYear</vt:lpstr>
      <vt:lpstr>DISCOUNT</vt:lpstr>
      <vt:lpstr>DiscountRate</vt:lpstr>
      <vt:lpstr>DiscountYear</vt:lpstr>
      <vt:lpstr>Inflation</vt:lpstr>
      <vt:lpstr>' Measure INDEX PY25'!Print_Area</vt:lpstr>
      <vt:lpstr>'BUS Deemed Savings Table'!Print_Area</vt:lpstr>
      <vt:lpstr>'Deemed Savings Tbl Revision Log'!Print_Area</vt:lpstr>
      <vt:lpstr>'Demand Response Deemed Table'!Print_Area</vt:lpstr>
      <vt:lpstr>'Efficient Products Deemed Table'!Print_Area</vt:lpstr>
      <vt:lpstr>'Energy Effic. Kits Deemed Table'!Print_Area</vt:lpstr>
      <vt:lpstr>'HVAC Deemed Table'!Print_Area</vt:lpstr>
      <vt:lpstr>'Income Eligible Deemed Table'!Print_Area</vt:lpstr>
      <vt:lpstr>' Measure INDEX PY25'!Print_Titles</vt:lpstr>
      <vt:lpstr>'BUS Deemed Savings Table'!Print_Titles</vt:lpstr>
      <vt:lpstr>'Demand Response Deemed Table'!Print_Titles</vt:lpstr>
      <vt:lpstr>'Efficient Products Deemed Table'!Print_Titles</vt:lpstr>
      <vt:lpstr>'Energy Effic. Kits Deemed Table'!Print_Titles</vt:lpstr>
      <vt:lpstr>'HVAC Deemed Table'!Print_Titles</vt:lpstr>
      <vt:lpstr>'Income Eligible Deemed Table'!Print_Titles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2024-11-15T13:19:43Z</dcterms:created>
  <dcterms:modified xsi:type="dcterms:W3CDTF">2025-01-30T17:49:14Z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0x0101008C7955207C1BD647A3438075FDACC685</vt:lpwstr>
  </property>
  <property fmtid="{D5CDD505-2E9C-101B-9397-08002B2CF9AE}" pid="4" name="Order">
    <vt:r8>129200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SharedWithUsers">
    <vt:lpwstr/>
  </property>
</Properties>
</file>